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drawings/drawing3.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tables/table15.xml" ContentType="application/vnd.openxmlformats-officedocument.spreadsheetml.table+xml"/>
  <Override PartName="/xl/charts/chart7.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16.xml" ContentType="application/vnd.openxmlformats-officedocument.spreadsheetml.table+xml"/>
  <Override PartName="/xl/charts/chart8.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pivotTables/pivotTable18.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pivotTables/pivotTable19.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tables/table17.xml" ContentType="application/vnd.openxmlformats-officedocument.spreadsheetml.table+xml"/>
  <Override PartName="/xl/pivotTables/pivotTable20.xml" ContentType="application/vnd.openxmlformats-officedocument.spreadsheetml.pivotTable+xml"/>
  <Override PartName="/xl/tables/table18.xml" ContentType="application/vnd.openxmlformats-officedocument.spreadsheetml.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xml"/>
  <Override PartName="/xl/tables/table19.xml" ContentType="application/vnd.openxmlformats-officedocument.spreadsheetml.table+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xml"/>
  <Override PartName="/xl/tables/table20.xml" ContentType="application/vnd.openxmlformats-officedocument.spreadsheetml.table+xml"/>
  <Override PartName="/xl/drawings/drawing19.xml" ContentType="application/vnd.openxmlformats-officedocument.drawing+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60" yWindow="540" windowWidth="5730" windowHeight="8865" tabRatio="926" firstSheet="1" activeTab="7"/>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CCM Dashboard" sheetId="40" r:id="rId8"/>
    <sheet name="Map" sheetId="72" state="hidden" r:id="rId9"/>
    <sheet name="Age-Sex Breakdown per Camp" sheetId="74" r:id="rId10"/>
    <sheet name="Vulnerability per Camp" sheetId="75" r:id="rId11"/>
    <sheet name="Camp Analysis" sheetId="33" r:id="rId12"/>
    <sheet name="Camp List (printable) " sheetId="67" r:id="rId13"/>
    <sheet name="Camp Management-Focal Point" sheetId="78" r:id="rId14"/>
    <sheet name="Displacement Areas" sheetId="80" r:id="rId15"/>
    <sheet name="Camp_Profile" sheetId="83" r:id="rId16"/>
    <sheet name="Shelter Tracking" sheetId="19" r:id="rId17"/>
    <sheet name="Camp Infrastructure" sheetId="77" r:id="rId18"/>
    <sheet name="Shelter Progress" sheetId="36" r:id="rId19"/>
    <sheet name="Shelter Summary (by agency)" sheetId="45" r:id="rId20"/>
    <sheet name="Shelter Coverage &amp; Gaps" sheetId="62" r:id="rId21"/>
    <sheet name="NFI Tracking" sheetId="20" r:id="rId22"/>
    <sheet name="NFI Pipeline" sheetId="30" r:id="rId23"/>
    <sheet name="analysis" sheetId="41" state="hidden" r:id="rId24"/>
    <sheet name="NFI Distribution (by Tship)" sheetId="37" r:id="rId25"/>
    <sheet name="NFI Summary" sheetId="43" r:id="rId26"/>
    <sheet name="Sheet1" sheetId="84" state="hidden" r:id="rId27"/>
    <sheet name="Sheet2" sheetId="86" state="hidden" r:id="rId28"/>
  </sheets>
  <definedNames>
    <definedName name="_xlnm._FilterDatabase" localSheetId="5" hidden="1">'Camp List'!$A$4:$R$122</definedName>
    <definedName name="_xlnm._FilterDatabase" localSheetId="21" hidden="1">'NFI Tracking'!$A$5:$P$264</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5">Camp_List[#All]</definedName>
    <definedName name="AllData_Camplist" localSheetId="20">Camp_List[#All]</definedName>
    <definedName name="AllData_Camplist">Camp_List[#All]</definedName>
    <definedName name="Camp_Status">"Open, Close"</definedName>
    <definedName name="Camplist_HH">'Camp List'!$Q$5:$Q$908</definedName>
    <definedName name="Camplist_Popl">'Camp List'!$R$5:$R$908</definedName>
    <definedName name="CampList_Status">'Camp List'!$A$5:$A$908</definedName>
    <definedName name="Camplist_Township">'Camp List'!$F$5:$F$908</definedName>
    <definedName name="CampList_TypeOfAcc">'Camp List'!$V$5:$V$908</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5">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1">'Camp Analysis'!$A$2:$J$53</definedName>
    <definedName name="_xlnm.Print_Area" localSheetId="12">'Camp List (printable) '!$A$2:$H$92</definedName>
    <definedName name="_xlnm.Print_Area" localSheetId="13">'Camp Management-Focal Point'!$B$2:$I$35</definedName>
    <definedName name="_xlnm.Print_Area" localSheetId="7">'CCCM Dashboard'!$A$3:$Q$51</definedName>
    <definedName name="_xlnm.Print_Area" localSheetId="14">'Displacement Areas'!$B$3:$O$73</definedName>
    <definedName name="_xlnm.Print_Area" localSheetId="24">'NFI Distribution (by Tship)'!$A$2:$J$41</definedName>
    <definedName name="_xlnm.Print_Area" localSheetId="22">'NFI Pipeline'!$A$5:$AF$9</definedName>
    <definedName name="_xlnm.Print_Area" localSheetId="25">'NFI Summary'!$C$4:$Q$41</definedName>
    <definedName name="_xlnm.Print_Area" localSheetId="21">'NFI Tracking'!$A$5:$P$5</definedName>
    <definedName name="_xlnm.Print_Area" localSheetId="20">'Shelter Coverage &amp; Gaps'!$A$2:$O$39</definedName>
    <definedName name="_xlnm.Print_Area" localSheetId="18">'Shelter Progress'!$A$2:$R$37</definedName>
    <definedName name="_xlnm.Print_Area" localSheetId="19">'Shelter Summary (by agency)'!$A$2:$F$58</definedName>
    <definedName name="Rakhine" localSheetId="15">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tate">Definition!$J$2:$J$2</definedName>
    <definedName name="TCL_C">Definition_TCL!$B$4:$B$1000</definedName>
    <definedName name="TCL_T">Definition_TCL!$A$4:$A$1000</definedName>
    <definedName name="TCL_T1">Definition_TCL!$A$4</definedName>
    <definedName name="Type_of_Acc">'Camp List'!$V$5:$V$122</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24" r:id="rId29"/>
    <pivotCache cacheId="25" r:id="rId30"/>
    <pivotCache cacheId="26" r:id="rId31"/>
    <pivotCache cacheId="27" r:id="rId32"/>
    <pivotCache cacheId="28" r:id="rId33"/>
    <pivotCache cacheId="29" r:id="rId34"/>
    <pivotCache cacheId="43" r:id="rId35"/>
  </pivotCaches>
  <extLst>
    <ext xmlns:x14="http://schemas.microsoft.com/office/spreadsheetml/2009/9/main" uri="{BBE1A952-AA13-448e-AADC-164F8A28A991}">
      <x14:slicerCaches>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C8" i="37" l="1"/>
  <c r="C9" i="37"/>
  <c r="C10" i="37"/>
  <c r="C11" i="37"/>
  <c r="C12" i="37"/>
  <c r="C13" i="37"/>
  <c r="C14" i="37"/>
  <c r="C15" i="37"/>
  <c r="C16" i="37"/>
  <c r="C7" i="37"/>
  <c r="B8" i="37"/>
  <c r="B9" i="37"/>
  <c r="B10" i="37"/>
  <c r="B11" i="37"/>
  <c r="B12" i="37"/>
  <c r="B13" i="37"/>
  <c r="B14" i="37"/>
  <c r="B15" i="37"/>
  <c r="B16" i="37"/>
  <c r="B7" i="37"/>
  <c r="B6" i="36"/>
  <c r="B7" i="36"/>
  <c r="B8" i="36"/>
  <c r="B9" i="36"/>
  <c r="B10" i="36"/>
  <c r="B11" i="36"/>
  <c r="B12" i="36"/>
  <c r="B13" i="36"/>
  <c r="B14" i="36"/>
  <c r="B15" i="36"/>
  <c r="C6" i="36"/>
  <c r="C7" i="36"/>
  <c r="C8" i="36"/>
  <c r="C9" i="36"/>
  <c r="C10" i="36"/>
  <c r="C11" i="36"/>
  <c r="C12" i="36"/>
  <c r="C13" i="36"/>
  <c r="C14" i="36"/>
  <c r="C15" i="36"/>
  <c r="I8" i="43"/>
  <c r="A6" i="20" l="1"/>
  <c r="B6" i="20"/>
  <c r="AE6" i="20"/>
  <c r="AF6" i="20"/>
  <c r="A7" i="20"/>
  <c r="B7" i="20"/>
  <c r="AE7" i="20"/>
  <c r="AF7" i="20"/>
  <c r="AA39" i="14" l="1"/>
  <c r="AA43" i="14"/>
  <c r="AA41" i="14"/>
  <c r="AA42" i="14"/>
  <c r="AA51" i="14"/>
  <c r="AA52" i="14"/>
  <c r="AA9" i="14" l="1"/>
  <c r="A3" i="30" l="1"/>
  <c r="A4" i="40"/>
  <c r="B8" i="86" l="1"/>
  <c r="C5" i="35" l="1"/>
  <c r="AH42" i="14" l="1"/>
  <c r="AH43"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AN36" i="40"/>
  <c r="K25" i="40" s="1"/>
  <c r="AN37" i="40"/>
  <c r="K26" i="40" s="1"/>
  <c r="AN23" i="40"/>
  <c r="K17" i="40" s="1"/>
  <c r="AL24" i="40"/>
  <c r="AL25" i="40"/>
  <c r="AL26" i="40"/>
  <c r="AL27" i="40"/>
  <c r="AL33" i="40"/>
  <c r="AL34" i="40"/>
  <c r="AL35" i="40"/>
  <c r="AL36" i="40"/>
  <c r="AL37" i="40"/>
  <c r="AM25" i="40" l="1"/>
  <c r="AM33" i="40"/>
  <c r="AM24" i="40"/>
  <c r="AR35" i="40"/>
  <c r="AR26" i="40"/>
  <c r="K24" i="40"/>
  <c r="K20" i="40"/>
  <c r="AM35" i="40"/>
  <c r="AR23" i="40"/>
  <c r="L17" i="40" s="1"/>
  <c r="AR34" i="40"/>
  <c r="L23" i="40" s="1"/>
  <c r="AR25" i="40"/>
  <c r="L19" i="40" s="1"/>
  <c r="AM34" i="40"/>
  <c r="AR37" i="40"/>
  <c r="L26" i="40" s="1"/>
  <c r="AR33" i="40"/>
  <c r="L22" i="40" s="1"/>
  <c r="AR24" i="40"/>
  <c r="L18" i="40" s="1"/>
  <c r="AR36" i="40"/>
  <c r="L25" i="40" s="1"/>
  <c r="AR27" i="40"/>
  <c r="L21" i="40" s="1"/>
  <c r="AQ38" i="40"/>
  <c r="AO38" i="40"/>
  <c r="AM26" i="40"/>
  <c r="AM37" i="40"/>
  <c r="AM36" i="40"/>
  <c r="AM27" i="40"/>
  <c r="L20" i="40" l="1"/>
  <c r="L24" i="40"/>
  <c r="B7" i="86" l="1"/>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B5" i="86" l="1"/>
  <c r="AJ17" i="40"/>
  <c r="K13" i="40" s="1"/>
  <c r="AH17" i="40"/>
  <c r="I13" i="40" s="1"/>
  <c r="AL17" i="40"/>
  <c r="AI17" i="40"/>
  <c r="J13" i="40" s="1"/>
  <c r="AK17" i="40"/>
  <c r="L13" i="40" s="1"/>
  <c r="AM23" i="40"/>
  <c r="AH38" i="40"/>
  <c r="I12" i="40" s="1"/>
  <c r="B6" i="86"/>
  <c r="AM17" i="40" l="1"/>
  <c r="AN38" i="40"/>
  <c r="K27" i="40" s="1"/>
  <c r="B11" i="86"/>
  <c r="A9" i="20"/>
  <c r="AE9" i="20"/>
  <c r="AF9" i="20"/>
  <c r="A12" i="20"/>
  <c r="AE12" i="20"/>
  <c r="AF12" i="20"/>
  <c r="A8" i="20"/>
  <c r="AE8" i="20"/>
  <c r="AF8" i="20"/>
  <c r="A11" i="20"/>
  <c r="AE11" i="20"/>
  <c r="AF11" i="20"/>
  <c r="A10" i="20"/>
  <c r="AE10" i="20"/>
  <c r="AF10" i="20"/>
  <c r="AE29" i="20" l="1"/>
  <c r="V139" i="19" l="1"/>
  <c r="T139" i="19" s="1"/>
  <c r="W139" i="19"/>
  <c r="X139" i="19"/>
  <c r="Y139" i="19"/>
  <c r="V140" i="19"/>
  <c r="T140" i="19" s="1"/>
  <c r="W140" i="19"/>
  <c r="X140" i="19"/>
  <c r="Y140" i="19"/>
  <c r="V141" i="19"/>
  <c r="T141" i="19" s="1"/>
  <c r="W141" i="19"/>
  <c r="X141" i="19"/>
  <c r="Y141" i="19"/>
  <c r="A28" i="20"/>
  <c r="AE28" i="20"/>
  <c r="AF28" i="20"/>
  <c r="A29" i="20"/>
  <c r="AF29" i="20"/>
  <c r="A22" i="20"/>
  <c r="AE22" i="20"/>
  <c r="AF22" i="20"/>
  <c r="A18" i="20"/>
  <c r="AE18" i="20"/>
  <c r="AF18" i="20"/>
  <c r="A17" i="20"/>
  <c r="AE17" i="20"/>
  <c r="AF17" i="20"/>
  <c r="A3" i="14" l="1"/>
  <c r="A3" i="36" l="1"/>
  <c r="A3" i="62"/>
  <c r="A3" i="20" l="1"/>
  <c r="E23" i="43"/>
  <c r="R142" i="19"/>
  <c r="S142" i="19"/>
  <c r="A3" i="19"/>
  <c r="A3" i="67"/>
  <c r="A3" i="37" l="1"/>
  <c r="A67" i="20" l="1"/>
  <c r="A14" i="20"/>
  <c r="A16" i="20"/>
  <c r="A13" i="20"/>
  <c r="A15" i="20"/>
  <c r="A41" i="20"/>
  <c r="AE67" i="20"/>
  <c r="AE14" i="20"/>
  <c r="AE16" i="20"/>
  <c r="AE13" i="20"/>
  <c r="AE15" i="20"/>
  <c r="AE41" i="20"/>
  <c r="AF67" i="20"/>
  <c r="AF14" i="20"/>
  <c r="AF16" i="20"/>
  <c r="AF13" i="20"/>
  <c r="AF15" i="20"/>
  <c r="AF41" i="20"/>
  <c r="A20" i="20" l="1"/>
  <c r="B20" i="20"/>
  <c r="AE20" i="20"/>
  <c r="AF20" i="20"/>
  <c r="AI88" i="14" l="1"/>
  <c r="AI89" i="14"/>
  <c r="AI90" i="14"/>
  <c r="AI91" i="14"/>
  <c r="AI92" i="14"/>
  <c r="AI93" i="14"/>
  <c r="AI94" i="14"/>
  <c r="AI95" i="14"/>
  <c r="AI96" i="14"/>
  <c r="AI97" i="14"/>
  <c r="AI98" i="14"/>
  <c r="AI99" i="14"/>
  <c r="AI100" i="14"/>
  <c r="AI101" i="14"/>
  <c r="AI102" i="14"/>
  <c r="AI103" i="14"/>
  <c r="AI104" i="14"/>
  <c r="AI84" i="14"/>
  <c r="AI30" i="14"/>
  <c r="AI31" i="14"/>
  <c r="AI32" i="14"/>
  <c r="AI33" i="14"/>
  <c r="AI34" i="14"/>
  <c r="AI35" i="14"/>
  <c r="AI36" i="14"/>
  <c r="AI37" i="14"/>
  <c r="AI38" i="14"/>
  <c r="AI74" i="14"/>
  <c r="AI80" i="14"/>
  <c r="AI105" i="14"/>
  <c r="AI106" i="14"/>
  <c r="AI107" i="14"/>
  <c r="AI108" i="14"/>
  <c r="AI109" i="14"/>
  <c r="AI110" i="14"/>
  <c r="AI111" i="14"/>
  <c r="AI112" i="14"/>
  <c r="AI113" i="14"/>
  <c r="AI114" i="14"/>
  <c r="AI115" i="14"/>
  <c r="AI116" i="14"/>
  <c r="AI26" i="14"/>
  <c r="AI9" i="14"/>
  <c r="AI81" i="14"/>
  <c r="AI82" i="14"/>
  <c r="AI83" i="14"/>
  <c r="AI85" i="14"/>
  <c r="AI87" i="14"/>
  <c r="AI117" i="14"/>
  <c r="AI118" i="14"/>
  <c r="AI119" i="14"/>
  <c r="AI120" i="14"/>
  <c r="AI121" i="14"/>
  <c r="AI86" i="14"/>
  <c r="AI10" i="14"/>
  <c r="AI23" i="14"/>
  <c r="AI122" i="14"/>
  <c r="AI11" i="14"/>
  <c r="AI5" i="14"/>
  <c r="W6" i="19" l="1"/>
  <c r="W7" i="19"/>
  <c r="W8" i="19"/>
  <c r="W9" i="19"/>
  <c r="W10" i="19"/>
  <c r="W11" i="19"/>
  <c r="W12" i="19"/>
  <c r="W13" i="19"/>
  <c r="W14" i="19"/>
  <c r="W15" i="19"/>
  <c r="W16" i="19"/>
  <c r="W17" i="19"/>
  <c r="W18" i="19"/>
  <c r="AI53" i="14" s="1"/>
  <c r="W19" i="19"/>
  <c r="W20" i="19"/>
  <c r="W21" i="19"/>
  <c r="W22" i="19"/>
  <c r="AI48" i="14" s="1"/>
  <c r="W23" i="19"/>
  <c r="AI49" i="14" s="1"/>
  <c r="W24" i="19"/>
  <c r="W25" i="19"/>
  <c r="W26" i="19"/>
  <c r="W27" i="19"/>
  <c r="W28" i="19"/>
  <c r="W29" i="19"/>
  <c r="W30" i="19"/>
  <c r="W31" i="19"/>
  <c r="AI6" i="14" s="1"/>
  <c r="W32" i="19"/>
  <c r="W33" i="19"/>
  <c r="W34" i="19"/>
  <c r="W35" i="19"/>
  <c r="W36" i="19"/>
  <c r="W37" i="19"/>
  <c r="W38" i="19"/>
  <c r="W39" i="19"/>
  <c r="W40" i="19"/>
  <c r="W41" i="19"/>
  <c r="W42" i="19"/>
  <c r="W43" i="19"/>
  <c r="W44" i="19"/>
  <c r="W45" i="19"/>
  <c r="W46" i="19"/>
  <c r="W47" i="19"/>
  <c r="W48" i="19"/>
  <c r="W49" i="19"/>
  <c r="W50" i="19"/>
  <c r="W51" i="19"/>
  <c r="W52" i="19"/>
  <c r="W53" i="19"/>
  <c r="W54" i="19"/>
  <c r="AI28" i="14" s="1"/>
  <c r="W55" i="19"/>
  <c r="W56" i="19"/>
  <c r="W57" i="19"/>
  <c r="W58" i="19"/>
  <c r="AI12" i="14" s="1"/>
  <c r="W59" i="19"/>
  <c r="W60" i="19"/>
  <c r="W61" i="19"/>
  <c r="W62" i="19"/>
  <c r="W63" i="19"/>
  <c r="W64" i="19"/>
  <c r="W65" i="19"/>
  <c r="W66" i="19"/>
  <c r="AI24" i="14" s="1"/>
  <c r="W67" i="19"/>
  <c r="W68" i="19"/>
  <c r="W69" i="19"/>
  <c r="W70" i="19"/>
  <c r="W71" i="19"/>
  <c r="W72" i="19"/>
  <c r="W73" i="19"/>
  <c r="W74" i="19"/>
  <c r="W75" i="19"/>
  <c r="W76" i="19"/>
  <c r="AI52" i="14" s="1"/>
  <c r="W77" i="19"/>
  <c r="W78" i="19"/>
  <c r="AI25" i="14" s="1"/>
  <c r="W79" i="19"/>
  <c r="W80" i="19"/>
  <c r="W81" i="19"/>
  <c r="W82" i="19"/>
  <c r="W83" i="19"/>
  <c r="W84" i="19"/>
  <c r="W85" i="19"/>
  <c r="AI17" i="14" s="1"/>
  <c r="W86" i="19"/>
  <c r="W87" i="19"/>
  <c r="W88" i="19"/>
  <c r="W89" i="19"/>
  <c r="W90" i="19"/>
  <c r="W91" i="19"/>
  <c r="AI18" i="14" s="1"/>
  <c r="W92" i="19"/>
  <c r="W93" i="19"/>
  <c r="W94" i="19"/>
  <c r="W95" i="19"/>
  <c r="W96" i="19"/>
  <c r="W97" i="19"/>
  <c r="W98" i="19"/>
  <c r="W99" i="19"/>
  <c r="W100" i="19"/>
  <c r="W101" i="19"/>
  <c r="AI8" i="14" s="1"/>
  <c r="W102" i="19"/>
  <c r="W103" i="19"/>
  <c r="W104" i="19"/>
  <c r="W105" i="19"/>
  <c r="W106" i="19"/>
  <c r="AI76" i="14" s="1"/>
  <c r="W107" i="19"/>
  <c r="W108" i="19"/>
  <c r="W109" i="19"/>
  <c r="W110" i="19"/>
  <c r="W111" i="19"/>
  <c r="W112" i="19"/>
  <c r="W113" i="19"/>
  <c r="W114" i="19"/>
  <c r="AI47" i="14" s="1"/>
  <c r="W115" i="19"/>
  <c r="W116" i="19"/>
  <c r="W117" i="19"/>
  <c r="AI41" i="14" s="1"/>
  <c r="W118" i="19"/>
  <c r="W119" i="19"/>
  <c r="AI29" i="14" s="1"/>
  <c r="W120" i="19"/>
  <c r="W121" i="19"/>
  <c r="W122" i="19"/>
  <c r="W123" i="19"/>
  <c r="W124" i="19"/>
  <c r="W125" i="19"/>
  <c r="W126" i="19"/>
  <c r="W127" i="19"/>
  <c r="W128" i="19"/>
  <c r="W129" i="19"/>
  <c r="W130" i="19"/>
  <c r="W131" i="19"/>
  <c r="W132" i="19"/>
  <c r="W133" i="19"/>
  <c r="W134" i="19"/>
  <c r="W135" i="19"/>
  <c r="AI44" i="14" s="1"/>
  <c r="W136" i="19"/>
  <c r="AI45" i="14" s="1"/>
  <c r="W137" i="19"/>
  <c r="W138" i="19"/>
  <c r="W5" i="19"/>
  <c r="Y5" i="19"/>
  <c r="X5" i="19"/>
  <c r="AI42" i="14" l="1"/>
  <c r="AI43" i="14"/>
  <c r="AI22" i="14"/>
  <c r="AI77" i="14"/>
  <c r="AI20" i="14"/>
  <c r="AI19" i="14"/>
  <c r="AI73" i="14"/>
  <c r="AI67" i="14"/>
  <c r="AI27" i="14"/>
  <c r="AI46" i="14"/>
  <c r="AI78" i="14"/>
  <c r="AI58" i="14"/>
  <c r="AI64" i="14"/>
  <c r="AI71" i="14"/>
  <c r="AI65" i="14"/>
  <c r="AI72" i="14"/>
  <c r="AI62" i="14"/>
  <c r="AI21" i="14"/>
  <c r="AI75" i="14"/>
  <c r="AI14" i="14"/>
  <c r="AI7" i="14"/>
  <c r="AI63" i="14"/>
  <c r="AI69" i="14"/>
  <c r="AI79" i="14"/>
  <c r="AI50" i="14"/>
  <c r="AI68" i="14"/>
  <c r="AI55" i="14"/>
  <c r="AI51" i="14"/>
  <c r="AI57" i="14"/>
  <c r="AI59" i="14"/>
  <c r="AI66" i="14"/>
  <c r="AI15" i="14"/>
  <c r="AI13" i="14"/>
  <c r="AI70" i="14"/>
  <c r="AI61" i="14"/>
  <c r="AI16" i="14"/>
  <c r="AI39" i="14"/>
  <c r="AI56" i="14"/>
  <c r="AI60" i="14"/>
  <c r="AI54" i="14"/>
  <c r="AI40" i="14"/>
  <c r="A21" i="20"/>
  <c r="B21" i="20"/>
  <c r="AE21" i="20"/>
  <c r="AF21" i="20"/>
  <c r="A19" i="20" l="1"/>
  <c r="B19" i="20"/>
  <c r="AE19" i="20"/>
  <c r="AF19" i="20"/>
  <c r="I142" i="19" l="1"/>
  <c r="H142" i="19"/>
  <c r="V5" i="19" l="1"/>
  <c r="T5" i="19" s="1"/>
  <c r="V50" i="19"/>
  <c r="T50" i="19" s="1"/>
  <c r="X50" i="19"/>
  <c r="Y50" i="19"/>
  <c r="D230" i="74" l="1"/>
  <c r="D231" i="74"/>
  <c r="H230" i="74"/>
  <c r="H231" i="74"/>
  <c r="L142" i="19" l="1"/>
  <c r="K142" i="19"/>
  <c r="J142" i="19"/>
  <c r="H6" i="36"/>
  <c r="A58" i="20" l="1"/>
  <c r="AE58" i="20"/>
  <c r="AF58" i="20"/>
  <c r="A69" i="20" l="1"/>
  <c r="AE69" i="20"/>
  <c r="AF69" i="20"/>
  <c r="A68" i="20"/>
  <c r="AE68" i="20"/>
  <c r="AF68" i="20"/>
  <c r="E24" i="43" l="1"/>
  <c r="E22" i="43"/>
  <c r="E21" i="43"/>
  <c r="E20" i="43"/>
  <c r="E19" i="43"/>
  <c r="E18" i="43"/>
  <c r="E17" i="43"/>
  <c r="E10" i="43"/>
  <c r="E9" i="43"/>
  <c r="E8" i="43"/>
  <c r="C5" i="43"/>
  <c r="N31" i="37"/>
  <c r="M31" i="37"/>
  <c r="J31" i="37"/>
  <c r="I31" i="37"/>
  <c r="F31" i="37"/>
  <c r="E31" i="37"/>
  <c r="C31" i="37"/>
  <c r="B31" i="37"/>
  <c r="N30" i="37"/>
  <c r="M30" i="37"/>
  <c r="J30" i="37"/>
  <c r="I30" i="37"/>
  <c r="F30" i="37"/>
  <c r="E30" i="37"/>
  <c r="C30" i="37"/>
  <c r="B30" i="37"/>
  <c r="N29" i="37"/>
  <c r="M29" i="37"/>
  <c r="J29" i="37"/>
  <c r="I29" i="37"/>
  <c r="F29" i="37"/>
  <c r="E29" i="37"/>
  <c r="C29" i="37"/>
  <c r="B29" i="37"/>
  <c r="N28" i="37"/>
  <c r="M28" i="37"/>
  <c r="J28" i="37"/>
  <c r="I28" i="37"/>
  <c r="F28" i="37"/>
  <c r="E28" i="37"/>
  <c r="C28" i="37"/>
  <c r="B28" i="37"/>
  <c r="N27" i="37"/>
  <c r="M27" i="37"/>
  <c r="J27" i="37"/>
  <c r="I27" i="37"/>
  <c r="F27" i="37"/>
  <c r="E27" i="37"/>
  <c r="C27" i="37"/>
  <c r="B27" i="37"/>
  <c r="N26" i="37"/>
  <c r="M26" i="37"/>
  <c r="J26" i="37"/>
  <c r="I26" i="37"/>
  <c r="F26" i="37"/>
  <c r="E26" i="37"/>
  <c r="C26" i="37"/>
  <c r="B26" i="37"/>
  <c r="N25" i="37"/>
  <c r="M25" i="37"/>
  <c r="L25" i="37"/>
  <c r="J25" i="37"/>
  <c r="I25" i="37"/>
  <c r="H25" i="37"/>
  <c r="F25" i="37"/>
  <c r="E25" i="37"/>
  <c r="D25" i="37"/>
  <c r="C25" i="37"/>
  <c r="B25" i="37"/>
  <c r="N24" i="37"/>
  <c r="M24" i="37"/>
  <c r="J24" i="37"/>
  <c r="I24" i="37"/>
  <c r="F24" i="37"/>
  <c r="E24" i="37"/>
  <c r="C24" i="37"/>
  <c r="B24" i="37"/>
  <c r="N23" i="37"/>
  <c r="M23" i="37"/>
  <c r="J23" i="37"/>
  <c r="I23" i="37"/>
  <c r="F23" i="37"/>
  <c r="E23" i="37"/>
  <c r="C23" i="37"/>
  <c r="B23" i="37"/>
  <c r="N22" i="37"/>
  <c r="M22" i="37"/>
  <c r="J22" i="37"/>
  <c r="I22" i="37"/>
  <c r="F22" i="37"/>
  <c r="E22" i="37"/>
  <c r="C22" i="37"/>
  <c r="B22" i="37"/>
  <c r="T3" i="41"/>
  <c r="S3" i="41"/>
  <c r="R3" i="41"/>
  <c r="Q3" i="41"/>
  <c r="P3" i="41"/>
  <c r="O3" i="41"/>
  <c r="N3" i="41"/>
  <c r="M3" i="41"/>
  <c r="AF25" i="20"/>
  <c r="AE25" i="20"/>
  <c r="B25" i="20"/>
  <c r="A25" i="20"/>
  <c r="AF24" i="20"/>
  <c r="AE24" i="20"/>
  <c r="B24" i="20"/>
  <c r="A24" i="20"/>
  <c r="AF23" i="20"/>
  <c r="AE23" i="20"/>
  <c r="B23" i="20"/>
  <c r="A23" i="20"/>
  <c r="AF26" i="20"/>
  <c r="AE26" i="20"/>
  <c r="B26" i="20"/>
  <c r="A26" i="20"/>
  <c r="AF27" i="20"/>
  <c r="AE27" i="20"/>
  <c r="B27" i="20"/>
  <c r="A27" i="20"/>
  <c r="AF30" i="20"/>
  <c r="AE30" i="20"/>
  <c r="B30" i="20"/>
  <c r="A30" i="20"/>
  <c r="AF32" i="20"/>
  <c r="AE32" i="20"/>
  <c r="B32" i="20"/>
  <c r="A32" i="20"/>
  <c r="AF38" i="20"/>
  <c r="AE38" i="20"/>
  <c r="B38" i="20"/>
  <c r="A38" i="20"/>
  <c r="AF34" i="20"/>
  <c r="AE34" i="20"/>
  <c r="B34" i="20"/>
  <c r="A34" i="20"/>
  <c r="AF33" i="20"/>
  <c r="AE33" i="20"/>
  <c r="B33" i="20"/>
  <c r="A33" i="20"/>
  <c r="AF37" i="20"/>
  <c r="AE37" i="20"/>
  <c r="B37" i="20"/>
  <c r="A37" i="20"/>
  <c r="AF36" i="20"/>
  <c r="AE36" i="20"/>
  <c r="B36" i="20"/>
  <c r="A36" i="20"/>
  <c r="AF35" i="20"/>
  <c r="AE35" i="20"/>
  <c r="B35" i="20"/>
  <c r="A35" i="20"/>
  <c r="AF31" i="20"/>
  <c r="AE31" i="20"/>
  <c r="B31" i="20"/>
  <c r="A31" i="20"/>
  <c r="AF45" i="20"/>
  <c r="AE45" i="20"/>
  <c r="B45" i="20"/>
  <c r="A45" i="20"/>
  <c r="AF44" i="20"/>
  <c r="AE44" i="20"/>
  <c r="B44" i="20"/>
  <c r="A44" i="20"/>
  <c r="AF43" i="20"/>
  <c r="AE43" i="20"/>
  <c r="B43" i="20"/>
  <c r="A43" i="20"/>
  <c r="AF42" i="20"/>
  <c r="AE42" i="20"/>
  <c r="B42" i="20"/>
  <c r="A42" i="20"/>
  <c r="AF48" i="20"/>
  <c r="AE48" i="20"/>
  <c r="B48" i="20"/>
  <c r="A48" i="20"/>
  <c r="AF47" i="20"/>
  <c r="AE47" i="20"/>
  <c r="B47" i="20"/>
  <c r="A47" i="20"/>
  <c r="AF46" i="20"/>
  <c r="AE46" i="20"/>
  <c r="B46" i="20"/>
  <c r="A46" i="20"/>
  <c r="AF52" i="20"/>
  <c r="AE52" i="20"/>
  <c r="B52" i="20"/>
  <c r="A52" i="20"/>
  <c r="AF49" i="20"/>
  <c r="AE49" i="20"/>
  <c r="B49" i="20"/>
  <c r="A49" i="20"/>
  <c r="AF51" i="20"/>
  <c r="AE51" i="20"/>
  <c r="B51" i="20"/>
  <c r="A51" i="20"/>
  <c r="AF56" i="20"/>
  <c r="AE56" i="20"/>
  <c r="B56" i="20"/>
  <c r="A56" i="20"/>
  <c r="AF55" i="20"/>
  <c r="AE55" i="20"/>
  <c r="B55" i="20"/>
  <c r="A55" i="20"/>
  <c r="AF50" i="20"/>
  <c r="AE50" i="20"/>
  <c r="B50" i="20"/>
  <c r="A50" i="20"/>
  <c r="AF54" i="20"/>
  <c r="AE54" i="20"/>
  <c r="B54" i="20"/>
  <c r="A54" i="20"/>
  <c r="AF57" i="20"/>
  <c r="AE57" i="20"/>
  <c r="B57" i="20"/>
  <c r="A57" i="20"/>
  <c r="AF61" i="20"/>
  <c r="AE61" i="20"/>
  <c r="B61" i="20"/>
  <c r="A61" i="20"/>
  <c r="AF65" i="20"/>
  <c r="AE65" i="20"/>
  <c r="A65" i="20"/>
  <c r="AF60" i="20"/>
  <c r="AE60" i="20"/>
  <c r="B60" i="20"/>
  <c r="A60" i="20"/>
  <c r="AF63" i="20"/>
  <c r="AE63" i="20"/>
  <c r="B63" i="20"/>
  <c r="A63" i="20"/>
  <c r="AF71" i="20"/>
  <c r="AE71" i="20"/>
  <c r="B71" i="20"/>
  <c r="A71" i="20"/>
  <c r="AF59" i="20"/>
  <c r="AE59" i="20"/>
  <c r="B59" i="20"/>
  <c r="A59" i="20"/>
  <c r="AF62" i="20"/>
  <c r="AE62" i="20"/>
  <c r="B62" i="20"/>
  <c r="A62" i="20"/>
  <c r="AF70" i="20"/>
  <c r="AE70" i="20"/>
  <c r="B70" i="20"/>
  <c r="A70" i="20"/>
  <c r="AF64" i="20"/>
  <c r="AE64" i="20"/>
  <c r="B64" i="20"/>
  <c r="A64" i="20"/>
  <c r="AF94" i="20"/>
  <c r="AE94" i="20"/>
  <c r="B94" i="20"/>
  <c r="A94" i="20"/>
  <c r="AF93" i="20"/>
  <c r="AE93" i="20"/>
  <c r="B93" i="20"/>
  <c r="A93" i="20"/>
  <c r="AF92" i="20"/>
  <c r="AE92" i="20"/>
  <c r="B92" i="20"/>
  <c r="A92" i="20"/>
  <c r="AF91" i="20"/>
  <c r="AE91" i="20"/>
  <c r="B91" i="20"/>
  <c r="A91" i="20"/>
  <c r="AF90" i="20"/>
  <c r="AE90" i="20"/>
  <c r="B90" i="20"/>
  <c r="A90" i="20"/>
  <c r="AF89" i="20"/>
  <c r="AE89" i="20"/>
  <c r="B89" i="20"/>
  <c r="A89" i="20"/>
  <c r="AF88" i="20"/>
  <c r="AE88" i="20"/>
  <c r="B88" i="20"/>
  <c r="A88" i="20"/>
  <c r="AF87" i="20"/>
  <c r="AE87" i="20"/>
  <c r="B87" i="20"/>
  <c r="A87" i="20"/>
  <c r="AF86" i="20"/>
  <c r="AE86" i="20"/>
  <c r="B86" i="20"/>
  <c r="A86" i="20"/>
  <c r="AF85" i="20"/>
  <c r="AE85" i="20"/>
  <c r="B85" i="20"/>
  <c r="A85" i="20"/>
  <c r="AF84" i="20"/>
  <c r="AE84" i="20"/>
  <c r="B84" i="20"/>
  <c r="A84" i="20"/>
  <c r="AF79" i="20"/>
  <c r="AE79" i="20"/>
  <c r="B79" i="20"/>
  <c r="A79" i="20"/>
  <c r="AF53" i="20"/>
  <c r="AE53" i="20"/>
  <c r="A53" i="20"/>
  <c r="AF66" i="20"/>
  <c r="AE66" i="20"/>
  <c r="A66" i="20"/>
  <c r="AF78" i="20"/>
  <c r="AE78" i="20"/>
  <c r="B78" i="20"/>
  <c r="A78" i="20"/>
  <c r="AF77" i="20"/>
  <c r="AE77" i="20"/>
  <c r="B77" i="20"/>
  <c r="A77" i="20"/>
  <c r="AF40" i="20"/>
  <c r="AE40" i="20"/>
  <c r="A40" i="20"/>
  <c r="AF74" i="20"/>
  <c r="AE74" i="20"/>
  <c r="B74" i="20"/>
  <c r="A74" i="20"/>
  <c r="AF73" i="20"/>
  <c r="AE73" i="20"/>
  <c r="B73" i="20"/>
  <c r="A73" i="20"/>
  <c r="AF39" i="20"/>
  <c r="AE39" i="20"/>
  <c r="A39" i="20"/>
  <c r="AF72" i="20"/>
  <c r="AE72" i="20"/>
  <c r="B72" i="20"/>
  <c r="A72" i="20"/>
  <c r="AF75" i="20"/>
  <c r="AE75" i="20"/>
  <c r="B75" i="20"/>
  <c r="A75" i="20"/>
  <c r="AF76" i="20"/>
  <c r="AE76" i="20"/>
  <c r="B76" i="20"/>
  <c r="A76" i="20"/>
  <c r="AF80" i="20"/>
  <c r="AE80" i="20"/>
  <c r="B80" i="20"/>
  <c r="A80" i="20"/>
  <c r="AF81" i="20"/>
  <c r="AE81" i="20"/>
  <c r="B81" i="20"/>
  <c r="A81" i="20"/>
  <c r="AF83" i="20"/>
  <c r="AE83" i="20"/>
  <c r="B83" i="20"/>
  <c r="A83" i="20"/>
  <c r="AF82" i="20"/>
  <c r="AE82" i="20"/>
  <c r="B82" i="20"/>
  <c r="A82" i="20"/>
  <c r="AF97" i="20"/>
  <c r="AE97" i="20"/>
  <c r="B97" i="20"/>
  <c r="A97" i="20"/>
  <c r="AF96" i="20"/>
  <c r="AE96" i="20"/>
  <c r="B96" i="20"/>
  <c r="A96" i="20"/>
  <c r="AF95" i="20"/>
  <c r="AE95" i="20"/>
  <c r="B95" i="20"/>
  <c r="A95" i="20"/>
  <c r="AF98" i="20"/>
  <c r="AE98" i="20"/>
  <c r="B98" i="20"/>
  <c r="A98" i="20"/>
  <c r="AF99" i="20"/>
  <c r="AE99" i="20"/>
  <c r="B99" i="20"/>
  <c r="A99" i="20"/>
  <c r="AF100" i="20"/>
  <c r="AE100" i="20"/>
  <c r="B100" i="20"/>
  <c r="A100" i="20"/>
  <c r="AF104" i="20"/>
  <c r="AE104" i="20"/>
  <c r="B104" i="20"/>
  <c r="A104" i="20"/>
  <c r="AF103" i="20"/>
  <c r="AE103" i="20"/>
  <c r="B103" i="20"/>
  <c r="A103" i="20"/>
  <c r="AF102" i="20"/>
  <c r="AE102" i="20"/>
  <c r="B102" i="20"/>
  <c r="A102" i="20"/>
  <c r="AF101" i="20"/>
  <c r="AE101" i="20"/>
  <c r="B101" i="20"/>
  <c r="A101" i="20"/>
  <c r="AF105" i="20"/>
  <c r="AE105" i="20"/>
  <c r="B105" i="20"/>
  <c r="A105" i="20"/>
  <c r="AF107" i="20"/>
  <c r="AE107" i="20"/>
  <c r="B107" i="20"/>
  <c r="A107" i="20"/>
  <c r="AF106" i="20"/>
  <c r="AE106" i="20"/>
  <c r="B106" i="20"/>
  <c r="A106" i="20"/>
  <c r="AF109" i="20"/>
  <c r="AE109" i="20"/>
  <c r="B109" i="20"/>
  <c r="A109" i="20"/>
  <c r="AF108" i="20"/>
  <c r="AE108" i="20"/>
  <c r="B108" i="20"/>
  <c r="A108" i="20"/>
  <c r="AF110" i="20"/>
  <c r="AE110" i="20"/>
  <c r="B110" i="20"/>
  <c r="A110" i="20"/>
  <c r="AF112" i="20"/>
  <c r="AE112" i="20"/>
  <c r="B112" i="20"/>
  <c r="A112" i="20"/>
  <c r="AF111" i="20"/>
  <c r="AE111" i="20"/>
  <c r="B111" i="20"/>
  <c r="A111" i="20"/>
  <c r="AF115" i="20"/>
  <c r="AE115" i="20"/>
  <c r="B115" i="20"/>
  <c r="A115" i="20"/>
  <c r="AF114" i="20"/>
  <c r="AE114" i="20"/>
  <c r="B114" i="20"/>
  <c r="A114" i="20"/>
  <c r="AF113" i="20"/>
  <c r="AE113" i="20"/>
  <c r="B113" i="20"/>
  <c r="A113" i="20"/>
  <c r="AF117" i="20"/>
  <c r="AE117" i="20"/>
  <c r="B117" i="20"/>
  <c r="A117" i="20"/>
  <c r="AF116" i="20"/>
  <c r="AE116" i="20"/>
  <c r="B116" i="20"/>
  <c r="A116" i="20"/>
  <c r="AF118" i="20"/>
  <c r="AE118" i="20"/>
  <c r="B118" i="20"/>
  <c r="A118" i="20"/>
  <c r="AF120" i="20"/>
  <c r="AE120" i="20"/>
  <c r="B120" i="20"/>
  <c r="A120" i="20"/>
  <c r="AF119" i="20"/>
  <c r="AE119" i="20"/>
  <c r="B119" i="20"/>
  <c r="A119" i="20"/>
  <c r="AF121" i="20"/>
  <c r="AE121" i="20"/>
  <c r="B121" i="20"/>
  <c r="A121" i="20"/>
  <c r="AF122" i="20"/>
  <c r="AE122" i="20"/>
  <c r="B122" i="20"/>
  <c r="A122" i="20"/>
  <c r="AF127" i="20"/>
  <c r="AE127" i="20"/>
  <c r="B127" i="20"/>
  <c r="A127" i="20"/>
  <c r="AF126" i="20"/>
  <c r="AE126" i="20"/>
  <c r="B126" i="20"/>
  <c r="A126" i="20"/>
  <c r="AF125" i="20"/>
  <c r="AE125" i="20"/>
  <c r="B125" i="20"/>
  <c r="A125" i="20"/>
  <c r="AF124" i="20"/>
  <c r="AE124" i="20"/>
  <c r="B124" i="20"/>
  <c r="A124" i="20"/>
  <c r="AF123" i="20"/>
  <c r="AE123" i="20"/>
  <c r="B123" i="20"/>
  <c r="A123" i="20"/>
  <c r="AF131" i="20"/>
  <c r="AE131" i="20"/>
  <c r="B131" i="20"/>
  <c r="A131" i="20"/>
  <c r="AF130" i="20"/>
  <c r="AE130" i="20"/>
  <c r="B130" i="20"/>
  <c r="A130" i="20"/>
  <c r="AF129" i="20"/>
  <c r="AE129" i="20"/>
  <c r="B129" i="20"/>
  <c r="A129" i="20"/>
  <c r="AF128" i="20"/>
  <c r="AE128" i="20"/>
  <c r="B128" i="20"/>
  <c r="A128" i="20"/>
  <c r="AF133" i="20"/>
  <c r="AE133" i="20"/>
  <c r="B133" i="20"/>
  <c r="A133" i="20"/>
  <c r="AF132" i="20"/>
  <c r="AE132" i="20"/>
  <c r="B132" i="20"/>
  <c r="A132" i="20"/>
  <c r="AF135" i="20"/>
  <c r="AE135" i="20"/>
  <c r="B135" i="20"/>
  <c r="A135" i="20"/>
  <c r="AF134" i="20"/>
  <c r="AE134" i="20"/>
  <c r="B134" i="20"/>
  <c r="A134" i="20"/>
  <c r="AF136" i="20"/>
  <c r="AE136" i="20"/>
  <c r="B136" i="20"/>
  <c r="A136" i="20"/>
  <c r="AF137" i="20"/>
  <c r="AE137" i="20"/>
  <c r="B137" i="20"/>
  <c r="A137" i="20"/>
  <c r="AF138" i="20"/>
  <c r="AE138" i="20"/>
  <c r="B138" i="20"/>
  <c r="A138" i="20"/>
  <c r="AF139" i="20"/>
  <c r="AE139" i="20"/>
  <c r="B139" i="20"/>
  <c r="A139" i="20"/>
  <c r="AF140" i="20"/>
  <c r="AE140" i="20"/>
  <c r="B140" i="20"/>
  <c r="A140" i="20"/>
  <c r="AF141" i="20"/>
  <c r="AE141" i="20"/>
  <c r="B141" i="20"/>
  <c r="A141" i="20"/>
  <c r="AF142" i="20"/>
  <c r="AE142" i="20"/>
  <c r="B142" i="20"/>
  <c r="A142" i="20"/>
  <c r="AF143" i="20"/>
  <c r="AE143" i="20"/>
  <c r="B143" i="20"/>
  <c r="A143" i="20"/>
  <c r="AF145" i="20"/>
  <c r="AE145" i="20"/>
  <c r="B145" i="20"/>
  <c r="A145" i="20"/>
  <c r="AF144" i="20"/>
  <c r="AE144" i="20"/>
  <c r="B144" i="20"/>
  <c r="A144" i="20"/>
  <c r="AF147" i="20"/>
  <c r="AE147" i="20"/>
  <c r="B147" i="20"/>
  <c r="A147" i="20"/>
  <c r="AF146" i="20"/>
  <c r="AE146" i="20"/>
  <c r="B146" i="20"/>
  <c r="A146" i="20"/>
  <c r="AF152" i="20"/>
  <c r="AE152" i="20"/>
  <c r="B152" i="20"/>
  <c r="A152" i="20"/>
  <c r="AF151" i="20"/>
  <c r="AE151" i="20"/>
  <c r="B151" i="20"/>
  <c r="A151" i="20"/>
  <c r="AF150" i="20"/>
  <c r="AE150" i="20"/>
  <c r="B150" i="20"/>
  <c r="A150" i="20"/>
  <c r="AF149" i="20"/>
  <c r="AE149" i="20"/>
  <c r="B149" i="20"/>
  <c r="A149" i="20"/>
  <c r="AF148" i="20"/>
  <c r="AE148" i="20"/>
  <c r="B148" i="20"/>
  <c r="A148" i="20"/>
  <c r="AF155" i="20"/>
  <c r="AE155" i="20"/>
  <c r="B155" i="20"/>
  <c r="A155" i="20"/>
  <c r="AF154" i="20"/>
  <c r="AE154" i="20"/>
  <c r="B154" i="20"/>
  <c r="A154" i="20"/>
  <c r="AF153" i="20"/>
  <c r="AE153" i="20"/>
  <c r="B153" i="20"/>
  <c r="A153" i="20"/>
  <c r="AF166" i="20"/>
  <c r="AE166" i="20"/>
  <c r="B166" i="20"/>
  <c r="A166" i="20"/>
  <c r="AF165" i="20"/>
  <c r="AE165" i="20"/>
  <c r="B165" i="20"/>
  <c r="A165" i="20"/>
  <c r="AF164" i="20"/>
  <c r="AE164" i="20"/>
  <c r="B164" i="20"/>
  <c r="A164" i="20"/>
  <c r="AF163" i="20"/>
  <c r="AE163" i="20"/>
  <c r="B163" i="20"/>
  <c r="A163" i="20"/>
  <c r="AF162" i="20"/>
  <c r="AE162" i="20"/>
  <c r="B162" i="20"/>
  <c r="A162" i="20"/>
  <c r="AF161" i="20"/>
  <c r="AE161" i="20"/>
  <c r="B161" i="20"/>
  <c r="A161" i="20"/>
  <c r="AF160" i="20"/>
  <c r="AE160" i="20"/>
  <c r="B160" i="20"/>
  <c r="A160" i="20"/>
  <c r="AF159" i="20"/>
  <c r="AE159" i="20"/>
  <c r="B159" i="20"/>
  <c r="A159" i="20"/>
  <c r="AF158" i="20"/>
  <c r="AE158" i="20"/>
  <c r="B158" i="20"/>
  <c r="A158" i="20"/>
  <c r="AF157" i="20"/>
  <c r="AE157" i="20"/>
  <c r="B157" i="20"/>
  <c r="A157" i="20"/>
  <c r="AF156" i="20"/>
  <c r="AE156" i="20"/>
  <c r="B156" i="20"/>
  <c r="A156" i="20"/>
  <c r="AF169" i="20"/>
  <c r="AE169" i="20"/>
  <c r="B169" i="20"/>
  <c r="A169" i="20"/>
  <c r="AF168" i="20"/>
  <c r="AE168" i="20"/>
  <c r="B168" i="20"/>
  <c r="A168" i="20"/>
  <c r="AF167" i="20"/>
  <c r="AE167" i="20"/>
  <c r="B167" i="20"/>
  <c r="A167" i="20"/>
  <c r="AF175" i="20"/>
  <c r="AE175" i="20"/>
  <c r="B175" i="20"/>
  <c r="A175" i="20"/>
  <c r="AF174" i="20"/>
  <c r="AE174" i="20"/>
  <c r="B174" i="20"/>
  <c r="A174" i="20"/>
  <c r="AF173" i="20"/>
  <c r="AE173" i="20"/>
  <c r="B173" i="20"/>
  <c r="A173" i="20"/>
  <c r="AF172" i="20"/>
  <c r="AE172" i="20"/>
  <c r="B172" i="20"/>
  <c r="A172" i="20"/>
  <c r="AF171" i="20"/>
  <c r="AE171" i="20"/>
  <c r="B171" i="20"/>
  <c r="A171" i="20"/>
  <c r="AF170" i="20"/>
  <c r="AE170" i="20"/>
  <c r="B170" i="20"/>
  <c r="A170" i="20"/>
  <c r="AF177" i="20"/>
  <c r="AE177" i="20"/>
  <c r="B177" i="20"/>
  <c r="A177" i="20"/>
  <c r="AF176" i="20"/>
  <c r="AE176" i="20"/>
  <c r="B176" i="20"/>
  <c r="A176" i="20"/>
  <c r="AF179" i="20"/>
  <c r="AE179" i="20"/>
  <c r="B179" i="20"/>
  <c r="A179" i="20"/>
  <c r="AF178" i="20"/>
  <c r="AE178" i="20"/>
  <c r="B178" i="20"/>
  <c r="A178" i="20"/>
  <c r="AF180" i="20"/>
  <c r="AE180" i="20"/>
  <c r="B180" i="20"/>
  <c r="A180" i="20"/>
  <c r="AF181" i="20"/>
  <c r="AE181" i="20"/>
  <c r="B181" i="20"/>
  <c r="A181" i="20"/>
  <c r="AF182" i="20"/>
  <c r="AE182" i="20"/>
  <c r="B182" i="20"/>
  <c r="A182" i="20"/>
  <c r="AF184" i="20"/>
  <c r="AE184" i="20"/>
  <c r="B184" i="20"/>
  <c r="A184" i="20"/>
  <c r="AF183" i="20"/>
  <c r="AE183" i="20"/>
  <c r="B183" i="20"/>
  <c r="A183" i="20"/>
  <c r="AF185" i="20"/>
  <c r="AE185" i="20"/>
  <c r="B185" i="20"/>
  <c r="A185" i="20"/>
  <c r="AF186" i="20"/>
  <c r="AE186" i="20"/>
  <c r="B186" i="20"/>
  <c r="A186" i="20"/>
  <c r="AF187" i="20"/>
  <c r="AE187" i="20"/>
  <c r="B187" i="20"/>
  <c r="A187" i="20"/>
  <c r="AF188" i="20"/>
  <c r="AE188" i="20"/>
  <c r="B188" i="20"/>
  <c r="A188" i="20"/>
  <c r="AF190" i="20"/>
  <c r="AE190" i="20"/>
  <c r="B190" i="20"/>
  <c r="A190" i="20"/>
  <c r="AF189" i="20"/>
  <c r="AE189" i="20"/>
  <c r="B189" i="20"/>
  <c r="A189" i="20"/>
  <c r="AF191" i="20"/>
  <c r="AE191" i="20"/>
  <c r="B191" i="20"/>
  <c r="A191" i="20"/>
  <c r="AF192" i="20"/>
  <c r="AE192" i="20"/>
  <c r="B192" i="20"/>
  <c r="A192" i="20"/>
  <c r="AF193" i="20"/>
  <c r="AE193" i="20"/>
  <c r="B193" i="20"/>
  <c r="A193" i="20"/>
  <c r="AF194" i="20"/>
  <c r="AE194" i="20"/>
  <c r="B194" i="20"/>
  <c r="A194" i="20"/>
  <c r="AF199" i="20"/>
  <c r="AE199" i="20"/>
  <c r="B199" i="20"/>
  <c r="A199" i="20"/>
  <c r="AF198" i="20"/>
  <c r="AE198" i="20"/>
  <c r="B198" i="20"/>
  <c r="A198" i="20"/>
  <c r="AF197" i="20"/>
  <c r="AE197" i="20"/>
  <c r="B197" i="20"/>
  <c r="A197" i="20"/>
  <c r="AF196" i="20"/>
  <c r="AE196" i="20"/>
  <c r="B196" i="20"/>
  <c r="A196" i="20"/>
  <c r="AF195" i="20"/>
  <c r="AE195" i="20"/>
  <c r="B195" i="20"/>
  <c r="A195" i="20"/>
  <c r="AF200" i="20"/>
  <c r="AE200" i="20"/>
  <c r="B200" i="20"/>
  <c r="A200" i="20"/>
  <c r="AF201" i="20"/>
  <c r="AE201" i="20"/>
  <c r="B201" i="20"/>
  <c r="A201" i="20"/>
  <c r="AF203" i="20"/>
  <c r="AE203" i="20"/>
  <c r="B203" i="20"/>
  <c r="A203" i="20"/>
  <c r="AF202" i="20"/>
  <c r="AE202" i="20"/>
  <c r="B202" i="20"/>
  <c r="A202" i="20"/>
  <c r="AF209" i="20"/>
  <c r="AE209" i="20"/>
  <c r="B209" i="20"/>
  <c r="A209" i="20"/>
  <c r="AF208" i="20"/>
  <c r="AE208" i="20"/>
  <c r="B208" i="20"/>
  <c r="A208" i="20"/>
  <c r="AF207" i="20"/>
  <c r="AE207" i="20"/>
  <c r="B207" i="20"/>
  <c r="A207" i="20"/>
  <c r="AF206" i="20"/>
  <c r="AE206" i="20"/>
  <c r="B206" i="20"/>
  <c r="A206" i="20"/>
  <c r="AF205" i="20"/>
  <c r="AE205" i="20"/>
  <c r="B205" i="20"/>
  <c r="A205" i="20"/>
  <c r="AF204" i="20"/>
  <c r="AE204" i="20"/>
  <c r="B204" i="20"/>
  <c r="A204" i="20"/>
  <c r="AF213" i="20"/>
  <c r="AE213" i="20"/>
  <c r="B213" i="20"/>
  <c r="A213" i="20"/>
  <c r="AF212" i="20"/>
  <c r="AE212" i="20"/>
  <c r="B212" i="20"/>
  <c r="A212" i="20"/>
  <c r="AF211" i="20"/>
  <c r="AE211" i="20"/>
  <c r="B211" i="20"/>
  <c r="A211" i="20"/>
  <c r="AF210" i="20"/>
  <c r="AE210" i="20"/>
  <c r="B210" i="20"/>
  <c r="A210" i="20"/>
  <c r="AF214" i="20"/>
  <c r="AE214" i="20"/>
  <c r="B214" i="20"/>
  <c r="A214" i="20"/>
  <c r="AF224" i="20"/>
  <c r="AE224" i="20"/>
  <c r="B224" i="20"/>
  <c r="A224" i="20"/>
  <c r="AF223" i="20"/>
  <c r="AE223" i="20"/>
  <c r="B223" i="20"/>
  <c r="A223" i="20"/>
  <c r="AF222" i="20"/>
  <c r="AE222" i="20"/>
  <c r="B222" i="20"/>
  <c r="A222" i="20"/>
  <c r="AF221" i="20"/>
  <c r="AE221" i="20"/>
  <c r="B221" i="20"/>
  <c r="A221" i="20"/>
  <c r="AF220" i="20"/>
  <c r="AE220" i="20"/>
  <c r="B220" i="20"/>
  <c r="A220" i="20"/>
  <c r="AF219" i="20"/>
  <c r="AE219" i="20"/>
  <c r="B219" i="20"/>
  <c r="A219" i="20"/>
  <c r="AF218" i="20"/>
  <c r="AE218" i="20"/>
  <c r="B218" i="20"/>
  <c r="A218" i="20"/>
  <c r="AF217" i="20"/>
  <c r="AE217" i="20"/>
  <c r="B217" i="20"/>
  <c r="A217" i="20"/>
  <c r="AF216" i="20"/>
  <c r="AE216" i="20"/>
  <c r="B216" i="20"/>
  <c r="A216" i="20"/>
  <c r="AF215" i="20"/>
  <c r="AE215" i="20"/>
  <c r="B215" i="20"/>
  <c r="A215" i="20"/>
  <c r="AF226" i="20"/>
  <c r="AE226" i="20"/>
  <c r="B226" i="20"/>
  <c r="A226" i="20"/>
  <c r="AF225" i="20"/>
  <c r="AE225" i="20"/>
  <c r="B225" i="20"/>
  <c r="A225" i="20"/>
  <c r="AF232" i="20"/>
  <c r="AE232" i="20"/>
  <c r="B232" i="20"/>
  <c r="A232" i="20"/>
  <c r="AF231" i="20"/>
  <c r="AE231" i="20"/>
  <c r="B231" i="20"/>
  <c r="A231" i="20"/>
  <c r="AF230" i="20"/>
  <c r="AE230" i="20"/>
  <c r="B230" i="20"/>
  <c r="A230" i="20"/>
  <c r="AF229" i="20"/>
  <c r="AE229" i="20"/>
  <c r="B229" i="20"/>
  <c r="A229" i="20"/>
  <c r="AF228" i="20"/>
  <c r="AE228" i="20"/>
  <c r="B228" i="20"/>
  <c r="A228" i="20"/>
  <c r="AF227" i="20"/>
  <c r="AE227" i="20"/>
  <c r="B227" i="20"/>
  <c r="A227" i="20"/>
  <c r="AF234" i="20"/>
  <c r="AE234" i="20"/>
  <c r="B234" i="20"/>
  <c r="A234" i="20"/>
  <c r="AF233" i="20"/>
  <c r="AE233" i="20"/>
  <c r="B233" i="20"/>
  <c r="A233" i="20"/>
  <c r="AF235" i="20"/>
  <c r="AE235" i="20"/>
  <c r="B235" i="20"/>
  <c r="A235" i="20"/>
  <c r="AF236" i="20"/>
  <c r="AE236" i="20"/>
  <c r="B236" i="20"/>
  <c r="A236" i="20"/>
  <c r="AF237" i="20"/>
  <c r="AE237" i="20"/>
  <c r="B237" i="20"/>
  <c r="A237" i="20"/>
  <c r="AF240" i="20"/>
  <c r="AE240" i="20"/>
  <c r="B240" i="20"/>
  <c r="A240" i="20"/>
  <c r="AF239" i="20"/>
  <c r="AE239" i="20"/>
  <c r="B239" i="20"/>
  <c r="A239" i="20"/>
  <c r="AF238" i="20"/>
  <c r="AE238" i="20"/>
  <c r="B238" i="20"/>
  <c r="A238" i="20"/>
  <c r="AF241" i="20"/>
  <c r="AE241" i="20"/>
  <c r="B241" i="20"/>
  <c r="A241" i="20"/>
  <c r="AF244" i="20"/>
  <c r="AE244" i="20"/>
  <c r="B244" i="20"/>
  <c r="A244" i="20"/>
  <c r="AF243" i="20"/>
  <c r="AE243" i="20"/>
  <c r="B243" i="20"/>
  <c r="A243" i="20"/>
  <c r="AF242" i="20"/>
  <c r="AE242" i="20"/>
  <c r="B242" i="20"/>
  <c r="A242" i="20"/>
  <c r="AF245" i="20"/>
  <c r="AE245" i="20"/>
  <c r="B245" i="20"/>
  <c r="A245" i="20"/>
  <c r="AF249" i="20"/>
  <c r="AE249" i="20"/>
  <c r="B249" i="20"/>
  <c r="A249" i="20"/>
  <c r="AF248" i="20"/>
  <c r="AE248" i="20"/>
  <c r="B248" i="20"/>
  <c r="A248" i="20"/>
  <c r="AF247" i="20"/>
  <c r="AE247" i="20"/>
  <c r="B247" i="20"/>
  <c r="A247" i="20"/>
  <c r="AF246" i="20"/>
  <c r="AE246" i="20"/>
  <c r="B246" i="20"/>
  <c r="A246" i="20"/>
  <c r="AF258" i="20"/>
  <c r="AE258" i="20"/>
  <c r="B258" i="20"/>
  <c r="A258" i="20"/>
  <c r="AF257" i="20"/>
  <c r="AE257" i="20"/>
  <c r="B257" i="20"/>
  <c r="A257" i="20"/>
  <c r="AF256" i="20"/>
  <c r="AE256" i="20"/>
  <c r="B256" i="20"/>
  <c r="A256" i="20"/>
  <c r="AF255" i="20"/>
  <c r="AE255" i="20"/>
  <c r="B255" i="20"/>
  <c r="A255" i="20"/>
  <c r="AF254" i="20"/>
  <c r="AE254" i="20"/>
  <c r="B254" i="20"/>
  <c r="A254" i="20"/>
  <c r="AF253" i="20"/>
  <c r="AE253" i="20"/>
  <c r="B253" i="20"/>
  <c r="A253" i="20"/>
  <c r="AF252" i="20"/>
  <c r="AE252" i="20"/>
  <c r="B252" i="20"/>
  <c r="A252" i="20"/>
  <c r="AF251" i="20"/>
  <c r="AE251" i="20"/>
  <c r="B251" i="20"/>
  <c r="A251" i="20"/>
  <c r="AF250" i="20"/>
  <c r="AE250" i="20"/>
  <c r="B250" i="20"/>
  <c r="A250" i="20"/>
  <c r="AF261" i="20"/>
  <c r="AE261" i="20"/>
  <c r="B261" i="20"/>
  <c r="A261" i="20"/>
  <c r="AF260" i="20"/>
  <c r="AE260" i="20"/>
  <c r="B260" i="20"/>
  <c r="A260" i="20"/>
  <c r="AF259" i="20"/>
  <c r="AE259" i="20"/>
  <c r="B259" i="20"/>
  <c r="A259" i="20"/>
  <c r="AF263" i="20"/>
  <c r="AE263" i="20"/>
  <c r="B263" i="20"/>
  <c r="A263" i="20"/>
  <c r="AF262" i="20"/>
  <c r="AE262" i="20"/>
  <c r="B262" i="20"/>
  <c r="A262" i="20"/>
  <c r="AF265" i="20"/>
  <c r="AE265" i="20"/>
  <c r="B265" i="20"/>
  <c r="A265" i="20"/>
  <c r="AF264" i="20"/>
  <c r="AE264" i="20"/>
  <c r="B264" i="20"/>
  <c r="A264" i="20"/>
  <c r="AF267" i="20"/>
  <c r="AE267" i="20"/>
  <c r="B267" i="20"/>
  <c r="A267" i="20"/>
  <c r="AF266" i="20"/>
  <c r="AE266" i="20"/>
  <c r="B266" i="20"/>
  <c r="A266" i="20"/>
  <c r="AF269" i="20"/>
  <c r="AE269" i="20"/>
  <c r="B269" i="20"/>
  <c r="A269" i="20"/>
  <c r="AF268" i="20"/>
  <c r="AE268" i="20"/>
  <c r="B268" i="20"/>
  <c r="A268" i="20"/>
  <c r="AF275" i="20"/>
  <c r="AE275" i="20"/>
  <c r="B275" i="20"/>
  <c r="A275" i="20"/>
  <c r="AF274" i="20"/>
  <c r="AE274" i="20"/>
  <c r="B274" i="20"/>
  <c r="A274" i="20"/>
  <c r="AF273" i="20"/>
  <c r="AE273" i="20"/>
  <c r="B273" i="20"/>
  <c r="A273" i="20"/>
  <c r="AF272" i="20"/>
  <c r="AE272" i="20"/>
  <c r="B272" i="20"/>
  <c r="A272" i="20"/>
  <c r="AF271" i="20"/>
  <c r="AE271" i="20"/>
  <c r="B271" i="20"/>
  <c r="A271" i="20"/>
  <c r="AF270" i="20"/>
  <c r="AE270" i="20"/>
  <c r="B270" i="20"/>
  <c r="A270" i="20"/>
  <c r="AF276" i="20"/>
  <c r="AE276" i="20"/>
  <c r="B276" i="20"/>
  <c r="A27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281" i="20"/>
  <c r="AE281" i="20"/>
  <c r="B281" i="20"/>
  <c r="A281" i="20"/>
  <c r="AF280" i="20"/>
  <c r="AE280" i="20"/>
  <c r="B280" i="20"/>
  <c r="A280" i="20"/>
  <c r="AF279" i="20"/>
  <c r="AE279" i="20"/>
  <c r="B279" i="20"/>
  <c r="A279" i="20"/>
  <c r="AF278" i="20"/>
  <c r="AE278" i="20"/>
  <c r="B278" i="20"/>
  <c r="A278" i="20"/>
  <c r="AF277" i="20"/>
  <c r="AE277" i="20"/>
  <c r="B277" i="20"/>
  <c r="A277" i="20"/>
  <c r="AF299" i="20"/>
  <c r="AE299" i="20"/>
  <c r="B299" i="20"/>
  <c r="A299" i="20"/>
  <c r="AF298" i="20"/>
  <c r="AE298" i="20"/>
  <c r="B298" i="20"/>
  <c r="A298" i="20"/>
  <c r="AF297" i="20"/>
  <c r="AE297" i="20"/>
  <c r="B297" i="20"/>
  <c r="A297" i="20"/>
  <c r="AF296" i="20"/>
  <c r="AE296" i="20"/>
  <c r="B296" i="20"/>
  <c r="A296" i="20"/>
  <c r="AF301" i="20"/>
  <c r="AE301" i="20"/>
  <c r="B301" i="20"/>
  <c r="A301" i="20"/>
  <c r="AF300" i="20"/>
  <c r="AE300" i="20"/>
  <c r="B300" i="20"/>
  <c r="A300" i="20"/>
  <c r="AF302" i="20"/>
  <c r="AE302" i="20"/>
  <c r="B302" i="20"/>
  <c r="A302" i="20"/>
  <c r="AF303" i="20"/>
  <c r="AE303" i="20"/>
  <c r="B303" i="20"/>
  <c r="A303" i="20"/>
  <c r="AF310" i="20"/>
  <c r="AE310" i="20"/>
  <c r="B310" i="20"/>
  <c r="A310" i="20"/>
  <c r="AF309" i="20"/>
  <c r="AE309" i="20"/>
  <c r="B309" i="20"/>
  <c r="A309" i="20"/>
  <c r="AF308" i="20"/>
  <c r="AE308" i="20"/>
  <c r="B308" i="20"/>
  <c r="A308" i="20"/>
  <c r="AF307" i="20"/>
  <c r="AE307" i="20"/>
  <c r="B307" i="20"/>
  <c r="A307" i="20"/>
  <c r="AF306" i="20"/>
  <c r="AE306" i="20"/>
  <c r="B306" i="20"/>
  <c r="A306" i="20"/>
  <c r="AF305" i="20"/>
  <c r="AE305" i="20"/>
  <c r="B305" i="20"/>
  <c r="A305" i="20"/>
  <c r="AF304" i="20"/>
  <c r="AE304" i="20"/>
  <c r="B304" i="20"/>
  <c r="A304" i="20"/>
  <c r="AF316" i="20"/>
  <c r="AE316" i="20"/>
  <c r="B316" i="20"/>
  <c r="A316" i="20"/>
  <c r="AF315" i="20"/>
  <c r="AE315" i="20"/>
  <c r="B315" i="20"/>
  <c r="A315" i="20"/>
  <c r="AF314" i="20"/>
  <c r="AE314" i="20"/>
  <c r="B314" i="20"/>
  <c r="A314" i="20"/>
  <c r="AF313" i="20"/>
  <c r="AE313" i="20"/>
  <c r="B313" i="20"/>
  <c r="A313" i="20"/>
  <c r="AF312" i="20"/>
  <c r="AE312" i="20"/>
  <c r="B312" i="20"/>
  <c r="A312" i="20"/>
  <c r="AF311" i="20"/>
  <c r="AE311" i="20"/>
  <c r="B311" i="20"/>
  <c r="A311" i="20"/>
  <c r="AF322" i="20"/>
  <c r="AE322" i="20"/>
  <c r="B322" i="20"/>
  <c r="A322" i="20"/>
  <c r="AF321" i="20"/>
  <c r="AE321" i="20"/>
  <c r="B321" i="20"/>
  <c r="A321" i="20"/>
  <c r="AF320" i="20"/>
  <c r="AE320" i="20"/>
  <c r="B320" i="20"/>
  <c r="A320" i="20"/>
  <c r="AF319" i="20"/>
  <c r="AE319" i="20"/>
  <c r="B319" i="20"/>
  <c r="A319" i="20"/>
  <c r="AF318" i="20"/>
  <c r="AE318" i="20"/>
  <c r="B318" i="20"/>
  <c r="A318" i="20"/>
  <c r="AF317" i="20"/>
  <c r="AE317" i="20"/>
  <c r="B317" i="20"/>
  <c r="A317" i="20"/>
  <c r="AF323" i="20"/>
  <c r="AE323" i="20"/>
  <c r="B323" i="20"/>
  <c r="A323" i="20"/>
  <c r="AF324" i="20"/>
  <c r="AE324" i="20"/>
  <c r="B324" i="20"/>
  <c r="A324" i="20"/>
  <c r="AF325" i="20"/>
  <c r="AE325" i="20"/>
  <c r="B325" i="20"/>
  <c r="A325" i="20"/>
  <c r="AF328" i="20"/>
  <c r="AE328" i="20"/>
  <c r="B328" i="20"/>
  <c r="A328" i="20"/>
  <c r="AF327" i="20"/>
  <c r="AE327" i="20"/>
  <c r="B327" i="20"/>
  <c r="A327" i="20"/>
  <c r="AF326" i="20"/>
  <c r="AE326" i="20"/>
  <c r="B326" i="20"/>
  <c r="A326" i="20"/>
  <c r="AF330" i="20"/>
  <c r="AE330" i="20"/>
  <c r="B330" i="20"/>
  <c r="A330" i="20"/>
  <c r="AF329" i="20"/>
  <c r="AE329" i="20"/>
  <c r="B329" i="20"/>
  <c r="A329" i="20"/>
  <c r="AF331" i="20"/>
  <c r="AE331" i="20"/>
  <c r="B331" i="20"/>
  <c r="A331" i="20"/>
  <c r="AF332" i="20"/>
  <c r="AE332" i="20"/>
  <c r="B332" i="20"/>
  <c r="A332" i="20"/>
  <c r="AF333" i="20"/>
  <c r="AE333" i="20"/>
  <c r="B333" i="20"/>
  <c r="A333" i="20"/>
  <c r="AF334" i="20"/>
  <c r="AE334" i="20"/>
  <c r="B334" i="20"/>
  <c r="A334" i="20"/>
  <c r="AF338" i="20"/>
  <c r="AE338" i="20"/>
  <c r="B338" i="20"/>
  <c r="A338" i="20"/>
  <c r="AF337" i="20"/>
  <c r="AE337" i="20"/>
  <c r="B337" i="20"/>
  <c r="A337" i="20"/>
  <c r="AF336" i="20"/>
  <c r="AE336" i="20"/>
  <c r="B336" i="20"/>
  <c r="A336" i="20"/>
  <c r="AF335" i="20"/>
  <c r="AE335" i="20"/>
  <c r="B335" i="20"/>
  <c r="A335" i="20"/>
  <c r="AF339" i="20"/>
  <c r="AE339" i="20"/>
  <c r="B339" i="20"/>
  <c r="A339" i="20"/>
  <c r="AF340" i="20"/>
  <c r="AE340" i="20"/>
  <c r="B340" i="20"/>
  <c r="A340" i="20"/>
  <c r="AF342" i="20"/>
  <c r="AE342" i="20"/>
  <c r="B342" i="20"/>
  <c r="A342" i="20"/>
  <c r="AF341" i="20"/>
  <c r="AE341" i="20"/>
  <c r="B341" i="20"/>
  <c r="A341" i="20"/>
  <c r="AF344" i="20"/>
  <c r="AE344" i="20"/>
  <c r="B344" i="20"/>
  <c r="A344" i="20"/>
  <c r="AF343" i="20"/>
  <c r="AE343" i="20"/>
  <c r="B343" i="20"/>
  <c r="A343" i="20"/>
  <c r="AF345" i="20"/>
  <c r="AE345" i="20"/>
  <c r="B345" i="20"/>
  <c r="A345" i="20"/>
  <c r="AF346" i="20"/>
  <c r="AE346" i="20"/>
  <c r="B346" i="20"/>
  <c r="A346" i="20"/>
  <c r="AF347" i="20"/>
  <c r="AE347" i="20"/>
  <c r="B347" i="20"/>
  <c r="A347" i="20"/>
  <c r="AF349" i="20"/>
  <c r="AE349" i="20"/>
  <c r="B349" i="20"/>
  <c r="A349" i="20"/>
  <c r="AF348" i="20"/>
  <c r="AE348" i="20"/>
  <c r="B348" i="20"/>
  <c r="A348" i="20"/>
  <c r="AF350" i="20"/>
  <c r="AE350" i="20"/>
  <c r="B350" i="20"/>
  <c r="A350" i="20"/>
  <c r="AF351" i="20"/>
  <c r="AE351" i="20"/>
  <c r="B351" i="20"/>
  <c r="A351" i="20"/>
  <c r="AF353" i="20"/>
  <c r="AE353" i="20"/>
  <c r="B353" i="20"/>
  <c r="A353" i="20"/>
  <c r="AF352" i="20"/>
  <c r="AE352" i="20"/>
  <c r="B352" i="20"/>
  <c r="A352" i="20"/>
  <c r="AF354" i="20"/>
  <c r="AE354" i="20"/>
  <c r="B354" i="20"/>
  <c r="A354" i="20"/>
  <c r="AF355" i="20"/>
  <c r="AE355" i="20"/>
  <c r="B355" i="20"/>
  <c r="A355" i="20"/>
  <c r="AF361" i="20"/>
  <c r="AE361" i="20"/>
  <c r="B361" i="20"/>
  <c r="A361" i="20"/>
  <c r="AF360" i="20"/>
  <c r="AE360" i="20"/>
  <c r="B360" i="20"/>
  <c r="A360" i="20"/>
  <c r="AF359" i="20"/>
  <c r="AE359" i="20"/>
  <c r="B359" i="20"/>
  <c r="A359" i="20"/>
  <c r="AF358" i="20"/>
  <c r="AE358" i="20"/>
  <c r="B358" i="20"/>
  <c r="A358" i="20"/>
  <c r="AF357" i="20"/>
  <c r="AE357" i="20"/>
  <c r="B357" i="20"/>
  <c r="A357" i="20"/>
  <c r="AF356" i="20"/>
  <c r="AE356" i="20"/>
  <c r="B356" i="20"/>
  <c r="A356" i="20"/>
  <c r="AF371" i="20"/>
  <c r="AE371" i="20"/>
  <c r="B371" i="20"/>
  <c r="A371" i="20"/>
  <c r="AF370" i="20"/>
  <c r="AE370" i="20"/>
  <c r="B370" i="20"/>
  <c r="A370" i="20"/>
  <c r="AF369" i="20"/>
  <c r="AE369" i="20"/>
  <c r="B369" i="20"/>
  <c r="A369" i="20"/>
  <c r="AF368" i="20"/>
  <c r="AE368" i="20"/>
  <c r="B368" i="20"/>
  <c r="A368" i="20"/>
  <c r="AF367" i="20"/>
  <c r="AE367" i="20"/>
  <c r="B367" i="20"/>
  <c r="A367" i="20"/>
  <c r="AF366" i="20"/>
  <c r="AE366" i="20"/>
  <c r="B366" i="20"/>
  <c r="A366" i="20"/>
  <c r="AF365" i="20"/>
  <c r="AE365" i="20"/>
  <c r="B365" i="20"/>
  <c r="A365" i="20"/>
  <c r="AF364" i="20"/>
  <c r="AE364" i="20"/>
  <c r="B364" i="20"/>
  <c r="A364" i="20"/>
  <c r="AF363" i="20"/>
  <c r="AE363" i="20"/>
  <c r="B363" i="20"/>
  <c r="A363" i="20"/>
  <c r="AF362" i="20"/>
  <c r="AE362" i="20"/>
  <c r="B362" i="20"/>
  <c r="A362" i="20"/>
  <c r="AF375" i="20"/>
  <c r="AE375" i="20"/>
  <c r="B375" i="20"/>
  <c r="A375" i="20"/>
  <c r="AF374" i="20"/>
  <c r="AE374" i="20"/>
  <c r="B374" i="20"/>
  <c r="A374" i="20"/>
  <c r="AF373" i="20"/>
  <c r="AE373" i="20"/>
  <c r="B373" i="20"/>
  <c r="A373" i="20"/>
  <c r="AF372" i="20"/>
  <c r="AE372" i="20"/>
  <c r="B372" i="20"/>
  <c r="A372" i="20"/>
  <c r="AF382" i="20"/>
  <c r="AE382" i="20"/>
  <c r="B382" i="20"/>
  <c r="A382" i="20"/>
  <c r="AF381" i="20"/>
  <c r="AE381" i="20"/>
  <c r="B381" i="20"/>
  <c r="A381" i="20"/>
  <c r="AF380" i="20"/>
  <c r="AE380" i="20"/>
  <c r="B380" i="20"/>
  <c r="A380" i="20"/>
  <c r="AF379" i="20"/>
  <c r="AE379" i="20"/>
  <c r="B379" i="20"/>
  <c r="A379" i="20"/>
  <c r="AF378" i="20"/>
  <c r="AE378" i="20"/>
  <c r="B378" i="20"/>
  <c r="A378" i="20"/>
  <c r="AF377" i="20"/>
  <c r="AE377" i="20"/>
  <c r="B377" i="20"/>
  <c r="A377" i="20"/>
  <c r="AF376" i="20"/>
  <c r="AE376" i="20"/>
  <c r="B376" i="20"/>
  <c r="A376" i="20"/>
  <c r="AF388" i="20"/>
  <c r="AE388" i="20"/>
  <c r="B388" i="20"/>
  <c r="A388" i="20"/>
  <c r="AF387" i="20"/>
  <c r="AE387" i="20"/>
  <c r="B387" i="20"/>
  <c r="A387" i="20"/>
  <c r="AF386" i="20"/>
  <c r="AE386" i="20"/>
  <c r="B386" i="20"/>
  <c r="A386" i="20"/>
  <c r="AF385" i="20"/>
  <c r="AE385" i="20"/>
  <c r="B385" i="20"/>
  <c r="A385" i="20"/>
  <c r="AF384" i="20"/>
  <c r="AE384" i="20"/>
  <c r="B384" i="20"/>
  <c r="A384" i="20"/>
  <c r="AF383" i="20"/>
  <c r="AE383" i="20"/>
  <c r="B383" i="20"/>
  <c r="A383" i="20"/>
  <c r="AF393" i="20"/>
  <c r="AE393" i="20"/>
  <c r="B393" i="20"/>
  <c r="A393" i="20"/>
  <c r="AF392" i="20"/>
  <c r="AE392" i="20"/>
  <c r="B392" i="20"/>
  <c r="A392" i="20"/>
  <c r="AF391" i="20"/>
  <c r="AE391" i="20"/>
  <c r="B391" i="20"/>
  <c r="A391" i="20"/>
  <c r="AF390" i="20"/>
  <c r="AE390" i="20"/>
  <c r="B390" i="20"/>
  <c r="A390" i="20"/>
  <c r="AF389" i="20"/>
  <c r="AE389" i="20"/>
  <c r="B389" i="20"/>
  <c r="A389" i="20"/>
  <c r="AF398" i="20"/>
  <c r="AE398" i="20"/>
  <c r="B398" i="20"/>
  <c r="A398" i="20"/>
  <c r="AF397" i="20"/>
  <c r="AE397" i="20"/>
  <c r="B397" i="20"/>
  <c r="A397" i="20"/>
  <c r="AF396" i="20"/>
  <c r="AE396" i="20"/>
  <c r="B396" i="20"/>
  <c r="A396" i="20"/>
  <c r="AF395" i="20"/>
  <c r="AE395" i="20"/>
  <c r="B395" i="20"/>
  <c r="A395" i="20"/>
  <c r="AF394" i="20"/>
  <c r="AE394" i="20"/>
  <c r="B394" i="20"/>
  <c r="A394" i="20"/>
  <c r="AF401" i="20"/>
  <c r="AE401" i="20"/>
  <c r="B401" i="20"/>
  <c r="A401" i="20"/>
  <c r="AF400" i="20"/>
  <c r="AE400" i="20"/>
  <c r="B400" i="20"/>
  <c r="A400" i="20"/>
  <c r="AF399" i="20"/>
  <c r="AE399" i="20"/>
  <c r="B399" i="20"/>
  <c r="A399"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49" i="19"/>
  <c r="X49" i="19"/>
  <c r="V49" i="19"/>
  <c r="T49" i="19" s="1"/>
  <c r="Y48" i="19"/>
  <c r="X48" i="19"/>
  <c r="V48" i="19"/>
  <c r="T48" i="19" s="1"/>
  <c r="Y47" i="19"/>
  <c r="X47" i="19"/>
  <c r="V47" i="19"/>
  <c r="T47" i="19" s="1"/>
  <c r="Y46" i="19"/>
  <c r="X46" i="19"/>
  <c r="V46" i="19"/>
  <c r="T46" i="19" s="1"/>
  <c r="Y45" i="19"/>
  <c r="X45" i="19"/>
  <c r="V45" i="19"/>
  <c r="T45" i="19" s="1"/>
  <c r="Y44" i="19"/>
  <c r="X44" i="19"/>
  <c r="V44" i="19"/>
  <c r="T44" i="19" s="1"/>
  <c r="Y43" i="19"/>
  <c r="X43" i="19"/>
  <c r="V43" i="19"/>
  <c r="T43" i="19" s="1"/>
  <c r="Y42" i="19"/>
  <c r="X42" i="19"/>
  <c r="V42" i="19"/>
  <c r="T42" i="19" s="1"/>
  <c r="Y41" i="19"/>
  <c r="X41" i="19"/>
  <c r="V41" i="19"/>
  <c r="T41" i="19" s="1"/>
  <c r="Y40" i="19"/>
  <c r="X40" i="19"/>
  <c r="V40" i="19"/>
  <c r="T40" i="19" s="1"/>
  <c r="Y39" i="19"/>
  <c r="X39" i="19"/>
  <c r="V39" i="19"/>
  <c r="T39" i="19" s="1"/>
  <c r="Y38" i="19"/>
  <c r="X38" i="19"/>
  <c r="V38" i="19"/>
  <c r="T38" i="19" s="1"/>
  <c r="Y37" i="19"/>
  <c r="X37" i="19"/>
  <c r="V37" i="19"/>
  <c r="T37" i="19" s="1"/>
  <c r="Y36" i="19"/>
  <c r="X36" i="19"/>
  <c r="V36" i="19"/>
  <c r="T36" i="19" s="1"/>
  <c r="Y35" i="19"/>
  <c r="X35" i="19"/>
  <c r="V35" i="19"/>
  <c r="T35" i="19" s="1"/>
  <c r="Y34" i="19"/>
  <c r="X34" i="19"/>
  <c r="V34" i="19"/>
  <c r="T34"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24" i="19"/>
  <c r="X24" i="19"/>
  <c r="V24" i="19"/>
  <c r="T24" i="19" s="1"/>
  <c r="Y23" i="19"/>
  <c r="X23" i="19"/>
  <c r="V23" i="19"/>
  <c r="T23" i="19" s="1"/>
  <c r="Y22" i="19"/>
  <c r="X22" i="19"/>
  <c r="V22" i="19"/>
  <c r="T22" i="19" s="1"/>
  <c r="Y21" i="19"/>
  <c r="X21" i="19"/>
  <c r="V21" i="19"/>
  <c r="T21" i="19" s="1"/>
  <c r="Y20" i="19"/>
  <c r="X20" i="19"/>
  <c r="V20" i="19"/>
  <c r="T20" i="19" s="1"/>
  <c r="Y19" i="19"/>
  <c r="X19" i="19"/>
  <c r="V19" i="19"/>
  <c r="T19" i="19" s="1"/>
  <c r="Y18" i="19"/>
  <c r="X18" i="19"/>
  <c r="V18" i="19"/>
  <c r="T18" i="19" s="1"/>
  <c r="Y17" i="19"/>
  <c r="X17" i="19"/>
  <c r="V17" i="19"/>
  <c r="T17" i="19" s="1"/>
  <c r="Y16" i="19"/>
  <c r="X16" i="19"/>
  <c r="V16" i="19"/>
  <c r="T16" i="19" s="1"/>
  <c r="Y15" i="19"/>
  <c r="X15" i="19"/>
  <c r="V15" i="19"/>
  <c r="T15" i="19" s="1"/>
  <c r="Y14" i="19"/>
  <c r="X14" i="19"/>
  <c r="V14" i="19"/>
  <c r="T14" i="19" s="1"/>
  <c r="Y13" i="19"/>
  <c r="X13" i="19"/>
  <c r="V13" i="19"/>
  <c r="T13" i="19" s="1"/>
  <c r="Y12" i="19"/>
  <c r="X12" i="19"/>
  <c r="V12" i="19"/>
  <c r="T12" i="19" s="1"/>
  <c r="Y11" i="19"/>
  <c r="X11" i="19"/>
  <c r="V11" i="19"/>
  <c r="T11" i="19" s="1"/>
  <c r="Y10" i="19"/>
  <c r="X10" i="19"/>
  <c r="V10" i="19"/>
  <c r="T10" i="19" s="1"/>
  <c r="Y9" i="19"/>
  <c r="X9" i="19"/>
  <c r="V9" i="19"/>
  <c r="T9" i="19" s="1"/>
  <c r="Y8" i="19"/>
  <c r="X8" i="19"/>
  <c r="V8" i="19"/>
  <c r="T8" i="19" s="1"/>
  <c r="Y7" i="19"/>
  <c r="X7" i="19"/>
  <c r="V7" i="19"/>
  <c r="T7" i="19" s="1"/>
  <c r="Y6" i="19"/>
  <c r="X6" i="19"/>
  <c r="V6" i="19"/>
  <c r="T6" i="19" s="1"/>
  <c r="Y137" i="19"/>
  <c r="X137" i="19"/>
  <c r="V137" i="19"/>
  <c r="T137" i="19" s="1"/>
  <c r="Y136" i="19"/>
  <c r="X136" i="19"/>
  <c r="V136" i="19"/>
  <c r="T136" i="19" s="1"/>
  <c r="Y135" i="19"/>
  <c r="X135" i="19"/>
  <c r="V135" i="19"/>
  <c r="T135" i="19" s="1"/>
  <c r="Y134" i="19"/>
  <c r="X134" i="19"/>
  <c r="V134" i="19"/>
  <c r="T134" i="19" s="1"/>
  <c r="Y133" i="19"/>
  <c r="X133" i="19"/>
  <c r="V133" i="19"/>
  <c r="T133" i="19" s="1"/>
  <c r="Y132" i="19"/>
  <c r="X132" i="19"/>
  <c r="V132" i="19"/>
  <c r="T132" i="19" s="1"/>
  <c r="Y131" i="19"/>
  <c r="X131" i="19"/>
  <c r="V131" i="19"/>
  <c r="T131" i="19" s="1"/>
  <c r="Y130" i="19"/>
  <c r="X130" i="19"/>
  <c r="V130" i="19"/>
  <c r="T130" i="19" s="1"/>
  <c r="Y129" i="19"/>
  <c r="X129" i="19"/>
  <c r="V129" i="19"/>
  <c r="T129" i="19" s="1"/>
  <c r="Y128" i="19"/>
  <c r="X128" i="19"/>
  <c r="V128" i="19"/>
  <c r="T128" i="19" s="1"/>
  <c r="Y127" i="19"/>
  <c r="X127" i="19"/>
  <c r="V127" i="19"/>
  <c r="T127" i="19" s="1"/>
  <c r="Y126" i="19"/>
  <c r="X126" i="19"/>
  <c r="V126" i="19"/>
  <c r="T126" i="19" s="1"/>
  <c r="Y125" i="19"/>
  <c r="X125" i="19"/>
  <c r="V125" i="19"/>
  <c r="T125" i="19" s="1"/>
  <c r="Y124" i="19"/>
  <c r="X124" i="19"/>
  <c r="V124" i="19"/>
  <c r="T124" i="19" s="1"/>
  <c r="Y123" i="19"/>
  <c r="X123" i="19"/>
  <c r="V123" i="19"/>
  <c r="T123" i="19" s="1"/>
  <c r="Y122" i="19"/>
  <c r="X122" i="19"/>
  <c r="V122" i="19"/>
  <c r="T122" i="19" s="1"/>
  <c r="Y121" i="19"/>
  <c r="X121" i="19"/>
  <c r="V121" i="19"/>
  <c r="T121" i="19" s="1"/>
  <c r="Y120" i="19"/>
  <c r="X120" i="19"/>
  <c r="V120" i="19"/>
  <c r="T120" i="19" s="1"/>
  <c r="Y119" i="19"/>
  <c r="X119" i="19"/>
  <c r="V119" i="19"/>
  <c r="T119" i="19" s="1"/>
  <c r="Y118" i="19"/>
  <c r="X118" i="19"/>
  <c r="V118" i="19"/>
  <c r="T118" i="19" s="1"/>
  <c r="Y117" i="19"/>
  <c r="X117" i="19"/>
  <c r="V117" i="19"/>
  <c r="T117" i="19" s="1"/>
  <c r="Y116" i="19"/>
  <c r="X116" i="19"/>
  <c r="V116" i="19"/>
  <c r="T116" i="19" s="1"/>
  <c r="Y115" i="19"/>
  <c r="X115" i="19"/>
  <c r="V115" i="19"/>
  <c r="T115" i="19" s="1"/>
  <c r="Y114" i="19"/>
  <c r="X114" i="19"/>
  <c r="V114" i="19"/>
  <c r="T114" i="19" s="1"/>
  <c r="Y113" i="19"/>
  <c r="X113" i="19"/>
  <c r="V113" i="19"/>
  <c r="T113" i="19" s="1"/>
  <c r="Y112" i="19"/>
  <c r="X112" i="19"/>
  <c r="V112" i="19"/>
  <c r="T112" i="19" s="1"/>
  <c r="Y111" i="19"/>
  <c r="X111" i="19"/>
  <c r="V111" i="19"/>
  <c r="T111" i="19" s="1"/>
  <c r="Y110" i="19"/>
  <c r="X110" i="19"/>
  <c r="V110" i="19"/>
  <c r="T110" i="19" s="1"/>
  <c r="Y109" i="19"/>
  <c r="X109" i="19"/>
  <c r="V109" i="19"/>
  <c r="T109"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102" i="19"/>
  <c r="X102" i="19"/>
  <c r="V102" i="19"/>
  <c r="T102" i="19" s="1"/>
  <c r="Y101" i="19"/>
  <c r="X101" i="19"/>
  <c r="V101" i="19"/>
  <c r="T10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92" i="19"/>
  <c r="X92" i="19"/>
  <c r="V92" i="19"/>
  <c r="T92" i="19" s="1"/>
  <c r="Y91" i="19"/>
  <c r="X91" i="19"/>
  <c r="V91" i="19"/>
  <c r="T91" i="19" s="1"/>
  <c r="Y90" i="19"/>
  <c r="X90" i="19"/>
  <c r="V90" i="19"/>
  <c r="T90" i="19" s="1"/>
  <c r="Y89" i="19"/>
  <c r="X89" i="19"/>
  <c r="V89" i="19"/>
  <c r="T89" i="19" s="1"/>
  <c r="Y88" i="19"/>
  <c r="X88" i="19"/>
  <c r="V88" i="19"/>
  <c r="T88" i="19" s="1"/>
  <c r="Y87" i="19"/>
  <c r="X87" i="19"/>
  <c r="V87" i="19"/>
  <c r="T87" i="19" s="1"/>
  <c r="Y86" i="19"/>
  <c r="X86" i="19"/>
  <c r="V86" i="19"/>
  <c r="T86" i="19" s="1"/>
  <c r="Y85" i="19"/>
  <c r="X85" i="19"/>
  <c r="V85" i="19"/>
  <c r="T85" i="19" s="1"/>
  <c r="Y84" i="19"/>
  <c r="X84" i="19"/>
  <c r="V84" i="19"/>
  <c r="T84"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72" i="19"/>
  <c r="X72" i="19"/>
  <c r="V72" i="19"/>
  <c r="T72" i="19" s="1"/>
  <c r="Y71" i="19"/>
  <c r="X71" i="19"/>
  <c r="V71" i="19"/>
  <c r="T71" i="19" s="1"/>
  <c r="L9" i="36"/>
  <c r="Y70" i="19"/>
  <c r="X70" i="19"/>
  <c r="V70" i="19"/>
  <c r="T70" i="19" s="1"/>
  <c r="Y69" i="19"/>
  <c r="X69" i="19"/>
  <c r="V69" i="19"/>
  <c r="T69" i="19" s="1"/>
  <c r="Y68" i="19"/>
  <c r="X68" i="19"/>
  <c r="V68" i="19"/>
  <c r="T68" i="19" s="1"/>
  <c r="Y67" i="19"/>
  <c r="X67" i="19"/>
  <c r="V67" i="19"/>
  <c r="T67" i="19" s="1"/>
  <c r="Y66" i="19"/>
  <c r="X66" i="19"/>
  <c r="V66" i="19"/>
  <c r="T66" i="19" s="1"/>
  <c r="Y65" i="19"/>
  <c r="X65" i="19"/>
  <c r="V65" i="19"/>
  <c r="T65" i="19" s="1"/>
  <c r="Y64" i="19"/>
  <c r="X64" i="19"/>
  <c r="V64" i="19"/>
  <c r="T64" i="19" s="1"/>
  <c r="Y63" i="19"/>
  <c r="X63" i="19"/>
  <c r="V63" i="19"/>
  <c r="T63" i="19" s="1"/>
  <c r="Y62" i="19"/>
  <c r="X62" i="19"/>
  <c r="V62" i="19"/>
  <c r="T62" i="19" s="1"/>
  <c r="Y61" i="19"/>
  <c r="X61" i="19"/>
  <c r="V61" i="19"/>
  <c r="T61" i="19" s="1"/>
  <c r="Y60" i="19"/>
  <c r="X60" i="19"/>
  <c r="V60" i="19"/>
  <c r="T60" i="19" s="1"/>
  <c r="Y59" i="19"/>
  <c r="X59" i="19"/>
  <c r="V59" i="19"/>
  <c r="T59" i="19" s="1"/>
  <c r="Y58" i="19"/>
  <c r="X58" i="19"/>
  <c r="V58" i="19"/>
  <c r="T58" i="19" s="1"/>
  <c r="Y57" i="19"/>
  <c r="X57" i="19"/>
  <c r="V57" i="19"/>
  <c r="T57" i="19" s="1"/>
  <c r="Y56" i="19"/>
  <c r="X56" i="19"/>
  <c r="V56" i="19"/>
  <c r="T56" i="19" s="1"/>
  <c r="L10" i="36"/>
  <c r="Y55" i="19"/>
  <c r="X55" i="19"/>
  <c r="V55" i="19"/>
  <c r="T55" i="19" s="1"/>
  <c r="Y54" i="19"/>
  <c r="X54" i="19"/>
  <c r="V54" i="19"/>
  <c r="T54" i="19" s="1"/>
  <c r="Y53" i="19"/>
  <c r="X53" i="19"/>
  <c r="V53" i="19"/>
  <c r="T53" i="19" s="1"/>
  <c r="Y52" i="19"/>
  <c r="X52" i="19"/>
  <c r="V52" i="19"/>
  <c r="T52" i="19" s="1"/>
  <c r="Y51" i="19"/>
  <c r="X51" i="19"/>
  <c r="V51" i="19"/>
  <c r="T51" i="19" s="1"/>
  <c r="Y138" i="19"/>
  <c r="X138" i="19"/>
  <c r="V138" i="19"/>
  <c r="T138"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40" i="74"/>
  <c r="D40" i="74"/>
  <c r="H39" i="74"/>
  <c r="D39" i="74"/>
  <c r="H38" i="74"/>
  <c r="D38" i="74"/>
  <c r="H13" i="74"/>
  <c r="D13" i="74"/>
  <c r="H12" i="74"/>
  <c r="D12" i="74"/>
  <c r="H11" i="74"/>
  <c r="D11" i="74"/>
  <c r="H10" i="74"/>
  <c r="D10" i="74"/>
  <c r="H9" i="74"/>
  <c r="D9" i="74"/>
  <c r="H8" i="74"/>
  <c r="D8" i="74"/>
  <c r="H7" i="74"/>
  <c r="D7" i="74"/>
  <c r="H6" i="74"/>
  <c r="D6" i="74"/>
  <c r="H5" i="74"/>
  <c r="D5" i="74"/>
  <c r="H4" i="74"/>
  <c r="D4" i="74"/>
  <c r="H3" i="74"/>
  <c r="D3" i="74"/>
  <c r="H2" i="74"/>
  <c r="D2" i="74"/>
  <c r="H25" i="74"/>
  <c r="D25" i="74"/>
  <c r="H24" i="74"/>
  <c r="D24" i="74"/>
  <c r="H23" i="74"/>
  <c r="D23" i="74"/>
  <c r="H22" i="74"/>
  <c r="D22" i="74"/>
  <c r="H21" i="74"/>
  <c r="D21" i="74"/>
  <c r="H20" i="74"/>
  <c r="D20" i="74"/>
  <c r="H19" i="74"/>
  <c r="D19" i="74"/>
  <c r="H18" i="74"/>
  <c r="D18" i="74"/>
  <c r="H17" i="74"/>
  <c r="D17" i="74"/>
  <c r="H16" i="74"/>
  <c r="D16" i="74"/>
  <c r="H15" i="74"/>
  <c r="D15" i="74"/>
  <c r="H14" i="74"/>
  <c r="D14" i="74"/>
  <c r="H37" i="74"/>
  <c r="D37" i="74"/>
  <c r="H36" i="74"/>
  <c r="D36" i="74"/>
  <c r="H35" i="74"/>
  <c r="D35" i="74"/>
  <c r="H34" i="74"/>
  <c r="D34" i="74"/>
  <c r="H33" i="74"/>
  <c r="D33" i="74"/>
  <c r="H32" i="74"/>
  <c r="D32" i="74"/>
  <c r="H31" i="74"/>
  <c r="D31" i="74"/>
  <c r="H30" i="74"/>
  <c r="D30" i="74"/>
  <c r="H29" i="74"/>
  <c r="D29" i="74"/>
  <c r="H28" i="74"/>
  <c r="D28" i="74"/>
  <c r="H27" i="74"/>
  <c r="D27" i="74"/>
  <c r="H26" i="74"/>
  <c r="D26" i="74"/>
  <c r="H73" i="74"/>
  <c r="D73" i="74"/>
  <c r="H72" i="74"/>
  <c r="D72" i="74"/>
  <c r="H71" i="74"/>
  <c r="D71" i="74"/>
  <c r="H70" i="74"/>
  <c r="D70" i="74"/>
  <c r="H69" i="74"/>
  <c r="D69" i="74"/>
  <c r="H68" i="74"/>
  <c r="D68" i="74"/>
  <c r="H67" i="74"/>
  <c r="D67" i="74"/>
  <c r="H66" i="74"/>
  <c r="D66" i="74"/>
  <c r="H65" i="74"/>
  <c r="D65" i="74"/>
  <c r="H64" i="74"/>
  <c r="D64" i="74"/>
  <c r="H63" i="74"/>
  <c r="D63" i="74"/>
  <c r="H62" i="74"/>
  <c r="D62" i="74"/>
  <c r="H85" i="74"/>
  <c r="D85" i="74"/>
  <c r="H84" i="74"/>
  <c r="D84" i="74"/>
  <c r="H83" i="74"/>
  <c r="D83" i="74"/>
  <c r="H82" i="74"/>
  <c r="D82" i="74"/>
  <c r="H81" i="74"/>
  <c r="D81" i="74"/>
  <c r="H80" i="74"/>
  <c r="D80" i="74"/>
  <c r="H79" i="74"/>
  <c r="D79" i="74"/>
  <c r="H78" i="74"/>
  <c r="D78" i="74"/>
  <c r="H77" i="74"/>
  <c r="D77" i="74"/>
  <c r="H76" i="74"/>
  <c r="D76" i="74"/>
  <c r="H75" i="74"/>
  <c r="D75" i="74"/>
  <c r="H74" i="74"/>
  <c r="D74" i="74"/>
  <c r="H97" i="74"/>
  <c r="D97" i="74"/>
  <c r="H96" i="74"/>
  <c r="D96" i="74"/>
  <c r="H95" i="74"/>
  <c r="D95" i="74"/>
  <c r="H94" i="74"/>
  <c r="D94" i="74"/>
  <c r="H93" i="74"/>
  <c r="D93" i="74"/>
  <c r="H92" i="74"/>
  <c r="D92" i="74"/>
  <c r="H91" i="74"/>
  <c r="D91" i="74"/>
  <c r="H90" i="74"/>
  <c r="D90" i="74"/>
  <c r="H89" i="74"/>
  <c r="D89" i="74"/>
  <c r="H88" i="74"/>
  <c r="D88" i="74"/>
  <c r="H87" i="74"/>
  <c r="D87" i="74"/>
  <c r="H86" i="74"/>
  <c r="D86" i="74"/>
  <c r="H109" i="74"/>
  <c r="D109" i="74"/>
  <c r="H108" i="74"/>
  <c r="D108" i="74"/>
  <c r="H107" i="74"/>
  <c r="D107" i="74"/>
  <c r="H106" i="74"/>
  <c r="D106" i="74"/>
  <c r="H105" i="74"/>
  <c r="D105" i="74"/>
  <c r="H104" i="74"/>
  <c r="D104" i="74"/>
  <c r="H103" i="74"/>
  <c r="D103" i="74"/>
  <c r="H102" i="74"/>
  <c r="D102" i="74"/>
  <c r="H101" i="74"/>
  <c r="D101" i="74"/>
  <c r="H100" i="74"/>
  <c r="D100" i="74"/>
  <c r="H99" i="74"/>
  <c r="D99" i="74"/>
  <c r="H98" i="74"/>
  <c r="D98" i="74"/>
  <c r="H121" i="74"/>
  <c r="D121" i="74"/>
  <c r="H120" i="74"/>
  <c r="D120" i="74"/>
  <c r="H119" i="74"/>
  <c r="D119" i="74"/>
  <c r="H118" i="74"/>
  <c r="D118" i="74"/>
  <c r="H117" i="74"/>
  <c r="D117" i="74"/>
  <c r="H116" i="74"/>
  <c r="D116" i="74"/>
  <c r="H115" i="74"/>
  <c r="D115" i="74"/>
  <c r="H114" i="74"/>
  <c r="D114" i="74"/>
  <c r="H113" i="74"/>
  <c r="D113" i="74"/>
  <c r="H112" i="74"/>
  <c r="D112" i="74"/>
  <c r="H111" i="74"/>
  <c r="D111" i="74"/>
  <c r="H110" i="74"/>
  <c r="D110" i="74"/>
  <c r="H133" i="74"/>
  <c r="D133" i="74"/>
  <c r="H132" i="74"/>
  <c r="D132" i="74"/>
  <c r="H131" i="74"/>
  <c r="D131" i="74"/>
  <c r="H130" i="74"/>
  <c r="D130" i="74"/>
  <c r="H129" i="74"/>
  <c r="D129" i="74"/>
  <c r="H128" i="74"/>
  <c r="D128" i="74"/>
  <c r="H127" i="74"/>
  <c r="D127" i="74"/>
  <c r="H126" i="74"/>
  <c r="D126" i="74"/>
  <c r="H125" i="74"/>
  <c r="D125" i="74"/>
  <c r="H124" i="74"/>
  <c r="D124" i="74"/>
  <c r="H123" i="74"/>
  <c r="D123" i="74"/>
  <c r="H122" i="74"/>
  <c r="D122" i="74"/>
  <c r="H145" i="74"/>
  <c r="D145" i="74"/>
  <c r="H144" i="74"/>
  <c r="D144" i="74"/>
  <c r="H143" i="74"/>
  <c r="D143" i="74"/>
  <c r="H142" i="74"/>
  <c r="D142" i="74"/>
  <c r="H141" i="74"/>
  <c r="D141" i="74"/>
  <c r="H140" i="74"/>
  <c r="D140" i="74"/>
  <c r="H139" i="74"/>
  <c r="D139" i="74"/>
  <c r="H138" i="74"/>
  <c r="D138" i="74"/>
  <c r="H137" i="74"/>
  <c r="D137" i="74"/>
  <c r="H136" i="74"/>
  <c r="D136" i="74"/>
  <c r="H135" i="74"/>
  <c r="D135" i="74"/>
  <c r="H134" i="74"/>
  <c r="D134" i="74"/>
  <c r="H157" i="74"/>
  <c r="D157" i="74"/>
  <c r="H156" i="74"/>
  <c r="D156" i="74"/>
  <c r="H155" i="74"/>
  <c r="D155" i="74"/>
  <c r="H154" i="74"/>
  <c r="D154" i="74"/>
  <c r="H153" i="74"/>
  <c r="D153" i="74"/>
  <c r="H152" i="74"/>
  <c r="D152" i="74"/>
  <c r="H151" i="74"/>
  <c r="D151" i="74"/>
  <c r="H150" i="74"/>
  <c r="D150" i="74"/>
  <c r="H149" i="74"/>
  <c r="D149" i="74"/>
  <c r="H148" i="74"/>
  <c r="D148" i="74"/>
  <c r="H147" i="74"/>
  <c r="D147" i="74"/>
  <c r="H146" i="74"/>
  <c r="D146" i="74"/>
  <c r="H169" i="74"/>
  <c r="D169" i="74"/>
  <c r="H168" i="74"/>
  <c r="D168" i="74"/>
  <c r="H167" i="74"/>
  <c r="D167" i="74"/>
  <c r="H166" i="74"/>
  <c r="D166" i="74"/>
  <c r="H165" i="74"/>
  <c r="D165" i="74"/>
  <c r="H164" i="74"/>
  <c r="D164" i="74"/>
  <c r="H163" i="74"/>
  <c r="D163" i="74"/>
  <c r="H162" i="74"/>
  <c r="D162" i="74"/>
  <c r="H161" i="74"/>
  <c r="D161" i="74"/>
  <c r="H160" i="74"/>
  <c r="D160" i="74"/>
  <c r="H159" i="74"/>
  <c r="D159" i="74"/>
  <c r="H158" i="74"/>
  <c r="D158" i="74"/>
  <c r="H181" i="74"/>
  <c r="D181" i="74"/>
  <c r="H180" i="74"/>
  <c r="D180" i="74"/>
  <c r="H179" i="74"/>
  <c r="D179" i="74"/>
  <c r="H178" i="74"/>
  <c r="D178" i="74"/>
  <c r="H177" i="74"/>
  <c r="D177" i="74"/>
  <c r="H176" i="74"/>
  <c r="D176" i="74"/>
  <c r="H175" i="74"/>
  <c r="D175" i="74"/>
  <c r="H174" i="74"/>
  <c r="D174" i="74"/>
  <c r="H173" i="74"/>
  <c r="D173" i="74"/>
  <c r="H172" i="74"/>
  <c r="D172" i="74"/>
  <c r="H171" i="74"/>
  <c r="D171" i="74"/>
  <c r="H170" i="74"/>
  <c r="D170" i="74"/>
  <c r="H193" i="74"/>
  <c r="D193" i="74"/>
  <c r="H192" i="74"/>
  <c r="D192" i="74"/>
  <c r="H191" i="74"/>
  <c r="D191" i="74"/>
  <c r="H190" i="74"/>
  <c r="D190" i="74"/>
  <c r="H189" i="74"/>
  <c r="D189" i="74"/>
  <c r="H188" i="74"/>
  <c r="D188" i="74"/>
  <c r="H187" i="74"/>
  <c r="D187" i="74"/>
  <c r="H186" i="74"/>
  <c r="D186" i="74"/>
  <c r="H185" i="74"/>
  <c r="D185" i="74"/>
  <c r="H184" i="74"/>
  <c r="D184" i="74"/>
  <c r="H183" i="74"/>
  <c r="D183" i="74"/>
  <c r="H182" i="74"/>
  <c r="D182" i="74"/>
  <c r="H205" i="74"/>
  <c r="D205" i="74"/>
  <c r="H204" i="74"/>
  <c r="D204" i="74"/>
  <c r="H203" i="74"/>
  <c r="D203" i="74"/>
  <c r="H202" i="74"/>
  <c r="D202" i="74"/>
  <c r="H201" i="74"/>
  <c r="D201" i="74"/>
  <c r="H200" i="74"/>
  <c r="D200" i="74"/>
  <c r="H199" i="74"/>
  <c r="D199" i="74"/>
  <c r="H198" i="74"/>
  <c r="D198" i="74"/>
  <c r="H197" i="74"/>
  <c r="D197" i="74"/>
  <c r="H196" i="74"/>
  <c r="D196" i="74"/>
  <c r="H195" i="74"/>
  <c r="D195" i="74"/>
  <c r="H194" i="74"/>
  <c r="D194" i="74"/>
  <c r="H217" i="74"/>
  <c r="D217" i="74"/>
  <c r="H216" i="74"/>
  <c r="D216" i="74"/>
  <c r="H215" i="74"/>
  <c r="D215" i="74"/>
  <c r="H214" i="74"/>
  <c r="D214" i="74"/>
  <c r="H213" i="74"/>
  <c r="D213" i="74"/>
  <c r="H212" i="74"/>
  <c r="D212" i="74"/>
  <c r="H211" i="74"/>
  <c r="D211" i="74"/>
  <c r="H210" i="74"/>
  <c r="D210" i="74"/>
  <c r="H209" i="74"/>
  <c r="D209" i="74"/>
  <c r="H208" i="74"/>
  <c r="D208" i="74"/>
  <c r="H207" i="74"/>
  <c r="D207" i="74"/>
  <c r="H206" i="74"/>
  <c r="D206" i="74"/>
  <c r="H229" i="74"/>
  <c r="D229" i="74"/>
  <c r="H228" i="74"/>
  <c r="D228" i="74"/>
  <c r="H227" i="74"/>
  <c r="D227" i="74"/>
  <c r="H226" i="74"/>
  <c r="D226" i="74"/>
  <c r="H225" i="74"/>
  <c r="D225" i="74"/>
  <c r="H224" i="74"/>
  <c r="D224" i="74"/>
  <c r="H223" i="74"/>
  <c r="D223" i="74"/>
  <c r="H222" i="74"/>
  <c r="D222" i="74"/>
  <c r="H221" i="74"/>
  <c r="D221" i="74"/>
  <c r="H220" i="74"/>
  <c r="D220" i="74"/>
  <c r="H219" i="74"/>
  <c r="D219" i="74"/>
  <c r="H218" i="74"/>
  <c r="D218" i="74"/>
  <c r="H241" i="74"/>
  <c r="D241" i="74"/>
  <c r="H240" i="74"/>
  <c r="D240" i="74"/>
  <c r="H239" i="74"/>
  <c r="D239" i="74"/>
  <c r="H238" i="74"/>
  <c r="D238" i="74"/>
  <c r="H237" i="74"/>
  <c r="D237" i="74"/>
  <c r="H236" i="74"/>
  <c r="D236" i="74"/>
  <c r="H235" i="74"/>
  <c r="D235" i="74"/>
  <c r="H234" i="74"/>
  <c r="D234" i="74"/>
  <c r="H233" i="74"/>
  <c r="D233" i="74"/>
  <c r="H232" i="74"/>
  <c r="D232" i="74"/>
  <c r="H253" i="74"/>
  <c r="D253" i="74"/>
  <c r="H252" i="74"/>
  <c r="D252" i="74"/>
  <c r="H251" i="74"/>
  <c r="D251" i="74"/>
  <c r="H250" i="74"/>
  <c r="D250" i="74"/>
  <c r="H249" i="74"/>
  <c r="D249" i="74"/>
  <c r="H248" i="74"/>
  <c r="D248" i="74"/>
  <c r="H247" i="74"/>
  <c r="D247" i="74"/>
  <c r="H246" i="74"/>
  <c r="D246" i="74"/>
  <c r="H245" i="74"/>
  <c r="D245" i="74"/>
  <c r="H244" i="74"/>
  <c r="D244" i="74"/>
  <c r="H243" i="74"/>
  <c r="D243" i="74"/>
  <c r="H242" i="74"/>
  <c r="D242" i="74"/>
  <c r="H265" i="74"/>
  <c r="D265" i="74"/>
  <c r="H264" i="74"/>
  <c r="D264" i="74"/>
  <c r="H263" i="74"/>
  <c r="D263" i="74"/>
  <c r="H262" i="74"/>
  <c r="D262" i="74"/>
  <c r="H261" i="74"/>
  <c r="D261" i="74"/>
  <c r="H260" i="74"/>
  <c r="D260" i="74"/>
  <c r="H259" i="74"/>
  <c r="D259" i="74"/>
  <c r="H258" i="74"/>
  <c r="D258" i="74"/>
  <c r="H257" i="74"/>
  <c r="D257" i="74"/>
  <c r="H256" i="74"/>
  <c r="D256" i="74"/>
  <c r="H255" i="74"/>
  <c r="D255" i="74"/>
  <c r="H254" i="74"/>
  <c r="D254" i="74"/>
  <c r="H277" i="74"/>
  <c r="D277" i="74"/>
  <c r="H276" i="74"/>
  <c r="D276" i="74"/>
  <c r="H275" i="74"/>
  <c r="D275" i="74"/>
  <c r="H274" i="74"/>
  <c r="D274" i="74"/>
  <c r="H273" i="74"/>
  <c r="D273" i="74"/>
  <c r="H272" i="74"/>
  <c r="D272" i="74"/>
  <c r="H271" i="74"/>
  <c r="D271" i="74"/>
  <c r="H270" i="74"/>
  <c r="D270" i="74"/>
  <c r="H269" i="74"/>
  <c r="D269" i="74"/>
  <c r="H268" i="74"/>
  <c r="D268" i="74"/>
  <c r="H267" i="74"/>
  <c r="D267" i="74"/>
  <c r="H266" i="74"/>
  <c r="D266" i="74"/>
  <c r="AH5" i="14"/>
  <c r="AA5" i="14"/>
  <c r="AH11" i="14"/>
  <c r="AA11" i="14"/>
  <c r="AH22" i="14"/>
  <c r="AA22" i="14"/>
  <c r="AH122" i="14"/>
  <c r="AH23" i="14"/>
  <c r="AA23" i="14"/>
  <c r="AH47" i="14"/>
  <c r="AA47" i="14"/>
  <c r="AH46" i="14"/>
  <c r="AA46" i="14"/>
  <c r="AH21" i="14"/>
  <c r="AA21" i="14"/>
  <c r="AH45" i="14"/>
  <c r="AA45" i="14"/>
  <c r="AH44" i="14"/>
  <c r="AA44" i="14"/>
  <c r="AH20" i="14"/>
  <c r="AA20" i="14"/>
  <c r="AH19" i="14"/>
  <c r="AA19" i="14"/>
  <c r="AH18" i="14"/>
  <c r="AA18" i="14"/>
  <c r="AH17" i="14"/>
  <c r="AA17" i="14"/>
  <c r="AH16" i="14"/>
  <c r="AA16" i="14"/>
  <c r="AH10" i="14"/>
  <c r="AA10" i="14"/>
  <c r="AH86" i="14"/>
  <c r="AA86" i="14"/>
  <c r="AH121" i="14"/>
  <c r="AA121" i="14"/>
  <c r="AH120" i="14"/>
  <c r="AA120" i="14"/>
  <c r="AH119" i="14"/>
  <c r="AA119" i="14"/>
  <c r="AH118" i="14"/>
  <c r="AA118" i="14"/>
  <c r="AH117" i="14"/>
  <c r="AA117" i="14"/>
  <c r="AH87" i="14"/>
  <c r="AA87" i="14"/>
  <c r="AH85" i="14"/>
  <c r="AA85" i="14"/>
  <c r="AH15" i="14"/>
  <c r="AA15" i="14"/>
  <c r="AH83" i="14"/>
  <c r="AA83" i="14"/>
  <c r="AH82" i="14"/>
  <c r="AA82" i="14"/>
  <c r="AH81" i="14"/>
  <c r="AA81" i="14"/>
  <c r="AH14" i="14"/>
  <c r="AA14" i="14"/>
  <c r="AH13" i="14"/>
  <c r="AA13" i="14"/>
  <c r="AH9" i="14"/>
  <c r="AH12" i="14"/>
  <c r="AA12" i="14"/>
  <c r="AH56" i="14"/>
  <c r="AA56" i="14"/>
  <c r="AH25" i="14"/>
  <c r="AA25" i="14"/>
  <c r="AH24" i="14"/>
  <c r="AA24" i="14"/>
  <c r="AH55" i="14"/>
  <c r="AA55" i="14"/>
  <c r="AH26" i="14"/>
  <c r="AA26" i="14"/>
  <c r="AH27" i="14"/>
  <c r="AA27" i="14"/>
  <c r="AH6" i="14"/>
  <c r="AA6" i="14"/>
  <c r="AH41" i="14"/>
  <c r="AH51" i="14"/>
  <c r="AH50" i="14"/>
  <c r="AA50" i="14"/>
  <c r="AH28" i="14"/>
  <c r="AA28" i="14"/>
  <c r="AH29" i="14"/>
  <c r="AA29" i="14"/>
  <c r="AH7" i="14"/>
  <c r="AA7" i="14"/>
  <c r="AH58" i="14"/>
  <c r="AA58" i="14"/>
  <c r="AH49" i="14"/>
  <c r="AA49" i="14"/>
  <c r="AH48" i="14"/>
  <c r="AA48" i="14"/>
  <c r="AH57" i="14"/>
  <c r="AA57" i="14"/>
  <c r="AH64" i="14"/>
  <c r="AA64" i="14"/>
  <c r="AH63" i="14"/>
  <c r="AA63" i="14"/>
  <c r="AH53" i="14"/>
  <c r="AA53" i="14"/>
  <c r="AH62" i="14"/>
  <c r="AA62" i="14"/>
  <c r="AH61" i="14"/>
  <c r="AA61" i="14"/>
  <c r="AH60" i="14"/>
  <c r="AA60" i="14"/>
  <c r="AH59" i="14"/>
  <c r="AA59" i="14"/>
  <c r="AH116" i="14"/>
  <c r="AA116" i="14"/>
  <c r="AH115" i="14"/>
  <c r="AA115" i="14"/>
  <c r="AH114" i="14"/>
  <c r="AA114" i="14"/>
  <c r="AH113" i="14"/>
  <c r="AA113" i="14"/>
  <c r="AH112" i="14"/>
  <c r="AA112" i="14"/>
  <c r="AH111" i="14"/>
  <c r="AA111" i="14"/>
  <c r="AH110" i="14"/>
  <c r="AA110" i="14"/>
  <c r="AH109" i="14"/>
  <c r="AA109" i="14"/>
  <c r="AH108" i="14"/>
  <c r="AA108" i="14"/>
  <c r="AH107" i="14"/>
  <c r="AA107" i="14"/>
  <c r="AH106" i="14"/>
  <c r="AA106" i="14"/>
  <c r="AH105" i="14"/>
  <c r="AA105" i="14"/>
  <c r="AH80" i="14"/>
  <c r="AA80" i="14"/>
  <c r="AH79" i="14"/>
  <c r="AA79" i="14"/>
  <c r="AH78" i="14"/>
  <c r="AA78" i="14"/>
  <c r="AH77" i="14"/>
  <c r="AA77" i="14"/>
  <c r="AH76" i="14"/>
  <c r="AA76" i="14"/>
  <c r="AH75" i="14"/>
  <c r="AA75" i="14"/>
  <c r="AH74" i="14"/>
  <c r="AA74" i="14"/>
  <c r="AH73" i="14"/>
  <c r="AA73" i="14"/>
  <c r="AH38" i="14"/>
  <c r="AA38" i="14"/>
  <c r="AH37" i="14"/>
  <c r="AA37" i="14"/>
  <c r="AH36" i="14"/>
  <c r="AA36" i="14"/>
  <c r="AH35" i="14"/>
  <c r="AA35" i="14"/>
  <c r="AH34" i="14"/>
  <c r="AA34" i="14"/>
  <c r="AH33" i="14"/>
  <c r="AA33" i="14"/>
  <c r="AH32" i="14"/>
  <c r="AA32" i="14"/>
  <c r="AH31" i="14"/>
  <c r="AA31" i="14"/>
  <c r="AH30" i="14"/>
  <c r="AA30" i="14"/>
  <c r="AH72" i="14"/>
  <c r="AA72" i="14"/>
  <c r="AH84" i="14"/>
  <c r="AA84" i="14"/>
  <c r="AH71" i="14"/>
  <c r="AA71" i="14"/>
  <c r="AH70" i="14"/>
  <c r="AA70" i="14"/>
  <c r="AH39" i="14"/>
  <c r="AH69" i="14"/>
  <c r="AA69" i="14"/>
  <c r="AH52" i="14"/>
  <c r="AH68" i="14"/>
  <c r="AA68" i="14"/>
  <c r="AH67" i="14"/>
  <c r="AA67" i="14"/>
  <c r="AH54" i="14"/>
  <c r="AA54" i="14"/>
  <c r="AH66" i="14"/>
  <c r="AA66" i="14"/>
  <c r="AH65" i="14"/>
  <c r="AA65" i="14"/>
  <c r="AH40" i="14"/>
  <c r="AA40" i="14"/>
  <c r="AH104" i="14"/>
  <c r="AA104" i="14"/>
  <c r="AH103" i="14"/>
  <c r="AA103" i="14"/>
  <c r="AH102" i="14"/>
  <c r="AA102" i="14"/>
  <c r="AH101" i="14"/>
  <c r="AA101" i="14"/>
  <c r="AH100" i="14"/>
  <c r="AA100" i="14"/>
  <c r="AH99" i="14"/>
  <c r="AA99" i="14"/>
  <c r="AH98" i="14"/>
  <c r="AA98" i="14"/>
  <c r="AH97" i="14"/>
  <c r="AA97" i="14"/>
  <c r="AH96" i="14"/>
  <c r="AA96" i="14"/>
  <c r="AH95" i="14"/>
  <c r="AA95" i="14"/>
  <c r="AH94" i="14"/>
  <c r="AA94" i="14"/>
  <c r="AH93" i="14"/>
  <c r="AA93" i="14"/>
  <c r="AH92" i="14"/>
  <c r="AA92" i="14"/>
  <c r="AH91" i="14"/>
  <c r="AA91" i="14"/>
  <c r="AH90" i="14"/>
  <c r="AA90" i="14"/>
  <c r="AH89" i="14"/>
  <c r="AA89" i="14"/>
  <c r="AH88" i="14"/>
  <c r="AA88" i="14"/>
  <c r="AH8" i="14"/>
  <c r="AA8" i="14"/>
  <c r="Z25" i="35"/>
  <c r="Y10" i="35"/>
  <c r="AA8" i="35"/>
  <c r="C3" i="70"/>
  <c r="C2" i="70" s="1"/>
  <c r="I9" i="43"/>
  <c r="I10" i="43"/>
  <c r="M8" i="43"/>
  <c r="M9" i="43"/>
  <c r="M10" i="43"/>
  <c r="AD7" i="20" l="1"/>
  <c r="AD11" i="20"/>
  <c r="AD15" i="20"/>
  <c r="AD19" i="20"/>
  <c r="AD23" i="20"/>
  <c r="AD27" i="20"/>
  <c r="AD31" i="20"/>
  <c r="AD35" i="20"/>
  <c r="AD39" i="20"/>
  <c r="AD43" i="20"/>
  <c r="AD47" i="20"/>
  <c r="AD51" i="20"/>
  <c r="AD55" i="20"/>
  <c r="AD59" i="20"/>
  <c r="AD63" i="20"/>
  <c r="AD67" i="20"/>
  <c r="AD71" i="20"/>
  <c r="AD75" i="20"/>
  <c r="AD79" i="20"/>
  <c r="AD83" i="20"/>
  <c r="AD87" i="20"/>
  <c r="AD91" i="20"/>
  <c r="AD95" i="20"/>
  <c r="AD99" i="20"/>
  <c r="AD103" i="20"/>
  <c r="AD107" i="20"/>
  <c r="AD111" i="20"/>
  <c r="AD115" i="20"/>
  <c r="AD119" i="20"/>
  <c r="AD123" i="20"/>
  <c r="AD127" i="20"/>
  <c r="AD131" i="20"/>
  <c r="AD135" i="20"/>
  <c r="AD139" i="20"/>
  <c r="AD143" i="20"/>
  <c r="AD147" i="20"/>
  <c r="AD151" i="20"/>
  <c r="AD155" i="20"/>
  <c r="AD159" i="20"/>
  <c r="AD163" i="20"/>
  <c r="AD167" i="20"/>
  <c r="AD171" i="20"/>
  <c r="AD175" i="20"/>
  <c r="AD179" i="20"/>
  <c r="AD183" i="20"/>
  <c r="AD187" i="20"/>
  <c r="AD191" i="20"/>
  <c r="AD195" i="20"/>
  <c r="AD199" i="20"/>
  <c r="AD203" i="20"/>
  <c r="AD207" i="20"/>
  <c r="AD211" i="20"/>
  <c r="AD215" i="20"/>
  <c r="AD219" i="20"/>
  <c r="AD223" i="20"/>
  <c r="AD227" i="20"/>
  <c r="AD231" i="20"/>
  <c r="K14" i="37" s="1"/>
  <c r="AD235" i="20"/>
  <c r="AD239" i="20"/>
  <c r="AD243" i="20"/>
  <c r="AD247" i="20"/>
  <c r="AD251" i="20"/>
  <c r="AD255" i="20"/>
  <c r="AD259" i="20"/>
  <c r="AD263" i="20"/>
  <c r="AD267" i="20"/>
  <c r="AD271" i="20"/>
  <c r="AD275" i="20"/>
  <c r="AD279" i="20"/>
  <c r="AD283" i="20"/>
  <c r="AD287" i="20"/>
  <c r="AD291" i="20"/>
  <c r="AD295" i="20"/>
  <c r="AD299" i="20"/>
  <c r="AD303" i="20"/>
  <c r="AD307" i="20"/>
  <c r="AD311" i="20"/>
  <c r="AD315" i="20"/>
  <c r="AD319" i="20"/>
  <c r="AD323" i="20"/>
  <c r="AD327" i="20"/>
  <c r="AD331" i="20"/>
  <c r="AD335" i="20"/>
  <c r="AD339" i="20"/>
  <c r="AD343" i="20"/>
  <c r="AD6" i="20"/>
  <c r="K7" i="37" s="1"/>
  <c r="AD12" i="20"/>
  <c r="AD17" i="20"/>
  <c r="AD22" i="20"/>
  <c r="K15" i="37" s="1"/>
  <c r="AD28" i="20"/>
  <c r="AD33" i="20"/>
  <c r="AD38" i="20"/>
  <c r="AD44" i="20"/>
  <c r="AD49" i="20"/>
  <c r="AD54" i="20"/>
  <c r="AD60" i="20"/>
  <c r="AD65" i="20"/>
  <c r="AD70" i="20"/>
  <c r="AD76" i="20"/>
  <c r="AD81" i="20"/>
  <c r="AD86" i="20"/>
  <c r="AD92" i="20"/>
  <c r="AD97" i="20"/>
  <c r="AD102" i="20"/>
  <c r="AD108" i="20"/>
  <c r="AD113" i="20"/>
  <c r="AD118" i="20"/>
  <c r="AD124" i="20"/>
  <c r="AD129" i="20"/>
  <c r="AD134" i="20"/>
  <c r="AD140" i="20"/>
  <c r="AD145" i="20"/>
  <c r="AD150" i="20"/>
  <c r="AD156" i="20"/>
  <c r="AD161" i="20"/>
  <c r="AD166" i="20"/>
  <c r="AD172" i="20"/>
  <c r="AD177" i="20"/>
  <c r="AD182" i="20"/>
  <c r="AD188" i="20"/>
  <c r="AD193" i="20"/>
  <c r="AD198" i="20"/>
  <c r="AD204" i="20"/>
  <c r="AD209" i="20"/>
  <c r="AD214" i="20"/>
  <c r="AD220" i="20"/>
  <c r="AD225" i="20"/>
  <c r="AD230" i="20"/>
  <c r="AD236" i="20"/>
  <c r="AD241" i="20"/>
  <c r="AD246" i="20"/>
  <c r="AD252" i="20"/>
  <c r="AD257" i="20"/>
  <c r="AD262" i="20"/>
  <c r="AD268" i="20"/>
  <c r="AD273" i="20"/>
  <c r="AD278" i="20"/>
  <c r="AD284" i="20"/>
  <c r="AD289" i="20"/>
  <c r="AD294" i="20"/>
  <c r="AD300" i="20"/>
  <c r="AD305" i="20"/>
  <c r="AD310" i="20"/>
  <c r="AD316" i="20"/>
  <c r="AD321" i="20"/>
  <c r="AD326" i="20"/>
  <c r="AD332" i="20"/>
  <c r="AD337" i="20"/>
  <c r="AD342" i="20"/>
  <c r="AD347" i="20"/>
  <c r="AD351" i="20"/>
  <c r="AD355" i="20"/>
  <c r="AD359" i="20"/>
  <c r="AD363" i="20"/>
  <c r="AD367" i="20"/>
  <c r="AD371" i="20"/>
  <c r="AD375" i="20"/>
  <c r="AD379" i="20"/>
  <c r="AD383" i="20"/>
  <c r="AD387" i="20"/>
  <c r="AD391" i="20"/>
  <c r="AD395" i="20"/>
  <c r="AD399" i="20"/>
  <c r="AD9" i="20"/>
  <c r="AD14" i="20"/>
  <c r="K13" i="37" s="1"/>
  <c r="AD20" i="20"/>
  <c r="K16" i="37" s="1"/>
  <c r="AD25" i="20"/>
  <c r="AD30" i="20"/>
  <c r="AD36" i="20"/>
  <c r="AD41" i="20"/>
  <c r="AD8" i="20"/>
  <c r="AD13" i="20"/>
  <c r="AD18" i="20"/>
  <c r="AD24" i="20"/>
  <c r="AD29" i="20"/>
  <c r="AD34" i="20"/>
  <c r="AD40" i="20"/>
  <c r="AD45" i="20"/>
  <c r="AD50" i="20"/>
  <c r="AD56" i="20"/>
  <c r="AD61" i="20"/>
  <c r="AD66" i="20"/>
  <c r="AD72" i="20"/>
  <c r="AD77" i="20"/>
  <c r="AD82" i="20"/>
  <c r="AD88" i="20"/>
  <c r="AD93" i="20"/>
  <c r="AD98" i="20"/>
  <c r="AD104" i="20"/>
  <c r="AD109" i="20"/>
  <c r="AD114" i="20"/>
  <c r="AD120" i="20"/>
  <c r="AD125" i="20"/>
  <c r="AD130" i="20"/>
  <c r="AD136" i="20"/>
  <c r="AD141" i="20"/>
  <c r="AD146" i="20"/>
  <c r="AD152" i="20"/>
  <c r="AD157" i="20"/>
  <c r="AD162" i="20"/>
  <c r="AD168" i="20"/>
  <c r="AD173" i="20"/>
  <c r="AD178" i="20"/>
  <c r="AD184" i="20"/>
  <c r="AD189" i="20"/>
  <c r="AD194" i="20"/>
  <c r="AD200" i="20"/>
  <c r="AD205" i="20"/>
  <c r="AD210" i="20"/>
  <c r="AD216" i="20"/>
  <c r="AD221" i="20"/>
  <c r="AD226" i="20"/>
  <c r="AD232" i="20"/>
  <c r="AD237" i="20"/>
  <c r="AD242" i="20"/>
  <c r="AD248" i="20"/>
  <c r="AD253" i="20"/>
  <c r="AD258" i="20"/>
  <c r="AD264" i="20"/>
  <c r="AD269" i="20"/>
  <c r="AD274" i="20"/>
  <c r="AD280" i="20"/>
  <c r="AD285" i="20"/>
  <c r="AD290" i="20"/>
  <c r="AD296" i="20"/>
  <c r="AD301" i="20"/>
  <c r="AD306" i="20"/>
  <c r="AD312" i="20"/>
  <c r="AD317" i="20"/>
  <c r="AD322" i="20"/>
  <c r="AD328" i="20"/>
  <c r="AD333" i="20"/>
  <c r="AD338" i="20"/>
  <c r="AD344" i="20"/>
  <c r="AD348" i="20"/>
  <c r="AD352" i="20"/>
  <c r="AD356" i="20"/>
  <c r="AD360" i="20"/>
  <c r="AD364" i="20"/>
  <c r="AD368" i="20"/>
  <c r="AD372" i="20"/>
  <c r="AD376" i="20"/>
  <c r="AD380" i="20"/>
  <c r="AD384" i="20"/>
  <c r="AD388" i="20"/>
  <c r="AD392" i="20"/>
  <c r="AD396" i="20"/>
  <c r="AD400" i="20"/>
  <c r="AD10" i="20"/>
  <c r="AD16" i="20"/>
  <c r="AD21" i="20"/>
  <c r="AD26" i="20"/>
  <c r="AD32" i="20"/>
  <c r="AD37" i="20"/>
  <c r="AD42" i="20"/>
  <c r="AD48" i="20"/>
  <c r="AD53" i="20"/>
  <c r="AD58" i="20"/>
  <c r="AD64" i="20"/>
  <c r="AD69" i="20"/>
  <c r="AD74" i="20"/>
  <c r="AD80" i="20"/>
  <c r="AD85" i="20"/>
  <c r="AD90" i="20"/>
  <c r="AD96" i="20"/>
  <c r="AD101" i="20"/>
  <c r="AD106" i="20"/>
  <c r="AD112" i="20"/>
  <c r="AD117" i="20"/>
  <c r="AD122" i="20"/>
  <c r="AD128" i="20"/>
  <c r="AD133" i="20"/>
  <c r="AD138" i="20"/>
  <c r="AD144" i="20"/>
  <c r="AD149" i="20"/>
  <c r="AD154" i="20"/>
  <c r="AD160" i="20"/>
  <c r="AD165" i="20"/>
  <c r="AD170" i="20"/>
  <c r="AD176" i="20"/>
  <c r="AD181" i="20"/>
  <c r="AD186" i="20"/>
  <c r="AD192" i="20"/>
  <c r="AD197" i="20"/>
  <c r="AD202" i="20"/>
  <c r="AD208" i="20"/>
  <c r="AD213" i="20"/>
  <c r="AD218" i="20"/>
  <c r="AD224" i="20"/>
  <c r="AD229" i="20"/>
  <c r="AD234" i="20"/>
  <c r="AD240" i="20"/>
  <c r="AD245" i="20"/>
  <c r="AD250" i="20"/>
  <c r="AD256" i="20"/>
  <c r="AD261" i="20"/>
  <c r="AD266" i="20"/>
  <c r="AD272" i="20"/>
  <c r="AD277" i="20"/>
  <c r="AD282" i="20"/>
  <c r="AD288" i="20"/>
  <c r="AD293" i="20"/>
  <c r="AD298" i="20"/>
  <c r="AD304" i="20"/>
  <c r="AD309" i="20"/>
  <c r="AD314" i="20"/>
  <c r="AD320" i="20"/>
  <c r="AD325" i="20"/>
  <c r="AD330" i="20"/>
  <c r="AD336" i="20"/>
  <c r="AD341" i="20"/>
  <c r="AD346" i="20"/>
  <c r="AD350" i="20"/>
  <c r="AD354" i="20"/>
  <c r="AD358" i="20"/>
  <c r="AD362" i="20"/>
  <c r="AD366" i="20"/>
  <c r="AD370" i="20"/>
  <c r="AD374" i="20"/>
  <c r="AD378" i="20"/>
  <c r="AD382" i="20"/>
  <c r="AD386" i="20"/>
  <c r="AD390" i="20"/>
  <c r="AD394" i="20"/>
  <c r="AD398" i="20"/>
  <c r="AD46" i="20"/>
  <c r="AD68" i="20"/>
  <c r="AD89" i="20"/>
  <c r="AD110" i="20"/>
  <c r="AD132" i="20"/>
  <c r="AD153" i="20"/>
  <c r="AD174" i="20"/>
  <c r="AD196" i="20"/>
  <c r="AD217" i="20"/>
  <c r="AD238" i="20"/>
  <c r="AD260" i="20"/>
  <c r="AD281" i="20"/>
  <c r="AD302" i="20"/>
  <c r="AD324" i="20"/>
  <c r="AD345" i="20"/>
  <c r="AD361" i="20"/>
  <c r="AD377" i="20"/>
  <c r="AD393" i="20"/>
  <c r="AD52" i="20"/>
  <c r="AD94" i="20"/>
  <c r="AD116" i="20"/>
  <c r="AD158" i="20"/>
  <c r="AD244" i="20"/>
  <c r="AD286" i="20"/>
  <c r="AD308" i="20"/>
  <c r="AD365" i="20"/>
  <c r="AD57" i="20"/>
  <c r="AD121" i="20"/>
  <c r="AD164" i="20"/>
  <c r="AD206" i="20"/>
  <c r="AD249" i="20"/>
  <c r="AD313" i="20"/>
  <c r="AD334" i="20"/>
  <c r="AD369" i="20"/>
  <c r="AD62" i="20"/>
  <c r="AD84" i="20"/>
  <c r="AD105" i="20"/>
  <c r="AD126" i="20"/>
  <c r="AD148" i="20"/>
  <c r="AD169" i="20"/>
  <c r="AD190" i="20"/>
  <c r="AD212" i="20"/>
  <c r="AD233" i="20"/>
  <c r="AD254" i="20"/>
  <c r="AD276" i="20"/>
  <c r="AD297" i="20"/>
  <c r="AD318" i="20"/>
  <c r="AD340" i="20"/>
  <c r="AD357" i="20"/>
  <c r="AD373" i="20"/>
  <c r="AD389" i="20"/>
  <c r="AD73" i="20"/>
  <c r="K9" i="37" s="1"/>
  <c r="AD137" i="20"/>
  <c r="AD180" i="20"/>
  <c r="AD201" i="20"/>
  <c r="AD222" i="20"/>
  <c r="AD265" i="20"/>
  <c r="AD329" i="20"/>
  <c r="AD349" i="20"/>
  <c r="AD381" i="20"/>
  <c r="AD397" i="20"/>
  <c r="AD78" i="20"/>
  <c r="AD100" i="20"/>
  <c r="AD142" i="20"/>
  <c r="AD185" i="20"/>
  <c r="AD228" i="20"/>
  <c r="AD270" i="20"/>
  <c r="AD292" i="20"/>
  <c r="AD353" i="20"/>
  <c r="AD385" i="20"/>
  <c r="AD401" i="20"/>
  <c r="B9" i="41"/>
  <c r="K12" i="37"/>
  <c r="K8" i="37"/>
  <c r="K11" i="37"/>
  <c r="K10" i="37"/>
  <c r="H12" i="37"/>
  <c r="J12" i="37"/>
  <c r="J11" i="37"/>
  <c r="H11" i="37"/>
  <c r="I12" i="37"/>
  <c r="I11" i="37"/>
  <c r="E12" i="37"/>
  <c r="G12" i="37"/>
  <c r="G11" i="37"/>
  <c r="E11" i="37"/>
  <c r="F12" i="37"/>
  <c r="F11" i="37"/>
  <c r="D12" i="37"/>
  <c r="D11" i="37"/>
  <c r="N8" i="36"/>
  <c r="Q8" i="36" s="1"/>
  <c r="V6" i="20"/>
  <c r="W6" i="20"/>
  <c r="AA6" i="20"/>
  <c r="J5" i="41" s="1"/>
  <c r="U6" i="20"/>
  <c r="Y6" i="20"/>
  <c r="AC6" i="20"/>
  <c r="Z6" i="20"/>
  <c r="I5" i="41" s="1"/>
  <c r="T6" i="20"/>
  <c r="X6" i="20"/>
  <c r="E7" i="37" s="1"/>
  <c r="AB6" i="20"/>
  <c r="W7" i="20"/>
  <c r="D7" i="37" s="1"/>
  <c r="AA7" i="20"/>
  <c r="T7" i="20"/>
  <c r="X7" i="20"/>
  <c r="AB7" i="20"/>
  <c r="I7" i="37" s="1"/>
  <c r="U7" i="20"/>
  <c r="Y7" i="20"/>
  <c r="AC7" i="20"/>
  <c r="V7" i="20"/>
  <c r="D5" i="41" s="1"/>
  <c r="Z7" i="20"/>
  <c r="T9" i="20"/>
  <c r="X9" i="20"/>
  <c r="AB9" i="20"/>
  <c r="U9" i="20"/>
  <c r="Y9" i="20"/>
  <c r="AC9" i="20"/>
  <c r="V9" i="20"/>
  <c r="Z9" i="20"/>
  <c r="W9" i="20"/>
  <c r="AA9" i="20"/>
  <c r="T12" i="20"/>
  <c r="X12" i="20"/>
  <c r="AB12" i="20"/>
  <c r="U12" i="20"/>
  <c r="Y12" i="20"/>
  <c r="H5" i="41" s="1"/>
  <c r="AC12" i="20"/>
  <c r="V12" i="20"/>
  <c r="Z12" i="20"/>
  <c r="W12" i="20"/>
  <c r="AA12" i="20"/>
  <c r="H16" i="37" s="1"/>
  <c r="T8" i="20"/>
  <c r="X8" i="20"/>
  <c r="AB8" i="20"/>
  <c r="I16" i="37" s="1"/>
  <c r="U8" i="20"/>
  <c r="Y8" i="20"/>
  <c r="AC8" i="20"/>
  <c r="J16" i="37" s="1"/>
  <c r="V8" i="20"/>
  <c r="Z8" i="20"/>
  <c r="G16" i="37" s="1"/>
  <c r="W8" i="20"/>
  <c r="D16" i="37" s="1"/>
  <c r="AA8" i="20"/>
  <c r="T11" i="20"/>
  <c r="X11" i="20"/>
  <c r="AB11" i="20"/>
  <c r="U11" i="20"/>
  <c r="Y11" i="20"/>
  <c r="AC11" i="20"/>
  <c r="V11" i="20"/>
  <c r="Z11" i="20"/>
  <c r="W11" i="20"/>
  <c r="AA11" i="20"/>
  <c r="T10" i="20"/>
  <c r="B7" i="41" s="1"/>
  <c r="X10" i="20"/>
  <c r="E10" i="37" s="1"/>
  <c r="AB10" i="20"/>
  <c r="I10" i="37" s="1"/>
  <c r="U10" i="20"/>
  <c r="C7" i="41" s="1"/>
  <c r="Y10" i="20"/>
  <c r="H7" i="41" s="1"/>
  <c r="AC10" i="20"/>
  <c r="J10" i="37" s="1"/>
  <c r="V10" i="20"/>
  <c r="D7" i="41" s="1"/>
  <c r="Z10" i="20"/>
  <c r="W10" i="20"/>
  <c r="E7" i="41" s="1"/>
  <c r="AA10" i="20"/>
  <c r="J7" i="41" s="1"/>
  <c r="W18" i="20"/>
  <c r="X18" i="20"/>
  <c r="AB29" i="20"/>
  <c r="T29" i="20"/>
  <c r="T22" i="20"/>
  <c r="W22" i="20"/>
  <c r="D15" i="37" s="1"/>
  <c r="U28" i="20"/>
  <c r="AC17" i="20"/>
  <c r="AB17" i="20"/>
  <c r="I15" i="37" s="1"/>
  <c r="AA17" i="20"/>
  <c r="Y18" i="20"/>
  <c r="AC22" i="20"/>
  <c r="U29" i="20"/>
  <c r="T18" i="20"/>
  <c r="AC29" i="20"/>
  <c r="V29" i="20"/>
  <c r="V22" i="20"/>
  <c r="X22" i="20"/>
  <c r="T28" i="20"/>
  <c r="Y28" i="20"/>
  <c r="W28" i="20"/>
  <c r="AA22" i="20"/>
  <c r="V17" i="20"/>
  <c r="Y22" i="20"/>
  <c r="U18" i="20"/>
  <c r="U17" i="20"/>
  <c r="Z29" i="20"/>
  <c r="AB18" i="20"/>
  <c r="X29" i="20"/>
  <c r="Z22" i="20"/>
  <c r="AB22" i="20"/>
  <c r="X28" i="20"/>
  <c r="V28" i="20"/>
  <c r="AA28" i="20"/>
  <c r="T17" i="20"/>
  <c r="Z17" i="20"/>
  <c r="G15" i="37" s="1"/>
  <c r="AC28" i="20"/>
  <c r="J15" i="37" s="1"/>
  <c r="AA29" i="20"/>
  <c r="W29" i="20"/>
  <c r="V18" i="20"/>
  <c r="U22" i="20"/>
  <c r="Z18" i="20"/>
  <c r="Y29" i="20"/>
  <c r="Y17" i="20"/>
  <c r="F15" i="37" s="1"/>
  <c r="AB28" i="20"/>
  <c r="Z28" i="20"/>
  <c r="W17" i="20"/>
  <c r="X17" i="20"/>
  <c r="E15" i="37" s="1"/>
  <c r="AC18" i="20"/>
  <c r="AA18" i="20"/>
  <c r="V15" i="20"/>
  <c r="AA15" i="20"/>
  <c r="V16" i="20"/>
  <c r="AA16" i="20"/>
  <c r="U16" i="20"/>
  <c r="AA41" i="20"/>
  <c r="U41" i="20"/>
  <c r="Z41" i="20"/>
  <c r="AB14" i="20"/>
  <c r="V14" i="20"/>
  <c r="D4" i="41" s="1"/>
  <c r="AA14" i="20"/>
  <c r="J4" i="41" s="1"/>
  <c r="X67" i="20"/>
  <c r="AC67" i="20"/>
  <c r="U15" i="20"/>
  <c r="Z15" i="20"/>
  <c r="T15" i="20"/>
  <c r="Z16" i="20"/>
  <c r="T16" i="20"/>
  <c r="Y16" i="20"/>
  <c r="T41" i="20"/>
  <c r="Y41" i="20"/>
  <c r="U14" i="20"/>
  <c r="C4" i="41" s="1"/>
  <c r="Z14" i="20"/>
  <c r="I4" i="41" s="1"/>
  <c r="W67" i="20"/>
  <c r="AB67" i="20"/>
  <c r="V67" i="20"/>
  <c r="Y15" i="20"/>
  <c r="X15" i="20"/>
  <c r="E13" i="37" s="1"/>
  <c r="X16" i="20"/>
  <c r="AC16" i="20"/>
  <c r="X41" i="20"/>
  <c r="AC41" i="20"/>
  <c r="T14" i="20"/>
  <c r="B4" i="41" s="1"/>
  <c r="Y14" i="20"/>
  <c r="F13" i="37" s="1"/>
  <c r="AA67" i="20"/>
  <c r="U67" i="20"/>
  <c r="Z67" i="20"/>
  <c r="AC15" i="20"/>
  <c r="W15" i="20"/>
  <c r="AB15" i="20"/>
  <c r="I13" i="37" s="1"/>
  <c r="W16" i="20"/>
  <c r="AB16" i="20"/>
  <c r="W41" i="20"/>
  <c r="AB41" i="20"/>
  <c r="V41" i="20"/>
  <c r="X14" i="20"/>
  <c r="F4" i="41" s="1"/>
  <c r="AC14" i="20"/>
  <c r="J13" i="37" s="1"/>
  <c r="W14" i="20"/>
  <c r="D13" i="37" s="1"/>
  <c r="T67" i="20"/>
  <c r="Y67" i="20"/>
  <c r="U20" i="20"/>
  <c r="Z20" i="20"/>
  <c r="T20" i="20"/>
  <c r="X20" i="20"/>
  <c r="Y20" i="20"/>
  <c r="H4" i="41" s="1"/>
  <c r="AC20" i="20"/>
  <c r="W20" i="20"/>
  <c r="AB20" i="20"/>
  <c r="V20" i="20"/>
  <c r="AA20" i="20"/>
  <c r="V21" i="20"/>
  <c r="AA21" i="20"/>
  <c r="U21" i="20"/>
  <c r="W21" i="20"/>
  <c r="AB21" i="20"/>
  <c r="Z21" i="20"/>
  <c r="T21" i="20"/>
  <c r="Y21" i="20"/>
  <c r="X21" i="20"/>
  <c r="AC21" i="20"/>
  <c r="T19" i="20"/>
  <c r="Y19" i="20"/>
  <c r="AC19" i="20"/>
  <c r="V19" i="20"/>
  <c r="U19" i="20"/>
  <c r="C5" i="41" s="1"/>
  <c r="X19" i="20"/>
  <c r="W19" i="20"/>
  <c r="Z19" i="20"/>
  <c r="AB19" i="20"/>
  <c r="AA19" i="20"/>
  <c r="V58" i="20"/>
  <c r="AA58" i="20"/>
  <c r="H9" i="37" s="1"/>
  <c r="U58" i="20"/>
  <c r="Z58" i="20"/>
  <c r="G9" i="37" s="1"/>
  <c r="T58" i="20"/>
  <c r="Y58" i="20"/>
  <c r="F9" i="37" s="1"/>
  <c r="X58" i="20"/>
  <c r="E9" i="37" s="1"/>
  <c r="AC58" i="20"/>
  <c r="J9" i="37" s="1"/>
  <c r="W58" i="20"/>
  <c r="AB58" i="20"/>
  <c r="V68" i="20"/>
  <c r="AB68" i="20"/>
  <c r="W68" i="20"/>
  <c r="AA69" i="20"/>
  <c r="V69" i="20"/>
  <c r="AC68" i="20"/>
  <c r="X68" i="20"/>
  <c r="AB69" i="20"/>
  <c r="W69" i="20"/>
  <c r="AC69" i="20"/>
  <c r="Y68" i="20"/>
  <c r="T68" i="20"/>
  <c r="X69" i="20"/>
  <c r="Y69" i="20"/>
  <c r="Z68" i="20"/>
  <c r="U68" i="20"/>
  <c r="AA68" i="20"/>
  <c r="T69" i="20"/>
  <c r="Z69" i="20"/>
  <c r="U69" i="20"/>
  <c r="V73" i="20"/>
  <c r="Z73" i="20"/>
  <c r="U73" i="20"/>
  <c r="AA73" i="20"/>
  <c r="W73" i="20"/>
  <c r="AB73" i="20"/>
  <c r="X73" i="20"/>
  <c r="AC73" i="20"/>
  <c r="Y73" i="20"/>
  <c r="T73" i="20"/>
  <c r="W74" i="20"/>
  <c r="AA74" i="20"/>
  <c r="U74" i="20"/>
  <c r="Z74" i="20"/>
  <c r="V74" i="20"/>
  <c r="AB74" i="20"/>
  <c r="X74" i="20"/>
  <c r="AC74" i="20"/>
  <c r="T74" i="20"/>
  <c r="Y74" i="20"/>
  <c r="V40" i="20"/>
  <c r="Z40" i="20"/>
  <c r="W40" i="20"/>
  <c r="AB40" i="20"/>
  <c r="X40" i="20"/>
  <c r="AC40" i="20"/>
  <c r="T40" i="20"/>
  <c r="Y40" i="20"/>
  <c r="AA40" i="20"/>
  <c r="U40" i="20"/>
  <c r="V61" i="20"/>
  <c r="Z61" i="20"/>
  <c r="W61" i="20"/>
  <c r="AA61" i="20"/>
  <c r="T61" i="20"/>
  <c r="AB61" i="20"/>
  <c r="U61" i="20"/>
  <c r="AC61" i="20"/>
  <c r="X61" i="20"/>
  <c r="Y61" i="20"/>
  <c r="V57" i="20"/>
  <c r="D8" i="41" s="1"/>
  <c r="Z57" i="20"/>
  <c r="I8" i="41" s="1"/>
  <c r="W57" i="20"/>
  <c r="AA57" i="20"/>
  <c r="X57" i="20"/>
  <c r="F8" i="41" s="1"/>
  <c r="Y57" i="20"/>
  <c r="H8" i="41" s="1"/>
  <c r="T57" i="20"/>
  <c r="B8" i="41" s="1"/>
  <c r="AB57" i="20"/>
  <c r="U57" i="20"/>
  <c r="C8" i="41" s="1"/>
  <c r="AC57" i="20"/>
  <c r="W54" i="20"/>
  <c r="AA54" i="20"/>
  <c r="T54" i="20"/>
  <c r="X54" i="20"/>
  <c r="AB54" i="20"/>
  <c r="Y54" i="20"/>
  <c r="Z54" i="20"/>
  <c r="U54" i="20"/>
  <c r="AC54" i="20"/>
  <c r="V54" i="20"/>
  <c r="T50" i="20"/>
  <c r="X50" i="20"/>
  <c r="AB50" i="20"/>
  <c r="U50" i="20"/>
  <c r="Y50" i="20"/>
  <c r="AC50" i="20"/>
  <c r="Z50" i="20"/>
  <c r="AA50" i="20"/>
  <c r="V50" i="20"/>
  <c r="W50" i="20"/>
  <c r="T55" i="20"/>
  <c r="X55" i="20"/>
  <c r="AB55" i="20"/>
  <c r="U55" i="20"/>
  <c r="Y55" i="20"/>
  <c r="AC55" i="20"/>
  <c r="V55" i="20"/>
  <c r="W55" i="20"/>
  <c r="Z55" i="20"/>
  <c r="AA55" i="20"/>
  <c r="U56" i="20"/>
  <c r="Y56" i="20"/>
  <c r="AC56" i="20"/>
  <c r="V56" i="20"/>
  <c r="Z56" i="20"/>
  <c r="AA56" i="20"/>
  <c r="T56" i="20"/>
  <c r="AB56" i="20"/>
  <c r="W56" i="20"/>
  <c r="X56" i="20"/>
  <c r="U51" i="20"/>
  <c r="Y51" i="20"/>
  <c r="AC51" i="20"/>
  <c r="V51" i="20"/>
  <c r="Z51" i="20"/>
  <c r="W51" i="20"/>
  <c r="X51" i="20"/>
  <c r="AA51" i="20"/>
  <c r="AB51" i="20"/>
  <c r="T51" i="20"/>
  <c r="W49" i="20"/>
  <c r="AA49" i="20"/>
  <c r="T49" i="20"/>
  <c r="X49" i="20"/>
  <c r="AB49" i="20"/>
  <c r="U49" i="20"/>
  <c r="AC49" i="20"/>
  <c r="V49" i="20"/>
  <c r="Y49" i="20"/>
  <c r="Z49" i="20"/>
  <c r="V52" i="20"/>
  <c r="D3" i="41" s="1"/>
  <c r="Z52" i="20"/>
  <c r="I3" i="41" s="1"/>
  <c r="W52" i="20"/>
  <c r="E3" i="41" s="1"/>
  <c r="AA52" i="20"/>
  <c r="J3" i="41" s="1"/>
  <c r="T52" i="20"/>
  <c r="AB52" i="20"/>
  <c r="U52" i="20"/>
  <c r="C3" i="41" s="1"/>
  <c r="AC52" i="20"/>
  <c r="X52" i="20"/>
  <c r="F3" i="41" s="1"/>
  <c r="Y52" i="20"/>
  <c r="H3" i="41" s="1"/>
  <c r="T46" i="20"/>
  <c r="X46" i="20"/>
  <c r="AB46" i="20"/>
  <c r="V46" i="20"/>
  <c r="Z46" i="20"/>
  <c r="W46" i="20"/>
  <c r="AA46" i="20"/>
  <c r="U46" i="20"/>
  <c r="Y46" i="20"/>
  <c r="AC46" i="20"/>
  <c r="U47" i="20"/>
  <c r="Y47" i="20"/>
  <c r="AC47" i="20"/>
  <c r="W47" i="20"/>
  <c r="AA47" i="20"/>
  <c r="T47" i="20"/>
  <c r="X47" i="20"/>
  <c r="AB47" i="20"/>
  <c r="Z47" i="20"/>
  <c r="V47" i="20"/>
  <c r="V48" i="20"/>
  <c r="Z48" i="20"/>
  <c r="T48" i="20"/>
  <c r="X48" i="20"/>
  <c r="AB48" i="20"/>
  <c r="U48" i="20"/>
  <c r="Y48" i="20"/>
  <c r="AC48" i="20"/>
  <c r="W48" i="20"/>
  <c r="AA48" i="20"/>
  <c r="T42" i="20"/>
  <c r="X42" i="20"/>
  <c r="AB42" i="20"/>
  <c r="V42" i="20"/>
  <c r="Z42" i="20"/>
  <c r="W42" i="20"/>
  <c r="AA42" i="20"/>
  <c r="U42" i="20"/>
  <c r="Y42" i="20"/>
  <c r="AC42" i="20"/>
  <c r="U43" i="20"/>
  <c r="Y43" i="20"/>
  <c r="AC43" i="20"/>
  <c r="W43" i="20"/>
  <c r="AA43" i="20"/>
  <c r="T43" i="20"/>
  <c r="X43" i="20"/>
  <c r="AB43" i="20"/>
  <c r="V43" i="20"/>
  <c r="Z43" i="20"/>
  <c r="V44" i="20"/>
  <c r="Z44" i="20"/>
  <c r="T44" i="20"/>
  <c r="X44" i="20"/>
  <c r="AB44" i="20"/>
  <c r="U44" i="20"/>
  <c r="Y44" i="20"/>
  <c r="AC44" i="20"/>
  <c r="AA44" i="20"/>
  <c r="W44" i="20"/>
  <c r="W45" i="20"/>
  <c r="AA45" i="20"/>
  <c r="U45" i="20"/>
  <c r="Y45" i="20"/>
  <c r="AC45" i="20"/>
  <c r="V45" i="20"/>
  <c r="Z45" i="20"/>
  <c r="T45" i="20"/>
  <c r="X45" i="20"/>
  <c r="AB45" i="20"/>
  <c r="T31" i="20"/>
  <c r="X31" i="20"/>
  <c r="AB31" i="20"/>
  <c r="U31" i="20"/>
  <c r="Y31" i="20"/>
  <c r="AC31" i="20"/>
  <c r="V31" i="20"/>
  <c r="Z31" i="20"/>
  <c r="W31" i="20"/>
  <c r="AA31" i="20"/>
  <c r="T35" i="20"/>
  <c r="X35" i="20"/>
  <c r="AB35" i="20"/>
  <c r="V35" i="20"/>
  <c r="Z35" i="20"/>
  <c r="W35" i="20"/>
  <c r="AA35" i="20"/>
  <c r="AC35" i="20"/>
  <c r="U35" i="20"/>
  <c r="Y35" i="20"/>
  <c r="U36" i="20"/>
  <c r="Y36" i="20"/>
  <c r="AC36" i="20"/>
  <c r="W36" i="20"/>
  <c r="AA36" i="20"/>
  <c r="T36" i="20"/>
  <c r="X36" i="20"/>
  <c r="AB36" i="20"/>
  <c r="V36" i="20"/>
  <c r="Z36" i="20"/>
  <c r="V37" i="20"/>
  <c r="Z37" i="20"/>
  <c r="T37" i="20"/>
  <c r="X37" i="20"/>
  <c r="AB37" i="20"/>
  <c r="U37" i="20"/>
  <c r="Y37" i="20"/>
  <c r="AC37" i="20"/>
  <c r="W37" i="20"/>
  <c r="AA37" i="20"/>
  <c r="V33" i="20"/>
  <c r="Z33" i="20"/>
  <c r="G8" i="37" s="1"/>
  <c r="W33" i="20"/>
  <c r="D8" i="37" s="1"/>
  <c r="AA33" i="20"/>
  <c r="T33" i="20"/>
  <c r="X33" i="20"/>
  <c r="E8" i="37" s="1"/>
  <c r="AB33" i="20"/>
  <c r="I8" i="37" s="1"/>
  <c r="U33" i="20"/>
  <c r="Y33" i="20"/>
  <c r="AC33" i="20"/>
  <c r="J8" i="37" s="1"/>
  <c r="W34" i="20"/>
  <c r="AA34" i="20"/>
  <c r="T34" i="20"/>
  <c r="U34" i="20"/>
  <c r="Y34" i="20"/>
  <c r="AC34" i="20"/>
  <c r="V34" i="20"/>
  <c r="Z34" i="20"/>
  <c r="X34" i="20"/>
  <c r="AB34" i="20"/>
  <c r="W38" i="20"/>
  <c r="AA38" i="20"/>
  <c r="U38" i="20"/>
  <c r="Y38" i="20"/>
  <c r="AC38" i="20"/>
  <c r="V38" i="20"/>
  <c r="Z38" i="20"/>
  <c r="AB38" i="20"/>
  <c r="T38" i="20"/>
  <c r="X38" i="20"/>
  <c r="U32" i="20"/>
  <c r="Y32" i="20"/>
  <c r="AC32" i="20"/>
  <c r="V32" i="20"/>
  <c r="Z32" i="20"/>
  <c r="W32" i="20"/>
  <c r="AA32" i="20"/>
  <c r="T32" i="20"/>
  <c r="X32" i="20"/>
  <c r="AB32" i="20"/>
  <c r="W30" i="20"/>
  <c r="AA30" i="20"/>
  <c r="T30" i="20"/>
  <c r="X30" i="20"/>
  <c r="AB30" i="20"/>
  <c r="U30" i="20"/>
  <c r="Y30" i="20"/>
  <c r="AC30" i="20"/>
  <c r="V30" i="20"/>
  <c r="Z30" i="20"/>
  <c r="T27" i="20"/>
  <c r="X27" i="20"/>
  <c r="AB27" i="20"/>
  <c r="U27" i="20"/>
  <c r="Y27" i="20"/>
  <c r="AC27" i="20"/>
  <c r="V27" i="20"/>
  <c r="Z27" i="20"/>
  <c r="W27" i="20"/>
  <c r="AA27" i="20"/>
  <c r="V26" i="20"/>
  <c r="Z26" i="20"/>
  <c r="W26" i="20"/>
  <c r="AA26" i="20"/>
  <c r="T26" i="20"/>
  <c r="X26" i="20"/>
  <c r="AB26" i="20"/>
  <c r="U26" i="20"/>
  <c r="Y26" i="20"/>
  <c r="AC26" i="20"/>
  <c r="W23" i="20"/>
  <c r="AA23" i="20"/>
  <c r="T23" i="20"/>
  <c r="X23" i="20"/>
  <c r="AB23" i="20"/>
  <c r="U23" i="20"/>
  <c r="Y23" i="20"/>
  <c r="AC23" i="20"/>
  <c r="V23" i="20"/>
  <c r="Z23" i="20"/>
  <c r="T24" i="20"/>
  <c r="X24" i="20"/>
  <c r="AB24" i="20"/>
  <c r="U24" i="20"/>
  <c r="Y24" i="20"/>
  <c r="AC24" i="20"/>
  <c r="V24" i="20"/>
  <c r="Z24" i="20"/>
  <c r="W24" i="20"/>
  <c r="AA24" i="20"/>
  <c r="U25" i="20"/>
  <c r="Y25" i="20"/>
  <c r="AC25" i="20"/>
  <c r="V25" i="20"/>
  <c r="Z25" i="20"/>
  <c r="W25" i="20"/>
  <c r="AA25" i="20"/>
  <c r="T25" i="20"/>
  <c r="X25" i="20"/>
  <c r="AB25" i="20"/>
  <c r="T399" i="20"/>
  <c r="X399" i="20"/>
  <c r="AB399" i="20"/>
  <c r="U399" i="20"/>
  <c r="Y399" i="20"/>
  <c r="AC399" i="20"/>
  <c r="V399" i="20"/>
  <c r="Z399" i="20"/>
  <c r="W399" i="20"/>
  <c r="AA399" i="20"/>
  <c r="U400" i="20"/>
  <c r="Y400" i="20"/>
  <c r="AC400" i="20"/>
  <c r="V400" i="20"/>
  <c r="Z400" i="20"/>
  <c r="W400" i="20"/>
  <c r="AA400" i="20"/>
  <c r="T400" i="20"/>
  <c r="X400" i="20"/>
  <c r="AB400" i="20"/>
  <c r="V401" i="20"/>
  <c r="Z401" i="20"/>
  <c r="W401" i="20"/>
  <c r="AA401" i="20"/>
  <c r="T401" i="20"/>
  <c r="X401" i="20"/>
  <c r="AB401" i="20"/>
  <c r="U401" i="20"/>
  <c r="Y401" i="20"/>
  <c r="AC401" i="20"/>
  <c r="W394" i="20"/>
  <c r="AA394" i="20"/>
  <c r="T394" i="20"/>
  <c r="X394" i="20"/>
  <c r="AB394" i="20"/>
  <c r="U394" i="20"/>
  <c r="Y394" i="20"/>
  <c r="AC394" i="20"/>
  <c r="V394" i="20"/>
  <c r="Z394" i="20"/>
  <c r="T395" i="20"/>
  <c r="X395" i="20"/>
  <c r="AB395" i="20"/>
  <c r="U395" i="20"/>
  <c r="Y395" i="20"/>
  <c r="AC395" i="20"/>
  <c r="V395" i="20"/>
  <c r="Z395" i="20"/>
  <c r="W395" i="20"/>
  <c r="AA395" i="20"/>
  <c r="U396" i="20"/>
  <c r="Y396" i="20"/>
  <c r="AC396" i="20"/>
  <c r="V396" i="20"/>
  <c r="Z396" i="20"/>
  <c r="W396" i="20"/>
  <c r="AA396" i="20"/>
  <c r="T396" i="20"/>
  <c r="X396" i="20"/>
  <c r="AB396" i="20"/>
  <c r="V397" i="20"/>
  <c r="Z397" i="20"/>
  <c r="W397" i="20"/>
  <c r="AA397" i="20"/>
  <c r="T397" i="20"/>
  <c r="X397" i="20"/>
  <c r="AB397" i="20"/>
  <c r="U397" i="20"/>
  <c r="Y397" i="20"/>
  <c r="AC397" i="20"/>
  <c r="W398" i="20"/>
  <c r="AA398" i="20"/>
  <c r="T398" i="20"/>
  <c r="X398" i="20"/>
  <c r="AB398" i="20"/>
  <c r="U398" i="20"/>
  <c r="Y398" i="20"/>
  <c r="AC398" i="20"/>
  <c r="V398" i="20"/>
  <c r="Z398" i="20"/>
  <c r="V389" i="20"/>
  <c r="Z389" i="20"/>
  <c r="W389" i="20"/>
  <c r="AA389" i="20"/>
  <c r="T389" i="20"/>
  <c r="X389" i="20"/>
  <c r="AB389" i="20"/>
  <c r="U389" i="20"/>
  <c r="Y389" i="20"/>
  <c r="AC389" i="20"/>
  <c r="W390" i="20"/>
  <c r="AA390" i="20"/>
  <c r="T390" i="20"/>
  <c r="X390" i="20"/>
  <c r="AB390" i="20"/>
  <c r="U390" i="20"/>
  <c r="Y390" i="20"/>
  <c r="AC390" i="20"/>
  <c r="V390" i="20"/>
  <c r="Z390" i="20"/>
  <c r="T391" i="20"/>
  <c r="X391" i="20"/>
  <c r="AB391" i="20"/>
  <c r="U391" i="20"/>
  <c r="Y391" i="20"/>
  <c r="AC391" i="20"/>
  <c r="V391" i="20"/>
  <c r="Z391" i="20"/>
  <c r="W391" i="20"/>
  <c r="AA391" i="20"/>
  <c r="U392" i="20"/>
  <c r="Y392" i="20"/>
  <c r="AC392" i="20"/>
  <c r="V392" i="20"/>
  <c r="Z392" i="20"/>
  <c r="W392" i="20"/>
  <c r="AA392" i="20"/>
  <c r="T392" i="20"/>
  <c r="X392" i="20"/>
  <c r="AB392" i="20"/>
  <c r="V393" i="20"/>
  <c r="Z393" i="20"/>
  <c r="W393" i="20"/>
  <c r="AA393" i="20"/>
  <c r="T393" i="20"/>
  <c r="X393" i="20"/>
  <c r="AB393" i="20"/>
  <c r="U393" i="20"/>
  <c r="Y393" i="20"/>
  <c r="AC393" i="20"/>
  <c r="T383" i="20"/>
  <c r="X383" i="20"/>
  <c r="AB383" i="20"/>
  <c r="U383" i="20"/>
  <c r="Y383" i="20"/>
  <c r="AC383" i="20"/>
  <c r="V383" i="20"/>
  <c r="Z383" i="20"/>
  <c r="W383" i="20"/>
  <c r="AA383" i="20"/>
  <c r="U384" i="20"/>
  <c r="Y384" i="20"/>
  <c r="AC384" i="20"/>
  <c r="V384" i="20"/>
  <c r="Z384" i="20"/>
  <c r="W384" i="20"/>
  <c r="AA384" i="20"/>
  <c r="T384" i="20"/>
  <c r="X384" i="20"/>
  <c r="AB384" i="20"/>
  <c r="V385" i="20"/>
  <c r="Z385" i="20"/>
  <c r="W385" i="20"/>
  <c r="AA385" i="20"/>
  <c r="T385" i="20"/>
  <c r="X385" i="20"/>
  <c r="AB385" i="20"/>
  <c r="U385" i="20"/>
  <c r="Y385" i="20"/>
  <c r="AC385" i="20"/>
  <c r="W386" i="20"/>
  <c r="AA386" i="20"/>
  <c r="T386" i="20"/>
  <c r="X386" i="20"/>
  <c r="AB386" i="20"/>
  <c r="U386" i="20"/>
  <c r="Y386" i="20"/>
  <c r="AC386" i="20"/>
  <c r="V386" i="20"/>
  <c r="Z386" i="20"/>
  <c r="T387" i="20"/>
  <c r="X387" i="20"/>
  <c r="AB387" i="20"/>
  <c r="U387" i="20"/>
  <c r="Y387" i="20"/>
  <c r="AC387" i="20"/>
  <c r="V387" i="20"/>
  <c r="Z387" i="20"/>
  <c r="W387" i="20"/>
  <c r="AA387" i="20"/>
  <c r="U388" i="20"/>
  <c r="Y388" i="20"/>
  <c r="AC388" i="20"/>
  <c r="V388" i="20"/>
  <c r="Z388" i="20"/>
  <c r="W388" i="20"/>
  <c r="AA388" i="20"/>
  <c r="T388" i="20"/>
  <c r="X388" i="20"/>
  <c r="AB388" i="20"/>
  <c r="T376" i="20"/>
  <c r="X376" i="20"/>
  <c r="AB376" i="20"/>
  <c r="Y376" i="20"/>
  <c r="U376" i="20"/>
  <c r="Z376" i="20"/>
  <c r="V376" i="20"/>
  <c r="AA376" i="20"/>
  <c r="W376" i="20"/>
  <c r="AC376" i="20"/>
  <c r="U377" i="20"/>
  <c r="Y377" i="20"/>
  <c r="AC377" i="20"/>
  <c r="X377" i="20"/>
  <c r="T377" i="20"/>
  <c r="Z377" i="20"/>
  <c r="V377" i="20"/>
  <c r="AA377" i="20"/>
  <c r="W377" i="20"/>
  <c r="AB377" i="20"/>
  <c r="W378" i="20"/>
  <c r="AA378" i="20"/>
  <c r="T378" i="20"/>
  <c r="X378" i="20"/>
  <c r="AB378" i="20"/>
  <c r="U378" i="20"/>
  <c r="Y378" i="20"/>
  <c r="AC378" i="20"/>
  <c r="V378" i="20"/>
  <c r="Z378" i="20"/>
  <c r="T379" i="20"/>
  <c r="X379" i="20"/>
  <c r="AB379" i="20"/>
  <c r="U379" i="20"/>
  <c r="Y379" i="20"/>
  <c r="AC379" i="20"/>
  <c r="V379" i="20"/>
  <c r="Z379" i="20"/>
  <c r="W379" i="20"/>
  <c r="AA379" i="20"/>
  <c r="U380" i="20"/>
  <c r="Y380" i="20"/>
  <c r="AC380" i="20"/>
  <c r="V380" i="20"/>
  <c r="Z380" i="20"/>
  <c r="W380" i="20"/>
  <c r="AA380" i="20"/>
  <c r="T380" i="20"/>
  <c r="X380" i="20"/>
  <c r="AB380" i="20"/>
  <c r="V381" i="20"/>
  <c r="Z381" i="20"/>
  <c r="W381" i="20"/>
  <c r="AA381" i="20"/>
  <c r="T381" i="20"/>
  <c r="X381" i="20"/>
  <c r="AB381" i="20"/>
  <c r="U381" i="20"/>
  <c r="Y381" i="20"/>
  <c r="AC381" i="20"/>
  <c r="W382" i="20"/>
  <c r="AA382" i="20"/>
  <c r="T382" i="20"/>
  <c r="X382" i="20"/>
  <c r="AB382" i="20"/>
  <c r="U382" i="20"/>
  <c r="Y382" i="20"/>
  <c r="AC382" i="20"/>
  <c r="V382" i="20"/>
  <c r="Z382" i="20"/>
  <c r="T372" i="20"/>
  <c r="X372" i="20"/>
  <c r="AB372" i="20"/>
  <c r="U372" i="20"/>
  <c r="Z372" i="20"/>
  <c r="V372" i="20"/>
  <c r="AA372" i="20"/>
  <c r="W372" i="20"/>
  <c r="AC372" i="20"/>
  <c r="Y372" i="20"/>
  <c r="U373" i="20"/>
  <c r="Y373" i="20"/>
  <c r="AC373" i="20"/>
  <c r="T373" i="20"/>
  <c r="Z373" i="20"/>
  <c r="V373" i="20"/>
  <c r="AA373" i="20"/>
  <c r="W373" i="20"/>
  <c r="AB373" i="20"/>
  <c r="X373" i="20"/>
  <c r="V374" i="20"/>
  <c r="Z374" i="20"/>
  <c r="T374" i="20"/>
  <c r="Y374" i="20"/>
  <c r="U374" i="20"/>
  <c r="AA374" i="20"/>
  <c r="W374" i="20"/>
  <c r="AB374" i="20"/>
  <c r="X374" i="20"/>
  <c r="AC374" i="20"/>
  <c r="W375" i="20"/>
  <c r="AA375" i="20"/>
  <c r="T375" i="20"/>
  <c r="Y375" i="20"/>
  <c r="U375" i="20"/>
  <c r="Z375" i="20"/>
  <c r="V375" i="20"/>
  <c r="AB375" i="20"/>
  <c r="X375" i="20"/>
  <c r="AC375" i="20"/>
  <c r="V362" i="20"/>
  <c r="Z362" i="20"/>
  <c r="X362" i="20"/>
  <c r="AC362" i="20"/>
  <c r="T362" i="20"/>
  <c r="Y362" i="20"/>
  <c r="U362" i="20"/>
  <c r="AA362" i="20"/>
  <c r="W362" i="20"/>
  <c r="AB362" i="20"/>
  <c r="W363" i="20"/>
  <c r="AA363" i="20"/>
  <c r="X363" i="20"/>
  <c r="AC363" i="20"/>
  <c r="T363" i="20"/>
  <c r="Y363" i="20"/>
  <c r="U363" i="20"/>
  <c r="Z363" i="20"/>
  <c r="V363" i="20"/>
  <c r="AB363" i="20"/>
  <c r="T364" i="20"/>
  <c r="X364" i="20"/>
  <c r="AB364" i="20"/>
  <c r="W364" i="20"/>
  <c r="AC364" i="20"/>
  <c r="Y364" i="20"/>
  <c r="U364" i="20"/>
  <c r="Z364" i="20"/>
  <c r="V364" i="20"/>
  <c r="AA364" i="20"/>
  <c r="U365" i="20"/>
  <c r="Y365" i="20"/>
  <c r="AC365" i="20"/>
  <c r="W365" i="20"/>
  <c r="AB365" i="20"/>
  <c r="X365" i="20"/>
  <c r="T365" i="20"/>
  <c r="Z365" i="20"/>
  <c r="V365" i="20"/>
  <c r="AA365" i="20"/>
  <c r="V366" i="20"/>
  <c r="Z366" i="20"/>
  <c r="W366" i="20"/>
  <c r="AB366" i="20"/>
  <c r="X366" i="20"/>
  <c r="AC366" i="20"/>
  <c r="T366" i="20"/>
  <c r="Y366" i="20"/>
  <c r="U366" i="20"/>
  <c r="AA366" i="20"/>
  <c r="W367" i="20"/>
  <c r="AA367" i="20"/>
  <c r="V367" i="20"/>
  <c r="AB367" i="20"/>
  <c r="X367" i="20"/>
  <c r="AC367" i="20"/>
  <c r="T367" i="20"/>
  <c r="Y367" i="20"/>
  <c r="U367" i="20"/>
  <c r="Z367" i="20"/>
  <c r="T368" i="20"/>
  <c r="X368" i="20"/>
  <c r="AB368" i="20"/>
  <c r="V368" i="20"/>
  <c r="AA368" i="20"/>
  <c r="W368" i="20"/>
  <c r="AC368" i="20"/>
  <c r="Y368" i="20"/>
  <c r="U368" i="20"/>
  <c r="Z368" i="20"/>
  <c r="U369" i="20"/>
  <c r="Y369" i="20"/>
  <c r="AC369" i="20"/>
  <c r="V369" i="20"/>
  <c r="AA369" i="20"/>
  <c r="W369" i="20"/>
  <c r="AB369" i="20"/>
  <c r="X369" i="20"/>
  <c r="T369" i="20"/>
  <c r="Z369" i="20"/>
  <c r="V370" i="20"/>
  <c r="Z370" i="20"/>
  <c r="U370" i="20"/>
  <c r="AA370" i="20"/>
  <c r="W370" i="20"/>
  <c r="AB370" i="20"/>
  <c r="X370" i="20"/>
  <c r="AC370" i="20"/>
  <c r="T370" i="20"/>
  <c r="Y370" i="20"/>
  <c r="W371" i="20"/>
  <c r="AA371" i="20"/>
  <c r="U371" i="20"/>
  <c r="Z371" i="20"/>
  <c r="V371" i="20"/>
  <c r="AB371" i="20"/>
  <c r="X371" i="20"/>
  <c r="AC371" i="20"/>
  <c r="T371" i="20"/>
  <c r="Y371" i="20"/>
  <c r="T356" i="20"/>
  <c r="X356" i="20"/>
  <c r="AB356" i="20"/>
  <c r="U356" i="20"/>
  <c r="Z356" i="20"/>
  <c r="V356" i="20"/>
  <c r="AA356" i="20"/>
  <c r="W356" i="20"/>
  <c r="AC356" i="20"/>
  <c r="Y356" i="20"/>
  <c r="U357" i="20"/>
  <c r="Y357" i="20"/>
  <c r="AC357" i="20"/>
  <c r="T357" i="20"/>
  <c r="Z357" i="20"/>
  <c r="V357" i="20"/>
  <c r="AA357" i="20"/>
  <c r="W357" i="20"/>
  <c r="AB357" i="20"/>
  <c r="X357" i="20"/>
  <c r="V358" i="20"/>
  <c r="Z358" i="20"/>
  <c r="T358" i="20"/>
  <c r="Y358" i="20"/>
  <c r="U358" i="20"/>
  <c r="AA358" i="20"/>
  <c r="W358" i="20"/>
  <c r="AB358" i="20"/>
  <c r="X358" i="20"/>
  <c r="AC358" i="20"/>
  <c r="W359" i="20"/>
  <c r="AA359" i="20"/>
  <c r="T359" i="20"/>
  <c r="Y359" i="20"/>
  <c r="U359" i="20"/>
  <c r="Z359" i="20"/>
  <c r="V359" i="20"/>
  <c r="AB359" i="20"/>
  <c r="X359" i="20"/>
  <c r="AC359" i="20"/>
  <c r="T360" i="20"/>
  <c r="X360" i="20"/>
  <c r="AB360" i="20"/>
  <c r="Y360" i="20"/>
  <c r="U360" i="20"/>
  <c r="Z360" i="20"/>
  <c r="V360" i="20"/>
  <c r="AA360" i="20"/>
  <c r="W360" i="20"/>
  <c r="AC360" i="20"/>
  <c r="U361" i="20"/>
  <c r="Y361" i="20"/>
  <c r="AC361" i="20"/>
  <c r="X361" i="20"/>
  <c r="T361" i="20"/>
  <c r="Z361" i="20"/>
  <c r="V361" i="20"/>
  <c r="AA361" i="20"/>
  <c r="W361" i="20"/>
  <c r="AB361" i="20"/>
  <c r="W355" i="20"/>
  <c r="AA355" i="20"/>
  <c r="U355" i="20"/>
  <c r="Z355" i="20"/>
  <c r="V355" i="20"/>
  <c r="AB355" i="20"/>
  <c r="X355" i="20"/>
  <c r="AC355" i="20"/>
  <c r="T355" i="20"/>
  <c r="Y355" i="20"/>
  <c r="V354" i="20"/>
  <c r="Z354" i="20"/>
  <c r="U354" i="20"/>
  <c r="AA354" i="20"/>
  <c r="W354" i="20"/>
  <c r="AB354" i="20"/>
  <c r="X354" i="20"/>
  <c r="AC354" i="20"/>
  <c r="T354" i="20"/>
  <c r="Y354" i="20"/>
  <c r="T352" i="20"/>
  <c r="X352" i="20"/>
  <c r="AB352" i="20"/>
  <c r="V352" i="20"/>
  <c r="AA352" i="20"/>
  <c r="W352" i="20"/>
  <c r="AC352" i="20"/>
  <c r="Y352" i="20"/>
  <c r="U352" i="20"/>
  <c r="Z352" i="20"/>
  <c r="U353" i="20"/>
  <c r="Y353" i="20"/>
  <c r="AC353" i="20"/>
  <c r="V353" i="20"/>
  <c r="AA353" i="20"/>
  <c r="AB353" i="20"/>
  <c r="W353" i="20"/>
  <c r="X353" i="20"/>
  <c r="T353" i="20"/>
  <c r="Z353" i="20"/>
  <c r="W351" i="20"/>
  <c r="AA351" i="20"/>
  <c r="V351" i="20"/>
  <c r="AB351" i="20"/>
  <c r="X351" i="20"/>
  <c r="AC351" i="20"/>
  <c r="T351" i="20"/>
  <c r="Y351" i="20"/>
  <c r="U351" i="20"/>
  <c r="Z351" i="20"/>
  <c r="V350" i="20"/>
  <c r="Z350" i="20"/>
  <c r="W350" i="20"/>
  <c r="AB350" i="20"/>
  <c r="X350" i="20"/>
  <c r="AC350" i="20"/>
  <c r="T350" i="20"/>
  <c r="Y350" i="20"/>
  <c r="U350" i="20"/>
  <c r="AA350" i="20"/>
  <c r="T348" i="20"/>
  <c r="X348" i="20"/>
  <c r="AB348" i="20"/>
  <c r="W348" i="20"/>
  <c r="AC348" i="20"/>
  <c r="Y348" i="20"/>
  <c r="U348" i="20"/>
  <c r="Z348" i="20"/>
  <c r="V348" i="20"/>
  <c r="AA348" i="20"/>
  <c r="U349" i="20"/>
  <c r="Y349" i="20"/>
  <c r="AC349" i="20"/>
  <c r="W349" i="20"/>
  <c r="AB349" i="20"/>
  <c r="X349" i="20"/>
  <c r="T349" i="20"/>
  <c r="Z349" i="20"/>
  <c r="V349" i="20"/>
  <c r="AA349" i="20"/>
  <c r="W347" i="20"/>
  <c r="AA347" i="20"/>
  <c r="X347" i="20"/>
  <c r="AC347" i="20"/>
  <c r="T347" i="20"/>
  <c r="Y347" i="20"/>
  <c r="U347" i="20"/>
  <c r="Z347" i="20"/>
  <c r="V347" i="20"/>
  <c r="AB347" i="20"/>
  <c r="V346" i="20"/>
  <c r="Z346" i="20"/>
  <c r="X346" i="20"/>
  <c r="AC346" i="20"/>
  <c r="T346" i="20"/>
  <c r="Y346" i="20"/>
  <c r="U346" i="20"/>
  <c r="AA346" i="20"/>
  <c r="W346" i="20"/>
  <c r="AB346" i="20"/>
  <c r="U345" i="20"/>
  <c r="Y345" i="20"/>
  <c r="AC345" i="20"/>
  <c r="X345" i="20"/>
  <c r="T345" i="20"/>
  <c r="Z345" i="20"/>
  <c r="V345" i="20"/>
  <c r="AA345" i="20"/>
  <c r="W345" i="20"/>
  <c r="AB345" i="20"/>
  <c r="W343" i="20"/>
  <c r="AA343" i="20"/>
  <c r="T343" i="20"/>
  <c r="Y343" i="20"/>
  <c r="U343" i="20"/>
  <c r="Z343" i="20"/>
  <c r="V343" i="20"/>
  <c r="AB343" i="20"/>
  <c r="X343" i="20"/>
  <c r="AC343" i="20"/>
  <c r="T344" i="20"/>
  <c r="X344" i="20"/>
  <c r="AB344" i="20"/>
  <c r="Y344" i="20"/>
  <c r="U344" i="20"/>
  <c r="Z344" i="20"/>
  <c r="V344" i="20"/>
  <c r="AA344" i="20"/>
  <c r="W344" i="20"/>
  <c r="AC344" i="20"/>
  <c r="U341" i="20"/>
  <c r="Y341" i="20"/>
  <c r="AC341" i="20"/>
  <c r="T341" i="20"/>
  <c r="Z341" i="20"/>
  <c r="V341" i="20"/>
  <c r="AA341" i="20"/>
  <c r="W341" i="20"/>
  <c r="AB341" i="20"/>
  <c r="X341" i="20"/>
  <c r="V342" i="20"/>
  <c r="Z342" i="20"/>
  <c r="T342" i="20"/>
  <c r="Y342" i="20"/>
  <c r="U342" i="20"/>
  <c r="AA342" i="20"/>
  <c r="W342" i="20"/>
  <c r="AB342" i="20"/>
  <c r="X342" i="20"/>
  <c r="AC342" i="20"/>
  <c r="W340" i="20"/>
  <c r="T340" i="20"/>
  <c r="X340" i="20"/>
  <c r="AB340" i="20"/>
  <c r="Z340" i="20"/>
  <c r="U340" i="20"/>
  <c r="AA340" i="20"/>
  <c r="V340" i="20"/>
  <c r="AC340" i="20"/>
  <c r="Y340" i="20"/>
  <c r="V339" i="20"/>
  <c r="Z339" i="20"/>
  <c r="W339" i="20"/>
  <c r="AA339" i="20"/>
  <c r="U339" i="20"/>
  <c r="AC339" i="20"/>
  <c r="X339" i="20"/>
  <c r="Y339" i="20"/>
  <c r="T339" i="20"/>
  <c r="AB339" i="20"/>
  <c r="U335" i="20"/>
  <c r="V335" i="20"/>
  <c r="Z335" i="20"/>
  <c r="W335" i="20"/>
  <c r="AA335" i="20"/>
  <c r="Y335" i="20"/>
  <c r="AB335" i="20"/>
  <c r="T335" i="20"/>
  <c r="AC335" i="20"/>
  <c r="X335" i="20"/>
  <c r="W336" i="20"/>
  <c r="AA336" i="20"/>
  <c r="T336" i="20"/>
  <c r="X336" i="20"/>
  <c r="AB336" i="20"/>
  <c r="V336" i="20"/>
  <c r="Y336" i="20"/>
  <c r="Z336" i="20"/>
  <c r="U336" i="20"/>
  <c r="AC336" i="20"/>
  <c r="T337" i="20"/>
  <c r="X337" i="20"/>
  <c r="AB337" i="20"/>
  <c r="U337" i="20"/>
  <c r="Y337" i="20"/>
  <c r="AC337" i="20"/>
  <c r="AA337" i="20"/>
  <c r="V337" i="20"/>
  <c r="W337" i="20"/>
  <c r="Z337" i="20"/>
  <c r="U338" i="20"/>
  <c r="Y338" i="20"/>
  <c r="AC338" i="20"/>
  <c r="V338" i="20"/>
  <c r="Z338" i="20"/>
  <c r="X338" i="20"/>
  <c r="AA338" i="20"/>
  <c r="T338" i="20"/>
  <c r="AB338" i="20"/>
  <c r="W338" i="20"/>
  <c r="T334" i="20"/>
  <c r="X334" i="20"/>
  <c r="AB334" i="20"/>
  <c r="U334" i="20"/>
  <c r="Y334" i="20"/>
  <c r="AC334" i="20"/>
  <c r="V334" i="20"/>
  <c r="Z334" i="20"/>
  <c r="W334" i="20"/>
  <c r="AA334" i="20"/>
  <c r="W333" i="20"/>
  <c r="AA333" i="20"/>
  <c r="T333" i="20"/>
  <c r="X333" i="20"/>
  <c r="AB333" i="20"/>
  <c r="U333" i="20"/>
  <c r="Y333" i="20"/>
  <c r="AC333" i="20"/>
  <c r="V333" i="20"/>
  <c r="Z333" i="20"/>
  <c r="V332" i="20"/>
  <c r="Z332" i="20"/>
  <c r="W332" i="20"/>
  <c r="AA332" i="20"/>
  <c r="T332" i="20"/>
  <c r="X332" i="20"/>
  <c r="AB332" i="20"/>
  <c r="AC332" i="20"/>
  <c r="U332" i="20"/>
  <c r="Y332" i="20"/>
  <c r="U331" i="20"/>
  <c r="Y331" i="20"/>
  <c r="AC331" i="20"/>
  <c r="V331" i="20"/>
  <c r="Z331" i="20"/>
  <c r="W331" i="20"/>
  <c r="AA331" i="20"/>
  <c r="X331" i="20"/>
  <c r="AB331" i="20"/>
  <c r="T331" i="20"/>
  <c r="W329" i="20"/>
  <c r="AA329" i="20"/>
  <c r="T329" i="20"/>
  <c r="X329" i="20"/>
  <c r="AB329" i="20"/>
  <c r="U329" i="20"/>
  <c r="Y329" i="20"/>
  <c r="AC329" i="20"/>
  <c r="V329" i="20"/>
  <c r="Z329" i="20"/>
  <c r="T330" i="20"/>
  <c r="X330" i="20"/>
  <c r="AB330" i="20"/>
  <c r="U330" i="20"/>
  <c r="Y330" i="20"/>
  <c r="AC330" i="20"/>
  <c r="V330" i="20"/>
  <c r="Z330" i="20"/>
  <c r="W330" i="20"/>
  <c r="AA330" i="20"/>
  <c r="T326" i="20"/>
  <c r="X326" i="20"/>
  <c r="AB326" i="20"/>
  <c r="U326" i="20"/>
  <c r="Y326" i="20"/>
  <c r="AC326" i="20"/>
  <c r="V326" i="20"/>
  <c r="Z326" i="20"/>
  <c r="W326" i="20"/>
  <c r="AA326" i="20"/>
  <c r="U327" i="20"/>
  <c r="Y327" i="20"/>
  <c r="AC327" i="20"/>
  <c r="V327" i="20"/>
  <c r="Z327" i="20"/>
  <c r="W327" i="20"/>
  <c r="AA327" i="20"/>
  <c r="T327" i="20"/>
  <c r="X327" i="20"/>
  <c r="AB327" i="20"/>
  <c r="V328" i="20"/>
  <c r="Z328" i="20"/>
  <c r="W328" i="20"/>
  <c r="AA328" i="20"/>
  <c r="T328" i="20"/>
  <c r="X328" i="20"/>
  <c r="AB328" i="20"/>
  <c r="Y328" i="20"/>
  <c r="AC328" i="20"/>
  <c r="U328" i="20"/>
  <c r="W325" i="20"/>
  <c r="AA325" i="20"/>
  <c r="T325" i="20"/>
  <c r="X325" i="20"/>
  <c r="AB325" i="20"/>
  <c r="U325" i="20"/>
  <c r="Y325" i="20"/>
  <c r="AC325" i="20"/>
  <c r="Z325" i="20"/>
  <c r="V325" i="20"/>
  <c r="V324" i="20"/>
  <c r="Z324" i="20"/>
  <c r="W324" i="20"/>
  <c r="AA324" i="20"/>
  <c r="T324" i="20"/>
  <c r="X324" i="20"/>
  <c r="AB324" i="20"/>
  <c r="U324" i="20"/>
  <c r="Y324" i="20"/>
  <c r="AC324" i="20"/>
  <c r="U323" i="20"/>
  <c r="Y323" i="20"/>
  <c r="AC323" i="20"/>
  <c r="V323" i="20"/>
  <c r="Z323" i="20"/>
  <c r="W323" i="20"/>
  <c r="AA323" i="20"/>
  <c r="T323" i="20"/>
  <c r="X323" i="20"/>
  <c r="AB323" i="20"/>
  <c r="W317" i="20"/>
  <c r="AA317" i="20"/>
  <c r="T317" i="20"/>
  <c r="X317" i="20"/>
  <c r="AB317" i="20"/>
  <c r="U317" i="20"/>
  <c r="Y317" i="20"/>
  <c r="AC317" i="20"/>
  <c r="V317" i="20"/>
  <c r="Z317" i="20"/>
  <c r="T318" i="20"/>
  <c r="X318" i="20"/>
  <c r="AB318" i="20"/>
  <c r="U318" i="20"/>
  <c r="Y318" i="20"/>
  <c r="AC318" i="20"/>
  <c r="V318" i="20"/>
  <c r="Z318" i="20"/>
  <c r="W318" i="20"/>
  <c r="AA318" i="20"/>
  <c r="U319" i="20"/>
  <c r="Y319" i="20"/>
  <c r="AC319" i="20"/>
  <c r="V319" i="20"/>
  <c r="Z319" i="20"/>
  <c r="W319" i="20"/>
  <c r="AA319" i="20"/>
  <c r="AB319" i="20"/>
  <c r="T319" i="20"/>
  <c r="X319" i="20"/>
  <c r="V320" i="20"/>
  <c r="Z320" i="20"/>
  <c r="W320" i="20"/>
  <c r="AA320" i="20"/>
  <c r="T320" i="20"/>
  <c r="X320" i="20"/>
  <c r="AB320" i="20"/>
  <c r="U320" i="20"/>
  <c r="Y320" i="20"/>
  <c r="AC320" i="20"/>
  <c r="W321" i="20"/>
  <c r="AA321" i="20"/>
  <c r="T321" i="20"/>
  <c r="X321" i="20"/>
  <c r="AB321" i="20"/>
  <c r="U321" i="20"/>
  <c r="Y321" i="20"/>
  <c r="AC321" i="20"/>
  <c r="V321" i="20"/>
  <c r="Z321" i="20"/>
  <c r="T322" i="20"/>
  <c r="X322" i="20"/>
  <c r="AB322" i="20"/>
  <c r="U322" i="20"/>
  <c r="Y322" i="20"/>
  <c r="AC322" i="20"/>
  <c r="V322" i="20"/>
  <c r="Z322" i="20"/>
  <c r="AA322" i="20"/>
  <c r="W322" i="20"/>
  <c r="U311" i="20"/>
  <c r="Y311" i="20"/>
  <c r="AC311" i="20"/>
  <c r="V311" i="20"/>
  <c r="Z311" i="20"/>
  <c r="W311" i="20"/>
  <c r="AA311" i="20"/>
  <c r="T311" i="20"/>
  <c r="X311" i="20"/>
  <c r="AB311" i="20"/>
  <c r="V312" i="20"/>
  <c r="Z312" i="20"/>
  <c r="W312" i="20"/>
  <c r="AA312" i="20"/>
  <c r="T312" i="20"/>
  <c r="X312" i="20"/>
  <c r="AB312" i="20"/>
  <c r="Y312" i="20"/>
  <c r="AC312" i="20"/>
  <c r="U312" i="20"/>
  <c r="W313" i="20"/>
  <c r="AA313" i="20"/>
  <c r="T313" i="20"/>
  <c r="X313" i="20"/>
  <c r="AB313" i="20"/>
  <c r="U313" i="20"/>
  <c r="Y313" i="20"/>
  <c r="AC313" i="20"/>
  <c r="V313" i="20"/>
  <c r="Z313" i="20"/>
  <c r="T314" i="20"/>
  <c r="X314" i="20"/>
  <c r="AB314" i="20"/>
  <c r="U314" i="20"/>
  <c r="Y314" i="20"/>
  <c r="AC314" i="20"/>
  <c r="V314" i="20"/>
  <c r="Z314" i="20"/>
  <c r="W314" i="20"/>
  <c r="AA314" i="20"/>
  <c r="U315" i="20"/>
  <c r="Y315" i="20"/>
  <c r="AC315" i="20"/>
  <c r="V315" i="20"/>
  <c r="Z315" i="20"/>
  <c r="W315" i="20"/>
  <c r="AA315" i="20"/>
  <c r="X315" i="20"/>
  <c r="AB315" i="20"/>
  <c r="T315" i="20"/>
  <c r="V316" i="20"/>
  <c r="Z316" i="20"/>
  <c r="W316" i="20"/>
  <c r="AA316" i="20"/>
  <c r="T316" i="20"/>
  <c r="X316" i="20"/>
  <c r="AB316" i="20"/>
  <c r="AC316" i="20"/>
  <c r="U316" i="20"/>
  <c r="Y316" i="20"/>
  <c r="V304" i="20"/>
  <c r="Z304" i="20"/>
  <c r="W304" i="20"/>
  <c r="AA304" i="20"/>
  <c r="T304" i="20"/>
  <c r="X304" i="20"/>
  <c r="AB304" i="20"/>
  <c r="U304" i="20"/>
  <c r="Y304" i="20"/>
  <c r="AC304" i="20"/>
  <c r="W305" i="20"/>
  <c r="AA305" i="20"/>
  <c r="T305" i="20"/>
  <c r="X305" i="20"/>
  <c r="AB305" i="20"/>
  <c r="U305" i="20"/>
  <c r="Y305" i="20"/>
  <c r="AC305" i="20"/>
  <c r="V305" i="20"/>
  <c r="Z305" i="20"/>
  <c r="T306" i="20"/>
  <c r="X306" i="20"/>
  <c r="AB306" i="20"/>
  <c r="U306" i="20"/>
  <c r="Y306" i="20"/>
  <c r="AC306" i="20"/>
  <c r="V306" i="20"/>
  <c r="Z306" i="20"/>
  <c r="AA306" i="20"/>
  <c r="W306" i="20"/>
  <c r="U307" i="20"/>
  <c r="Y307" i="20"/>
  <c r="AC307" i="20"/>
  <c r="V307" i="20"/>
  <c r="Z307" i="20"/>
  <c r="W307" i="20"/>
  <c r="AA307" i="20"/>
  <c r="T307" i="20"/>
  <c r="X307" i="20"/>
  <c r="AB307" i="20"/>
  <c r="V308" i="20"/>
  <c r="Z308" i="20"/>
  <c r="W308" i="20"/>
  <c r="AA308" i="20"/>
  <c r="T308" i="20"/>
  <c r="X308" i="20"/>
  <c r="AB308" i="20"/>
  <c r="U308" i="20"/>
  <c r="Y308" i="20"/>
  <c r="AC308" i="20"/>
  <c r="W309" i="20"/>
  <c r="AA309" i="20"/>
  <c r="T309" i="20"/>
  <c r="X309" i="20"/>
  <c r="AB309" i="20"/>
  <c r="U309" i="20"/>
  <c r="Y309" i="20"/>
  <c r="AC309" i="20"/>
  <c r="Z309" i="20"/>
  <c r="V309" i="20"/>
  <c r="T310" i="20"/>
  <c r="X310" i="20"/>
  <c r="AB310" i="20"/>
  <c r="U310" i="20"/>
  <c r="Y310" i="20"/>
  <c r="AC310" i="20"/>
  <c r="V310" i="20"/>
  <c r="Z310" i="20"/>
  <c r="W310" i="20"/>
  <c r="AA310" i="20"/>
  <c r="U303" i="20"/>
  <c r="Y303" i="20"/>
  <c r="AC303" i="20"/>
  <c r="V303" i="20"/>
  <c r="Z303" i="20"/>
  <c r="W303" i="20"/>
  <c r="AA303" i="20"/>
  <c r="AB303" i="20"/>
  <c r="T303" i="20"/>
  <c r="X303" i="20"/>
  <c r="T302" i="20"/>
  <c r="X302" i="20"/>
  <c r="AB302" i="20"/>
  <c r="U302" i="20"/>
  <c r="Y302" i="20"/>
  <c r="AC302" i="20"/>
  <c r="V302" i="20"/>
  <c r="Z302" i="20"/>
  <c r="W302" i="20"/>
  <c r="AA302" i="20"/>
  <c r="V300" i="20"/>
  <c r="Z300" i="20"/>
  <c r="W300" i="20"/>
  <c r="AA300" i="20"/>
  <c r="T300" i="20"/>
  <c r="X300" i="20"/>
  <c r="AB300" i="20"/>
  <c r="AC300" i="20"/>
  <c r="U300" i="20"/>
  <c r="Y300" i="20"/>
  <c r="W301" i="20"/>
  <c r="AA301" i="20"/>
  <c r="T301" i="20"/>
  <c r="X301" i="20"/>
  <c r="AB301" i="20"/>
  <c r="U301" i="20"/>
  <c r="Y301" i="20"/>
  <c r="AC301" i="20"/>
  <c r="V301" i="20"/>
  <c r="Z301" i="20"/>
  <c r="V296" i="20"/>
  <c r="Z296" i="20"/>
  <c r="W296" i="20"/>
  <c r="AA296" i="20"/>
  <c r="T296" i="20"/>
  <c r="X296" i="20"/>
  <c r="AB296" i="20"/>
  <c r="Y296" i="20"/>
  <c r="AC296" i="20"/>
  <c r="U296" i="20"/>
  <c r="W297" i="20"/>
  <c r="AA297" i="20"/>
  <c r="T297" i="20"/>
  <c r="X297" i="20"/>
  <c r="AB297" i="20"/>
  <c r="U297" i="20"/>
  <c r="Y297" i="20"/>
  <c r="AC297" i="20"/>
  <c r="V297" i="20"/>
  <c r="Z297" i="20"/>
  <c r="T298" i="20"/>
  <c r="X298" i="20"/>
  <c r="AB298" i="20"/>
  <c r="U298" i="20"/>
  <c r="Y298" i="20"/>
  <c r="AC298" i="20"/>
  <c r="V298" i="20"/>
  <c r="Z298" i="20"/>
  <c r="W298" i="20"/>
  <c r="AA298" i="20"/>
  <c r="U299" i="20"/>
  <c r="Y299" i="20"/>
  <c r="AC299" i="20"/>
  <c r="V299" i="20"/>
  <c r="Z299" i="20"/>
  <c r="W299" i="20"/>
  <c r="AA299" i="20"/>
  <c r="X299" i="20"/>
  <c r="AB299" i="20"/>
  <c r="T299" i="20"/>
  <c r="W277" i="20"/>
  <c r="AA277" i="20"/>
  <c r="T277" i="20"/>
  <c r="X277" i="20"/>
  <c r="AB277" i="20"/>
  <c r="U277" i="20"/>
  <c r="Y277" i="20"/>
  <c r="AC277" i="20"/>
  <c r="Z277" i="20"/>
  <c r="V277" i="20"/>
  <c r="T278" i="20"/>
  <c r="X278" i="20"/>
  <c r="AB278" i="20"/>
  <c r="U278" i="20"/>
  <c r="Y278" i="20"/>
  <c r="AC278" i="20"/>
  <c r="V278" i="20"/>
  <c r="Z278" i="20"/>
  <c r="W278" i="20"/>
  <c r="AA278" i="20"/>
  <c r="U279" i="20"/>
  <c r="Y279" i="20"/>
  <c r="AC279" i="20"/>
  <c r="V279" i="20"/>
  <c r="Z279" i="20"/>
  <c r="W279" i="20"/>
  <c r="AA279" i="20"/>
  <c r="T279" i="20"/>
  <c r="X279" i="20"/>
  <c r="AB279" i="20"/>
  <c r="V280" i="20"/>
  <c r="Z280" i="20"/>
  <c r="W280" i="20"/>
  <c r="AA280" i="20"/>
  <c r="T280" i="20"/>
  <c r="X280" i="20"/>
  <c r="AB280" i="20"/>
  <c r="Y280" i="20"/>
  <c r="AC280" i="20"/>
  <c r="U280" i="20"/>
  <c r="W281" i="20"/>
  <c r="AA281" i="20"/>
  <c r="T281" i="20"/>
  <c r="X281" i="20"/>
  <c r="AB281" i="20"/>
  <c r="U281" i="20"/>
  <c r="Y281" i="20"/>
  <c r="AC281" i="20"/>
  <c r="V281" i="20"/>
  <c r="Z281" i="20"/>
  <c r="T282" i="20"/>
  <c r="X282" i="20"/>
  <c r="AB282" i="20"/>
  <c r="U282" i="20"/>
  <c r="Y282" i="20"/>
  <c r="AC282" i="20"/>
  <c r="V282" i="20"/>
  <c r="Z282" i="20"/>
  <c r="W282" i="20"/>
  <c r="AA282" i="20"/>
  <c r="U283" i="20"/>
  <c r="Y283" i="20"/>
  <c r="AC283" i="20"/>
  <c r="V283" i="20"/>
  <c r="Z283" i="20"/>
  <c r="W283" i="20"/>
  <c r="AA283" i="20"/>
  <c r="X283" i="20"/>
  <c r="AB283" i="20"/>
  <c r="T283" i="20"/>
  <c r="V284" i="20"/>
  <c r="Z284" i="20"/>
  <c r="W284" i="20"/>
  <c r="AA284" i="20"/>
  <c r="T284" i="20"/>
  <c r="X284" i="20"/>
  <c r="AB284" i="20"/>
  <c r="AC284" i="20"/>
  <c r="U284" i="20"/>
  <c r="Y284" i="20"/>
  <c r="W285" i="20"/>
  <c r="AA285" i="20"/>
  <c r="T285" i="20"/>
  <c r="X285" i="20"/>
  <c r="AB285" i="20"/>
  <c r="U285" i="20"/>
  <c r="Y285" i="20"/>
  <c r="AC285" i="20"/>
  <c r="V285" i="20"/>
  <c r="Z285" i="20"/>
  <c r="T286" i="20"/>
  <c r="X286" i="20"/>
  <c r="AB286" i="20"/>
  <c r="U286" i="20"/>
  <c r="Y286" i="20"/>
  <c r="AC286" i="20"/>
  <c r="V286" i="20"/>
  <c r="Z286" i="20"/>
  <c r="W286" i="20"/>
  <c r="AA286" i="20"/>
  <c r="U287" i="20"/>
  <c r="Y287" i="20"/>
  <c r="AC287" i="20"/>
  <c r="V287" i="20"/>
  <c r="Z287" i="20"/>
  <c r="W287" i="20"/>
  <c r="AA287" i="20"/>
  <c r="AB287" i="20"/>
  <c r="T287" i="20"/>
  <c r="X287" i="20"/>
  <c r="V288" i="20"/>
  <c r="Z288" i="20"/>
  <c r="W288" i="20"/>
  <c r="AA288" i="20"/>
  <c r="T288" i="20"/>
  <c r="X288" i="20"/>
  <c r="AB288" i="20"/>
  <c r="U288" i="20"/>
  <c r="Y288" i="20"/>
  <c r="AC288" i="20"/>
  <c r="W289" i="20"/>
  <c r="AA289" i="20"/>
  <c r="T289" i="20"/>
  <c r="X289" i="20"/>
  <c r="AB289" i="20"/>
  <c r="U289" i="20"/>
  <c r="Y289" i="20"/>
  <c r="AC289" i="20"/>
  <c r="V289" i="20"/>
  <c r="Z289" i="20"/>
  <c r="T290" i="20"/>
  <c r="X290" i="20"/>
  <c r="AB290" i="20"/>
  <c r="U290" i="20"/>
  <c r="Y290" i="20"/>
  <c r="AC290" i="20"/>
  <c r="V290" i="20"/>
  <c r="Z290" i="20"/>
  <c r="AA290" i="20"/>
  <c r="W290" i="20"/>
  <c r="U291" i="20"/>
  <c r="Y291" i="20"/>
  <c r="AC291" i="20"/>
  <c r="V291" i="20"/>
  <c r="Z291" i="20"/>
  <c r="W291" i="20"/>
  <c r="AA291" i="20"/>
  <c r="T291" i="20"/>
  <c r="X291" i="20"/>
  <c r="AB291" i="20"/>
  <c r="V292" i="20"/>
  <c r="Z292" i="20"/>
  <c r="W292" i="20"/>
  <c r="AA292" i="20"/>
  <c r="T292" i="20"/>
  <c r="X292" i="20"/>
  <c r="AB292" i="20"/>
  <c r="U292" i="20"/>
  <c r="Y292" i="20"/>
  <c r="AC292" i="20"/>
  <c r="W293" i="20"/>
  <c r="AA293" i="20"/>
  <c r="T293" i="20"/>
  <c r="X293" i="20"/>
  <c r="AB293" i="20"/>
  <c r="U293" i="20"/>
  <c r="Y293" i="20"/>
  <c r="AC293" i="20"/>
  <c r="Z293" i="20"/>
  <c r="V293" i="20"/>
  <c r="T294" i="20"/>
  <c r="X294" i="20"/>
  <c r="AB294" i="20"/>
  <c r="U294" i="20"/>
  <c r="Y294" i="20"/>
  <c r="AC294" i="20"/>
  <c r="V294" i="20"/>
  <c r="Z294" i="20"/>
  <c r="W294" i="20"/>
  <c r="AA294" i="20"/>
  <c r="U295" i="20"/>
  <c r="Y295" i="20"/>
  <c r="AC295" i="20"/>
  <c r="V295" i="20"/>
  <c r="Z295" i="20"/>
  <c r="W295" i="20"/>
  <c r="AA295" i="20"/>
  <c r="T295" i="20"/>
  <c r="X295" i="20"/>
  <c r="AB295" i="20"/>
  <c r="V276" i="20"/>
  <c r="Z276" i="20"/>
  <c r="W276" i="20"/>
  <c r="AA276" i="20"/>
  <c r="T276" i="20"/>
  <c r="X276" i="20"/>
  <c r="AB276" i="20"/>
  <c r="U276" i="20"/>
  <c r="Y276" i="20"/>
  <c r="AC276" i="20"/>
  <c r="T270" i="20"/>
  <c r="X270" i="20"/>
  <c r="AB270" i="20"/>
  <c r="U270" i="20"/>
  <c r="Y270" i="20"/>
  <c r="AC270" i="20"/>
  <c r="V270" i="20"/>
  <c r="Z270" i="20"/>
  <c r="W270" i="20"/>
  <c r="AA270" i="20"/>
  <c r="U271" i="20"/>
  <c r="Y271" i="20"/>
  <c r="AC271" i="20"/>
  <c r="V271" i="20"/>
  <c r="Z271" i="20"/>
  <c r="W271" i="20"/>
  <c r="AA271" i="20"/>
  <c r="AB271" i="20"/>
  <c r="T271" i="20"/>
  <c r="X271" i="20"/>
  <c r="V272" i="20"/>
  <c r="Z272" i="20"/>
  <c r="W272" i="20"/>
  <c r="AA272" i="20"/>
  <c r="T272" i="20"/>
  <c r="X272" i="20"/>
  <c r="AB272" i="20"/>
  <c r="U272" i="20"/>
  <c r="Y272" i="20"/>
  <c r="AC272" i="20"/>
  <c r="W273" i="20"/>
  <c r="AA273" i="20"/>
  <c r="T273" i="20"/>
  <c r="X273" i="20"/>
  <c r="AB273" i="20"/>
  <c r="U273" i="20"/>
  <c r="Y273" i="20"/>
  <c r="AC273" i="20"/>
  <c r="V273" i="20"/>
  <c r="Z273" i="20"/>
  <c r="T274" i="20"/>
  <c r="X274" i="20"/>
  <c r="AB274" i="20"/>
  <c r="U274" i="20"/>
  <c r="Y274" i="20"/>
  <c r="AC274" i="20"/>
  <c r="V274" i="20"/>
  <c r="Z274" i="20"/>
  <c r="AA274" i="20"/>
  <c r="W274" i="20"/>
  <c r="U275" i="20"/>
  <c r="Y275" i="20"/>
  <c r="AC275" i="20"/>
  <c r="V275" i="20"/>
  <c r="Z275" i="20"/>
  <c r="W275" i="20"/>
  <c r="AA275" i="20"/>
  <c r="T275" i="20"/>
  <c r="X275" i="20"/>
  <c r="AB275" i="20"/>
  <c r="V268" i="20"/>
  <c r="Z268" i="20"/>
  <c r="W268" i="20"/>
  <c r="AA268" i="20"/>
  <c r="T268" i="20"/>
  <c r="X268" i="20"/>
  <c r="AB268" i="20"/>
  <c r="AC268" i="20"/>
  <c r="U268" i="20"/>
  <c r="Y268" i="20"/>
  <c r="W269" i="20"/>
  <c r="AA269" i="20"/>
  <c r="T269" i="20"/>
  <c r="X269" i="20"/>
  <c r="AB269" i="20"/>
  <c r="U269" i="20"/>
  <c r="Y269" i="20"/>
  <c r="AC269" i="20"/>
  <c r="V269" i="20"/>
  <c r="Z269" i="20"/>
  <c r="T266" i="20"/>
  <c r="X266" i="20"/>
  <c r="AB266" i="20"/>
  <c r="U266" i="20"/>
  <c r="Y266" i="20"/>
  <c r="AC266" i="20"/>
  <c r="V266" i="20"/>
  <c r="Z266" i="20"/>
  <c r="W266" i="20"/>
  <c r="AA266" i="20"/>
  <c r="U267" i="20"/>
  <c r="Y267" i="20"/>
  <c r="AC267" i="20"/>
  <c r="V267" i="20"/>
  <c r="Z267" i="20"/>
  <c r="W267" i="20"/>
  <c r="AA267" i="20"/>
  <c r="X267" i="20"/>
  <c r="AB267" i="20"/>
  <c r="T267" i="20"/>
  <c r="V264" i="20"/>
  <c r="Z264" i="20"/>
  <c r="W264" i="20"/>
  <c r="AA264" i="20"/>
  <c r="T264" i="20"/>
  <c r="X264" i="20"/>
  <c r="AB264" i="20"/>
  <c r="Y264" i="20"/>
  <c r="AC264" i="20"/>
  <c r="U264" i="20"/>
  <c r="W265" i="20"/>
  <c r="AA265" i="20"/>
  <c r="T265" i="20"/>
  <c r="X265" i="20"/>
  <c r="AB265" i="20"/>
  <c r="U265" i="20"/>
  <c r="Y265" i="20"/>
  <c r="AC265" i="20"/>
  <c r="V265" i="20"/>
  <c r="Z265" i="20"/>
  <c r="T262" i="20"/>
  <c r="X262" i="20"/>
  <c r="AB262" i="20"/>
  <c r="U262" i="20"/>
  <c r="Y262" i="20"/>
  <c r="AC262" i="20"/>
  <c r="V262" i="20"/>
  <c r="Z262" i="20"/>
  <c r="W262" i="20"/>
  <c r="AA262" i="20"/>
  <c r="U263" i="20"/>
  <c r="Y263" i="20"/>
  <c r="AC263" i="20"/>
  <c r="V263" i="20"/>
  <c r="Z263" i="20"/>
  <c r="W263" i="20"/>
  <c r="AA263" i="20"/>
  <c r="T263" i="20"/>
  <c r="X263" i="20"/>
  <c r="AB263" i="20"/>
  <c r="U259" i="20"/>
  <c r="Y259" i="20"/>
  <c r="AC259" i="20"/>
  <c r="V259" i="20"/>
  <c r="Z259" i="20"/>
  <c r="AA259" i="20"/>
  <c r="T259" i="20"/>
  <c r="AB259" i="20"/>
  <c r="W259" i="20"/>
  <c r="X259" i="20"/>
  <c r="V260" i="20"/>
  <c r="Z260" i="20"/>
  <c r="W260" i="20"/>
  <c r="AA260" i="20"/>
  <c r="T260" i="20"/>
  <c r="X260" i="20"/>
  <c r="AB260" i="20"/>
  <c r="U260" i="20"/>
  <c r="Y260" i="20"/>
  <c r="AC260" i="20"/>
  <c r="W261" i="20"/>
  <c r="AA261" i="20"/>
  <c r="T261" i="20"/>
  <c r="X261" i="20"/>
  <c r="AB261" i="20"/>
  <c r="U261" i="20"/>
  <c r="Y261" i="20"/>
  <c r="AC261" i="20"/>
  <c r="Z261" i="20"/>
  <c r="V261" i="20"/>
  <c r="W250" i="20"/>
  <c r="AA250" i="20"/>
  <c r="T250" i="20"/>
  <c r="X250" i="20"/>
  <c r="AB250" i="20"/>
  <c r="U250" i="20"/>
  <c r="Y250" i="20"/>
  <c r="AC250" i="20"/>
  <c r="V250" i="20"/>
  <c r="Z250" i="20"/>
  <c r="T251" i="20"/>
  <c r="X251" i="20"/>
  <c r="AB251" i="20"/>
  <c r="U251" i="20"/>
  <c r="Y251" i="20"/>
  <c r="AC251" i="20"/>
  <c r="V251" i="20"/>
  <c r="Z251" i="20"/>
  <c r="W251" i="20"/>
  <c r="AA251" i="20"/>
  <c r="U252" i="20"/>
  <c r="Y252" i="20"/>
  <c r="AC252" i="20"/>
  <c r="V252" i="20"/>
  <c r="Z252" i="20"/>
  <c r="W252" i="20"/>
  <c r="AA252" i="20"/>
  <c r="X252" i="20"/>
  <c r="AB252" i="20"/>
  <c r="T252" i="20"/>
  <c r="V253" i="20"/>
  <c r="Z253" i="20"/>
  <c r="W253" i="20"/>
  <c r="AA253" i="20"/>
  <c r="T253" i="20"/>
  <c r="X253" i="20"/>
  <c r="AB253" i="20"/>
  <c r="AC253" i="20"/>
  <c r="U253" i="20"/>
  <c r="Y253" i="20"/>
  <c r="W254" i="20"/>
  <c r="AA254" i="20"/>
  <c r="T254" i="20"/>
  <c r="X254" i="20"/>
  <c r="AB254" i="20"/>
  <c r="U254" i="20"/>
  <c r="Y254" i="20"/>
  <c r="AC254" i="20"/>
  <c r="V254" i="20"/>
  <c r="Z254" i="20"/>
  <c r="T255" i="20"/>
  <c r="X255" i="20"/>
  <c r="AB255" i="20"/>
  <c r="U255" i="20"/>
  <c r="Y255" i="20"/>
  <c r="AC255" i="20"/>
  <c r="V255" i="20"/>
  <c r="Z255" i="20"/>
  <c r="W255" i="20"/>
  <c r="AA255" i="20"/>
  <c r="U256" i="20"/>
  <c r="Y256" i="20"/>
  <c r="AC256" i="20"/>
  <c r="V256" i="20"/>
  <c r="Z256" i="20"/>
  <c r="W256" i="20"/>
  <c r="AA256" i="20"/>
  <c r="AB256" i="20"/>
  <c r="T256" i="20"/>
  <c r="X256" i="20"/>
  <c r="V257" i="20"/>
  <c r="Z257" i="20"/>
  <c r="W257" i="20"/>
  <c r="AA257" i="20"/>
  <c r="T257" i="20"/>
  <c r="X257" i="20"/>
  <c r="AB257" i="20"/>
  <c r="U257" i="20"/>
  <c r="Y257" i="20"/>
  <c r="AC257" i="20"/>
  <c r="T258" i="20"/>
  <c r="X258" i="20"/>
  <c r="AB258" i="20"/>
  <c r="U258" i="20"/>
  <c r="Y258" i="20"/>
  <c r="AC258" i="20"/>
  <c r="V258" i="20"/>
  <c r="W258" i="20"/>
  <c r="Z258" i="20"/>
  <c r="AA258" i="20"/>
  <c r="W246" i="20"/>
  <c r="AA246" i="20"/>
  <c r="T246" i="20"/>
  <c r="X246" i="20"/>
  <c r="AB246" i="20"/>
  <c r="U246" i="20"/>
  <c r="Y246" i="20"/>
  <c r="AC246" i="20"/>
  <c r="Z246" i="20"/>
  <c r="V246" i="20"/>
  <c r="T247" i="20"/>
  <c r="X247" i="20"/>
  <c r="AB247" i="20"/>
  <c r="U247" i="20"/>
  <c r="Y247" i="20"/>
  <c r="AC247" i="20"/>
  <c r="V247" i="20"/>
  <c r="Z247" i="20"/>
  <c r="W247" i="20"/>
  <c r="AA247" i="20"/>
  <c r="U248" i="20"/>
  <c r="Y248" i="20"/>
  <c r="AC248" i="20"/>
  <c r="V248" i="20"/>
  <c r="Z248" i="20"/>
  <c r="W248" i="20"/>
  <c r="AA248" i="20"/>
  <c r="T248" i="20"/>
  <c r="X248" i="20"/>
  <c r="AB248" i="20"/>
  <c r="V249" i="20"/>
  <c r="Z249" i="20"/>
  <c r="W249" i="20"/>
  <c r="AA249" i="20"/>
  <c r="T249" i="20"/>
  <c r="X249" i="20"/>
  <c r="AB249" i="20"/>
  <c r="Y249" i="20"/>
  <c r="AC249" i="20"/>
  <c r="U249" i="20"/>
  <c r="V245" i="20"/>
  <c r="Z245" i="20"/>
  <c r="W245" i="20"/>
  <c r="AA245" i="20"/>
  <c r="T245" i="20"/>
  <c r="X245" i="20"/>
  <c r="AB245" i="20"/>
  <c r="U245" i="20"/>
  <c r="Y245" i="20"/>
  <c r="AC245" i="20"/>
  <c r="W242" i="20"/>
  <c r="AA242" i="20"/>
  <c r="T242" i="20"/>
  <c r="X242" i="20"/>
  <c r="AB242" i="20"/>
  <c r="U242" i="20"/>
  <c r="Y242" i="20"/>
  <c r="AC242" i="20"/>
  <c r="V242" i="20"/>
  <c r="Z242" i="20"/>
  <c r="T243" i="20"/>
  <c r="X243" i="20"/>
  <c r="AB243" i="20"/>
  <c r="U243" i="20"/>
  <c r="Y243" i="20"/>
  <c r="AC243" i="20"/>
  <c r="V243" i="20"/>
  <c r="Z243" i="20"/>
  <c r="AA243" i="20"/>
  <c r="W243" i="20"/>
  <c r="U244" i="20"/>
  <c r="Y244" i="20"/>
  <c r="AC244" i="20"/>
  <c r="V244" i="20"/>
  <c r="Z244" i="20"/>
  <c r="W244" i="20"/>
  <c r="AA244" i="20"/>
  <c r="T244" i="20"/>
  <c r="X244" i="20"/>
  <c r="AB244" i="20"/>
  <c r="V241" i="20"/>
  <c r="Z241" i="20"/>
  <c r="W241" i="20"/>
  <c r="AA241" i="20"/>
  <c r="T241" i="20"/>
  <c r="X241" i="20"/>
  <c r="AB241" i="20"/>
  <c r="U241" i="20"/>
  <c r="Y241" i="20"/>
  <c r="AC241" i="20"/>
  <c r="W238" i="20"/>
  <c r="AA238" i="20"/>
  <c r="T238" i="20"/>
  <c r="X238" i="20"/>
  <c r="AB238" i="20"/>
  <c r="U238" i="20"/>
  <c r="Y238" i="20"/>
  <c r="AC238" i="20"/>
  <c r="V238" i="20"/>
  <c r="Z238" i="20"/>
  <c r="T239" i="20"/>
  <c r="X239" i="20"/>
  <c r="AB239" i="20"/>
  <c r="U239" i="20"/>
  <c r="Y239" i="20"/>
  <c r="AC239" i="20"/>
  <c r="V239" i="20"/>
  <c r="Z239" i="20"/>
  <c r="W239" i="20"/>
  <c r="AA239" i="20"/>
  <c r="U240" i="20"/>
  <c r="Y240" i="20"/>
  <c r="AC240" i="20"/>
  <c r="V240" i="20"/>
  <c r="Z240" i="20"/>
  <c r="W240" i="20"/>
  <c r="AA240" i="20"/>
  <c r="AB240" i="20"/>
  <c r="T240" i="20"/>
  <c r="X240" i="20"/>
  <c r="V237" i="20"/>
  <c r="Z237" i="20"/>
  <c r="W237" i="20"/>
  <c r="AA237" i="20"/>
  <c r="T237" i="20"/>
  <c r="X237" i="20"/>
  <c r="AB237" i="20"/>
  <c r="U237" i="20"/>
  <c r="Y237" i="20"/>
  <c r="AC237" i="20"/>
  <c r="U236" i="20"/>
  <c r="Y236" i="20"/>
  <c r="AC236" i="20"/>
  <c r="V236" i="20"/>
  <c r="Z236" i="20"/>
  <c r="W236" i="20"/>
  <c r="AA236" i="20"/>
  <c r="T236" i="20"/>
  <c r="X236" i="20"/>
  <c r="AB236" i="20"/>
  <c r="T235" i="20"/>
  <c r="X235" i="20"/>
  <c r="AB235" i="20"/>
  <c r="U235" i="20"/>
  <c r="Y235" i="20"/>
  <c r="AC235" i="20"/>
  <c r="V235" i="20"/>
  <c r="Z235" i="20"/>
  <c r="W235" i="20"/>
  <c r="AA235" i="20"/>
  <c r="V233" i="20"/>
  <c r="Z233" i="20"/>
  <c r="W233" i="20"/>
  <c r="AA233" i="20"/>
  <c r="T233" i="20"/>
  <c r="X233" i="20"/>
  <c r="AB233" i="20"/>
  <c r="U233" i="20"/>
  <c r="Y233" i="20"/>
  <c r="AC233" i="20"/>
  <c r="W234" i="20"/>
  <c r="AA234" i="20"/>
  <c r="T234" i="20"/>
  <c r="X234" i="20"/>
  <c r="AB234" i="20"/>
  <c r="U234" i="20"/>
  <c r="Y234" i="20"/>
  <c r="AC234" i="20"/>
  <c r="V234" i="20"/>
  <c r="Z234" i="20"/>
  <c r="T227" i="20"/>
  <c r="X227" i="20"/>
  <c r="AB227" i="20"/>
  <c r="U227" i="20"/>
  <c r="Y227" i="20"/>
  <c r="F7" i="37" s="1"/>
  <c r="AC227" i="20"/>
  <c r="J7" i="37" s="1"/>
  <c r="V227" i="20"/>
  <c r="Z227" i="20"/>
  <c r="W227" i="20"/>
  <c r="AA227" i="20"/>
  <c r="U228" i="20"/>
  <c r="Y228" i="20"/>
  <c r="AC228" i="20"/>
  <c r="V228" i="20"/>
  <c r="Z228" i="20"/>
  <c r="W228" i="20"/>
  <c r="AA228" i="20"/>
  <c r="T228" i="20"/>
  <c r="X228" i="20"/>
  <c r="AB228" i="20"/>
  <c r="V229" i="20"/>
  <c r="Z229" i="20"/>
  <c r="W229" i="20"/>
  <c r="AA229" i="20"/>
  <c r="T229" i="20"/>
  <c r="X229" i="20"/>
  <c r="AB229" i="20"/>
  <c r="U229" i="20"/>
  <c r="Y229" i="20"/>
  <c r="AC229" i="20"/>
  <c r="W230" i="20"/>
  <c r="D14" i="37" s="1"/>
  <c r="AA230" i="20"/>
  <c r="H14" i="37" s="1"/>
  <c r="T230" i="20"/>
  <c r="X230" i="20"/>
  <c r="E14" i="37" s="1"/>
  <c r="AB230" i="20"/>
  <c r="I14" i="37" s="1"/>
  <c r="U230" i="20"/>
  <c r="Y230" i="20"/>
  <c r="F14" i="37" s="1"/>
  <c r="AC230" i="20"/>
  <c r="J14" i="37" s="1"/>
  <c r="V230" i="20"/>
  <c r="Z230" i="20"/>
  <c r="G14" i="37" s="1"/>
  <c r="T231" i="20"/>
  <c r="X231" i="20"/>
  <c r="AB231" i="20"/>
  <c r="U231" i="20"/>
  <c r="Y231" i="20"/>
  <c r="AC231" i="20"/>
  <c r="V231" i="20"/>
  <c r="Z231" i="20"/>
  <c r="W231" i="20"/>
  <c r="AA231" i="20"/>
  <c r="U232" i="20"/>
  <c r="Y232" i="20"/>
  <c r="AC232" i="20"/>
  <c r="V232" i="20"/>
  <c r="Z232" i="20"/>
  <c r="W232" i="20"/>
  <c r="AA232" i="20"/>
  <c r="T232" i="20"/>
  <c r="X232" i="20"/>
  <c r="AB232" i="20"/>
  <c r="V225" i="20"/>
  <c r="Z225" i="20"/>
  <c r="W225" i="20"/>
  <c r="AA225" i="20"/>
  <c r="T225" i="20"/>
  <c r="X225" i="20"/>
  <c r="AB225" i="20"/>
  <c r="U225" i="20"/>
  <c r="Y225" i="20"/>
  <c r="AC225" i="20"/>
  <c r="W226" i="20"/>
  <c r="AA226" i="20"/>
  <c r="T226" i="20"/>
  <c r="X226" i="20"/>
  <c r="AB226" i="20"/>
  <c r="U226" i="20"/>
  <c r="Y226" i="20"/>
  <c r="AC226" i="20"/>
  <c r="V226" i="20"/>
  <c r="Z226" i="20"/>
  <c r="T215" i="20"/>
  <c r="X215" i="20"/>
  <c r="AB215" i="20"/>
  <c r="U215" i="20"/>
  <c r="Y215" i="20"/>
  <c r="AC215" i="20"/>
  <c r="V215" i="20"/>
  <c r="Z215" i="20"/>
  <c r="W215" i="20"/>
  <c r="AA215" i="20"/>
  <c r="U216" i="20"/>
  <c r="Y216" i="20"/>
  <c r="AC216" i="20"/>
  <c r="V216" i="20"/>
  <c r="Z216" i="20"/>
  <c r="W216" i="20"/>
  <c r="AA216" i="20"/>
  <c r="T216" i="20"/>
  <c r="X216" i="20"/>
  <c r="AB216" i="20"/>
  <c r="V217" i="20"/>
  <c r="Z217" i="20"/>
  <c r="W217" i="20"/>
  <c r="AA217" i="20"/>
  <c r="T217" i="20"/>
  <c r="X217" i="20"/>
  <c r="AB217" i="20"/>
  <c r="U217" i="20"/>
  <c r="Y217" i="20"/>
  <c r="AC217" i="20"/>
  <c r="W218" i="20"/>
  <c r="AA218" i="20"/>
  <c r="T218" i="20"/>
  <c r="X218" i="20"/>
  <c r="AB218" i="20"/>
  <c r="U218" i="20"/>
  <c r="Y218" i="20"/>
  <c r="AC218" i="20"/>
  <c r="V218" i="20"/>
  <c r="Z218" i="20"/>
  <c r="T219" i="20"/>
  <c r="X219" i="20"/>
  <c r="AB219" i="20"/>
  <c r="U219" i="20"/>
  <c r="Y219" i="20"/>
  <c r="AC219" i="20"/>
  <c r="V219" i="20"/>
  <c r="Z219" i="20"/>
  <c r="W219" i="20"/>
  <c r="AA219" i="20"/>
  <c r="U220" i="20"/>
  <c r="Y220" i="20"/>
  <c r="AC220" i="20"/>
  <c r="V220" i="20"/>
  <c r="Z220" i="20"/>
  <c r="W220" i="20"/>
  <c r="AA220" i="20"/>
  <c r="T220" i="20"/>
  <c r="X220" i="20"/>
  <c r="AB220" i="20"/>
  <c r="V221" i="20"/>
  <c r="Z221" i="20"/>
  <c r="W221" i="20"/>
  <c r="AA221" i="20"/>
  <c r="T221" i="20"/>
  <c r="X221" i="20"/>
  <c r="AB221" i="20"/>
  <c r="U221" i="20"/>
  <c r="Y221" i="20"/>
  <c r="AC221" i="20"/>
  <c r="W222" i="20"/>
  <c r="AA222" i="20"/>
  <c r="T222" i="20"/>
  <c r="X222" i="20"/>
  <c r="AB222" i="20"/>
  <c r="U222" i="20"/>
  <c r="Y222" i="20"/>
  <c r="AC222" i="20"/>
  <c r="V222" i="20"/>
  <c r="Z222" i="20"/>
  <c r="T223" i="20"/>
  <c r="X223" i="20"/>
  <c r="AB223" i="20"/>
  <c r="U223" i="20"/>
  <c r="Y223" i="20"/>
  <c r="AC223" i="20"/>
  <c r="V223" i="20"/>
  <c r="Z223" i="20"/>
  <c r="W223" i="20"/>
  <c r="AA223" i="20"/>
  <c r="U224" i="20"/>
  <c r="Y224" i="20"/>
  <c r="AC224" i="20"/>
  <c r="V224" i="20"/>
  <c r="Z224" i="20"/>
  <c r="W224" i="20"/>
  <c r="AA224" i="20"/>
  <c r="T224" i="20"/>
  <c r="X224" i="20"/>
  <c r="AB224" i="20"/>
  <c r="W214" i="20"/>
  <c r="AA214" i="20"/>
  <c r="T214" i="20"/>
  <c r="X214" i="20"/>
  <c r="AB214" i="20"/>
  <c r="U214" i="20"/>
  <c r="Y214" i="20"/>
  <c r="AC214" i="20"/>
  <c r="V214" i="20"/>
  <c r="Z214" i="20"/>
  <c r="U210" i="20"/>
  <c r="Y210" i="20"/>
  <c r="AC210" i="20"/>
  <c r="V210" i="20"/>
  <c r="Z210" i="20"/>
  <c r="W210" i="20"/>
  <c r="AA210" i="20"/>
  <c r="X210" i="20"/>
  <c r="AB210" i="20"/>
  <c r="T210" i="20"/>
  <c r="V211" i="20"/>
  <c r="Z211" i="20"/>
  <c r="W211" i="20"/>
  <c r="AA211" i="20"/>
  <c r="T211" i="20"/>
  <c r="X211" i="20"/>
  <c r="AB211" i="20"/>
  <c r="AC211" i="20"/>
  <c r="U211" i="20"/>
  <c r="Y211" i="20"/>
  <c r="W212" i="20"/>
  <c r="AA212" i="20"/>
  <c r="T212" i="20"/>
  <c r="X212" i="20"/>
  <c r="AB212" i="20"/>
  <c r="U212" i="20"/>
  <c r="Y212" i="20"/>
  <c r="AC212" i="20"/>
  <c r="V212" i="20"/>
  <c r="Z212" i="20"/>
  <c r="T213" i="20"/>
  <c r="X213" i="20"/>
  <c r="U213" i="20"/>
  <c r="Y213" i="20"/>
  <c r="V213" i="20"/>
  <c r="Z213" i="20"/>
  <c r="W213" i="20"/>
  <c r="AA213" i="20"/>
  <c r="AB213" i="20"/>
  <c r="AC213" i="20"/>
  <c r="W204" i="20"/>
  <c r="AA204" i="20"/>
  <c r="T204" i="20"/>
  <c r="X204" i="20"/>
  <c r="AB204" i="20"/>
  <c r="U204" i="20"/>
  <c r="Y204" i="20"/>
  <c r="AC204" i="20"/>
  <c r="Z204" i="20"/>
  <c r="V204" i="20"/>
  <c r="T205" i="20"/>
  <c r="X205" i="20"/>
  <c r="AB205" i="20"/>
  <c r="U205" i="20"/>
  <c r="Y205" i="20"/>
  <c r="AC205" i="20"/>
  <c r="V205" i="20"/>
  <c r="Z205" i="20"/>
  <c r="W205" i="20"/>
  <c r="AA205" i="20"/>
  <c r="U206" i="20"/>
  <c r="Y206" i="20"/>
  <c r="AC206" i="20"/>
  <c r="V206" i="20"/>
  <c r="Z206" i="20"/>
  <c r="W206" i="20"/>
  <c r="AA206" i="20"/>
  <c r="T206" i="20"/>
  <c r="X206" i="20"/>
  <c r="AB206" i="20"/>
  <c r="V207" i="20"/>
  <c r="Z207" i="20"/>
  <c r="W207" i="20"/>
  <c r="AA207" i="20"/>
  <c r="T207" i="20"/>
  <c r="X207" i="20"/>
  <c r="AB207" i="20"/>
  <c r="Y207" i="20"/>
  <c r="AC207" i="20"/>
  <c r="U207" i="20"/>
  <c r="W208" i="20"/>
  <c r="AA208" i="20"/>
  <c r="T208" i="20"/>
  <c r="X208" i="20"/>
  <c r="AB208" i="20"/>
  <c r="U208" i="20"/>
  <c r="Y208" i="20"/>
  <c r="AC208" i="20"/>
  <c r="V208" i="20"/>
  <c r="Z208" i="20"/>
  <c r="T209" i="20"/>
  <c r="X209" i="20"/>
  <c r="AB209" i="20"/>
  <c r="U209" i="20"/>
  <c r="Y209" i="20"/>
  <c r="AC209" i="20"/>
  <c r="V209" i="20"/>
  <c r="Z209" i="20"/>
  <c r="W209" i="20"/>
  <c r="AA209" i="20"/>
  <c r="U202" i="20"/>
  <c r="Y202" i="20"/>
  <c r="AC202" i="20"/>
  <c r="V202" i="20"/>
  <c r="Z202" i="20"/>
  <c r="W202" i="20"/>
  <c r="AA202" i="20"/>
  <c r="T202" i="20"/>
  <c r="X202" i="20"/>
  <c r="AB202" i="20"/>
  <c r="V203" i="20"/>
  <c r="Z203" i="20"/>
  <c r="W203" i="20"/>
  <c r="AA203" i="20"/>
  <c r="T203" i="20"/>
  <c r="X203" i="20"/>
  <c r="AB203" i="20"/>
  <c r="U203" i="20"/>
  <c r="Y203" i="20"/>
  <c r="AC203" i="20"/>
  <c r="T201" i="20"/>
  <c r="X201" i="20"/>
  <c r="AB201" i="20"/>
  <c r="U201" i="20"/>
  <c r="Y201" i="20"/>
  <c r="AC201" i="20"/>
  <c r="V201" i="20"/>
  <c r="Z201" i="20"/>
  <c r="AA201" i="20"/>
  <c r="W201" i="20"/>
  <c r="W200" i="20"/>
  <c r="AA200" i="20"/>
  <c r="T200" i="20"/>
  <c r="X200" i="20"/>
  <c r="AB200" i="20"/>
  <c r="U200" i="20"/>
  <c r="Y200" i="20"/>
  <c r="AC200" i="20"/>
  <c r="V200" i="20"/>
  <c r="Z200" i="20"/>
  <c r="V195" i="20"/>
  <c r="Z195" i="20"/>
  <c r="W195" i="20"/>
  <c r="AA195" i="20"/>
  <c r="T195" i="20"/>
  <c r="X195" i="20"/>
  <c r="AB195" i="20"/>
  <c r="AC195" i="20"/>
  <c r="U195" i="20"/>
  <c r="Y195" i="20"/>
  <c r="W196" i="20"/>
  <c r="AA196" i="20"/>
  <c r="T196" i="20"/>
  <c r="X196" i="20"/>
  <c r="AB196" i="20"/>
  <c r="U196" i="20"/>
  <c r="Y196" i="20"/>
  <c r="AC196" i="20"/>
  <c r="V196" i="20"/>
  <c r="Z196" i="20"/>
  <c r="T197" i="20"/>
  <c r="X197" i="20"/>
  <c r="AB197" i="20"/>
  <c r="U197" i="20"/>
  <c r="Y197" i="20"/>
  <c r="AC197" i="20"/>
  <c r="V197" i="20"/>
  <c r="Z197" i="20"/>
  <c r="W197" i="20"/>
  <c r="AA197" i="20"/>
  <c r="U198" i="20"/>
  <c r="Y198" i="20"/>
  <c r="AC198" i="20"/>
  <c r="V198" i="20"/>
  <c r="Z198" i="20"/>
  <c r="W198" i="20"/>
  <c r="AA198" i="20"/>
  <c r="AB198" i="20"/>
  <c r="T198" i="20"/>
  <c r="X198" i="20"/>
  <c r="V199" i="20"/>
  <c r="Z199" i="20"/>
  <c r="W199" i="20"/>
  <c r="AA199" i="20"/>
  <c r="T199" i="20"/>
  <c r="X199" i="20"/>
  <c r="AB199" i="20"/>
  <c r="U199" i="20"/>
  <c r="Y199" i="20"/>
  <c r="AC199" i="20"/>
  <c r="U194" i="20"/>
  <c r="Y194" i="20"/>
  <c r="AC194" i="20"/>
  <c r="V194" i="20"/>
  <c r="Z194" i="20"/>
  <c r="W194" i="20"/>
  <c r="AA194" i="20"/>
  <c r="X194" i="20"/>
  <c r="AB194" i="20"/>
  <c r="T194" i="20"/>
  <c r="T193" i="20"/>
  <c r="X193" i="20"/>
  <c r="AB193" i="20"/>
  <c r="U193" i="20"/>
  <c r="Y193" i="20"/>
  <c r="AC193" i="20"/>
  <c r="V193" i="20"/>
  <c r="Z193" i="20"/>
  <c r="W193" i="20"/>
  <c r="AA193" i="20"/>
  <c r="W192" i="20"/>
  <c r="AA192" i="20"/>
  <c r="T192" i="20"/>
  <c r="X192" i="20"/>
  <c r="AB192" i="20"/>
  <c r="U192" i="20"/>
  <c r="Y192" i="20"/>
  <c r="AC192" i="20"/>
  <c r="V192" i="20"/>
  <c r="Z192" i="20"/>
  <c r="V191" i="20"/>
  <c r="Z191" i="20"/>
  <c r="W191" i="20"/>
  <c r="AA191" i="20"/>
  <c r="T191" i="20"/>
  <c r="X191" i="20"/>
  <c r="AB191" i="20"/>
  <c r="Y191" i="20"/>
  <c r="AC191" i="20"/>
  <c r="U191" i="20"/>
  <c r="T189" i="20"/>
  <c r="X189" i="20"/>
  <c r="AB189" i="20"/>
  <c r="U189" i="20"/>
  <c r="Y189" i="20"/>
  <c r="AC189" i="20"/>
  <c r="V189" i="20"/>
  <c r="Z189" i="20"/>
  <c r="W189" i="20"/>
  <c r="AA189" i="20"/>
  <c r="U190" i="20"/>
  <c r="Y190" i="20"/>
  <c r="AC190" i="20"/>
  <c r="V190" i="20"/>
  <c r="Z190" i="20"/>
  <c r="W190" i="20"/>
  <c r="AA190" i="20"/>
  <c r="T190" i="20"/>
  <c r="X190" i="20"/>
  <c r="AB190" i="20"/>
  <c r="W188" i="20"/>
  <c r="AA188" i="20"/>
  <c r="T188" i="20"/>
  <c r="X188" i="20"/>
  <c r="AB188" i="20"/>
  <c r="U188" i="20"/>
  <c r="Y188" i="20"/>
  <c r="AC188" i="20"/>
  <c r="Z188" i="20"/>
  <c r="V188" i="20"/>
  <c r="V187" i="20"/>
  <c r="Z187" i="20"/>
  <c r="W187" i="20"/>
  <c r="AA187" i="20"/>
  <c r="T187" i="20"/>
  <c r="X187" i="20"/>
  <c r="AB187" i="20"/>
  <c r="U187" i="20"/>
  <c r="Y187" i="20"/>
  <c r="AC187" i="20"/>
  <c r="U186" i="20"/>
  <c r="Y186" i="20"/>
  <c r="AC186" i="20"/>
  <c r="V186" i="20"/>
  <c r="Z186" i="20"/>
  <c r="W186" i="20"/>
  <c r="AA186" i="20"/>
  <c r="T186" i="20"/>
  <c r="X186" i="20"/>
  <c r="AB186" i="20"/>
  <c r="T185" i="20"/>
  <c r="X185" i="20"/>
  <c r="AB185" i="20"/>
  <c r="U185" i="20"/>
  <c r="Y185" i="20"/>
  <c r="AC185" i="20"/>
  <c r="V185" i="20"/>
  <c r="Z185" i="20"/>
  <c r="AA185" i="20"/>
  <c r="W185" i="20"/>
  <c r="V183" i="20"/>
  <c r="Z183" i="20"/>
  <c r="W183" i="20"/>
  <c r="AA183" i="20"/>
  <c r="T183" i="20"/>
  <c r="X183" i="20"/>
  <c r="AB183" i="20"/>
  <c r="U183" i="20"/>
  <c r="Y183" i="20"/>
  <c r="AC183" i="20"/>
  <c r="W184" i="20"/>
  <c r="AA184" i="20"/>
  <c r="T184" i="20"/>
  <c r="X184" i="20"/>
  <c r="AB184" i="20"/>
  <c r="U184" i="20"/>
  <c r="Y184" i="20"/>
  <c r="AC184" i="20"/>
  <c r="V184" i="20"/>
  <c r="Z184" i="20"/>
  <c r="U182" i="20"/>
  <c r="Y182" i="20"/>
  <c r="AC182" i="20"/>
  <c r="V182" i="20"/>
  <c r="Z182" i="20"/>
  <c r="W182" i="20"/>
  <c r="AA182" i="20"/>
  <c r="AB182" i="20"/>
  <c r="T182" i="20"/>
  <c r="X182" i="20"/>
  <c r="T181" i="20"/>
  <c r="X181" i="20"/>
  <c r="AB181" i="20"/>
  <c r="U181" i="20"/>
  <c r="Y181" i="20"/>
  <c r="AC181" i="20"/>
  <c r="V181" i="20"/>
  <c r="Z181" i="20"/>
  <c r="W181" i="20"/>
  <c r="AA181" i="20"/>
  <c r="W180" i="20"/>
  <c r="AA180" i="20"/>
  <c r="T180" i="20"/>
  <c r="X180" i="20"/>
  <c r="AB180" i="20"/>
  <c r="U180" i="20"/>
  <c r="Y180" i="20"/>
  <c r="AC180" i="20"/>
  <c r="V180" i="20"/>
  <c r="Z180" i="20"/>
  <c r="U178" i="20"/>
  <c r="Y178" i="20"/>
  <c r="AC178" i="20"/>
  <c r="V178" i="20"/>
  <c r="Z178" i="20"/>
  <c r="W178" i="20"/>
  <c r="AA178" i="20"/>
  <c r="X178" i="20"/>
  <c r="AB178" i="20"/>
  <c r="T178" i="20"/>
  <c r="V179" i="20"/>
  <c r="Z179" i="20"/>
  <c r="W179" i="20"/>
  <c r="AA179" i="20"/>
  <c r="T179" i="20"/>
  <c r="X179" i="20"/>
  <c r="AB179" i="20"/>
  <c r="AC179" i="20"/>
  <c r="U179" i="20"/>
  <c r="Y179" i="20"/>
  <c r="W176" i="20"/>
  <c r="AA176" i="20"/>
  <c r="T176" i="20"/>
  <c r="X176" i="20"/>
  <c r="AB176" i="20"/>
  <c r="U176" i="20"/>
  <c r="Y176" i="20"/>
  <c r="AC176" i="20"/>
  <c r="V176" i="20"/>
  <c r="Z176" i="20"/>
  <c r="T177" i="20"/>
  <c r="X177" i="20"/>
  <c r="AB177" i="20"/>
  <c r="U177" i="20"/>
  <c r="Y177" i="20"/>
  <c r="AC177" i="20"/>
  <c r="V177" i="20"/>
  <c r="Z177" i="20"/>
  <c r="W177" i="20"/>
  <c r="AA177" i="20"/>
  <c r="U170" i="20"/>
  <c r="Y170" i="20"/>
  <c r="AC170" i="20"/>
  <c r="V170" i="20"/>
  <c r="Z170" i="20"/>
  <c r="W170" i="20"/>
  <c r="E8" i="41" s="1"/>
  <c r="AA170" i="20"/>
  <c r="J8" i="41" s="1"/>
  <c r="T170" i="20"/>
  <c r="X170" i="20"/>
  <c r="AB170" i="20"/>
  <c r="V171" i="20"/>
  <c r="Z171" i="20"/>
  <c r="W171" i="20"/>
  <c r="AA171" i="20"/>
  <c r="T171" i="20"/>
  <c r="X171" i="20"/>
  <c r="AB171" i="20"/>
  <c r="U171" i="20"/>
  <c r="Y171" i="20"/>
  <c r="AC171" i="20"/>
  <c r="W172" i="20"/>
  <c r="AA172" i="20"/>
  <c r="T172" i="20"/>
  <c r="X172" i="20"/>
  <c r="AB172" i="20"/>
  <c r="U172" i="20"/>
  <c r="Y172" i="20"/>
  <c r="AC172" i="20"/>
  <c r="Z172" i="20"/>
  <c r="V172" i="20"/>
  <c r="T173" i="20"/>
  <c r="X173" i="20"/>
  <c r="AB173" i="20"/>
  <c r="U173" i="20"/>
  <c r="Y173" i="20"/>
  <c r="AC173" i="20"/>
  <c r="V173" i="20"/>
  <c r="Z173" i="20"/>
  <c r="W173" i="20"/>
  <c r="AA173" i="20"/>
  <c r="U174" i="20"/>
  <c r="Y174" i="20"/>
  <c r="AC174" i="20"/>
  <c r="V174" i="20"/>
  <c r="Z174" i="20"/>
  <c r="W174" i="20"/>
  <c r="AA174" i="20"/>
  <c r="T174" i="20"/>
  <c r="X174" i="20"/>
  <c r="AB174" i="20"/>
  <c r="V175" i="20"/>
  <c r="Z175" i="20"/>
  <c r="W175" i="20"/>
  <c r="AA175" i="20"/>
  <c r="T175" i="20"/>
  <c r="X175" i="20"/>
  <c r="AB175" i="20"/>
  <c r="Y175" i="20"/>
  <c r="AC175" i="20"/>
  <c r="U175" i="20"/>
  <c r="T167" i="20"/>
  <c r="U167" i="20"/>
  <c r="V167" i="20"/>
  <c r="Z167" i="20"/>
  <c r="W167" i="20"/>
  <c r="AA167" i="20"/>
  <c r="X167" i="20"/>
  <c r="AB167" i="20"/>
  <c r="Y167" i="20"/>
  <c r="AC167" i="20"/>
  <c r="W168" i="20"/>
  <c r="AA168" i="20"/>
  <c r="T168" i="20"/>
  <c r="X168" i="20"/>
  <c r="AB168" i="20"/>
  <c r="U168" i="20"/>
  <c r="Y168" i="20"/>
  <c r="AC168" i="20"/>
  <c r="V168" i="20"/>
  <c r="Z168" i="20"/>
  <c r="T169" i="20"/>
  <c r="X169" i="20"/>
  <c r="AB169" i="20"/>
  <c r="U169" i="20"/>
  <c r="Y169" i="20"/>
  <c r="AC169" i="20"/>
  <c r="V169" i="20"/>
  <c r="Z169" i="20"/>
  <c r="AA169" i="20"/>
  <c r="W169" i="20"/>
  <c r="U156" i="20"/>
  <c r="Y156" i="20"/>
  <c r="AC156" i="20"/>
  <c r="V156" i="20"/>
  <c r="Z156" i="20"/>
  <c r="W156" i="20"/>
  <c r="AA156" i="20"/>
  <c r="AB156" i="20"/>
  <c r="T156" i="20"/>
  <c r="X156" i="20"/>
  <c r="V157" i="20"/>
  <c r="Z157" i="20"/>
  <c r="W157" i="20"/>
  <c r="AA157" i="20"/>
  <c r="T157" i="20"/>
  <c r="X157" i="20"/>
  <c r="AB157" i="20"/>
  <c r="U157" i="20"/>
  <c r="Y157" i="20"/>
  <c r="AC157" i="20"/>
  <c r="W158" i="20"/>
  <c r="AA158" i="20"/>
  <c r="T158" i="20"/>
  <c r="X158" i="20"/>
  <c r="AB158" i="20"/>
  <c r="U158" i="20"/>
  <c r="Y158" i="20"/>
  <c r="AC158" i="20"/>
  <c r="V158" i="20"/>
  <c r="Z158" i="20"/>
  <c r="T159" i="20"/>
  <c r="X159" i="20"/>
  <c r="AB159" i="20"/>
  <c r="U159" i="20"/>
  <c r="Y159" i="20"/>
  <c r="AC159" i="20"/>
  <c r="V159" i="20"/>
  <c r="Z159" i="20"/>
  <c r="AA159" i="20"/>
  <c r="W159" i="20"/>
  <c r="U160" i="20"/>
  <c r="Y160" i="20"/>
  <c r="AC160" i="20"/>
  <c r="V160" i="20"/>
  <c r="Z160" i="20"/>
  <c r="W160" i="20"/>
  <c r="AA160" i="20"/>
  <c r="T160" i="20"/>
  <c r="X160" i="20"/>
  <c r="AB160" i="20"/>
  <c r="V161" i="20"/>
  <c r="Z161" i="20"/>
  <c r="W161" i="20"/>
  <c r="AA161" i="20"/>
  <c r="T161" i="20"/>
  <c r="X161" i="20"/>
  <c r="AB161" i="20"/>
  <c r="U161" i="20"/>
  <c r="Y161" i="20"/>
  <c r="AC161" i="20"/>
  <c r="W162" i="20"/>
  <c r="AA162" i="20"/>
  <c r="T162" i="20"/>
  <c r="X162" i="20"/>
  <c r="AB162" i="20"/>
  <c r="U162" i="20"/>
  <c r="Y162" i="20"/>
  <c r="AC162" i="20"/>
  <c r="Z162" i="20"/>
  <c r="V162" i="20"/>
  <c r="T163" i="20"/>
  <c r="X163" i="20"/>
  <c r="AB163" i="20"/>
  <c r="U163" i="20"/>
  <c r="Y163" i="20"/>
  <c r="AC163" i="20"/>
  <c r="V163" i="20"/>
  <c r="Z163" i="20"/>
  <c r="W163" i="20"/>
  <c r="AA163" i="20"/>
  <c r="U164" i="20"/>
  <c r="Y164" i="20"/>
  <c r="AC164" i="20"/>
  <c r="V164" i="20"/>
  <c r="Z164" i="20"/>
  <c r="W164" i="20"/>
  <c r="AA164" i="20"/>
  <c r="T164" i="20"/>
  <c r="X164" i="20"/>
  <c r="AB164" i="20"/>
  <c r="V165" i="20"/>
  <c r="Z165" i="20"/>
  <c r="W165" i="20"/>
  <c r="AA165" i="20"/>
  <c r="T165" i="20"/>
  <c r="X165" i="20"/>
  <c r="AB165" i="20"/>
  <c r="Y165" i="20"/>
  <c r="AC165" i="20"/>
  <c r="U165" i="20"/>
  <c r="W166" i="20"/>
  <c r="AA166" i="20"/>
  <c r="T166" i="20"/>
  <c r="X166" i="20"/>
  <c r="AB166" i="20"/>
  <c r="U166" i="20"/>
  <c r="Y166" i="20"/>
  <c r="AC166" i="20"/>
  <c r="V166" i="20"/>
  <c r="Z166" i="20"/>
  <c r="V153" i="20"/>
  <c r="Z153" i="20"/>
  <c r="W153" i="20"/>
  <c r="AA153" i="20"/>
  <c r="T153" i="20"/>
  <c r="X153" i="20"/>
  <c r="AB153" i="20"/>
  <c r="AC153" i="20"/>
  <c r="U153" i="20"/>
  <c r="Y153" i="20"/>
  <c r="W154" i="20"/>
  <c r="AA154" i="20"/>
  <c r="T154" i="20"/>
  <c r="X154" i="20"/>
  <c r="AB154" i="20"/>
  <c r="U154" i="20"/>
  <c r="Y154" i="20"/>
  <c r="AC154" i="20"/>
  <c r="V154" i="20"/>
  <c r="Z154" i="20"/>
  <c r="T155" i="20"/>
  <c r="X155" i="20"/>
  <c r="AB155" i="20"/>
  <c r="U155" i="20"/>
  <c r="Y155" i="20"/>
  <c r="AC155" i="20"/>
  <c r="V155" i="20"/>
  <c r="Z155" i="20"/>
  <c r="W155" i="20"/>
  <c r="AA155" i="20"/>
  <c r="U148" i="20"/>
  <c r="Y148" i="20"/>
  <c r="AC148" i="20"/>
  <c r="V148" i="20"/>
  <c r="Z148" i="20"/>
  <c r="W148" i="20"/>
  <c r="AA148" i="20"/>
  <c r="T148" i="20"/>
  <c r="X148" i="20"/>
  <c r="AB148" i="20"/>
  <c r="V149" i="20"/>
  <c r="Z149" i="20"/>
  <c r="W149" i="20"/>
  <c r="AA149" i="20"/>
  <c r="T149" i="20"/>
  <c r="X149" i="20"/>
  <c r="AB149" i="20"/>
  <c r="Y149" i="20"/>
  <c r="AC149" i="20"/>
  <c r="U149" i="20"/>
  <c r="W150" i="20"/>
  <c r="AA150" i="20"/>
  <c r="T150" i="20"/>
  <c r="X150" i="20"/>
  <c r="AB150" i="20"/>
  <c r="U150" i="20"/>
  <c r="Y150" i="20"/>
  <c r="AC150" i="20"/>
  <c r="V150" i="20"/>
  <c r="Z150" i="20"/>
  <c r="T151" i="20"/>
  <c r="X151" i="20"/>
  <c r="AB151" i="20"/>
  <c r="U151" i="20"/>
  <c r="Y151" i="20"/>
  <c r="AC151" i="20"/>
  <c r="V151" i="20"/>
  <c r="Z151" i="20"/>
  <c r="W151" i="20"/>
  <c r="AA151" i="20"/>
  <c r="U152" i="20"/>
  <c r="Y152" i="20"/>
  <c r="AC152" i="20"/>
  <c r="V152" i="20"/>
  <c r="Z152" i="20"/>
  <c r="W152" i="20"/>
  <c r="AA152" i="20"/>
  <c r="X152" i="20"/>
  <c r="AB152" i="20"/>
  <c r="T152" i="20"/>
  <c r="W146" i="20"/>
  <c r="AA146" i="20"/>
  <c r="T146" i="20"/>
  <c r="X146" i="20"/>
  <c r="AB146" i="20"/>
  <c r="U146" i="20"/>
  <c r="Y146" i="20"/>
  <c r="AC146" i="20"/>
  <c r="Z146" i="20"/>
  <c r="V146" i="20"/>
  <c r="T147" i="20"/>
  <c r="X147" i="20"/>
  <c r="AB147" i="20"/>
  <c r="U147" i="20"/>
  <c r="Y147" i="20"/>
  <c r="AC147" i="20"/>
  <c r="V147" i="20"/>
  <c r="Z147" i="20"/>
  <c r="W147" i="20"/>
  <c r="AA147" i="20"/>
  <c r="U144" i="20"/>
  <c r="Y144" i="20"/>
  <c r="AC144" i="20"/>
  <c r="V144" i="20"/>
  <c r="Z144" i="20"/>
  <c r="W144" i="20"/>
  <c r="AA144" i="20"/>
  <c r="T144" i="20"/>
  <c r="X144" i="20"/>
  <c r="AB144" i="20"/>
  <c r="V145" i="20"/>
  <c r="Z145" i="20"/>
  <c r="W145" i="20"/>
  <c r="AA145" i="20"/>
  <c r="T145" i="20"/>
  <c r="X145" i="20"/>
  <c r="AB145" i="20"/>
  <c r="U145" i="20"/>
  <c r="Y145" i="20"/>
  <c r="AC145" i="20"/>
  <c r="T143" i="20"/>
  <c r="X143" i="20"/>
  <c r="AB143" i="20"/>
  <c r="U143" i="20"/>
  <c r="Y143" i="20"/>
  <c r="AC143" i="20"/>
  <c r="V143" i="20"/>
  <c r="Z143" i="20"/>
  <c r="AA143" i="20"/>
  <c r="W143" i="20"/>
  <c r="W142" i="20"/>
  <c r="AA142" i="20"/>
  <c r="T142" i="20"/>
  <c r="X142" i="20"/>
  <c r="AB142" i="20"/>
  <c r="U142" i="20"/>
  <c r="Y142" i="20"/>
  <c r="AC142" i="20"/>
  <c r="V142" i="20"/>
  <c r="Z142" i="20"/>
  <c r="V141" i="20"/>
  <c r="Z141" i="20"/>
  <c r="W141" i="20"/>
  <c r="AA141" i="20"/>
  <c r="T141" i="20"/>
  <c r="X141" i="20"/>
  <c r="AB141" i="20"/>
  <c r="U141" i="20"/>
  <c r="Y141" i="20"/>
  <c r="AC141" i="20"/>
  <c r="U140" i="20"/>
  <c r="Y140" i="20"/>
  <c r="AC140" i="20"/>
  <c r="V140" i="20"/>
  <c r="Z140" i="20"/>
  <c r="W140" i="20"/>
  <c r="AA140" i="20"/>
  <c r="AB140" i="20"/>
  <c r="T140" i="20"/>
  <c r="X140" i="20"/>
  <c r="T139" i="20"/>
  <c r="X139" i="20"/>
  <c r="AB139" i="20"/>
  <c r="U139" i="20"/>
  <c r="Y139" i="20"/>
  <c r="AC139" i="20"/>
  <c r="V139" i="20"/>
  <c r="Z139" i="20"/>
  <c r="W139" i="20"/>
  <c r="AA139" i="20"/>
  <c r="W138" i="20"/>
  <c r="AA138" i="20"/>
  <c r="T138" i="20"/>
  <c r="X138" i="20"/>
  <c r="AB138" i="20"/>
  <c r="U138" i="20"/>
  <c r="Y138" i="20"/>
  <c r="AC138" i="20"/>
  <c r="V138" i="20"/>
  <c r="Z138" i="20"/>
  <c r="V137" i="20"/>
  <c r="Z137" i="20"/>
  <c r="W137" i="20"/>
  <c r="AA137" i="20"/>
  <c r="T137" i="20"/>
  <c r="X137" i="20"/>
  <c r="AB137" i="20"/>
  <c r="AC137" i="20"/>
  <c r="U137" i="20"/>
  <c r="Y137" i="20"/>
  <c r="U136" i="20"/>
  <c r="Y136" i="20"/>
  <c r="AC136" i="20"/>
  <c r="V136" i="20"/>
  <c r="Z136" i="20"/>
  <c r="W136" i="20"/>
  <c r="AA136" i="20"/>
  <c r="X136" i="20"/>
  <c r="AB136" i="20"/>
  <c r="T136" i="20"/>
  <c r="W134" i="20"/>
  <c r="AA134" i="20"/>
  <c r="T134" i="20"/>
  <c r="X134" i="20"/>
  <c r="AB134" i="20"/>
  <c r="U134" i="20"/>
  <c r="Y134" i="20"/>
  <c r="AC134" i="20"/>
  <c r="V134" i="20"/>
  <c r="Z134" i="20"/>
  <c r="T135" i="20"/>
  <c r="X135" i="20"/>
  <c r="AB135" i="20"/>
  <c r="U135" i="20"/>
  <c r="Y135" i="20"/>
  <c r="AC135" i="20"/>
  <c r="V135" i="20"/>
  <c r="Z135" i="20"/>
  <c r="W135" i="20"/>
  <c r="AA135" i="20"/>
  <c r="U132" i="20"/>
  <c r="Y132" i="20"/>
  <c r="AC132" i="20"/>
  <c r="V132" i="20"/>
  <c r="Z132" i="20"/>
  <c r="W132" i="20"/>
  <c r="AA132" i="20"/>
  <c r="T132" i="20"/>
  <c r="X132" i="20"/>
  <c r="AB132" i="20"/>
  <c r="V133" i="20"/>
  <c r="Z133" i="20"/>
  <c r="W133" i="20"/>
  <c r="AA133" i="20"/>
  <c r="T133" i="20"/>
  <c r="X133" i="20"/>
  <c r="AB133" i="20"/>
  <c r="Y133" i="20"/>
  <c r="AC133" i="20"/>
  <c r="U133" i="20"/>
  <c r="U128" i="20"/>
  <c r="Y128" i="20"/>
  <c r="AC128" i="20"/>
  <c r="V128" i="20"/>
  <c r="Z128" i="20"/>
  <c r="W128" i="20"/>
  <c r="AA128" i="20"/>
  <c r="T128" i="20"/>
  <c r="X128" i="20"/>
  <c r="AB128" i="20"/>
  <c r="V129" i="20"/>
  <c r="Z129" i="20"/>
  <c r="W129" i="20"/>
  <c r="AA129" i="20"/>
  <c r="T129" i="20"/>
  <c r="X129" i="20"/>
  <c r="AB129" i="20"/>
  <c r="U129" i="20"/>
  <c r="Y129" i="20"/>
  <c r="AC129" i="20"/>
  <c r="W130" i="20"/>
  <c r="AA130" i="20"/>
  <c r="T130" i="20"/>
  <c r="X130" i="20"/>
  <c r="AB130" i="20"/>
  <c r="U130" i="20"/>
  <c r="Y130" i="20"/>
  <c r="AC130" i="20"/>
  <c r="Z130" i="20"/>
  <c r="V130" i="20"/>
  <c r="T131" i="20"/>
  <c r="X131" i="20"/>
  <c r="AB131" i="20"/>
  <c r="U131" i="20"/>
  <c r="Y131" i="20"/>
  <c r="AC131" i="20"/>
  <c r="V131" i="20"/>
  <c r="Z131" i="20"/>
  <c r="W131" i="20"/>
  <c r="AA131" i="20"/>
  <c r="T123" i="20"/>
  <c r="X123" i="20"/>
  <c r="AB123" i="20"/>
  <c r="U123" i="20"/>
  <c r="Y123" i="20"/>
  <c r="AC123" i="20"/>
  <c r="V123" i="20"/>
  <c r="Z123" i="20"/>
  <c r="W123" i="20"/>
  <c r="AA123" i="20"/>
  <c r="U124" i="20"/>
  <c r="Y124" i="20"/>
  <c r="F8" i="37" s="1"/>
  <c r="AC124" i="20"/>
  <c r="V124" i="20"/>
  <c r="Z124" i="20"/>
  <c r="W124" i="20"/>
  <c r="AA124" i="20"/>
  <c r="H8" i="37" s="1"/>
  <c r="AB124" i="20"/>
  <c r="T124" i="20"/>
  <c r="X124" i="20"/>
  <c r="V125" i="20"/>
  <c r="Z125" i="20"/>
  <c r="W125" i="20"/>
  <c r="AA125" i="20"/>
  <c r="T125" i="20"/>
  <c r="X125" i="20"/>
  <c r="AB125" i="20"/>
  <c r="U125" i="20"/>
  <c r="Y125" i="20"/>
  <c r="AC125" i="20"/>
  <c r="W126" i="20"/>
  <c r="AA126" i="20"/>
  <c r="T126" i="20"/>
  <c r="X126" i="20"/>
  <c r="AB126" i="20"/>
  <c r="U126" i="20"/>
  <c r="Y126" i="20"/>
  <c r="AC126" i="20"/>
  <c r="V126" i="20"/>
  <c r="Z126" i="20"/>
  <c r="T127" i="20"/>
  <c r="X127" i="20"/>
  <c r="AB127" i="20"/>
  <c r="U127" i="20"/>
  <c r="Y127" i="20"/>
  <c r="AC127" i="20"/>
  <c r="V127" i="20"/>
  <c r="Z127" i="20"/>
  <c r="AA127" i="20"/>
  <c r="W127" i="20"/>
  <c r="W122" i="20"/>
  <c r="AA122" i="20"/>
  <c r="T122" i="20"/>
  <c r="X122" i="20"/>
  <c r="AB122" i="20"/>
  <c r="U122" i="20"/>
  <c r="Y122" i="20"/>
  <c r="AC122" i="20"/>
  <c r="V122" i="20"/>
  <c r="Z122" i="20"/>
  <c r="V121" i="20"/>
  <c r="Z121" i="20"/>
  <c r="W121" i="20"/>
  <c r="AA121" i="20"/>
  <c r="T121" i="20"/>
  <c r="X121" i="20"/>
  <c r="AB121" i="20"/>
  <c r="AC121" i="20"/>
  <c r="U121" i="20"/>
  <c r="Y121" i="20"/>
  <c r="T119" i="20"/>
  <c r="X119" i="20"/>
  <c r="AB119" i="20"/>
  <c r="U119" i="20"/>
  <c r="Y119" i="20"/>
  <c r="AC119" i="20"/>
  <c r="V119" i="20"/>
  <c r="Z119" i="20"/>
  <c r="W119" i="20"/>
  <c r="AA119" i="20"/>
  <c r="U120" i="20"/>
  <c r="Y120" i="20"/>
  <c r="AC120" i="20"/>
  <c r="V120" i="20"/>
  <c r="Z120" i="20"/>
  <c r="W120" i="20"/>
  <c r="AA120" i="20"/>
  <c r="X120" i="20"/>
  <c r="AB120" i="20"/>
  <c r="T120" i="20"/>
  <c r="W118" i="20"/>
  <c r="AA118" i="20"/>
  <c r="T118" i="20"/>
  <c r="X118" i="20"/>
  <c r="AB118" i="20"/>
  <c r="U118" i="20"/>
  <c r="Y118" i="20"/>
  <c r="AC118" i="20"/>
  <c r="V118" i="20"/>
  <c r="Z118" i="20"/>
  <c r="U116" i="20"/>
  <c r="Y116" i="20"/>
  <c r="AC116" i="20"/>
  <c r="V116" i="20"/>
  <c r="Z116" i="20"/>
  <c r="W116" i="20"/>
  <c r="AA116" i="20"/>
  <c r="T116" i="20"/>
  <c r="X116" i="20"/>
  <c r="AB116" i="20"/>
  <c r="V117" i="20"/>
  <c r="Z117" i="20"/>
  <c r="W117" i="20"/>
  <c r="AA117" i="20"/>
  <c r="T117" i="20"/>
  <c r="X117" i="20"/>
  <c r="AB117" i="20"/>
  <c r="Y117" i="20"/>
  <c r="AC117" i="20"/>
  <c r="U117" i="20"/>
  <c r="U113" i="20"/>
  <c r="Y113" i="20"/>
  <c r="AC113" i="20"/>
  <c r="V113" i="20"/>
  <c r="Z113" i="20"/>
  <c r="T113" i="20"/>
  <c r="AB113" i="20"/>
  <c r="W113" i="20"/>
  <c r="X113" i="20"/>
  <c r="AA113" i="20"/>
  <c r="V114" i="20"/>
  <c r="Z114" i="20"/>
  <c r="W114" i="20"/>
  <c r="AA114" i="20"/>
  <c r="Y114" i="20"/>
  <c r="T114" i="20"/>
  <c r="AB114" i="20"/>
  <c r="U114" i="20"/>
  <c r="AC114" i="20"/>
  <c r="X114" i="20"/>
  <c r="W115" i="20"/>
  <c r="T115" i="20"/>
  <c r="X115" i="20"/>
  <c r="V115" i="20"/>
  <c r="AB115" i="20"/>
  <c r="Y115" i="20"/>
  <c r="AC115" i="20"/>
  <c r="Z115" i="20"/>
  <c r="U115" i="20"/>
  <c r="AA115" i="20"/>
  <c r="W111" i="20"/>
  <c r="AA111" i="20"/>
  <c r="T111" i="20"/>
  <c r="X111" i="20"/>
  <c r="AB111" i="20"/>
  <c r="Z111" i="20"/>
  <c r="U111" i="20"/>
  <c r="AC111" i="20"/>
  <c r="V111" i="20"/>
  <c r="Y111" i="20"/>
  <c r="T112" i="20"/>
  <c r="X112" i="20"/>
  <c r="AB112" i="20"/>
  <c r="U112" i="20"/>
  <c r="Y112" i="20"/>
  <c r="AC112" i="20"/>
  <c r="W112" i="20"/>
  <c r="Z112" i="20"/>
  <c r="AA112" i="20"/>
  <c r="V112" i="20"/>
  <c r="V110" i="20"/>
  <c r="Z110" i="20"/>
  <c r="W110" i="20"/>
  <c r="AA110" i="20"/>
  <c r="U110" i="20"/>
  <c r="Y110" i="20"/>
  <c r="AC110" i="20"/>
  <c r="AB110" i="20"/>
  <c r="T110" i="20"/>
  <c r="X110" i="20"/>
  <c r="T108" i="20"/>
  <c r="X108" i="20"/>
  <c r="AB108" i="20"/>
  <c r="U108" i="20"/>
  <c r="Y108" i="20"/>
  <c r="AC108" i="20"/>
  <c r="W108" i="20"/>
  <c r="AA108" i="20"/>
  <c r="V108" i="20"/>
  <c r="Z108" i="20"/>
  <c r="U109" i="20"/>
  <c r="Y109" i="20"/>
  <c r="AC109" i="20"/>
  <c r="V109" i="20"/>
  <c r="Z109" i="20"/>
  <c r="T109" i="20"/>
  <c r="X109" i="20"/>
  <c r="AB109" i="20"/>
  <c r="W109" i="20"/>
  <c r="AA109" i="20"/>
  <c r="V106" i="20"/>
  <c r="Z106" i="20"/>
  <c r="W106" i="20"/>
  <c r="AA106" i="20"/>
  <c r="U106" i="20"/>
  <c r="Y106" i="20"/>
  <c r="AC106" i="20"/>
  <c r="X106" i="20"/>
  <c r="AB106" i="20"/>
  <c r="T106" i="20"/>
  <c r="W107" i="20"/>
  <c r="AA107" i="20"/>
  <c r="T107" i="20"/>
  <c r="X107" i="20"/>
  <c r="AB107" i="20"/>
  <c r="V107" i="20"/>
  <c r="Z107" i="20"/>
  <c r="AC107" i="20"/>
  <c r="U107" i="20"/>
  <c r="Y107" i="20"/>
  <c r="U105" i="20"/>
  <c r="Y105" i="20"/>
  <c r="AC105" i="20"/>
  <c r="V105" i="20"/>
  <c r="Z105" i="20"/>
  <c r="T105" i="20"/>
  <c r="X105" i="20"/>
  <c r="AB105" i="20"/>
  <c r="W105" i="20"/>
  <c r="AA105" i="20"/>
  <c r="U101" i="20"/>
  <c r="Y101" i="20"/>
  <c r="AC101" i="20"/>
  <c r="V101" i="20"/>
  <c r="Z101" i="20"/>
  <c r="T101" i="20"/>
  <c r="X101" i="20"/>
  <c r="AB101" i="20"/>
  <c r="W101" i="20"/>
  <c r="AA101" i="20"/>
  <c r="V102" i="20"/>
  <c r="Z102" i="20"/>
  <c r="W102" i="20"/>
  <c r="AA102" i="20"/>
  <c r="U102" i="20"/>
  <c r="Y102" i="20"/>
  <c r="AC102" i="20"/>
  <c r="T102" i="20"/>
  <c r="X102" i="20"/>
  <c r="AB102" i="20"/>
  <c r="W103" i="20"/>
  <c r="AA103" i="20"/>
  <c r="T103" i="20"/>
  <c r="X103" i="20"/>
  <c r="AB103" i="20"/>
  <c r="V103" i="20"/>
  <c r="Z103" i="20"/>
  <c r="Y103" i="20"/>
  <c r="AC103" i="20"/>
  <c r="U103" i="20"/>
  <c r="T104" i="20"/>
  <c r="X104" i="20"/>
  <c r="AB104" i="20"/>
  <c r="U104" i="20"/>
  <c r="Y104" i="20"/>
  <c r="AC104" i="20"/>
  <c r="W104" i="20"/>
  <c r="AA104" i="20"/>
  <c r="V104" i="20"/>
  <c r="Z104" i="20"/>
  <c r="T100" i="20"/>
  <c r="X100" i="20"/>
  <c r="AB100" i="20"/>
  <c r="U100" i="20"/>
  <c r="Y100" i="20"/>
  <c r="AC100" i="20"/>
  <c r="W100" i="20"/>
  <c r="AA100" i="20"/>
  <c r="Z100" i="20"/>
  <c r="V100" i="20"/>
  <c r="W99" i="20"/>
  <c r="AA99" i="20"/>
  <c r="T99" i="20"/>
  <c r="X99" i="20"/>
  <c r="AB99" i="20"/>
  <c r="V99" i="20"/>
  <c r="Z99" i="20"/>
  <c r="U99" i="20"/>
  <c r="Y99" i="20"/>
  <c r="AC99" i="20"/>
  <c r="V98" i="20"/>
  <c r="Z98" i="20"/>
  <c r="W98" i="20"/>
  <c r="AA98" i="20"/>
  <c r="U98" i="20"/>
  <c r="Y98" i="20"/>
  <c r="AC98" i="20"/>
  <c r="T98" i="20"/>
  <c r="X98" i="20"/>
  <c r="AB98" i="20"/>
  <c r="W95" i="20"/>
  <c r="AA95" i="20"/>
  <c r="T95" i="20"/>
  <c r="X95" i="20"/>
  <c r="AB95" i="20"/>
  <c r="V95" i="20"/>
  <c r="Z95" i="20"/>
  <c r="U95" i="20"/>
  <c r="Y95" i="20"/>
  <c r="AC95" i="20"/>
  <c r="T96" i="20"/>
  <c r="X96" i="20"/>
  <c r="AB96" i="20"/>
  <c r="U96" i="20"/>
  <c r="Y96" i="20"/>
  <c r="AC96" i="20"/>
  <c r="W96" i="20"/>
  <c r="AA96" i="20"/>
  <c r="V96" i="20"/>
  <c r="Z96" i="20"/>
  <c r="U97" i="20"/>
  <c r="Y97" i="20"/>
  <c r="AC97" i="20"/>
  <c r="V97" i="20"/>
  <c r="Z97" i="20"/>
  <c r="T97" i="20"/>
  <c r="X97" i="20"/>
  <c r="AB97" i="20"/>
  <c r="AA97" i="20"/>
  <c r="W97" i="20"/>
  <c r="W82" i="20"/>
  <c r="AA82" i="20"/>
  <c r="T82" i="20"/>
  <c r="X82" i="20"/>
  <c r="AB82" i="20"/>
  <c r="Y82" i="20"/>
  <c r="Z82" i="20"/>
  <c r="V82" i="20"/>
  <c r="U82" i="20"/>
  <c r="AC82" i="20"/>
  <c r="T83" i="20"/>
  <c r="X83" i="20"/>
  <c r="AB83" i="20"/>
  <c r="U83" i="20"/>
  <c r="Y83" i="20"/>
  <c r="AC83" i="20"/>
  <c r="V83" i="20"/>
  <c r="W83" i="20"/>
  <c r="AA83" i="20"/>
  <c r="Z83" i="20"/>
  <c r="V81" i="20"/>
  <c r="Z81" i="20"/>
  <c r="W81" i="20"/>
  <c r="AA81" i="20"/>
  <c r="T81" i="20"/>
  <c r="AB81" i="20"/>
  <c r="U81" i="20"/>
  <c r="AC81" i="20"/>
  <c r="Y81" i="20"/>
  <c r="X81" i="20"/>
  <c r="U80" i="20"/>
  <c r="Y80" i="20"/>
  <c r="AC80" i="20"/>
  <c r="V80" i="20"/>
  <c r="Z80" i="20"/>
  <c r="W80" i="20"/>
  <c r="X80" i="20"/>
  <c r="T80" i="20"/>
  <c r="B3" i="41" s="1"/>
  <c r="AB80" i="20"/>
  <c r="AA80" i="20"/>
  <c r="U76" i="20"/>
  <c r="Y76" i="20"/>
  <c r="AC76" i="20"/>
  <c r="V76" i="20"/>
  <c r="AA76" i="20"/>
  <c r="W76" i="20"/>
  <c r="AB76" i="20"/>
  <c r="T76" i="20"/>
  <c r="Z76" i="20"/>
  <c r="X76" i="20"/>
  <c r="T75" i="20"/>
  <c r="X75" i="20"/>
  <c r="AB75" i="20"/>
  <c r="U75" i="20"/>
  <c r="Z75" i="20"/>
  <c r="V75" i="20"/>
  <c r="AA75" i="20"/>
  <c r="W75" i="20"/>
  <c r="AC75" i="20"/>
  <c r="Y75" i="20"/>
  <c r="U72" i="20"/>
  <c r="Y72" i="20"/>
  <c r="AC72" i="20"/>
  <c r="V72" i="20"/>
  <c r="AA72" i="20"/>
  <c r="W72" i="20"/>
  <c r="D9" i="37" s="1"/>
  <c r="AB72" i="20"/>
  <c r="I9" i="37" s="1"/>
  <c r="X72" i="20"/>
  <c r="T72" i="20"/>
  <c r="Z72" i="20"/>
  <c r="U39" i="20"/>
  <c r="Y39" i="20"/>
  <c r="AC39" i="20"/>
  <c r="W39" i="20"/>
  <c r="AB39" i="20"/>
  <c r="X39" i="20"/>
  <c r="T39" i="20"/>
  <c r="Z39" i="20"/>
  <c r="V39" i="20"/>
  <c r="AA39" i="20"/>
  <c r="H15" i="37" s="1"/>
  <c r="T79" i="20"/>
  <c r="X79" i="20"/>
  <c r="AB79" i="20"/>
  <c r="U79" i="20"/>
  <c r="Y79" i="20"/>
  <c r="AC79" i="20"/>
  <c r="Z79" i="20"/>
  <c r="AA79" i="20"/>
  <c r="W79" i="20"/>
  <c r="V79" i="20"/>
  <c r="U84" i="20"/>
  <c r="C6" i="41" s="1"/>
  <c r="Y84" i="20"/>
  <c r="H6" i="41" s="1"/>
  <c r="AC84" i="20"/>
  <c r="V84" i="20"/>
  <c r="D6" i="41" s="1"/>
  <c r="Z84" i="20"/>
  <c r="I6" i="41" s="1"/>
  <c r="AA84" i="20"/>
  <c r="J6" i="41" s="1"/>
  <c r="T84" i="20"/>
  <c r="B6" i="41" s="1"/>
  <c r="AB84" i="20"/>
  <c r="X84" i="20"/>
  <c r="F6" i="41" s="1"/>
  <c r="W84" i="20"/>
  <c r="E6" i="41" s="1"/>
  <c r="V85" i="20"/>
  <c r="Z85" i="20"/>
  <c r="W85" i="20"/>
  <c r="AA85" i="20"/>
  <c r="X85" i="20"/>
  <c r="Y85" i="20"/>
  <c r="U85" i="20"/>
  <c r="AC85" i="20"/>
  <c r="T85" i="20"/>
  <c r="AB85" i="20"/>
  <c r="W86" i="20"/>
  <c r="AA86" i="20"/>
  <c r="T86" i="20"/>
  <c r="X86" i="20"/>
  <c r="AB86" i="20"/>
  <c r="U86" i="20"/>
  <c r="AC86" i="20"/>
  <c r="V86" i="20"/>
  <c r="Z86" i="20"/>
  <c r="Y86" i="20"/>
  <c r="T87" i="20"/>
  <c r="X87" i="20"/>
  <c r="AB87" i="20"/>
  <c r="U87" i="20"/>
  <c r="Y87" i="20"/>
  <c r="AC87" i="20"/>
  <c r="Z87" i="20"/>
  <c r="AA87" i="20"/>
  <c r="W87" i="20"/>
  <c r="V87" i="20"/>
  <c r="U88" i="20"/>
  <c r="Y88" i="20"/>
  <c r="AC88" i="20"/>
  <c r="V88" i="20"/>
  <c r="Z88" i="20"/>
  <c r="W88" i="20"/>
  <c r="X88" i="20"/>
  <c r="T88" i="20"/>
  <c r="AB88" i="20"/>
  <c r="AA88" i="20"/>
  <c r="V89" i="20"/>
  <c r="Z89" i="20"/>
  <c r="W89" i="20"/>
  <c r="AA89" i="20"/>
  <c r="T89" i="20"/>
  <c r="AB89" i="20"/>
  <c r="U89" i="20"/>
  <c r="AC89" i="20"/>
  <c r="Y89" i="20"/>
  <c r="X89" i="20"/>
  <c r="W90" i="20"/>
  <c r="AA90" i="20"/>
  <c r="T90" i="20"/>
  <c r="X90" i="20"/>
  <c r="AB90" i="20"/>
  <c r="Y90" i="20"/>
  <c r="Z90" i="20"/>
  <c r="V90" i="20"/>
  <c r="U90" i="20"/>
  <c r="AC90" i="20"/>
  <c r="T91" i="20"/>
  <c r="X91" i="20"/>
  <c r="U91" i="20"/>
  <c r="V91" i="20"/>
  <c r="AA91" i="20"/>
  <c r="W91" i="20"/>
  <c r="AB91" i="20"/>
  <c r="Z91" i="20"/>
  <c r="AC91" i="20"/>
  <c r="Y91" i="20"/>
  <c r="T92" i="20"/>
  <c r="X92" i="20"/>
  <c r="AB92" i="20"/>
  <c r="U92" i="20"/>
  <c r="Y92" i="20"/>
  <c r="AC92" i="20"/>
  <c r="W92" i="20"/>
  <c r="AA92" i="20"/>
  <c r="V92" i="20"/>
  <c r="Z92" i="20"/>
  <c r="U93" i="20"/>
  <c r="Y93" i="20"/>
  <c r="AC93" i="20"/>
  <c r="V93" i="20"/>
  <c r="Z93" i="20"/>
  <c r="T93" i="20"/>
  <c r="X93" i="20"/>
  <c r="AB93" i="20"/>
  <c r="W93" i="20"/>
  <c r="AA93" i="20"/>
  <c r="V94" i="20"/>
  <c r="Z94" i="20"/>
  <c r="W94" i="20"/>
  <c r="AA94" i="20"/>
  <c r="U94" i="20"/>
  <c r="Y94" i="20"/>
  <c r="AC94" i="20"/>
  <c r="AB94" i="20"/>
  <c r="T94" i="20"/>
  <c r="X94" i="20"/>
  <c r="U64" i="20"/>
  <c r="Y64" i="20"/>
  <c r="AC64" i="20"/>
  <c r="V64" i="20"/>
  <c r="Z64" i="20"/>
  <c r="AA64" i="20"/>
  <c r="T64" i="20"/>
  <c r="AB64" i="20"/>
  <c r="W64" i="20"/>
  <c r="X64" i="20"/>
  <c r="W70" i="20"/>
  <c r="AA70" i="20"/>
  <c r="V70" i="20"/>
  <c r="AB70" i="20"/>
  <c r="X70" i="20"/>
  <c r="AC70" i="20"/>
  <c r="T70" i="20"/>
  <c r="Y70" i="20"/>
  <c r="U70" i="20"/>
  <c r="Z70" i="20"/>
  <c r="W62" i="20"/>
  <c r="AA62" i="20"/>
  <c r="T62" i="20"/>
  <c r="X62" i="20"/>
  <c r="AB62" i="20"/>
  <c r="Y62" i="20"/>
  <c r="Z62" i="20"/>
  <c r="U62" i="20"/>
  <c r="AC62" i="20"/>
  <c r="V62" i="20"/>
  <c r="T59" i="20"/>
  <c r="X59" i="20"/>
  <c r="F7" i="41" s="1"/>
  <c r="AB59" i="20"/>
  <c r="U59" i="20"/>
  <c r="Y59" i="20"/>
  <c r="AC59" i="20"/>
  <c r="Z59" i="20"/>
  <c r="I7" i="41" s="1"/>
  <c r="AA59" i="20"/>
  <c r="V59" i="20"/>
  <c r="W59" i="20"/>
  <c r="T71" i="20"/>
  <c r="X71" i="20"/>
  <c r="AB71" i="20"/>
  <c r="V71" i="20"/>
  <c r="AA71" i="20"/>
  <c r="W71" i="20"/>
  <c r="AC71" i="20"/>
  <c r="Y71" i="20"/>
  <c r="Z71" i="20"/>
  <c r="U71" i="20"/>
  <c r="T63" i="20"/>
  <c r="X63" i="20"/>
  <c r="AB63" i="20"/>
  <c r="U63" i="20"/>
  <c r="Y63" i="20"/>
  <c r="AC63" i="20"/>
  <c r="V63" i="20"/>
  <c r="W63" i="20"/>
  <c r="Z63" i="20"/>
  <c r="AA63" i="20"/>
  <c r="U60" i="20"/>
  <c r="Y60" i="20"/>
  <c r="AC60" i="20"/>
  <c r="V60" i="20"/>
  <c r="Z60" i="20"/>
  <c r="W60" i="20"/>
  <c r="X60" i="20"/>
  <c r="AA60" i="20"/>
  <c r="T60" i="20"/>
  <c r="AB60" i="20"/>
  <c r="W65" i="20"/>
  <c r="AA65" i="20"/>
  <c r="T65" i="20"/>
  <c r="X65" i="20"/>
  <c r="AB65" i="20"/>
  <c r="U65" i="20"/>
  <c r="AC65" i="20"/>
  <c r="V65" i="20"/>
  <c r="Y65" i="20"/>
  <c r="Z65" i="20"/>
  <c r="T53" i="20"/>
  <c r="X53" i="20"/>
  <c r="AB53" i="20"/>
  <c r="W53" i="20"/>
  <c r="AC53" i="20"/>
  <c r="Y53" i="20"/>
  <c r="U53" i="20"/>
  <c r="Z53" i="20"/>
  <c r="AA53" i="20"/>
  <c r="V53" i="20"/>
  <c r="V77" i="20"/>
  <c r="Z77" i="20"/>
  <c r="U77" i="20"/>
  <c r="AA77" i="20"/>
  <c r="W77" i="20"/>
  <c r="AB77" i="20"/>
  <c r="AC77" i="20"/>
  <c r="T77" i="20"/>
  <c r="Y77" i="20"/>
  <c r="X77" i="20"/>
  <c r="W78" i="20"/>
  <c r="AA78" i="20"/>
  <c r="U78" i="20"/>
  <c r="Z78" i="20"/>
  <c r="V78" i="20"/>
  <c r="AB78" i="20"/>
  <c r="AC78" i="20"/>
  <c r="T78" i="20"/>
  <c r="Y78" i="20"/>
  <c r="X78" i="20"/>
  <c r="V66" i="20"/>
  <c r="W66" i="20"/>
  <c r="AA66" i="20"/>
  <c r="X66" i="20"/>
  <c r="AC66" i="20"/>
  <c r="Y66" i="20"/>
  <c r="T66" i="20"/>
  <c r="Z66" i="20"/>
  <c r="U66" i="20"/>
  <c r="AB66" i="20"/>
  <c r="M32" i="37"/>
  <c r="AC13" i="20"/>
  <c r="T142" i="19"/>
  <c r="T13" i="20"/>
  <c r="U13" i="20"/>
  <c r="V13" i="20"/>
  <c r="W13" i="20"/>
  <c r="X13" i="20"/>
  <c r="E16" i="37" s="1"/>
  <c r="Y13" i="20"/>
  <c r="Z13" i="20"/>
  <c r="AA13" i="20"/>
  <c r="AB13" i="20"/>
  <c r="N6" i="36"/>
  <c r="N32" i="37"/>
  <c r="I32" i="37"/>
  <c r="F32" i="37"/>
  <c r="J32" i="37"/>
  <c r="E32" i="37"/>
  <c r="I16" i="36"/>
  <c r="K16" i="36"/>
  <c r="H16" i="36"/>
  <c r="B17" i="37"/>
  <c r="E6" i="43" s="1"/>
  <c r="F21" i="43" s="1"/>
  <c r="C17"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5" i="37"/>
  <c r="AL38" i="40"/>
  <c r="C32" i="37"/>
  <c r="J27" i="40"/>
  <c r="Z8" i="72"/>
  <c r="S8" i="36"/>
  <c r="S9" i="36"/>
  <c r="S12" i="36"/>
  <c r="S13" i="36"/>
  <c r="B32" i="37"/>
  <c r="AJ38" i="40"/>
  <c r="K12" i="40" s="1"/>
  <c r="C16" i="36"/>
  <c r="X3" i="72"/>
  <c r="X13" i="72" s="1"/>
  <c r="S6" i="36"/>
  <c r="Y3" i="72"/>
  <c r="Y13" i="72" s="1"/>
  <c r="O25" i="37"/>
  <c r="G9" i="43"/>
  <c r="M20" i="43"/>
  <c r="M24" i="43"/>
  <c r="G8" i="43"/>
  <c r="I18" i="43"/>
  <c r="G23" i="43"/>
  <c r="M17" i="43"/>
  <c r="I17" i="43"/>
  <c r="I20" i="43"/>
  <c r="I22" i="43"/>
  <c r="G18" i="43"/>
  <c r="G19" i="43"/>
  <c r="I23" i="43"/>
  <c r="I21" i="43"/>
  <c r="M19" i="43"/>
  <c r="G17" i="43"/>
  <c r="G21" i="43"/>
  <c r="G20" i="43"/>
  <c r="G24" i="43"/>
  <c r="M22" i="43"/>
  <c r="G10" i="43"/>
  <c r="I19" i="43"/>
  <c r="I24" i="43"/>
  <c r="G22" i="43"/>
  <c r="M23" i="43"/>
  <c r="M18" i="43"/>
  <c r="M21" i="43"/>
  <c r="F10" i="37" l="1"/>
  <c r="H7" i="37"/>
  <c r="H10" i="37"/>
  <c r="H13" i="37"/>
  <c r="D10" i="37"/>
  <c r="G13" i="37"/>
  <c r="E4" i="41"/>
  <c r="F5" i="41"/>
  <c r="F16" i="37"/>
  <c r="B5" i="41"/>
  <c r="E5" i="41"/>
  <c r="G7" i="37"/>
  <c r="G10" i="37"/>
  <c r="Q6" i="36"/>
  <c r="O6" i="36"/>
  <c r="AM38" i="40"/>
  <c r="AR38" i="40"/>
  <c r="L27" i="40" s="1"/>
  <c r="F24" i="43"/>
  <c r="H24" i="43" s="1"/>
  <c r="K24" i="43" s="1"/>
  <c r="L24" i="43" s="1"/>
  <c r="F23" i="43"/>
  <c r="H23" i="43" s="1"/>
  <c r="F8" i="43"/>
  <c r="F20" i="43"/>
  <c r="H20" i="43" s="1"/>
  <c r="K20" i="43" s="1"/>
  <c r="L20" i="43" s="1"/>
  <c r="F22" i="43"/>
  <c r="H22" i="43" s="1"/>
  <c r="K22" i="43" s="1"/>
  <c r="L22" i="43" s="1"/>
  <c r="F17" i="43"/>
  <c r="N17" i="43" s="1"/>
  <c r="F18" i="43"/>
  <c r="O18" i="43" s="1"/>
  <c r="P18" i="43" s="1"/>
  <c r="F19" i="43"/>
  <c r="H19" i="43" s="1"/>
  <c r="K19" i="43" s="1"/>
  <c r="L19" i="43" s="1"/>
  <c r="J24" i="43"/>
  <c r="N13" i="36"/>
  <c r="Q13" i="36" s="1"/>
  <c r="N11" i="36"/>
  <c r="Q11" i="36" s="1"/>
  <c r="N12" i="36"/>
  <c r="Q12" i="36" s="1"/>
  <c r="N9" i="36"/>
  <c r="Q9" i="36" s="1"/>
  <c r="N7" i="36"/>
  <c r="Q7" i="36" s="1"/>
  <c r="N15" i="36"/>
  <c r="Q15" i="36" s="1"/>
  <c r="N14" i="36"/>
  <c r="N10" i="36"/>
  <c r="Q10" i="36" s="1"/>
  <c r="F10" i="43"/>
  <c r="F9" i="43"/>
  <c r="S16" i="36"/>
  <c r="L16" i="36"/>
  <c r="Z3" i="72"/>
  <c r="Z13" i="72" s="1"/>
  <c r="E11" i="41"/>
  <c r="C11" i="41"/>
  <c r="H29" i="37"/>
  <c r="H11" i="41"/>
  <c r="H22" i="37"/>
  <c r="D22" i="37"/>
  <c r="G22" i="37" s="1"/>
  <c r="D29" i="37"/>
  <c r="G29" i="37" s="1"/>
  <c r="F11" i="41"/>
  <c r="D28" i="37"/>
  <c r="G28" i="37" s="1"/>
  <c r="J11" i="41"/>
  <c r="L24" i="37"/>
  <c r="O24" i="37" s="1"/>
  <c r="L26" i="37"/>
  <c r="O26" i="37" s="1"/>
  <c r="H30" i="37"/>
  <c r="H28" i="37"/>
  <c r="H21" i="43"/>
  <c r="K21" i="43" s="1"/>
  <c r="L21" i="43" s="1"/>
  <c r="D24" i="37"/>
  <c r="G24" i="37" s="1"/>
  <c r="D27" i="37"/>
  <c r="G27" i="37" s="1"/>
  <c r="D23" i="37"/>
  <c r="G23" i="37" s="1"/>
  <c r="L29" i="37"/>
  <c r="O29" i="37" s="1"/>
  <c r="L30" i="37"/>
  <c r="O30" i="37" s="1"/>
  <c r="L27" i="37"/>
  <c r="O27" i="37" s="1"/>
  <c r="I11" i="41"/>
  <c r="D30" i="37"/>
  <c r="G30" i="37" s="1"/>
  <c r="H31" i="37"/>
  <c r="H26" i="37"/>
  <c r="D31" i="37"/>
  <c r="G31" i="37" s="1"/>
  <c r="L28" i="37"/>
  <c r="O28" i="37" s="1"/>
  <c r="L31" i="37"/>
  <c r="O31" i="37" s="1"/>
  <c r="D11" i="41"/>
  <c r="H24" i="37"/>
  <c r="L22" i="37"/>
  <c r="D26" i="37"/>
  <c r="G26" i="37" s="1"/>
  <c r="L23" i="37"/>
  <c r="O23" i="37" s="1"/>
  <c r="H27" i="37"/>
  <c r="H23" i="37"/>
  <c r="N21" i="43"/>
  <c r="J21" i="43"/>
  <c r="O21" i="43"/>
  <c r="P21" i="43" s="1"/>
  <c r="N9" i="43" l="1"/>
  <c r="H9" i="43"/>
  <c r="K9" i="43" s="1"/>
  <c r="L9" i="43" s="1"/>
  <c r="J8" i="43"/>
  <c r="H8" i="43"/>
  <c r="K8" i="43" s="1"/>
  <c r="N10" i="43"/>
  <c r="H10" i="43"/>
  <c r="K10" i="43" s="1"/>
  <c r="L10" i="43" s="1"/>
  <c r="P14" i="36"/>
  <c r="Q14" i="36"/>
  <c r="O11" i="36"/>
  <c r="R11" i="36" s="1"/>
  <c r="F23" i="62" s="1"/>
  <c r="P10" i="36"/>
  <c r="P7" i="36"/>
  <c r="P9" i="36"/>
  <c r="O8" i="43"/>
  <c r="P8" i="43" s="1"/>
  <c r="O24" i="43"/>
  <c r="P24" i="43" s="1"/>
  <c r="N19" i="43"/>
  <c r="N24" i="43"/>
  <c r="J17" i="43"/>
  <c r="J18" i="43"/>
  <c r="O19" i="43"/>
  <c r="P19" i="43" s="1"/>
  <c r="N20" i="43"/>
  <c r="O17" i="43"/>
  <c r="P17" i="43" s="1"/>
  <c r="H18" i="43"/>
  <c r="K18" i="43" s="1"/>
  <c r="L18" i="43" s="1"/>
  <c r="J23" i="43"/>
  <c r="L8" i="43"/>
  <c r="H17" i="43"/>
  <c r="K17" i="43" s="1"/>
  <c r="L17" i="43" s="1"/>
  <c r="K17" i="37"/>
  <c r="N23" i="43"/>
  <c r="O23" i="43"/>
  <c r="P23" i="43" s="1"/>
  <c r="N8" i="43"/>
  <c r="K23" i="43"/>
  <c r="L23" i="43" s="1"/>
  <c r="J20" i="43"/>
  <c r="J19" i="43"/>
  <c r="O20" i="43"/>
  <c r="P20" i="43" s="1"/>
  <c r="N22" i="43"/>
  <c r="J22" i="43"/>
  <c r="P8" i="36"/>
  <c r="O22" i="43"/>
  <c r="P22" i="43" s="1"/>
  <c r="N18" i="43"/>
  <c r="P13" i="36"/>
  <c r="O13" i="36"/>
  <c r="E25" i="62" s="1"/>
  <c r="P6" i="36"/>
  <c r="O9" i="43"/>
  <c r="P9" i="43" s="1"/>
  <c r="J9" i="43"/>
  <c r="P11" i="36"/>
  <c r="P12" i="36"/>
  <c r="O14" i="36"/>
  <c r="E26" i="62" s="1"/>
  <c r="O12" i="36"/>
  <c r="E24" i="62" s="1"/>
  <c r="O10" i="36"/>
  <c r="E22" i="62" s="1"/>
  <c r="O9" i="36"/>
  <c r="R9" i="36" s="1"/>
  <c r="O7" i="36"/>
  <c r="E19" i="62" s="1"/>
  <c r="P15" i="36"/>
  <c r="O15" i="36"/>
  <c r="E27" i="62" s="1"/>
  <c r="O10" i="43"/>
  <c r="P10" i="43" s="1"/>
  <c r="J10" i="43"/>
  <c r="N16" i="36"/>
  <c r="Q16" i="36" s="1"/>
  <c r="O8" i="36"/>
  <c r="E20" i="62" s="1"/>
  <c r="H17" i="37"/>
  <c r="H32" i="37"/>
  <c r="I17" i="37"/>
  <c r="E17" i="37"/>
  <c r="F17" i="37"/>
  <c r="J17" i="37"/>
  <c r="D17" i="37"/>
  <c r="G32" i="37"/>
  <c r="O22" i="37"/>
  <c r="O32" i="37" s="1"/>
  <c r="L32" i="37"/>
  <c r="G17" i="37"/>
  <c r="D32" i="37"/>
  <c r="E23" i="62" l="1"/>
  <c r="G23" i="62" s="1"/>
  <c r="AA8" i="72" s="1"/>
  <c r="F21" i="62"/>
  <c r="R13" i="36"/>
  <c r="F25" i="62" s="1"/>
  <c r="G25" i="62" s="1"/>
  <c r="AA10" i="72" s="1"/>
  <c r="E21" i="62"/>
  <c r="R12" i="36"/>
  <c r="F24" i="62" s="1"/>
  <c r="G24" i="62" s="1"/>
  <c r="AA9" i="72" s="1"/>
  <c r="E18" i="62"/>
  <c r="R6" i="36"/>
  <c r="F18" i="62" s="1"/>
  <c r="R14" i="36"/>
  <c r="F26" i="62" s="1"/>
  <c r="G26" i="62" s="1"/>
  <c r="AA11" i="72" s="1"/>
  <c r="P16" i="36"/>
  <c r="R10" i="36"/>
  <c r="F22" i="62" s="1"/>
  <c r="G22" i="62" s="1"/>
  <c r="AA7" i="72" s="1"/>
  <c r="R7" i="36"/>
  <c r="F19" i="62" s="1"/>
  <c r="G19" i="62" s="1"/>
  <c r="AA4" i="72" s="1"/>
  <c r="R15" i="36"/>
  <c r="F27" i="62" s="1"/>
  <c r="G27" i="62" s="1"/>
  <c r="AA12" i="72" s="1"/>
  <c r="O16" i="36"/>
  <c r="E28" i="62" s="1"/>
  <c r="R8" i="36"/>
  <c r="F20" i="62" s="1"/>
  <c r="G20" i="62" s="1"/>
  <c r="AA5" i="72" s="1"/>
  <c r="G21" i="62" l="1"/>
  <c r="AA6" i="72" s="1"/>
  <c r="G18" i="62"/>
  <c r="AA3" i="72" s="1"/>
  <c r="R16" i="36"/>
  <c r="F28" i="62" s="1"/>
  <c r="G28" i="62" s="1"/>
</calcChain>
</file>

<file path=xl/sharedStrings.xml><?xml version="1.0" encoding="utf-8"?>
<sst xmlns="http://schemas.openxmlformats.org/spreadsheetml/2006/main" count="10345" uniqueCount="1058">
  <si>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</si>
  <si>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</si>
  <si>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</si>
  <si>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</si>
  <si>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</si>
  <si>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</si>
  <si>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</si>
  <si>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</si>
  <si>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</si>
  <si>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</si>
  <si>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</si>
  <si>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</si>
  <si>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</si>
  <si>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</si>
  <si>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</si>
  <si>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</si>
  <si>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</si>
  <si>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</si>
  <si>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</si>
  <si>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</si>
  <si>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</si>
  <si>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</si>
  <si>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</si>
  <si>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</si>
  <si>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</si>
  <si>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</si>
  <si>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</si>
  <si>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</si>
  <si>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</si>
  <si>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</si>
  <si>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</si>
  <si>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</si>
  <si>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</si>
  <si>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</si>
  <si>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</si>
  <si>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</si>
  <si>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</si>
  <si>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</si>
  <si>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</si>
  <si>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</si>
  <si>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</si>
  <si>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</si>
  <si>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</si>
  <si>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</si>
  <si>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</si>
  <si>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</si>
  <si>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</si>
  <si>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</si>
  <si>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</si>
  <si>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</si>
  <si>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</si>
  <si>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</si>
  <si>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</si>
  <si>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</si>
  <si>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</si>
  <si>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</si>
  <si>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</si>
  <si>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</si>
  <si>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</si>
  <si>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</si>
  <si>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</si>
  <si>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</si>
  <si>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</si>
  <si>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</si>
  <si>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</si>
  <si>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</si>
  <si>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</si>
  <si>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</si>
  <si>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</si>
  <si>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</si>
  <si>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</si>
  <si>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</si>
  <si>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</si>
  <si>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</si>
  <si>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</si>
  <si>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</si>
  <si>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</si>
  <si>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</si>
  <si>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</si>
  <si>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</si>
  <si>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Thin Pone Tan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</si>
  <si>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</si>
  <si>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</si>
  <si>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</si>
  <si>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</si>
  <si>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</si>
  <si>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</si>
  <si>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</si>
  <si>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</si>
  <si>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</si>
  <si>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</si>
  <si>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</si>
  <si>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</si>
  <si>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</si>
  <si>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</si>
  <si>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</si>
  <si>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</si>
  <si>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</si>
  <si>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</si>
  <si>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</si>
  <si>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</si>
  <si>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</si>
  <si>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</si>
  <si>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</si>
  <si>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</si>
  <si>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</si>
  <si>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</si>
  <si>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</si>
  <si>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</si>
  <si>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</si>
  <si>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</si>
  <si>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</si>
  <si>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</si>
  <si>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</si>
  <si>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</si>
  <si>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</si>
  <si>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</si>
  <si>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</si>
  <si>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</si>
  <si>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</si>
  <si>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</si>
  <si>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</si>
  <si>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</si>
  <si>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</si>
  <si>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</si>
  <si>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</si>
  <si>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</si>
  <si>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</si>
  <si>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</si>
  <si>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</si>
  <si>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</si>
  <si>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</si>
  <si>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</si>
  <si>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</si>
  <si>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</si>
  <si>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</si>
  <si>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</si>
  <si>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</si>
  <si>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</si>
  <si>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</si>
  <si>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</si>
  <si>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</si>
  <si>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</si>
  <si>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</si>
  <si>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</si>
  <si>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</si>
  <si>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</si>
  <si>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</si>
  <si>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</si>
  <si>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</si>
  <si>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</si>
  <si>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</si>
  <si>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</si>
  <si>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</si>
  <si>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</si>
  <si>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</si>
  <si>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</si>
  <si>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</si>
  <si>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</si>
  <si>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</si>
  <si>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</si>
  <si>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</si>
  <si>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</si>
  <si>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</si>
  <si>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</si>
  <si>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</si>
  <si>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</si>
  <si>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</si>
  <si>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</si>
  <si>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MMR012CMP058</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</si>
  <si>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</si>
  <si>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</si>
  <si>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</si>
  <si>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</si>
  <si>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</si>
  <si>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</si>
  <si>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</si>
  <si>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</si>
  <si>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</si>
  <si>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</si>
  <si>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</si>
  <si>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</si>
  <si>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</si>
  <si>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</si>
  <si>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</si>
  <si>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</si>
  <si>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</si>
  <si>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</si>
  <si>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</si>
  <si>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</si>
  <si>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</si>
  <si>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</si>
  <si>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</si>
  <si>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</si>
  <si>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</si>
  <si>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</si>
  <si>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</si>
  <si>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</si>
  <si>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</si>
  <si>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</si>
  <si>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</si>
  <si>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</si>
  <si>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</si>
  <si>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</si>
  <si>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</si>
  <si>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</si>
  <si>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</si>
  <si>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</si>
  <si>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</si>
  <si>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</si>
  <si>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</si>
  <si>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</si>
  <si>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</si>
  <si>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</si>
  <si>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</si>
  <si>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</si>
  <si>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</si>
  <si>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</si>
  <si>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</si>
  <si>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</si>
  <si>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</si>
  <si>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</si>
  <si>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</si>
  <si>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</si>
  <si>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</si>
  <si>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</si>
  <si>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</si>
  <si>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</si>
  <si>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</si>
  <si>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</si>
  <si>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</si>
  <si>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</si>
  <si>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</si>
  <si>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</si>
  <si>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</si>
  <si>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</si>
  <si>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</si>
  <si>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</si>
  <si>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</si>
  <si>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</si>
  <si>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</si>
  <si>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</si>
  <si>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</si>
  <si>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</si>
  <si>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</si>
  <si>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</si>
  <si>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</si>
  <si>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</si>
  <si>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</si>
  <si>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</si>
  <si>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</si>
  <si>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</si>
  <si>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</si>
  <si>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</si>
  <si>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</si>
  <si>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</si>
  <si>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</si>
  <si>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</si>
  <si>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</si>
  <si>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</si>
  <si>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</si>
  <si>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</si>
  <si>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</si>
  <si>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</si>
  <si>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</si>
  <si>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</si>
  <si>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</si>
  <si>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</si>
  <si>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</si>
  <si>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</si>
  <si>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</si>
  <si>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</si>
  <si>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</si>
  <si>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</si>
  <si>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</si>
  <si>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</si>
  <si>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</si>
  <si>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</si>
  <si>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</si>
  <si>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</si>
  <si>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</si>
  <si>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</si>
  <si>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</si>
  <si>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</si>
  <si>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</si>
  <si>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</si>
  <si>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</si>
  <si>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</si>
  <si>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</si>
  <si>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</si>
  <si>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</si>
  <si>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</si>
  <si>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</si>
  <si>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</si>
  <si>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</si>
  <si>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</si>
  <si>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</si>
  <si>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</si>
  <si>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</si>
  <si>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</si>
  <si>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</si>
  <si>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Org</t>
  </si>
  <si>
    <t>Quantity/HH</t>
  </si>
  <si>
    <t>Requirement</t>
  </si>
  <si>
    <t>Distributed</t>
  </si>
  <si>
    <t>In Stock</t>
  </si>
  <si>
    <t>Requirement</t>
    <phoneticPr fontId="18" type="noConversion"/>
  </si>
  <si>
    <t>Remaining Need</t>
  </si>
  <si>
    <t>Hygiene Kit</t>
  </si>
  <si>
    <t>Sanitary Kit</t>
  </si>
  <si>
    <t>Tarpaulin</t>
  </si>
  <si>
    <t>NFI DISTRIBUTION BY TOWNSHIP</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</si>
  <si>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</si>
  <si>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</si>
  <si>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</si>
  <si>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</si>
  <si>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</si>
  <si>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</si>
  <si>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</si>
  <si>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</si>
  <si>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</si>
  <si>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</si>
  <si>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</si>
  <si>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</si>
  <si>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</si>
  <si>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</si>
  <si>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</si>
  <si>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</si>
  <si>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</si>
  <si>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</si>
  <si>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</si>
  <si>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</si>
  <si>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</si>
  <si>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</si>
  <si>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</si>
  <si>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</si>
  <si>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</si>
  <si>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</si>
  <si>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</si>
  <si>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</si>
  <si>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</si>
  <si>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</si>
  <si>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</si>
  <si>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</si>
  <si>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</si>
  <si>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</si>
  <si>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</si>
  <si>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</si>
  <si>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</si>
  <si>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</si>
  <si>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</si>
  <si>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</si>
  <si>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</si>
  <si>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</si>
  <si>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</si>
  <si>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 xml:space="preserve">Tarpaulin </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</si>
  <si>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</si>
  <si>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</si>
  <si>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</si>
  <si>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</si>
  <si>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</si>
  <si>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</si>
  <si>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</si>
  <si>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</si>
  <si>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</si>
  <si>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</si>
  <si>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</si>
  <si>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</si>
  <si>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</si>
  <si>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</si>
  <si>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</si>
  <si>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</si>
  <si>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</si>
  <si>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</si>
  <si>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</si>
  <si>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</si>
  <si>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</si>
  <si>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</si>
  <si>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</si>
  <si>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</si>
  <si>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</si>
  <si>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</si>
  <si>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</si>
  <si>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</si>
  <si>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</si>
  <si>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</si>
  <si>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</si>
  <si>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</si>
  <si>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</si>
  <si>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</si>
  <si>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</si>
  <si>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</si>
  <si>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</si>
  <si>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</si>
  <si>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</si>
  <si>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</si>
  <si>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</si>
  <si>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</si>
  <si>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</si>
  <si>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</si>
  <si>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</si>
  <si>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</si>
  <si>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</si>
  <si>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</si>
  <si>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</si>
  <si>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</si>
  <si>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</si>
  <si>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</si>
  <si>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</si>
  <si>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</si>
  <si>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</si>
  <si>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</si>
  <si>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</si>
  <si>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</si>
  <si>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</si>
  <si>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</si>
  <si>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</si>
  <si>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</si>
  <si>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</si>
  <si>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</si>
  <si>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</si>
  <si>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</si>
  <si>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</si>
  <si>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</si>
  <si>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</si>
  <si>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</si>
  <si>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</si>
  <si>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</si>
  <si>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</si>
  <si>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</si>
  <si>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</si>
  <si>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</si>
  <si>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</si>
  <si>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</si>
  <si>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</si>
  <si>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</si>
  <si>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</si>
  <si>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</si>
  <si>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</si>
  <si>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</si>
  <si>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</si>
  <si>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</si>
  <si>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</si>
  <si>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</si>
  <si>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</si>
  <si>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</si>
  <si>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</si>
  <si>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</si>
  <si>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</si>
  <si>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</si>
  <si>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</si>
  <si>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</si>
  <si>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</si>
  <si>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</si>
  <si>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</si>
  <si>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</si>
  <si>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</si>
  <si>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</si>
  <si>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</si>
  <si>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</si>
  <si>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</si>
  <si>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</si>
  <si>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</si>
  <si>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</si>
  <si>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</si>
  <si>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</si>
  <si>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</si>
  <si>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</si>
  <si>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</si>
  <si>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</si>
  <si>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</si>
  <si>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</si>
  <si>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</si>
  <si>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</si>
  <si>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</si>
  <si>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</si>
  <si>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</si>
  <si>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</si>
  <si>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</si>
  <si>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</si>
  <si>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</si>
  <si>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</si>
  <si>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</si>
  <si>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</si>
  <si>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</si>
  <si>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</si>
  <si>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</si>
  <si>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</si>
  <si>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</si>
  <si>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</si>
  <si>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</si>
  <si>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</si>
  <si>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</si>
  <si>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</si>
  <si>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</si>
  <si>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</si>
  <si>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</si>
  <si>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</si>
  <si>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</si>
  <si>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</si>
  <si>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</si>
  <si>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</si>
  <si>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</si>
  <si>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</si>
  <si>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</si>
  <si>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</si>
  <si>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</si>
  <si>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</si>
  <si>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</si>
  <si>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</si>
  <si>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</si>
  <si>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MMR012002701501</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</si>
  <si>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</si>
  <si>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</si>
  <si>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</si>
  <si>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</si>
  <si>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</si>
  <si>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</si>
  <si>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</si>
  <si>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</si>
  <si>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</si>
  <si>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</si>
  <si>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</si>
  <si>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</si>
  <si>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</si>
  <si>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</si>
  <si>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</si>
  <si>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</si>
  <si>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</si>
  <si>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</si>
  <si>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</si>
  <si>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MMR012001002</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</si>
  <si>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</si>
  <si>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</si>
  <si>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</si>
  <si>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</si>
  <si>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</si>
  <si>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</si>
  <si>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</si>
  <si>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</si>
  <si>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</si>
  <si>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</si>
  <si>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</si>
  <si>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</si>
  <si>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</si>
  <si>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</si>
  <si>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 xml:space="preserve">Blanket </t>
  </si>
  <si>
    <t xml:space="preserve">Kitchen Set </t>
  </si>
  <si>
    <t xml:space="preserve">Complementary Kit </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</si>
  <si>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</si>
  <si>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</si>
  <si>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</si>
  <si>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</si>
  <si>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</si>
  <si>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</si>
  <si>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</si>
  <si>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</si>
  <si>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</si>
  <si>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</si>
  <si>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</si>
  <si>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</si>
  <si>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</si>
  <si>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This HH and Total population is for Both camps Ohn Taw Gyi 4 and 5 because information is only possible to get combine information for 2 camps.</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</si>
  <si>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</si>
  <si>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</si>
  <si>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</si>
  <si>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</si>
  <si>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</si>
  <si>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</si>
  <si>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</si>
  <si>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</si>
  <si>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</si>
  <si>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</si>
  <si>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</si>
  <si>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</si>
  <si>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</si>
  <si>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</si>
  <si>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</si>
  <si>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</si>
  <si>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</si>
  <si>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</si>
  <si>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</si>
  <si>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</si>
  <si>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</si>
  <si>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</si>
  <si>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</si>
  <si>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</si>
  <si>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</si>
  <si>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</si>
  <si>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</si>
  <si>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</si>
  <si>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</si>
  <si>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</si>
  <si>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</si>
  <si>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</si>
  <si>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</si>
  <si>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</si>
  <si>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</si>
  <si>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</si>
  <si>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</si>
  <si>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</si>
  <si>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</si>
  <si>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</si>
  <si>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 xml:space="preserve">Plastic Bucket </t>
  </si>
  <si>
    <t xml:space="preserve">Plastic  Mat </t>
  </si>
  <si>
    <t>Items (Direct and through Kits)</t>
  </si>
  <si>
    <t>1-1k</t>
  </si>
  <si>
    <t>1k - 5k</t>
  </si>
  <si>
    <t>5k-10k</t>
  </si>
  <si>
    <t>1k-5k</t>
  </si>
  <si>
    <t>Over 10k</t>
  </si>
  <si>
    <t>&gt;10k</t>
  </si>
  <si>
    <t># Ind. Covered</t>
  </si>
  <si>
    <t># Ind. Not Covered</t>
  </si>
  <si>
    <t>Mosquito net</t>
  </si>
  <si>
    <t>Buthidaung</t>
  </si>
  <si>
    <t>Rakhine CCCM Dashboard</t>
  </si>
  <si>
    <t>Unknown</t>
  </si>
  <si>
    <t>Rakhine NFI Coverage &amp; Gaps</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</si>
  <si>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</si>
  <si>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</si>
  <si>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</si>
  <si>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</si>
  <si>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</si>
  <si>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</si>
  <si>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</si>
  <si>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</si>
  <si>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</si>
  <si>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</si>
  <si>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</si>
  <si>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</si>
  <si>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</si>
  <si>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</si>
  <si>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</si>
  <si>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</si>
  <si>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</si>
  <si>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</si>
  <si>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</si>
  <si>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</si>
  <si>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</si>
  <si>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</si>
  <si>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</si>
  <si>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</si>
  <si>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</si>
  <si>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</si>
  <si>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</si>
  <si>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</si>
  <si>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</si>
  <si>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</si>
  <si>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</si>
  <si>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</si>
  <si>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</si>
  <si>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</si>
  <si>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</si>
  <si>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</si>
  <si>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</si>
  <si>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</si>
  <si>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</si>
  <si>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</si>
  <si>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</si>
  <si>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</si>
  <si>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</si>
  <si>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</si>
  <si>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</si>
  <si>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Kyauk_Phyu Total</t>
  </si>
  <si>
    <t>Maungdaw Total</t>
  </si>
  <si>
    <t>Pauktaw Total</t>
  </si>
  <si>
    <t>Ramree Total</t>
  </si>
  <si>
    <t>Rathedaung Total</t>
  </si>
  <si>
    <t>Altitude</t>
  </si>
  <si>
    <t>Opening Date</t>
  </si>
  <si>
    <t>Count of Township_Pcode</t>
  </si>
  <si>
    <t>(All)</t>
  </si>
  <si>
    <t>Sum of HH</t>
  </si>
  <si>
    <t>close</t>
  </si>
  <si>
    <t>No Reliable figures available</t>
  </si>
  <si>
    <t>Counted within Thae Chaung</t>
  </si>
  <si>
    <t>12 to 17</t>
  </si>
  <si>
    <t>Muslim</t>
  </si>
  <si>
    <t>Maramargyi</t>
  </si>
  <si>
    <t>Relief International</t>
  </si>
  <si>
    <t>Danish Refugee Council</t>
  </si>
  <si>
    <t>Merged with Phwe Yar Kone</t>
  </si>
  <si>
    <t>Former OTG 1  - 115 shelters inland side, OTG 3, OTG 6, BDP (60)</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</si>
  <si>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</si>
  <si>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</si>
  <si>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</si>
  <si>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</si>
  <si>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</si>
  <si>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</si>
  <si>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</si>
  <si>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</si>
  <si>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</si>
  <si>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</si>
  <si>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</si>
  <si>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</si>
  <si>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</si>
  <si>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</si>
  <si>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</si>
  <si>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</si>
  <si>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</si>
  <si>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</si>
  <si>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</si>
  <si>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</si>
  <si>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</si>
  <si>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</si>
  <si>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</si>
  <si>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</si>
  <si>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</si>
  <si>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</si>
  <si>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</si>
  <si>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</si>
  <si>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</si>
  <si>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</si>
  <si>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</si>
  <si>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</si>
  <si>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</si>
  <si>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</si>
  <si>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</si>
  <si>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</si>
  <si>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</si>
  <si>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</si>
  <si>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</si>
  <si>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</si>
  <si>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</si>
  <si>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</si>
  <si>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</si>
  <si>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</si>
  <si>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</si>
  <si>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</si>
  <si>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</si>
  <si>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</si>
  <si>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</si>
  <si>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</si>
  <si>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</si>
  <si>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</si>
  <si>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</si>
  <si>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</si>
  <si>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</si>
  <si>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</si>
  <si>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</si>
  <si>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</si>
  <si>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</si>
  <si>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</si>
  <si>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</si>
  <si>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</si>
  <si>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</si>
  <si>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</si>
  <si>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</si>
  <si>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</si>
  <si>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</si>
  <si>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</si>
  <si>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</si>
  <si>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</si>
  <si>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</si>
  <si>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</si>
  <si>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</si>
  <si>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</si>
  <si>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</si>
  <si>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</si>
  <si>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</si>
  <si>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</si>
  <si>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</si>
  <si>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</si>
  <si>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</si>
  <si>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</si>
  <si>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</si>
  <si>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</si>
  <si>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</si>
  <si>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</si>
  <si>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</si>
  <si>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</si>
  <si>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</si>
  <si>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</si>
  <si>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</si>
  <si>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</si>
  <si>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</si>
  <si>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</si>
  <si>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</si>
  <si>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</si>
  <si>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</si>
  <si>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</si>
  <si>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</si>
  <si>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</si>
  <si>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</si>
  <si>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</si>
  <si>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</si>
  <si>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</si>
  <si>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</si>
  <si>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</si>
  <si>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</si>
  <si>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</si>
  <si>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</si>
  <si>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</si>
  <si>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</si>
  <si>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</si>
  <si>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</si>
  <si>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</si>
  <si>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</si>
  <si>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</si>
  <si>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</si>
  <si>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</si>
  <si>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</si>
  <si>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</si>
  <si>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</si>
  <si>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</si>
  <si>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</si>
  <si>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Priority camps are 23 camps in the areas of rural Sittwe, and Myebon and Pauktaw Townships where a significant majority (almost 80 %) of the 140,000 IDP population resides.</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</si>
  <si>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</si>
  <si>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</si>
  <si>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</si>
  <si>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</si>
  <si>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</si>
  <si>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</si>
  <si>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</si>
  <si>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</si>
  <si>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</si>
  <si>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</si>
  <si>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</si>
  <si>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</si>
  <si>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</si>
  <si>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</si>
  <si>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</si>
  <si>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</si>
  <si>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</si>
  <si>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</si>
  <si>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</si>
  <si>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</si>
  <si>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</si>
  <si>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</si>
  <si>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</si>
  <si>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Trisha Bury
Health Program Manager (Sittwe)
trisha.bury@ri.org</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</si>
  <si>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</si>
  <si>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</si>
  <si>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</si>
  <si>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</si>
  <si>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</si>
  <si>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</si>
  <si>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</si>
  <si>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</si>
  <si>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</si>
  <si>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</si>
  <si>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</si>
  <si>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</si>
  <si>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</si>
  <si>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</si>
  <si>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</si>
  <si>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</si>
  <si>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</si>
  <si>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</si>
  <si>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</si>
  <si>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</si>
  <si>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</si>
  <si>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</si>
  <si>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</si>
  <si>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</si>
  <si>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</si>
  <si>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</si>
  <si>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</si>
  <si>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</si>
  <si>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</si>
  <si>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</si>
  <si>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</si>
  <si>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</si>
  <si>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</si>
  <si>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</si>
  <si>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</si>
  <si>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</si>
  <si>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</si>
  <si>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</si>
  <si>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</si>
  <si>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</si>
  <si>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</si>
  <si>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</si>
  <si>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</si>
  <si>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</si>
  <si>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</si>
  <si>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</si>
  <si>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</si>
  <si>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</si>
  <si>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</si>
  <si>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</si>
  <si>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</si>
  <si>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</si>
  <si>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</si>
  <si>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</si>
  <si>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</si>
  <si>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</si>
  <si>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</si>
  <si>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</si>
  <si>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</si>
  <si>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</si>
  <si>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</si>
  <si>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</si>
  <si>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</si>
  <si>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</si>
  <si>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</si>
  <si>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</si>
  <si>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</si>
  <si>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</si>
  <si>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</si>
  <si>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</si>
  <si>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</si>
  <si>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</si>
  <si>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</si>
  <si>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</si>
  <si>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</si>
  <si>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</si>
  <si>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</si>
  <si>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</si>
  <si>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</si>
  <si>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</si>
  <si>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</si>
  <si>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</si>
  <si>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</si>
  <si>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</si>
  <si>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</si>
  <si>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</si>
  <si>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</si>
  <si>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</si>
  <si>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</si>
  <si>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</si>
  <si>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</si>
  <si>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</si>
  <si>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</si>
  <si>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</si>
  <si>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</si>
  <si>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</si>
  <si>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</si>
  <si>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</si>
  <si>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</si>
  <si>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</si>
  <si>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</si>
  <si>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</si>
  <si>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</si>
  <si>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</si>
  <si>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</si>
  <si>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</si>
  <si>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</si>
  <si>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</si>
  <si>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</si>
  <si>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 xml:space="preserve"> Mosquito net </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</si>
  <si>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</si>
  <si>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</si>
  <si>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</si>
  <si>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</si>
  <si>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</si>
  <si>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</si>
  <si>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</si>
  <si>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</si>
  <si>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</si>
  <si>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</si>
  <si>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</si>
  <si>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</si>
  <si>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</si>
  <si>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</si>
  <si>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</si>
  <si>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</si>
  <si>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</si>
  <si>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</si>
  <si>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</si>
  <si>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</si>
  <si>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</si>
  <si>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</si>
  <si>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</si>
  <si>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</si>
  <si>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</si>
  <si>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</si>
  <si>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</si>
  <si>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</si>
  <si>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</si>
  <si>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</si>
  <si>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</si>
  <si>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</si>
  <si>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</si>
  <si>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</si>
  <si>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</si>
  <si>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</si>
  <si>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</si>
  <si>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</si>
  <si>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</si>
  <si>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</si>
  <si>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</si>
  <si>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</si>
  <si>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</si>
  <si>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</si>
  <si>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</si>
  <si>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</si>
  <si>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</si>
  <si>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</si>
  <si>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</si>
  <si>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</si>
  <si>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</si>
  <si>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</si>
  <si>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</si>
  <si>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</si>
  <si>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</si>
  <si>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</si>
  <si>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</si>
  <si>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</si>
  <si>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</si>
  <si>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</si>
  <si>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</si>
  <si>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</si>
  <si>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</si>
  <si>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</si>
  <si>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</si>
  <si>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 CCCM/NFI Cluster Coordinator, tracey@unhcr.org,09448027896</t>
  </si>
  <si>
    <t>Richard Nixon Okello, CCCM Project Coordinator, richard.okello@nrc.no,09451359894</t>
  </si>
  <si>
    <t>Richard Kevin Tracey</t>
  </si>
  <si>
    <t>Veronica Costarelli</t>
  </si>
  <si>
    <t>CampList_Status</t>
  </si>
  <si>
    <t>Relocated in Individual Housing</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</si>
  <si>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</si>
  <si>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</si>
  <si>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</si>
  <si>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</si>
  <si>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</si>
  <si>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</si>
  <si>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</si>
  <si>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</si>
  <si>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</si>
  <si>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</si>
  <si>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</si>
  <si>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</si>
  <si>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</si>
  <si>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t>
  </si>
  <si>
    <t>Returned in Individual Housing (Jan 2016)</t>
  </si>
  <si>
    <t>197533</t>
  </si>
  <si>
    <t>197414</t>
  </si>
  <si>
    <t>-Muslim</t>
  </si>
  <si>
    <t>Relocated in Individual Housing (Jan 2016)</t>
  </si>
  <si>
    <t>Sum of shelter Coverage</t>
  </si>
  <si>
    <t>Population of camps (in thousands)</t>
  </si>
  <si>
    <t>Increased 4 people in April because of new born.</t>
  </si>
  <si>
    <t xml:space="preserve">Increase 55 people in April as  LWF HH Survey completed and verified during March 2016. and this is fresh data from completed HH Survey, and updated monthly birth and death record.   </t>
  </si>
  <si>
    <t xml:space="preserve">Decreased 69 people in April-  As LWF HH Survey completed and verified during March 2016. and this is fresh data from completed HH Survey, and updated monthly birth and death record.   </t>
  </si>
  <si>
    <t xml:space="preserve">Decreased 2 households 494 people in April because some IDPs family move to outside and host community of non IDPs go back to original place. </t>
  </si>
  <si>
    <t xml:space="preserve">Increased 40 people in April as updated monthly birth and death record and  fresh data from HH Survey, completed during March is going process under verification  . </t>
  </si>
  <si>
    <t xml:space="preserve">Increased 74 households and 139 people in April- As LWF: HH Survey completed and verified during March 2016. and this is fresh data from completed HH Survey, and updated monthly birth and death record.   </t>
  </si>
  <si>
    <t xml:space="preserve">Increase 69 households and 130 people in April - As LWF Updated monthly birth and death record and  fresh data from HH Survey, completed during March is going process under verification  . </t>
  </si>
  <si>
    <t>Relocated to Individual Housing (Jan 2016). -Increased 14 peopple in April as the Updated monthly birth and death record from LWF</t>
  </si>
  <si>
    <t>Urban- Decreased 3 households in April because they  left to Yangon.</t>
  </si>
  <si>
    <t>Increased 2 people in April because of new born</t>
  </si>
  <si>
    <t>Decreased 1 people in April because of dealth/departure</t>
  </si>
  <si>
    <t>Decreased 15 people in April because of dealth/departure</t>
  </si>
  <si>
    <t>Decreased 8 people in April because of dealth/departure</t>
  </si>
  <si>
    <t>Increased 15 people in April as the update of protection.</t>
  </si>
  <si>
    <t>891 HH and 4170 population relocated to Individual Housing- update of April- ( Increased 116 households and decreased 93 people in April as  LWF: Updated monthly birth and death record and  fresh data from HH Survey, completed during March is going process under verification)</t>
  </si>
  <si>
    <t>House hold 360 and estimate  1980 People returned to Individual house  was added in the camp because they are still  under camp management.</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</si>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</sst>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6"/>
      <color theme="1"/>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rgb="FF0070C0"/>
      <name val="Calibri"/>
      <family val="2"/>
      <scheme val="minor"/>
    </font>
    <font>
      <sz val="10"/>
      <color theme="9" tint="-0.249977111117893"/>
      <name val="Calibri"/>
      <family val="2"/>
      <scheme val="minor"/>
    </font>
    <font>
      <b/>
      <sz val="10"/>
      <color theme="0"/>
      <name val="Calibri"/>
      <family val="2"/>
      <scheme val="minor"/>
    </font>
    <font>
      <b/>
      <sz val="11"/>
      <color rgb="FFFF000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4"/>
      <color theme="1"/>
      <name val="Calibri"/>
      <family val="2"/>
      <scheme val="minor"/>
    </font>
    <font>
      <b/>
      <sz val="12"/>
      <color rgb="FF10253F"/>
      <name val="Calibri (Body)"/>
    </font>
    <font>
      <sz val="10"/>
      <name val="Calibri"/>
      <family val="2"/>
    </font>
  </fonts>
  <fills count="4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6" fillId="14" borderId="9" applyNumberFormat="0" applyAlignment="0" applyProtection="0"/>
    <xf numFmtId="43" fontId="33" fillId="0" borderId="0" applyFont="0" applyFill="0" applyBorder="0" applyAlignment="0" applyProtection="0"/>
    <xf numFmtId="0" fontId="42" fillId="0" borderId="0"/>
    <xf numFmtId="171" fontId="42" fillId="0" borderId="0"/>
    <xf numFmtId="171" fontId="33" fillId="0" borderId="0"/>
    <xf numFmtId="0" fontId="66" fillId="45" borderId="0" applyNumberFormat="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alignment vertical="top"/>
      <protection locked="0"/>
    </xf>
    <xf numFmtId="0" fontId="42" fillId="0" borderId="0"/>
  </cellStyleXfs>
  <cellXfs count="930">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15"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0" fillId="7" borderId="7" xfId="0" applyFill="1" applyBorder="1"/>
    <xf numFmtId="0" fontId="3" fillId="0" borderId="0" xfId="0" applyFont="1"/>
    <xf numFmtId="0" fontId="0" fillId="0" borderId="0" xfId="0" applyFill="1" applyBorder="1"/>
    <xf numFmtId="0" fontId="3" fillId="0" borderId="0" xfId="0" applyFont="1" applyFill="1" applyBorder="1"/>
    <xf numFmtId="0" fontId="16"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2" fillId="0" borderId="0" xfId="3" applyFont="1"/>
    <xf numFmtId="0" fontId="23"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0" fontId="14" fillId="11" borderId="1" xfId="0" applyFont="1" applyFill="1" applyBorder="1" applyAlignment="1">
      <alignment horizontal="center" vertical="center" wrapText="1"/>
    </xf>
    <xf numFmtId="0" fontId="0" fillId="0" borderId="0" xfId="0"/>
    <xf numFmtId="1" fontId="0" fillId="0" borderId="0" xfId="0" applyNumberFormat="1"/>
    <xf numFmtId="1" fontId="3" fillId="7" borderId="1" xfId="0" applyNumberFormat="1" applyFont="1" applyFill="1" applyBorder="1"/>
    <xf numFmtId="0" fontId="14" fillId="11" borderId="1" xfId="0" applyFont="1" applyFill="1" applyBorder="1" applyAlignment="1">
      <alignment horizontal="center" vertical="center" wrapText="1"/>
    </xf>
    <xf numFmtId="0" fontId="0" fillId="0" borderId="0" xfId="0"/>
    <xf numFmtId="0" fontId="0" fillId="21" borderId="0" xfId="0" applyFill="1"/>
    <xf numFmtId="0" fontId="25" fillId="21" borderId="0" xfId="0" applyFont="1" applyFill="1" applyAlignment="1"/>
    <xf numFmtId="165" fontId="30" fillId="0" borderId="1" xfId="10" applyNumberFormat="1" applyFont="1" applyFill="1" applyBorder="1" applyAlignment="1">
      <alignment horizontal="left"/>
    </xf>
    <xf numFmtId="165" fontId="24" fillId="0" borderId="1" xfId="10" applyNumberFormat="1" applyFont="1" applyBorder="1"/>
    <xf numFmtId="9" fontId="24" fillId="24" borderId="1" xfId="8" applyFont="1" applyFill="1" applyBorder="1"/>
    <xf numFmtId="9" fontId="24" fillId="25" borderId="1" xfId="8" applyFont="1" applyFill="1" applyBorder="1"/>
    <xf numFmtId="9" fontId="24" fillId="27" borderId="1" xfId="8" applyFont="1" applyFill="1" applyBorder="1"/>
    <xf numFmtId="165" fontId="24"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14" fillId="11" borderId="1" xfId="0" applyFont="1" applyFill="1" applyBorder="1" applyAlignment="1">
      <alignment horizontal="center" vertical="center" wrapText="1"/>
    </xf>
    <xf numFmtId="0" fontId="0" fillId="0" borderId="0" xfId="0"/>
    <xf numFmtId="0" fontId="0" fillId="0" borderId="1" xfId="0" applyBorder="1" applyAlignment="1">
      <alignment horizontal="right"/>
    </xf>
    <xf numFmtId="0" fontId="0" fillId="0" borderId="0" xfId="0" applyAlignment="1">
      <alignment textRotation="90"/>
    </xf>
    <xf numFmtId="9" fontId="29" fillId="23" borderId="12" xfId="8" applyFont="1" applyFill="1" applyBorder="1" applyAlignment="1">
      <alignment horizontal="right" vertical="center" wrapText="1"/>
    </xf>
    <xf numFmtId="0" fontId="0" fillId="28"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7" xfId="0" applyBorder="1"/>
    <xf numFmtId="0" fontId="0" fillId="0" borderId="18"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6"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8" fillId="0" borderId="0" xfId="6" applyFont="1" applyFill="1" applyBorder="1" applyAlignment="1">
      <alignment horizontal="left" vertical="center"/>
    </xf>
    <xf numFmtId="0" fontId="9" fillId="17" borderId="1" xfId="6" applyFill="1" applyBorder="1" applyAlignment="1">
      <alignment horizontal="center"/>
    </xf>
    <xf numFmtId="0" fontId="40"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4" xfId="0" applyNumberFormat="1" applyFont="1" applyBorder="1"/>
    <xf numFmtId="2" fontId="0" fillId="0" borderId="23" xfId="0" applyNumberFormat="1" applyFont="1" applyBorder="1"/>
    <xf numFmtId="2" fontId="0" fillId="0" borderId="25" xfId="0" applyNumberFormat="1" applyFont="1" applyBorder="1"/>
    <xf numFmtId="0" fontId="3" fillId="0" borderId="26" xfId="0" applyFont="1" applyFill="1" applyBorder="1"/>
    <xf numFmtId="0" fontId="3" fillId="0" borderId="27" xfId="0" applyFont="1" applyFill="1" applyBorder="1"/>
    <xf numFmtId="9" fontId="41" fillId="0" borderId="0" xfId="8" applyNumberFormat="1" applyFont="1" applyFill="1"/>
    <xf numFmtId="0" fontId="0" fillId="29" borderId="32" xfId="0" applyFill="1" applyBorder="1"/>
    <xf numFmtId="0" fontId="0" fillId="0" borderId="0" xfId="0"/>
    <xf numFmtId="0" fontId="0" fillId="0" borderId="0" xfId="0"/>
    <xf numFmtId="0" fontId="47" fillId="11" borderId="0" xfId="6" applyFont="1" applyFill="1" applyBorder="1" applyAlignment="1">
      <alignment vertical="center"/>
    </xf>
    <xf numFmtId="0" fontId="11" fillId="10" borderId="0" xfId="6" applyFont="1" applyFill="1" applyBorder="1" applyAlignment="1">
      <alignment vertical="center"/>
    </xf>
    <xf numFmtId="0" fontId="49" fillId="18" borderId="0" xfId="0" applyFont="1" applyFill="1"/>
    <xf numFmtId="0" fontId="14" fillId="11" borderId="1" xfId="0" applyFont="1" applyFill="1" applyBorder="1" applyAlignment="1">
      <alignment horizontal="center" vertical="center" wrapText="1"/>
    </xf>
    <xf numFmtId="0" fontId="50" fillId="18" borderId="0" xfId="0" applyFont="1" applyFill="1"/>
    <xf numFmtId="0" fontId="45" fillId="11" borderId="1" xfId="0" applyFont="1" applyFill="1" applyBorder="1" applyAlignment="1">
      <alignment horizontal="center" vertical="center" wrapText="1"/>
    </xf>
    <xf numFmtId="0" fontId="41" fillId="0" borderId="7" xfId="0" applyFont="1" applyBorder="1"/>
    <xf numFmtId="0" fontId="41" fillId="0" borderId="6" xfId="0" applyFont="1" applyBorder="1"/>
    <xf numFmtId="0" fontId="41" fillId="0" borderId="6" xfId="0" applyFont="1" applyBorder="1" applyAlignment="1">
      <alignment horizontal="left"/>
    </xf>
    <xf numFmtId="0" fontId="41" fillId="0" borderId="8" xfId="0" applyFont="1" applyBorder="1"/>
    <xf numFmtId="0" fontId="43" fillId="11" borderId="1" xfId="0" applyFont="1" applyFill="1" applyBorder="1"/>
    <xf numFmtId="165" fontId="43" fillId="11" borderId="1" xfId="7" applyNumberFormat="1" applyFont="1" applyFill="1" applyBorder="1"/>
    <xf numFmtId="0" fontId="41" fillId="0" borderId="0" xfId="0" applyFont="1"/>
    <xf numFmtId="0" fontId="43" fillId="13" borderId="0" xfId="0" applyFont="1" applyFill="1"/>
    <xf numFmtId="0" fontId="41" fillId="13" borderId="0" xfId="0" applyFont="1" applyFill="1"/>
    <xf numFmtId="0" fontId="45" fillId="11" borderId="2" xfId="0" applyFont="1" applyFill="1" applyBorder="1" applyAlignment="1">
      <alignment vertical="center" wrapText="1"/>
    </xf>
    <xf numFmtId="0" fontId="45" fillId="11" borderId="10" xfId="0" applyFont="1" applyFill="1" applyBorder="1" applyAlignment="1">
      <alignment vertical="center" wrapText="1"/>
    </xf>
    <xf numFmtId="0" fontId="45" fillId="7" borderId="1" xfId="0" applyFont="1" applyFill="1" applyBorder="1" applyAlignment="1">
      <alignment horizontal="center" vertical="center" wrapText="1"/>
    </xf>
    <xf numFmtId="0" fontId="41" fillId="0" borderId="7" xfId="0" quotePrefix="1" applyFont="1" applyBorder="1"/>
    <xf numFmtId="0" fontId="41" fillId="7" borderId="7" xfId="0" quotePrefix="1" applyFont="1" applyFill="1" applyBorder="1"/>
    <xf numFmtId="0" fontId="43" fillId="7" borderId="1" xfId="0" applyFont="1" applyFill="1" applyBorder="1"/>
    <xf numFmtId="0" fontId="41" fillId="0" borderId="0" xfId="0" applyNumberFormat="1" applyFont="1"/>
    <xf numFmtId="9" fontId="0" fillId="0" borderId="0" xfId="8" applyFont="1"/>
    <xf numFmtId="0" fontId="0" fillId="28"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7" xfId="0" applyFill="1" applyBorder="1"/>
    <xf numFmtId="0" fontId="0" fillId="0" borderId="18" xfId="0" applyFill="1" applyBorder="1"/>
    <xf numFmtId="0" fontId="17" fillId="19" borderId="0" xfId="0" applyFont="1" applyFill="1" applyAlignment="1">
      <alignment horizontal="center" vertical="center"/>
    </xf>
    <xf numFmtId="0" fontId="12" fillId="10" borderId="0" xfId="0" applyFont="1" applyFill="1" applyAlignment="1">
      <alignment horizontal="left"/>
    </xf>
    <xf numFmtId="0" fontId="17" fillId="16" borderId="0" xfId="0" applyFont="1" applyFill="1" applyAlignment="1">
      <alignment horizontal="center"/>
    </xf>
    <xf numFmtId="166" fontId="51" fillId="11" borderId="0" xfId="6" applyNumberFormat="1" applyFont="1" applyFill="1" applyBorder="1" applyAlignment="1">
      <alignment horizontal="left" vertical="center"/>
    </xf>
    <xf numFmtId="0" fontId="53" fillId="0" borderId="0" xfId="0" applyFont="1" applyAlignment="1">
      <alignment wrapText="1"/>
    </xf>
    <xf numFmtId="0" fontId="42" fillId="0" borderId="0" xfId="0" applyFont="1" applyAlignment="1">
      <alignment wrapText="1"/>
    </xf>
    <xf numFmtId="0" fontId="0" fillId="0" borderId="0" xfId="0" applyAlignment="1">
      <alignment wrapText="1"/>
    </xf>
    <xf numFmtId="0" fontId="0" fillId="28" borderId="1" xfId="0" applyNumberFormat="1" applyFill="1" applyBorder="1" applyAlignment="1">
      <alignment horizontal="right"/>
    </xf>
    <xf numFmtId="0" fontId="54" fillId="29" borderId="30" xfId="0" applyFont="1" applyFill="1" applyBorder="1"/>
    <xf numFmtId="0" fontId="4" fillId="29" borderId="31" xfId="0" applyFont="1" applyFill="1" applyBorder="1"/>
    <xf numFmtId="0" fontId="54" fillId="29" borderId="29" xfId="0" applyFont="1" applyFill="1" applyBorder="1"/>
    <xf numFmtId="0" fontId="54" fillId="0" borderId="36" xfId="0" applyFont="1" applyFill="1" applyBorder="1"/>
    <xf numFmtId="0" fontId="54" fillId="0" borderId="13" xfId="0" applyFont="1" applyFill="1" applyBorder="1"/>
    <xf numFmtId="0" fontId="54" fillId="0" borderId="37" xfId="0" applyFont="1" applyFill="1" applyBorder="1"/>
    <xf numFmtId="0" fontId="54" fillId="0" borderId="4" xfId="0" applyFont="1" applyFill="1" applyBorder="1"/>
    <xf numFmtId="0" fontId="54" fillId="0" borderId="38" xfId="0" applyFont="1" applyFill="1" applyBorder="1"/>
    <xf numFmtId="0" fontId="54" fillId="0" borderId="39" xfId="0" applyFont="1" applyFill="1" applyBorder="1"/>
    <xf numFmtId="0" fontId="3" fillId="0" borderId="4" xfId="0" applyFont="1" applyFill="1" applyBorder="1"/>
    <xf numFmtId="0" fontId="3" fillId="0" borderId="40" xfId="0" applyFont="1" applyFill="1" applyBorder="1"/>
    <xf numFmtId="0" fontId="4" fillId="39"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5" fillId="0" borderId="0" xfId="7" applyNumberFormat="1" applyFont="1" applyFill="1" applyBorder="1"/>
    <xf numFmtId="0" fontId="4" fillId="38"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7"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7" fillId="0" borderId="0" xfId="0" applyFont="1" applyAlignment="1">
      <alignment horizontal="left"/>
    </xf>
    <xf numFmtId="0" fontId="57" fillId="0" borderId="0" xfId="0" applyFont="1"/>
    <xf numFmtId="0" fontId="57" fillId="0" borderId="0" xfId="0" applyFont="1" applyBorder="1"/>
    <xf numFmtId="0" fontId="57" fillId="0" borderId="0" xfId="0" applyFont="1" applyBorder="1" applyAlignment="1">
      <alignment horizontal="left"/>
    </xf>
    <xf numFmtId="0" fontId="5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6" fillId="11" borderId="0" xfId="6" applyFont="1" applyFill="1" applyBorder="1" applyAlignment="1">
      <alignment vertical="center"/>
    </xf>
    <xf numFmtId="0" fontId="9" fillId="17" borderId="1" xfId="6" quotePrefix="1" applyFill="1" applyBorder="1" applyAlignment="1">
      <alignment horizontal="center"/>
    </xf>
    <xf numFmtId="165" fontId="24" fillId="0" borderId="46" xfId="10" applyNumberFormat="1" applyFont="1" applyBorder="1"/>
    <xf numFmtId="165" fontId="24" fillId="0" borderId="24" xfId="10" applyNumberFormat="1" applyFont="1" applyBorder="1"/>
    <xf numFmtId="0" fontId="0" fillId="0" borderId="4" xfId="0" applyBorder="1"/>
    <xf numFmtId="0" fontId="0" fillId="0" borderId="29" xfId="0" applyBorder="1" applyAlignment="1">
      <alignment horizontal="center" vertical="center" wrapText="1"/>
    </xf>
    <xf numFmtId="0" fontId="0" fillId="0" borderId="29" xfId="0" applyBorder="1" applyAlignment="1">
      <alignment horizontal="left" vertical="center" wrapText="1"/>
    </xf>
    <xf numFmtId="0" fontId="17" fillId="44" borderId="29" xfId="0" applyFont="1" applyFill="1" applyBorder="1" applyAlignment="1">
      <alignment horizontal="left" vertical="center"/>
    </xf>
    <xf numFmtId="0" fontId="17" fillId="44" borderId="29" xfId="0" applyFont="1" applyFill="1" applyBorder="1" applyAlignment="1">
      <alignment horizontal="left" vertical="center" wrapText="1"/>
    </xf>
    <xf numFmtId="0" fontId="17" fillId="44" borderId="29" xfId="0" applyFont="1" applyFill="1" applyBorder="1" applyAlignment="1">
      <alignment horizontal="left" vertical="top"/>
    </xf>
    <xf numFmtId="0" fontId="0" fillId="0" borderId="29" xfId="0" applyBorder="1" applyAlignment="1">
      <alignment vertical="center"/>
    </xf>
    <xf numFmtId="0" fontId="0" fillId="0" borderId="36" xfId="0" applyBorder="1"/>
    <xf numFmtId="0" fontId="0" fillId="42" borderId="0" xfId="0" applyFill="1" applyBorder="1"/>
    <xf numFmtId="0" fontId="0" fillId="0" borderId="26" xfId="0" applyBorder="1"/>
    <xf numFmtId="0" fontId="0" fillId="0" borderId="41" xfId="0" applyBorder="1"/>
    <xf numFmtId="0" fontId="11" fillId="11" borderId="21" xfId="6" applyFont="1" applyFill="1" applyBorder="1" applyAlignment="1">
      <alignment vertical="center"/>
    </xf>
    <xf numFmtId="0" fontId="11" fillId="11" borderId="20" xfId="6" applyFont="1" applyFill="1" applyBorder="1" applyAlignment="1">
      <alignment vertical="center"/>
    </xf>
    <xf numFmtId="0" fontId="0" fillId="42" borderId="20" xfId="0" applyFill="1" applyBorder="1"/>
    <xf numFmtId="0" fontId="0" fillId="42" borderId="28" xfId="0" applyFill="1" applyBorder="1"/>
    <xf numFmtId="0" fontId="0" fillId="42" borderId="36" xfId="0" applyFill="1" applyBorder="1"/>
    <xf numFmtId="0" fontId="10" fillId="11" borderId="41" xfId="6" applyFont="1" applyFill="1" applyBorder="1" applyAlignment="1">
      <alignment horizontal="center" vertical="center"/>
    </xf>
    <xf numFmtId="0" fontId="0" fillId="11" borderId="41" xfId="0" applyFill="1" applyBorder="1"/>
    <xf numFmtId="0" fontId="0" fillId="42" borderId="41" xfId="0" applyFill="1" applyBorder="1"/>
    <xf numFmtId="0" fontId="0" fillId="42" borderId="19"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1" xfId="0" applyBorder="1"/>
    <xf numFmtId="0" fontId="0" fillId="0" borderId="20" xfId="0" applyBorder="1"/>
    <xf numFmtId="0" fontId="0" fillId="0" borderId="28" xfId="0" applyBorder="1"/>
    <xf numFmtId="0" fontId="11" fillId="11" borderId="28" xfId="6" applyFont="1" applyFill="1" applyBorder="1" applyAlignment="1">
      <alignment vertical="center"/>
    </xf>
    <xf numFmtId="0" fontId="11" fillId="11" borderId="26" xfId="6" applyFont="1" applyFill="1" applyBorder="1" applyAlignment="1">
      <alignment vertical="center"/>
    </xf>
    <xf numFmtId="0" fontId="11" fillId="11" borderId="41" xfId="6" applyFont="1" applyFill="1" applyBorder="1" applyAlignment="1">
      <alignment vertical="center"/>
    </xf>
    <xf numFmtId="0" fontId="11" fillId="11" borderId="19"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6" xfId="6" applyFont="1" applyFill="1" applyBorder="1" applyAlignment="1">
      <alignment vertical="center"/>
    </xf>
    <xf numFmtId="0" fontId="10" fillId="11" borderId="19" xfId="6" applyFont="1" applyFill="1" applyBorder="1" applyAlignment="1">
      <alignment horizontal="center" vertical="center"/>
    </xf>
    <xf numFmtId="0" fontId="47" fillId="11" borderId="36" xfId="6" applyFont="1" applyFill="1" applyBorder="1" applyAlignment="1">
      <alignment vertical="center"/>
    </xf>
    <xf numFmtId="0" fontId="47" fillId="11" borderId="41" xfId="6" applyFont="1" applyFill="1" applyBorder="1" applyAlignment="1">
      <alignment vertical="center"/>
    </xf>
    <xf numFmtId="0" fontId="47" fillId="11" borderId="19" xfId="6" applyFont="1" applyFill="1" applyBorder="1" applyAlignment="1">
      <alignment vertical="center"/>
    </xf>
    <xf numFmtId="0" fontId="11" fillId="11" borderId="21" xfId="6" applyFont="1" applyFill="1" applyBorder="1" applyAlignment="1">
      <alignment horizontal="right" vertical="center"/>
    </xf>
    <xf numFmtId="0" fontId="58" fillId="42" borderId="20" xfId="0" applyFont="1" applyFill="1" applyBorder="1"/>
    <xf numFmtId="9" fontId="58" fillId="42" borderId="28"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9" fillId="11" borderId="20" xfId="6" applyFont="1" applyFill="1" applyBorder="1" applyAlignment="1">
      <alignment vertical="center"/>
    </xf>
    <xf numFmtId="0" fontId="11" fillId="42" borderId="20" xfId="6" applyFont="1" applyFill="1" applyBorder="1" applyAlignment="1">
      <alignment vertical="center"/>
    </xf>
    <xf numFmtId="0" fontId="11" fillId="42" borderId="20" xfId="6" applyFont="1" applyFill="1" applyBorder="1" applyAlignment="1">
      <alignment horizontal="left" vertical="center"/>
    </xf>
    <xf numFmtId="0" fontId="25" fillId="42" borderId="0" xfId="0" applyFont="1" applyFill="1" applyBorder="1" applyAlignment="1"/>
    <xf numFmtId="0" fontId="10" fillId="42" borderId="41" xfId="6" applyFont="1" applyFill="1" applyBorder="1" applyAlignment="1">
      <alignment horizontal="center" vertical="center"/>
    </xf>
    <xf numFmtId="0" fontId="5" fillId="42" borderId="41"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8"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7" fillId="11" borderId="20" xfId="6" applyFont="1" applyFill="1" applyBorder="1" applyAlignment="1">
      <alignment vertical="center"/>
    </xf>
    <xf numFmtId="0" fontId="11" fillId="11" borderId="4" xfId="6" applyFont="1" applyFill="1" applyBorder="1" applyAlignment="1">
      <alignment vertical="center"/>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0" borderId="17" xfId="0" applyBorder="1" applyAlignment="1">
      <alignment horizontal="center" textRotation="90"/>
    </xf>
    <xf numFmtId="0" fontId="0" fillId="0" borderId="0" xfId="0" applyBorder="1" applyAlignment="1">
      <alignment horizontal="center" textRotation="90"/>
    </xf>
    <xf numFmtId="0" fontId="0" fillId="0" borderId="18" xfId="0" applyBorder="1" applyAlignment="1">
      <alignment horizontal="center" textRotation="90"/>
    </xf>
    <xf numFmtId="165" fontId="4" fillId="0" borderId="0" xfId="7" applyNumberFormat="1" applyFont="1" applyFill="1" applyBorder="1"/>
    <xf numFmtId="165" fontId="4" fillId="0" borderId="18" xfId="7" applyNumberFormat="1" applyFont="1" applyFill="1" applyBorder="1"/>
    <xf numFmtId="165" fontId="4" fillId="0" borderId="17" xfId="7" applyNumberFormat="1" applyFont="1" applyFill="1" applyBorder="1"/>
    <xf numFmtId="165" fontId="4" fillId="0" borderId="15" xfId="7" applyNumberFormat="1" applyFont="1" applyFill="1" applyBorder="1"/>
    <xf numFmtId="165" fontId="4" fillId="0" borderId="16" xfId="7" applyNumberFormat="1" applyFont="1" applyFill="1" applyBorder="1"/>
    <xf numFmtId="0" fontId="0" fillId="0" borderId="48" xfId="0" applyBorder="1"/>
    <xf numFmtId="0" fontId="0" fillId="0" borderId="49" xfId="0" applyBorder="1"/>
    <xf numFmtId="0" fontId="0" fillId="0" borderId="50" xfId="0" applyBorder="1"/>
    <xf numFmtId="0" fontId="60" fillId="42" borderId="0" xfId="0" applyFont="1" applyFill="1" applyAlignment="1"/>
    <xf numFmtId="0" fontId="60" fillId="42" borderId="36" xfId="0" applyFont="1" applyFill="1" applyBorder="1" applyAlignment="1"/>
    <xf numFmtId="0" fontId="41" fillId="0" borderId="1" xfId="0" applyFont="1" applyBorder="1"/>
    <xf numFmtId="165" fontId="41" fillId="0" borderId="1" xfId="7" quotePrefix="1" applyNumberFormat="1" applyFont="1" applyBorder="1"/>
    <xf numFmtId="0" fontId="41" fillId="0" borderId="1" xfId="0" applyFont="1" applyBorder="1" applyAlignment="1">
      <alignment horizontal="left"/>
    </xf>
    <xf numFmtId="0" fontId="41" fillId="0" borderId="1" xfId="0" pivotButton="1" applyFont="1" applyBorder="1"/>
    <xf numFmtId="165" fontId="41" fillId="0" borderId="1" xfId="0" applyNumberFormat="1" applyFont="1" applyBorder="1"/>
    <xf numFmtId="0" fontId="42" fillId="0" borderId="44" xfId="0" applyFont="1" applyFill="1" applyBorder="1" applyAlignment="1">
      <alignment horizontal="center" vertical="center" wrapText="1"/>
    </xf>
    <xf numFmtId="0" fontId="42" fillId="0" borderId="42" xfId="0"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0" applyFont="1" applyFill="1" applyBorder="1" applyAlignment="1">
      <alignment vertical="center"/>
    </xf>
    <xf numFmtId="0" fontId="42" fillId="0" borderId="43" xfId="0" applyFont="1" applyFill="1" applyBorder="1" applyAlignment="1">
      <alignment horizontal="center" vertical="center" wrapText="1"/>
    </xf>
    <xf numFmtId="167" fontId="42" fillId="0" borderId="1" xfId="0" applyNumberFormat="1" applyFont="1" applyFill="1" applyBorder="1"/>
    <xf numFmtId="167" fontId="42" fillId="0" borderId="1" xfId="1" applyNumberFormat="1" applyFont="1" applyFill="1" applyBorder="1" applyAlignment="1">
      <alignment vertical="center"/>
    </xf>
    <xf numFmtId="167" fontId="42" fillId="0" borderId="1" xfId="1" applyNumberFormat="1" applyFont="1" applyFill="1" applyBorder="1" applyAlignment="1">
      <alignment vertical="center" wrapText="1"/>
    </xf>
    <xf numFmtId="167" fontId="42" fillId="0" borderId="1" xfId="1" applyNumberFormat="1" applyFont="1" applyFill="1" applyBorder="1"/>
    <xf numFmtId="0" fontId="0" fillId="0" borderId="0" xfId="0" applyFont="1"/>
    <xf numFmtId="167" fontId="42" fillId="0" borderId="1" xfId="1" applyNumberFormat="1" applyFont="1" applyFill="1" applyBorder="1" applyAlignment="1">
      <alignment wrapText="1"/>
    </xf>
    <xf numFmtId="1" fontId="11" fillId="11" borderId="20" xfId="6" applyNumberFormat="1" applyFont="1" applyFill="1" applyBorder="1" applyAlignment="1">
      <alignment vertical="center"/>
    </xf>
    <xf numFmtId="1" fontId="0" fillId="3" borderId="1" xfId="0" applyNumberFormat="1" applyFill="1" applyBorder="1" applyAlignment="1"/>
    <xf numFmtId="0" fontId="0" fillId="0" borderId="41" xfId="0" applyNumberFormat="1" applyBorder="1"/>
    <xf numFmtId="0" fontId="0" fillId="0" borderId="21" xfId="0" pivotButton="1" applyFont="1" applyBorder="1"/>
    <xf numFmtId="0" fontId="0" fillId="0" borderId="20" xfId="0" pivotButton="1" applyFont="1" applyBorder="1"/>
    <xf numFmtId="0" fontId="0" fillId="0" borderId="20" xfId="0" applyFont="1" applyBorder="1"/>
    <xf numFmtId="0" fontId="0" fillId="0" borderId="28" xfId="0" applyFont="1" applyBorder="1"/>
    <xf numFmtId="0" fontId="0" fillId="0" borderId="4" xfId="0" pivotButton="1" applyFont="1" applyBorder="1"/>
    <xf numFmtId="0" fontId="0" fillId="0" borderId="0" xfId="0" applyFont="1" applyBorder="1"/>
    <xf numFmtId="0" fontId="0" fillId="0" borderId="36" xfId="0" applyFont="1" applyBorder="1"/>
    <xf numFmtId="0" fontId="0" fillId="0" borderId="4" xfId="0" applyFont="1" applyBorder="1" applyAlignment="1">
      <alignment horizontal="left"/>
    </xf>
    <xf numFmtId="0" fontId="0" fillId="0" borderId="0" xfId="0" applyNumberFormat="1" applyFont="1" applyBorder="1"/>
    <xf numFmtId="0" fontId="0" fillId="0" borderId="36" xfId="0" applyNumberFormat="1" applyFont="1" applyBorder="1"/>
    <xf numFmtId="0" fontId="0" fillId="0" borderId="26" xfId="0" applyFont="1" applyBorder="1" applyAlignment="1">
      <alignment horizontal="left"/>
    </xf>
    <xf numFmtId="0" fontId="0" fillId="0" borderId="41" xfId="0" applyNumberFormat="1" applyFont="1" applyBorder="1"/>
    <xf numFmtId="0" fontId="0" fillId="0" borderId="19" xfId="0" applyNumberFormat="1" applyFont="1" applyBorder="1"/>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9"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7" xfId="7" applyNumberFormat="1" applyFont="1" applyFill="1" applyBorder="1"/>
    <xf numFmtId="165" fontId="0" fillId="0" borderId="0" xfId="7" applyNumberFormat="1" applyFont="1" applyFill="1" applyBorder="1"/>
    <xf numFmtId="165" fontId="0" fillId="0" borderId="17" xfId="7" applyNumberFormat="1" applyFont="1" applyBorder="1"/>
    <xf numFmtId="165" fontId="0" fillId="0" borderId="0" xfId="7" applyNumberFormat="1" applyFont="1" applyBorder="1"/>
    <xf numFmtId="165" fontId="0" fillId="0" borderId="18" xfId="7" applyNumberFormat="1" applyFont="1" applyBorder="1"/>
    <xf numFmtId="49" fontId="0" fillId="0" borderId="0" xfId="0" applyNumberFormat="1"/>
    <xf numFmtId="167" fontId="42" fillId="0" borderId="11" xfId="0" applyNumberFormat="1" applyFont="1" applyFill="1" applyBorder="1"/>
    <xf numFmtId="167" fontId="42"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1" fillId="0" borderId="1" xfId="0" applyNumberFormat="1" applyFont="1" applyBorder="1"/>
    <xf numFmtId="165" fontId="4" fillId="0" borderId="1" xfId="7" applyNumberFormat="1" applyFont="1" applyBorder="1"/>
    <xf numFmtId="17" fontId="14" fillId="41" borderId="1" xfId="0" applyNumberFormat="1" applyFont="1" applyFill="1" applyBorder="1" applyAlignment="1">
      <alignment vertical="center" wrapText="1"/>
    </xf>
    <xf numFmtId="49" fontId="4" fillId="37" borderId="3" xfId="0" applyNumberFormat="1" applyFont="1" applyFill="1" applyBorder="1"/>
    <xf numFmtId="49" fontId="4" fillId="0" borderId="1" xfId="0" applyNumberFormat="1" applyFont="1" applyBorder="1"/>
    <xf numFmtId="49" fontId="14" fillId="41"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7" borderId="28" xfId="0" applyNumberFormat="1" applyFont="1" applyFill="1" applyBorder="1"/>
    <xf numFmtId="165" fontId="4" fillId="0" borderId="5" xfId="7" applyNumberFormat="1" applyFont="1" applyBorder="1"/>
    <xf numFmtId="49" fontId="14" fillId="41" borderId="5" xfId="0" applyNumberFormat="1" applyFont="1" applyFill="1" applyBorder="1" applyAlignment="1">
      <alignment vertical="center" wrapText="1"/>
    </xf>
    <xf numFmtId="167" fontId="61" fillId="37"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7" fillId="0" borderId="1" xfId="7" applyNumberFormat="1" applyFont="1" applyBorder="1"/>
    <xf numFmtId="1" fontId="0" fillId="0" borderId="0" xfId="8" applyNumberFormat="1" applyFont="1" applyFill="1" applyBorder="1"/>
    <xf numFmtId="169" fontId="0" fillId="0" borderId="0" xfId="8" applyNumberFormat="1" applyFont="1" applyFill="1" applyBorder="1"/>
    <xf numFmtId="0" fontId="5" fillId="0" borderId="0" xfId="0" applyFont="1" applyFill="1" applyBorder="1" applyAlignment="1">
      <alignment horizontal="right"/>
    </xf>
    <xf numFmtId="49" fontId="54" fillId="0" borderId="1" xfId="0" applyNumberFormat="1" applyFont="1" applyFill="1" applyBorder="1" applyAlignment="1">
      <alignment vertical="center" wrapText="1"/>
    </xf>
    <xf numFmtId="170" fontId="0" fillId="0" borderId="0" xfId="0" applyNumberFormat="1" applyFont="1"/>
    <xf numFmtId="49" fontId="54" fillId="41" borderId="1" xfId="0" applyNumberFormat="1" applyFont="1" applyFill="1" applyBorder="1" applyAlignment="1">
      <alignment vertical="center" wrapText="1"/>
    </xf>
    <xf numFmtId="0" fontId="0" fillId="0" borderId="0" xfId="0" applyFill="1" applyBorder="1" applyAlignment="1">
      <alignment horizontal="left" vertical="top" wrapText="1"/>
    </xf>
    <xf numFmtId="0" fontId="5" fillId="0" borderId="0" xfId="0" applyFont="1" applyFill="1" applyBorder="1" applyAlignment="1">
      <alignment horizontal="left" vertical="top" wrapText="1"/>
    </xf>
    <xf numFmtId="49" fontId="61" fillId="37"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2" fillId="0" borderId="11" xfId="0" applyNumberFormat="1" applyFont="1" applyFill="1" applyBorder="1" applyAlignment="1">
      <alignment vertical="center"/>
    </xf>
    <xf numFmtId="49" fontId="42" fillId="0" borderId="1" xfId="0" applyNumberFormat="1" applyFont="1" applyFill="1" applyBorder="1" applyAlignment="1">
      <alignment vertical="center"/>
    </xf>
    <xf numFmtId="49" fontId="42" fillId="0" borderId="11" xfId="0" applyNumberFormat="1" applyFont="1" applyFill="1" applyBorder="1" applyAlignment="1">
      <alignment horizontal="left" vertical="center"/>
    </xf>
    <xf numFmtId="49" fontId="42" fillId="0" borderId="1" xfId="0" applyNumberFormat="1" applyFont="1" applyFill="1" applyBorder="1" applyAlignment="1">
      <alignment horizontal="left" vertical="center"/>
    </xf>
    <xf numFmtId="49" fontId="42" fillId="0" borderId="11" xfId="0" applyNumberFormat="1" applyFont="1" applyFill="1" applyBorder="1" applyAlignment="1">
      <alignment horizontal="left"/>
    </xf>
    <xf numFmtId="49" fontId="42" fillId="0" borderId="1" xfId="0" applyNumberFormat="1" applyFont="1" applyFill="1" applyBorder="1" applyAlignment="1">
      <alignment horizontal="left"/>
    </xf>
    <xf numFmtId="49" fontId="61" fillId="0" borderId="1" xfId="0" applyNumberFormat="1" applyFont="1" applyFill="1" applyBorder="1"/>
    <xf numFmtId="49" fontId="61" fillId="0" borderId="11" xfId="0" applyNumberFormat="1" applyFont="1" applyFill="1" applyBorder="1" applyAlignment="1"/>
    <xf numFmtId="49" fontId="61" fillId="0" borderId="1" xfId="0" applyNumberFormat="1" applyFont="1" applyFill="1" applyBorder="1" applyAlignment="1"/>
    <xf numFmtId="49" fontId="42"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1" fillId="0" borderId="5" xfId="0" applyNumberFormat="1" applyFont="1" applyBorder="1"/>
    <xf numFmtId="49" fontId="67" fillId="37" borderId="3" xfId="0" applyNumberFormat="1" applyFont="1" applyFill="1" applyBorder="1"/>
    <xf numFmtId="49" fontId="68"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7" fillId="0" borderId="1" xfId="0" applyNumberFormat="1" applyFont="1" applyBorder="1"/>
    <xf numFmtId="49" fontId="69" fillId="41" borderId="1" xfId="0" applyNumberFormat="1" applyFont="1" applyFill="1" applyBorder="1" applyAlignment="1">
      <alignment vertical="center" wrapText="1"/>
    </xf>
    <xf numFmtId="49" fontId="69"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4" fillId="0" borderId="0" xfId="0" applyNumberFormat="1" applyFont="1" applyFill="1" applyBorder="1"/>
    <xf numFmtId="49" fontId="13" fillId="0" borderId="0" xfId="0" applyNumberFormat="1" applyFont="1" applyFill="1" applyBorder="1" applyAlignment="1">
      <alignment horizontal="left" vertical="center" wrapText="1"/>
    </xf>
    <xf numFmtId="49" fontId="24" fillId="0" borderId="0" xfId="0" applyNumberFormat="1" applyFont="1" applyFill="1" applyBorder="1"/>
    <xf numFmtId="49" fontId="70" fillId="0" borderId="1" xfId="0" applyNumberFormat="1" applyFont="1" applyBorder="1"/>
    <xf numFmtId="0" fontId="70" fillId="0" borderId="1" xfId="0" applyNumberFormat="1" applyFont="1" applyBorder="1"/>
    <xf numFmtId="165" fontId="70" fillId="0" borderId="1" xfId="7" applyNumberFormat="1" applyFont="1" applyBorder="1"/>
    <xf numFmtId="0" fontId="70" fillId="0" borderId="1" xfId="0" applyFont="1" applyBorder="1"/>
    <xf numFmtId="0" fontId="71" fillId="41" borderId="1" xfId="0" applyFont="1" applyFill="1" applyBorder="1" applyAlignment="1">
      <alignment vertical="center" wrapText="1"/>
    </xf>
    <xf numFmtId="0" fontId="4" fillId="0" borderId="1" xfId="0" applyNumberFormat="1" applyFont="1" applyBorder="1"/>
    <xf numFmtId="0" fontId="0" fillId="21" borderId="0" xfId="0" applyFont="1" applyFill="1"/>
    <xf numFmtId="0" fontId="32" fillId="0" borderId="45" xfId="0" applyFont="1" applyFill="1" applyBorder="1" applyAlignment="1">
      <alignment horizontal="left"/>
    </xf>
    <xf numFmtId="0" fontId="30" fillId="2" borderId="46" xfId="0" applyFont="1" applyFill="1" applyBorder="1" applyAlignment="1">
      <alignment horizontal="left"/>
    </xf>
    <xf numFmtId="165" fontId="30" fillId="0" borderId="46" xfId="10" applyNumberFormat="1" applyFont="1" applyFill="1" applyBorder="1" applyAlignment="1">
      <alignment horizontal="left"/>
    </xf>
    <xf numFmtId="9" fontId="24" fillId="24" borderId="46" xfId="8" applyFont="1" applyFill="1" applyBorder="1"/>
    <xf numFmtId="9" fontId="24" fillId="25" borderId="46" xfId="8" applyFont="1" applyFill="1" applyBorder="1"/>
    <xf numFmtId="9" fontId="29" fillId="23" borderId="46" xfId="8" applyFont="1" applyFill="1" applyBorder="1" applyAlignment="1">
      <alignment horizontal="right" vertical="center" wrapText="1"/>
    </xf>
    <xf numFmtId="9" fontId="24" fillId="27" borderId="46" xfId="8" applyFont="1" applyFill="1" applyBorder="1"/>
    <xf numFmtId="165" fontId="24" fillId="0" borderId="46" xfId="0" applyNumberFormat="1" applyFont="1" applyBorder="1"/>
    <xf numFmtId="9" fontId="24" fillId="26" borderId="47" xfId="8" applyFont="1" applyFill="1" applyBorder="1"/>
    <xf numFmtId="0" fontId="32" fillId="0" borderId="22" xfId="0" applyFont="1" applyFill="1" applyBorder="1" applyAlignment="1">
      <alignment horizontal="left"/>
    </xf>
    <xf numFmtId="0" fontId="30" fillId="2" borderId="1" xfId="0" applyFont="1" applyFill="1" applyBorder="1" applyAlignment="1">
      <alignment horizontal="left"/>
    </xf>
    <xf numFmtId="9" fontId="29" fillId="23" borderId="1" xfId="8" applyFont="1" applyFill="1" applyBorder="1" applyAlignment="1">
      <alignment horizontal="right" vertical="center" wrapText="1"/>
    </xf>
    <xf numFmtId="9" fontId="24" fillId="26" borderId="23" xfId="8" applyFont="1" applyFill="1" applyBorder="1"/>
    <xf numFmtId="0" fontId="32" fillId="0" borderId="34" xfId="0" applyFont="1" applyFill="1" applyBorder="1" applyAlignment="1">
      <alignment horizontal="left"/>
    </xf>
    <xf numFmtId="0" fontId="30" fillId="2" borderId="24" xfId="0" applyFont="1" applyFill="1" applyBorder="1" applyAlignment="1">
      <alignment horizontal="left"/>
    </xf>
    <xf numFmtId="165" fontId="30" fillId="0" borderId="24" xfId="10" applyNumberFormat="1" applyFont="1" applyFill="1" applyBorder="1" applyAlignment="1">
      <alignment horizontal="left"/>
    </xf>
    <xf numFmtId="9" fontId="24" fillId="24" borderId="24" xfId="8" applyFont="1" applyFill="1" applyBorder="1"/>
    <xf numFmtId="9" fontId="24" fillId="25" borderId="24" xfId="8" applyFont="1" applyFill="1" applyBorder="1"/>
    <xf numFmtId="9" fontId="29" fillId="23" borderId="24" xfId="8" applyFont="1" applyFill="1" applyBorder="1" applyAlignment="1">
      <alignment horizontal="right" vertical="center" wrapText="1"/>
    </xf>
    <xf numFmtId="9" fontId="24" fillId="27" borderId="24" xfId="8" applyFont="1" applyFill="1" applyBorder="1"/>
    <xf numFmtId="165" fontId="24" fillId="0" borderId="24" xfId="0" applyNumberFormat="1" applyFont="1" applyBorder="1"/>
    <xf numFmtId="9" fontId="24" fillId="26" borderId="25" xfId="8" applyFont="1" applyFill="1" applyBorder="1"/>
    <xf numFmtId="0" fontId="0" fillId="0" borderId="0" xfId="0" applyBorder="1" applyAlignment="1">
      <alignment horizontal="left"/>
    </xf>
    <xf numFmtId="0" fontId="0" fillId="0" borderId="19" xfId="0" applyNumberFormat="1" applyBorder="1"/>
    <xf numFmtId="3" fontId="0" fillId="0" borderId="0" xfId="0" applyNumberFormat="1" applyBorder="1"/>
    <xf numFmtId="3" fontId="0" fillId="0" borderId="41" xfId="0" applyNumberFormat="1" applyBorder="1"/>
    <xf numFmtId="0" fontId="0" fillId="10" borderId="1" xfId="0" applyFill="1" applyBorder="1"/>
    <xf numFmtId="0" fontId="0" fillId="10" borderId="21" xfId="0" applyFill="1" applyBorder="1"/>
    <xf numFmtId="0" fontId="0" fillId="10" borderId="28" xfId="0" applyFill="1" applyBorder="1"/>
    <xf numFmtId="0" fontId="0" fillId="10" borderId="26" xfId="0" applyFill="1" applyBorder="1"/>
    <xf numFmtId="0" fontId="0" fillId="10" borderId="19" xfId="0" applyFill="1" applyBorder="1"/>
    <xf numFmtId="0" fontId="0" fillId="0" borderId="20" xfId="0" pivotButton="1" applyBorder="1"/>
    <xf numFmtId="0" fontId="0" fillId="0" borderId="2" xfId="0" pivotButton="1" applyBorder="1"/>
    <xf numFmtId="0" fontId="0" fillId="0" borderId="21" xfId="0" pivotButton="1" applyBorder="1"/>
    <xf numFmtId="0" fontId="0" fillId="0" borderId="4" xfId="0" pivotButton="1" applyBorder="1"/>
    <xf numFmtId="0" fontId="0" fillId="0" borderId="4" xfId="0" applyBorder="1" applyAlignment="1">
      <alignment horizontal="left"/>
    </xf>
    <xf numFmtId="0" fontId="0" fillId="0" borderId="36" xfId="0" applyNumberFormat="1" applyBorder="1"/>
    <xf numFmtId="0" fontId="0" fillId="0" borderId="26" xfId="0" applyBorder="1" applyAlignment="1">
      <alignment horizontal="left"/>
    </xf>
    <xf numFmtId="0" fontId="0" fillId="10" borderId="2" xfId="0" applyFill="1" applyBorder="1"/>
    <xf numFmtId="0" fontId="0" fillId="10" borderId="3" xfId="0" applyFill="1" applyBorder="1"/>
    <xf numFmtId="3" fontId="0" fillId="0" borderId="36" xfId="0" applyNumberFormat="1" applyBorder="1"/>
    <xf numFmtId="0" fontId="0" fillId="0" borderId="4" xfId="0" applyBorder="1" applyAlignment="1">
      <alignment horizontal="left" indent="1"/>
    </xf>
    <xf numFmtId="3" fontId="0" fillId="0" borderId="19" xfId="0" applyNumberFormat="1" applyBorder="1"/>
    <xf numFmtId="0" fontId="18" fillId="42" borderId="14" xfId="0" applyFont="1" applyFill="1" applyBorder="1" applyAlignment="1">
      <alignment horizontal="left"/>
    </xf>
    <xf numFmtId="168" fontId="0" fillId="42" borderId="15" xfId="0" applyNumberFormat="1" applyFill="1" applyBorder="1" applyAlignment="1">
      <alignment horizontal="center" vertical="center"/>
    </xf>
    <xf numFmtId="168" fontId="0" fillId="42" borderId="16" xfId="0" applyNumberFormat="1" applyFill="1" applyBorder="1" applyAlignment="1">
      <alignment horizontal="center" vertical="center"/>
    </xf>
    <xf numFmtId="168" fontId="3" fillId="42" borderId="17" xfId="0" applyNumberFormat="1" applyFont="1" applyFill="1" applyBorder="1" applyAlignment="1">
      <alignment horizontal="left"/>
    </xf>
    <xf numFmtId="0" fontId="0" fillId="42" borderId="0" xfId="0" applyFill="1" applyBorder="1" applyAlignment="1">
      <alignment horizontal="center" vertical="center"/>
    </xf>
    <xf numFmtId="0" fontId="0" fillId="42" borderId="18" xfId="0" applyFill="1" applyBorder="1" applyAlignment="1">
      <alignment horizontal="center" vertical="center"/>
    </xf>
    <xf numFmtId="168" fontId="0" fillId="42" borderId="17" xfId="0" applyNumberFormat="1" applyFill="1" applyBorder="1" applyAlignment="1">
      <alignment horizontal="center" vertical="center"/>
    </xf>
    <xf numFmtId="168" fontId="0" fillId="42" borderId="0" xfId="0" applyNumberFormat="1" applyFill="1" applyBorder="1" applyAlignment="1">
      <alignment horizontal="center" vertical="center"/>
    </xf>
    <xf numFmtId="168" fontId="0" fillId="42" borderId="18" xfId="0" applyNumberFormat="1" applyFill="1" applyBorder="1" applyAlignment="1">
      <alignment horizontal="center" vertical="center"/>
    </xf>
    <xf numFmtId="0" fontId="11" fillId="42" borderId="0" xfId="6" applyFont="1" applyFill="1" applyBorder="1" applyAlignment="1">
      <alignment vertical="center"/>
    </xf>
    <xf numFmtId="0" fontId="11" fillId="11" borderId="14" xfId="6" applyFont="1" applyFill="1" applyBorder="1" applyAlignment="1">
      <alignment vertical="center"/>
    </xf>
    <xf numFmtId="0" fontId="11" fillId="11" borderId="15" xfId="6" applyFont="1" applyFill="1" applyBorder="1" applyAlignment="1">
      <alignment vertical="center"/>
    </xf>
    <xf numFmtId="0" fontId="46" fillId="11" borderId="17" xfId="6" applyFont="1" applyFill="1" applyBorder="1" applyAlignment="1">
      <alignment vertical="center"/>
    </xf>
    <xf numFmtId="0" fontId="0" fillId="42" borderId="17" xfId="0" applyFill="1" applyBorder="1"/>
    <xf numFmtId="0" fontId="0" fillId="42" borderId="18" xfId="0" applyFill="1" applyBorder="1"/>
    <xf numFmtId="0" fontId="11" fillId="42" borderId="17" xfId="6" applyFont="1" applyFill="1" applyBorder="1" applyAlignment="1">
      <alignment vertical="center"/>
    </xf>
    <xf numFmtId="0" fontId="11" fillId="42" borderId="18" xfId="6" applyFont="1" applyFill="1" applyBorder="1" applyAlignment="1">
      <alignment vertical="center"/>
    </xf>
    <xf numFmtId="0" fontId="0" fillId="5" borderId="48" xfId="0" applyFill="1" applyBorder="1"/>
    <xf numFmtId="0" fontId="0" fillId="5" borderId="49" xfId="0" applyFill="1" applyBorder="1"/>
    <xf numFmtId="0" fontId="0" fillId="5" borderId="50" xfId="0" applyFill="1" applyBorder="1"/>
    <xf numFmtId="0" fontId="11" fillId="11" borderId="16" xfId="6" applyFont="1" applyFill="1" applyBorder="1" applyAlignment="1">
      <alignment vertical="center"/>
    </xf>
    <xf numFmtId="0" fontId="46" fillId="11" borderId="18" xfId="6" applyFont="1" applyFill="1" applyBorder="1" applyAlignment="1">
      <alignment vertical="center"/>
    </xf>
    <xf numFmtId="166" fontId="48" fillId="11" borderId="53" xfId="6" applyNumberFormat="1" applyFont="1" applyFill="1" applyBorder="1" applyAlignment="1">
      <alignment horizontal="left" vertical="center"/>
    </xf>
    <xf numFmtId="0" fontId="47" fillId="5" borderId="0" xfId="6" applyFont="1" applyFill="1" applyBorder="1" applyAlignment="1">
      <alignment vertical="center"/>
    </xf>
    <xf numFmtId="0" fontId="43" fillId="10" borderId="0" xfId="0" applyFont="1" applyFill="1" applyBorder="1"/>
    <xf numFmtId="0" fontId="21" fillId="10" borderId="0" xfId="0" applyFont="1" applyFill="1" applyBorder="1" applyAlignment="1"/>
    <xf numFmtId="0" fontId="21" fillId="10" borderId="0" xfId="0" applyFont="1" applyFill="1" applyBorder="1"/>
    <xf numFmtId="9" fontId="41" fillId="10" borderId="0" xfId="8" applyFont="1" applyFill="1" applyBorder="1" applyAlignment="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5" borderId="18" xfId="0" applyFill="1" applyBorder="1"/>
    <xf numFmtId="0" fontId="0" fillId="10" borderId="18" xfId="0" applyFill="1" applyBorder="1"/>
    <xf numFmtId="0" fontId="0" fillId="10" borderId="18" xfId="0" applyFont="1" applyFill="1" applyBorder="1" applyAlignment="1"/>
    <xf numFmtId="0" fontId="0" fillId="10" borderId="18" xfId="0" applyFont="1" applyFill="1" applyBorder="1" applyAlignment="1">
      <alignment horizontal="center" vertical="center" wrapText="1"/>
    </xf>
    <xf numFmtId="0" fontId="0" fillId="10" borderId="17" xfId="0" applyFill="1" applyBorder="1"/>
    <xf numFmtId="0" fontId="0" fillId="10" borderId="49" xfId="0" applyFill="1" applyBorder="1"/>
    <xf numFmtId="0" fontId="0" fillId="10" borderId="50" xfId="0" applyFill="1" applyBorder="1"/>
    <xf numFmtId="0" fontId="25" fillId="10" borderId="0" xfId="0" applyFont="1" applyFill="1" applyBorder="1" applyAlignment="1"/>
    <xf numFmtId="0" fontId="8" fillId="10" borderId="0" xfId="0" applyFont="1" applyFill="1" applyBorder="1"/>
    <xf numFmtId="165" fontId="35" fillId="10" borderId="0" xfId="7" applyNumberFormat="1" applyFont="1" applyFill="1" applyBorder="1"/>
    <xf numFmtId="0" fontId="26" fillId="10" borderId="0" xfId="0" applyFont="1" applyFill="1" applyBorder="1"/>
    <xf numFmtId="9" fontId="31" fillId="10" borderId="0" xfId="8" applyFont="1" applyFill="1" applyBorder="1"/>
    <xf numFmtId="0" fontId="0" fillId="10" borderId="0" xfId="0" applyFont="1" applyFill="1" applyBorder="1"/>
    <xf numFmtId="0" fontId="0" fillId="10" borderId="18" xfId="0" applyFont="1" applyFill="1" applyBorder="1"/>
    <xf numFmtId="0" fontId="0" fillId="42" borderId="14" xfId="0" applyFill="1" applyBorder="1"/>
    <xf numFmtId="0" fontId="0" fillId="42" borderId="15" xfId="0" applyFill="1" applyBorder="1"/>
    <xf numFmtId="0" fontId="0" fillId="42" borderId="16" xfId="0" applyFill="1" applyBorder="1"/>
    <xf numFmtId="0" fontId="13" fillId="42" borderId="0" xfId="0" applyFont="1" applyFill="1" applyBorder="1"/>
    <xf numFmtId="0" fontId="47" fillId="42" borderId="0" xfId="6" applyFont="1" applyFill="1" applyBorder="1" applyAlignment="1">
      <alignment vertical="center"/>
    </xf>
    <xf numFmtId="0" fontId="47" fillId="42" borderId="41" xfId="6" applyFont="1" applyFill="1" applyBorder="1" applyAlignment="1">
      <alignment vertical="center"/>
    </xf>
    <xf numFmtId="0" fontId="25" fillId="42" borderId="41" xfId="0" applyFont="1" applyFill="1" applyBorder="1" applyAlignment="1"/>
    <xf numFmtId="0" fontId="0" fillId="42" borderId="53" xfId="0" applyFill="1" applyBorder="1"/>
    <xf numFmtId="0" fontId="0" fillId="0" borderId="17" xfId="0" applyFont="1" applyBorder="1"/>
    <xf numFmtId="0" fontId="27" fillId="22" borderId="42" xfId="0" applyFont="1" applyFill="1" applyBorder="1" applyAlignment="1">
      <alignment horizontal="center" vertical="center" wrapText="1"/>
    </xf>
    <xf numFmtId="0" fontId="27" fillId="22" borderId="43"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7" fillId="24" borderId="43" xfId="0" applyFont="1" applyFill="1" applyBorder="1" applyAlignment="1">
      <alignment horizontal="center" vertical="center" wrapText="1"/>
    </xf>
    <xf numFmtId="0" fontId="27" fillId="25" borderId="43" xfId="0" applyFont="1" applyFill="1" applyBorder="1" applyAlignment="1">
      <alignment horizontal="center" vertical="center" wrapText="1"/>
    </xf>
    <xf numFmtId="0" fontId="29" fillId="23" borderId="42" xfId="0" applyFont="1" applyFill="1" applyBorder="1" applyAlignment="1">
      <alignment horizontal="center" vertical="center" wrapText="1"/>
    </xf>
    <xf numFmtId="0" fontId="29" fillId="23" borderId="44" xfId="0" applyFont="1" applyFill="1" applyBorder="1" applyAlignment="1">
      <alignment horizontal="center" vertical="center" wrapText="1"/>
    </xf>
    <xf numFmtId="9" fontId="24" fillId="27" borderId="43" xfId="8" applyFont="1" applyFill="1" applyBorder="1"/>
    <xf numFmtId="0" fontId="28" fillId="26" borderId="43" xfId="0"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30" fillId="2" borderId="33" xfId="0" applyFont="1" applyFill="1" applyBorder="1" applyAlignment="1">
      <alignment horizontal="left"/>
    </xf>
    <xf numFmtId="0" fontId="30" fillId="2" borderId="10" xfId="0" applyFont="1" applyFill="1" applyBorder="1" applyAlignment="1">
      <alignment horizontal="left"/>
    </xf>
    <xf numFmtId="0" fontId="30" fillId="2" borderId="54" xfId="0" applyFont="1" applyFill="1" applyBorder="1" applyAlignment="1">
      <alignment horizontal="left"/>
    </xf>
    <xf numFmtId="9" fontId="29" fillId="23" borderId="44" xfId="8" applyFont="1" applyFill="1" applyBorder="1" applyAlignment="1">
      <alignment horizontal="right" vertical="center" wrapText="1"/>
    </xf>
    <xf numFmtId="0" fontId="0" fillId="10" borderId="20" xfId="0" applyFill="1" applyBorder="1"/>
    <xf numFmtId="0" fontId="0" fillId="10" borderId="4" xfId="0" applyFill="1" applyBorder="1"/>
    <xf numFmtId="0" fontId="0" fillId="10" borderId="36" xfId="0" applyFill="1" applyBorder="1"/>
    <xf numFmtId="0" fontId="19" fillId="10" borderId="0" xfId="0" applyFont="1" applyFill="1" applyBorder="1" applyAlignment="1">
      <alignment horizontal="center"/>
    </xf>
    <xf numFmtId="165" fontId="20" fillId="10" borderId="0" xfId="7" applyNumberFormat="1" applyFont="1" applyFill="1" applyBorder="1"/>
    <xf numFmtId="165" fontId="44" fillId="10" borderId="1" xfId="7" applyNumberFormat="1" applyFont="1" applyFill="1" applyBorder="1"/>
    <xf numFmtId="165" fontId="41" fillId="10" borderId="1" xfId="7" applyNumberFormat="1" applyFont="1" applyFill="1" applyBorder="1"/>
    <xf numFmtId="165" fontId="19" fillId="10" borderId="0" xfId="0" applyNumberFormat="1" applyFont="1" applyFill="1" applyBorder="1"/>
    <xf numFmtId="0" fontId="0" fillId="10" borderId="41" xfId="0" applyFill="1" applyBorder="1"/>
    <xf numFmtId="0" fontId="41" fillId="30" borderId="1" xfId="0" applyFont="1" applyFill="1" applyBorder="1"/>
    <xf numFmtId="165" fontId="41" fillId="10" borderId="1" xfId="7" quotePrefix="1" applyNumberFormat="1" applyFont="1" applyFill="1" applyBorder="1"/>
    <xf numFmtId="0" fontId="41" fillId="10" borderId="3" xfId="0" applyFont="1" applyFill="1" applyBorder="1"/>
    <xf numFmtId="9" fontId="41" fillId="10" borderId="2" xfId="8" applyFont="1" applyFill="1" applyBorder="1" applyAlignment="1">
      <alignment horizontal="right"/>
    </xf>
    <xf numFmtId="0" fontId="43" fillId="30" borderId="19" xfId="0" applyFont="1" applyFill="1" applyBorder="1" applyAlignment="1">
      <alignment vertical="top" wrapText="1"/>
    </xf>
    <xf numFmtId="0" fontId="43" fillId="30" borderId="11" xfId="0" applyFont="1" applyFill="1" applyBorder="1" applyAlignment="1">
      <alignment vertical="top" wrapText="1"/>
    </xf>
    <xf numFmtId="0" fontId="41" fillId="30" borderId="11" xfId="0" applyFont="1" applyFill="1" applyBorder="1" applyAlignment="1">
      <alignment wrapText="1"/>
    </xf>
    <xf numFmtId="0" fontId="41" fillId="30" borderId="26" xfId="0" applyFont="1" applyFill="1" applyBorder="1" applyAlignment="1">
      <alignment horizontal="left" wrapText="1"/>
    </xf>
    <xf numFmtId="0" fontId="43" fillId="10" borderId="28" xfId="0" applyFont="1" applyFill="1" applyBorder="1"/>
    <xf numFmtId="165" fontId="43" fillId="10" borderId="5" xfId="7" applyNumberFormat="1" applyFont="1" applyFill="1" applyBorder="1"/>
    <xf numFmtId="9" fontId="43" fillId="10" borderId="21"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7" borderId="3" xfId="0" applyFont="1" applyFill="1" applyBorder="1"/>
    <xf numFmtId="0" fontId="61" fillId="0" borderId="1" xfId="0" applyFont="1" applyBorder="1"/>
    <xf numFmtId="0" fontId="14" fillId="41" borderId="1" xfId="0" applyFont="1" applyFill="1" applyBorder="1" applyAlignment="1">
      <alignment vertical="center" wrapText="1"/>
    </xf>
    <xf numFmtId="0" fontId="14" fillId="0" borderId="1" xfId="0" applyFont="1" applyFill="1" applyBorder="1" applyAlignment="1">
      <alignment vertical="center" wrapText="1"/>
    </xf>
    <xf numFmtId="0" fontId="61" fillId="37" borderId="1" xfId="0" applyFont="1" applyFill="1" applyBorder="1"/>
    <xf numFmtId="0" fontId="4" fillId="0" borderId="5" xfId="0" applyNumberFormat="1" applyFont="1" applyBorder="1"/>
    <xf numFmtId="0" fontId="14" fillId="41"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9" xfId="0" applyFont="1" applyFill="1" applyBorder="1" applyAlignment="1">
      <alignment horizontal="right"/>
    </xf>
    <xf numFmtId="0" fontId="13" fillId="11" borderId="11" xfId="0" applyFont="1" applyFill="1" applyBorder="1" applyAlignment="1">
      <alignment wrapText="1"/>
    </xf>
    <xf numFmtId="0" fontId="13" fillId="12" borderId="26"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8" xfId="0" applyNumberFormat="1" applyBorder="1" applyAlignment="1">
      <alignment horizontal="right"/>
    </xf>
    <xf numFmtId="0" fontId="0" fillId="0" borderId="5" xfId="0" applyFill="1" applyBorder="1"/>
    <xf numFmtId="0" fontId="0" fillId="0" borderId="28" xfId="0" applyBorder="1" applyAlignment="1">
      <alignment horizontal="right"/>
    </xf>
    <xf numFmtId="0" fontId="0" fillId="0" borderId="5" xfId="0" applyBorder="1" applyAlignment="1">
      <alignment horizontal="left" vertical="center"/>
    </xf>
    <xf numFmtId="0" fontId="0" fillId="0" borderId="21" xfId="0" applyFill="1" applyBorder="1"/>
    <xf numFmtId="165" fontId="0" fillId="0" borderId="41" xfId="0" applyNumberFormat="1" applyBorder="1"/>
    <xf numFmtId="49" fontId="0" fillId="0" borderId="1" xfId="8" applyNumberFormat="1" applyFont="1" applyFill="1" applyBorder="1"/>
    <xf numFmtId="0" fontId="0" fillId="0" borderId="11" xfId="0" applyBorder="1" applyAlignment="1">
      <alignment horizontal="left"/>
    </xf>
    <xf numFmtId="1" fontId="11" fillId="42" borderId="20" xfId="6" applyNumberFormat="1" applyFont="1" applyFill="1" applyBorder="1" applyAlignment="1">
      <alignment vertical="center"/>
    </xf>
    <xf numFmtId="1" fontId="0" fillId="42" borderId="0" xfId="0" applyNumberFormat="1" applyFill="1" applyBorder="1"/>
    <xf numFmtId="1" fontId="10" fillId="42" borderId="41"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8" borderId="1" xfId="0" applyNumberFormat="1" applyFill="1" applyBorder="1" applyAlignment="1">
      <alignment horizontal="left"/>
    </xf>
    <xf numFmtId="49" fontId="0" fillId="0" borderId="5" xfId="8" applyNumberFormat="1" applyFont="1" applyFill="1" applyBorder="1"/>
    <xf numFmtId="0" fontId="0" fillId="0" borderId="21" xfId="0" applyNumberFormat="1" applyFont="1" applyFill="1" applyBorder="1" applyAlignment="1"/>
    <xf numFmtId="0" fontId="0" fillId="0" borderId="20" xfId="0" applyNumberFormat="1" applyFont="1" applyFill="1" applyBorder="1" applyAlignment="1"/>
    <xf numFmtId="0" fontId="0" fillId="0" borderId="28"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6" xfId="0" applyNumberFormat="1" applyFont="1" applyFill="1" applyBorder="1" applyAlignment="1"/>
    <xf numFmtId="0" fontId="0" fillId="0" borderId="26" xfId="0" applyNumberFormat="1" applyFont="1" applyFill="1" applyBorder="1" applyAlignment="1"/>
    <xf numFmtId="0" fontId="0" fillId="0" borderId="41" xfId="0" applyNumberFormat="1" applyFont="1" applyFill="1" applyBorder="1" applyAlignment="1"/>
    <xf numFmtId="0" fontId="0" fillId="0" borderId="19" xfId="0" applyNumberFormat="1" applyFont="1" applyFill="1" applyBorder="1" applyAlignment="1"/>
    <xf numFmtId="0" fontId="0" fillId="10" borderId="1" xfId="0" applyNumberFormat="1" applyFont="1" applyFill="1" applyBorder="1" applyAlignment="1"/>
    <xf numFmtId="165" fontId="2" fillId="0" borderId="17" xfId="7" applyNumberFormat="1" applyFont="1" applyFill="1" applyBorder="1"/>
    <xf numFmtId="15" fontId="0" fillId="0" borderId="1" xfId="0" applyNumberFormat="1" applyBorder="1"/>
    <xf numFmtId="0" fontId="45" fillId="11" borderId="1" xfId="0" applyFont="1" applyFill="1" applyBorder="1" applyAlignment="1">
      <alignment horizontal="center" vertical="center" wrapText="1"/>
    </xf>
    <xf numFmtId="0" fontId="32" fillId="0" borderId="55"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2" fillId="47" borderId="57" xfId="5" applyNumberFormat="1" applyFont="1" applyFill="1" applyBorder="1" applyAlignment="1">
      <alignment horizontal="center"/>
    </xf>
    <xf numFmtId="0" fontId="52" fillId="47" borderId="57" xfId="5" applyNumberFormat="1" applyFont="1" applyFill="1" applyBorder="1" applyAlignment="1">
      <alignment horizontal="left" vertical="top" wrapText="1"/>
    </xf>
    <xf numFmtId="1" fontId="52" fillId="47" borderId="57" xfId="8" applyNumberFormat="1" applyFont="1" applyFill="1" applyBorder="1" applyAlignment="1">
      <alignment horizontal="left" vertical="top" wrapText="1"/>
    </xf>
    <xf numFmtId="169" fontId="52" fillId="47" borderId="57" xfId="8" applyNumberFormat="1" applyFont="1" applyFill="1" applyBorder="1" applyAlignment="1">
      <alignment horizontal="left" vertical="top" wrapText="1"/>
    </xf>
    <xf numFmtId="0" fontId="17" fillId="47" borderId="57" xfId="0" applyFont="1" applyFill="1" applyBorder="1" applyAlignment="1">
      <alignment horizontal="left" vertical="top" wrapText="1"/>
    </xf>
    <xf numFmtId="0" fontId="52" fillId="47" borderId="56" xfId="5" applyNumberFormat="1" applyFont="1" applyFill="1" applyBorder="1" applyAlignment="1">
      <alignment horizontal="left" vertical="top" wrapText="1"/>
    </xf>
    <xf numFmtId="49" fontId="0" fillId="2" borderId="56" xfId="0" applyNumberFormat="1" applyFont="1" applyFill="1" applyBorder="1" applyAlignment="1">
      <alignment horizontal="left" vertical="center"/>
    </xf>
    <xf numFmtId="49" fontId="5" fillId="2" borderId="56" xfId="0" applyNumberFormat="1" applyFont="1" applyFill="1" applyBorder="1" applyAlignment="1">
      <alignment horizontal="left" vertical="center"/>
    </xf>
    <xf numFmtId="1" fontId="0" fillId="46" borderId="0" xfId="8" applyNumberFormat="1" applyFont="1" applyFill="1" applyBorder="1" applyAlignment="1">
      <alignment horizontal="left" vertical="center"/>
    </xf>
    <xf numFmtId="169" fontId="0" fillId="46" borderId="0" xfId="8" applyNumberFormat="1" applyFont="1" applyFill="1" applyBorder="1" applyAlignment="1">
      <alignment horizontal="left" vertical="center"/>
    </xf>
    <xf numFmtId="1" fontId="0" fillId="46" borderId="57" xfId="8" applyNumberFormat="1" applyFont="1" applyFill="1" applyBorder="1" applyAlignment="1">
      <alignment horizontal="left" vertical="center"/>
    </xf>
    <xf numFmtId="169" fontId="0" fillId="46" borderId="57" xfId="8" applyNumberFormat="1" applyFont="1" applyFill="1" applyBorder="1" applyAlignment="1">
      <alignment horizontal="left" vertical="center"/>
    </xf>
    <xf numFmtId="49" fontId="0" fillId="46" borderId="57" xfId="0" applyNumberFormat="1" applyFont="1" applyFill="1" applyBorder="1" applyAlignment="1">
      <alignment horizontal="left" vertical="center"/>
    </xf>
    <xf numFmtId="49" fontId="13" fillId="46" borderId="57" xfId="0" applyNumberFormat="1" applyFont="1" applyFill="1" applyBorder="1" applyAlignment="1">
      <alignment horizontal="left" vertical="center" wrapText="1"/>
    </xf>
    <xf numFmtId="49" fontId="0" fillId="46" borderId="57" xfId="0" applyNumberFormat="1" applyFont="1" applyFill="1" applyBorder="1"/>
    <xf numFmtId="15" fontId="0" fillId="46" borderId="5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7" xfId="0" applyNumberFormat="1" applyFont="1" applyFill="1" applyBorder="1" applyAlignment="1">
      <alignment horizontal="left" vertical="center"/>
    </xf>
    <xf numFmtId="0" fontId="0" fillId="0" borderId="57" xfId="0" applyFont="1" applyFill="1" applyBorder="1" applyAlignment="1">
      <alignment horizontal="left" vertical="center"/>
    </xf>
    <xf numFmtId="49" fontId="5" fillId="0" borderId="57" xfId="0" applyNumberFormat="1" applyFont="1" applyFill="1" applyBorder="1" applyAlignment="1">
      <alignment horizontal="left" vertical="center"/>
    </xf>
    <xf numFmtId="0" fontId="5" fillId="0" borderId="57" xfId="0" applyFont="1" applyFill="1" applyBorder="1" applyAlignment="1">
      <alignment horizontal="left" vertical="center"/>
    </xf>
    <xf numFmtId="0" fontId="0" fillId="0" borderId="57" xfId="0" applyFont="1" applyFill="1" applyBorder="1"/>
    <xf numFmtId="1" fontId="5" fillId="46" borderId="57" xfId="8" applyNumberFormat="1" applyFont="1" applyFill="1" applyBorder="1" applyAlignment="1">
      <alignment horizontal="left" vertical="center"/>
    </xf>
    <xf numFmtId="169" fontId="5" fillId="46" borderId="57" xfId="8" applyNumberFormat="1" applyFont="1" applyFill="1" applyBorder="1" applyAlignment="1">
      <alignment horizontal="left" vertical="center"/>
    </xf>
    <xf numFmtId="49" fontId="5" fillId="46" borderId="57" xfId="0" applyNumberFormat="1" applyFont="1" applyFill="1" applyBorder="1" applyAlignment="1">
      <alignment horizontal="left" vertical="center"/>
    </xf>
    <xf numFmtId="49" fontId="5" fillId="46" borderId="57" xfId="0" applyNumberFormat="1" applyFont="1" applyFill="1" applyBorder="1" applyAlignment="1">
      <alignment horizontal="left" vertical="center" wrapText="1"/>
    </xf>
    <xf numFmtId="49" fontId="0" fillId="46" borderId="0" xfId="0" applyNumberFormat="1" applyFont="1" applyFill="1" applyBorder="1" applyAlignment="1">
      <alignment horizontal="left" vertical="center"/>
    </xf>
    <xf numFmtId="49" fontId="0" fillId="0" borderId="56" xfId="0" applyNumberFormat="1" applyFont="1" applyBorder="1" applyAlignment="1">
      <alignment horizontal="left" vertical="center"/>
    </xf>
    <xf numFmtId="49" fontId="0" fillId="46" borderId="57" xfId="0" applyNumberFormat="1" applyFont="1" applyFill="1" applyBorder="1" applyAlignment="1">
      <alignment horizontal="left" vertical="center" wrapText="1"/>
    </xf>
    <xf numFmtId="0" fontId="0" fillId="0" borderId="57" xfId="0" applyFont="1" applyFill="1" applyBorder="1" applyAlignment="1">
      <alignment horizontal="left" vertical="top" wrapText="1"/>
    </xf>
    <xf numFmtId="0" fontId="5" fillId="0" borderId="57" xfId="0" applyFont="1" applyFill="1" applyBorder="1" applyAlignment="1">
      <alignment horizontal="left" vertical="top" wrapText="1"/>
    </xf>
    <xf numFmtId="0" fontId="61"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5"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0" xfId="0" applyFont="1" applyFill="1" applyBorder="1" applyAlignment="1">
      <alignment horizontal="left" vertical="center"/>
    </xf>
    <xf numFmtId="0" fontId="4" fillId="0" borderId="0" xfId="0" applyFont="1" applyBorder="1" applyAlignment="1">
      <alignment vertical="center"/>
    </xf>
    <xf numFmtId="0" fontId="76" fillId="0" borderId="0" xfId="0" applyFont="1" applyBorder="1" applyAlignment="1">
      <alignment vertical="center"/>
    </xf>
    <xf numFmtId="0" fontId="77" fillId="48"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6" xfId="0" applyNumberFormat="1" applyFont="1" applyFill="1" applyBorder="1" applyAlignment="1">
      <alignment horizontal="left" wrapText="1"/>
    </xf>
    <xf numFmtId="49" fontId="0" fillId="0" borderId="56" xfId="0" applyNumberFormat="1" applyFont="1" applyFill="1" applyBorder="1" applyAlignment="1">
      <alignment horizontal="left" vertical="center"/>
    </xf>
    <xf numFmtId="0" fontId="0" fillId="0" borderId="0" xfId="0" applyFill="1" applyBorder="1" applyAlignment="1">
      <alignment horizontal="right"/>
    </xf>
    <xf numFmtId="165" fontId="5" fillId="0" borderId="0" xfId="7" applyNumberFormat="1" applyFont="1" applyFill="1" applyBorder="1" applyAlignment="1">
      <alignment horizontal="right"/>
    </xf>
    <xf numFmtId="165" fontId="78" fillId="0" borderId="0" xfId="0" applyNumberFormat="1" applyFont="1" applyFill="1" applyBorder="1" applyAlignment="1">
      <alignment horizontal="right"/>
    </xf>
    <xf numFmtId="0" fontId="46" fillId="42" borderId="0" xfId="6" applyFont="1" applyFill="1" applyBorder="1" applyAlignment="1">
      <alignment horizontal="center" vertical="center"/>
    </xf>
    <xf numFmtId="165" fontId="0" fillId="0" borderId="0" xfId="7" applyNumberFormat="1" applyFont="1" applyFill="1" applyBorder="1" applyAlignment="1">
      <alignment horizontal="center" vertical="center"/>
    </xf>
    <xf numFmtId="0" fontId="0" fillId="0" borderId="0" xfId="0" applyFill="1" applyBorder="1" applyAlignment="1">
      <alignment horizont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6" xfId="0" applyNumberFormat="1" applyBorder="1"/>
    <xf numFmtId="0" fontId="0" fillId="0" borderId="1" xfId="0" applyBorder="1" applyAlignment="1">
      <alignment vertical="top" wrapText="1"/>
    </xf>
    <xf numFmtId="0" fontId="79" fillId="0" borderId="0" xfId="0" applyFont="1" applyAlignment="1">
      <alignment horizontal="center" vertical="center" readingOrder="1"/>
    </xf>
    <xf numFmtId="9" fontId="0" fillId="0" borderId="0" xfId="8" applyFont="1" applyFill="1" applyBorder="1" applyAlignment="1">
      <alignment horizontal="center" vertical="center"/>
    </xf>
    <xf numFmtId="166" fontId="48" fillId="11" borderId="41" xfId="6" applyNumberFormat="1" applyFont="1" applyFill="1" applyBorder="1" applyAlignment="1">
      <alignment horizontal="left" vertical="center"/>
    </xf>
    <xf numFmtId="0" fontId="46" fillId="42" borderId="0" xfId="6" applyFont="1" applyFill="1" applyBorder="1" applyAlignment="1">
      <alignment horizontal="left" vertical="center"/>
    </xf>
    <xf numFmtId="0" fontId="7" fillId="0" borderId="1" xfId="5" applyFont="1" applyFill="1" applyBorder="1" applyAlignment="1">
      <alignment horizontal="left" vertical="top" wrapText="1"/>
    </xf>
    <xf numFmtId="0" fontId="7" fillId="0" borderId="1" xfId="5" applyFont="1" applyFill="1" applyBorder="1" applyAlignment="1">
      <alignment horizontal="center"/>
    </xf>
    <xf numFmtId="1" fontId="7" fillId="0" borderId="1" xfId="8" applyNumberFormat="1" applyFont="1" applyFill="1" applyBorder="1" applyAlignment="1">
      <alignment horizontal="left" vertical="top" wrapText="1"/>
    </xf>
    <xf numFmtId="1" fontId="7" fillId="0" borderId="1" xfId="8" applyNumberFormat="1" applyFont="1" applyFill="1" applyBorder="1" applyAlignment="1">
      <alignment horizontal="center" vertical="top" wrapText="1"/>
    </xf>
    <xf numFmtId="169" fontId="7" fillId="0" borderId="1" xfId="8" applyNumberFormat="1" applyFont="1" applyFill="1" applyBorder="1" applyAlignment="1">
      <alignment horizontal="left" vertical="top" wrapText="1"/>
    </xf>
    <xf numFmtId="0" fontId="0" fillId="0" borderId="1" xfId="0" applyFill="1" applyBorder="1" applyAlignment="1">
      <alignment horizontal="left" vertical="top" wrapText="1"/>
    </xf>
    <xf numFmtId="0" fontId="52" fillId="0" borderId="1" xfId="5" applyNumberFormat="1" applyFont="1" applyFill="1" applyBorder="1" applyAlignment="1">
      <alignment horizontal="left" vertical="top" wrapText="1"/>
    </xf>
    <xf numFmtId="9" fontId="63" fillId="0" borderId="1" xfId="8" applyFont="1" applyFill="1" applyBorder="1" applyAlignment="1">
      <alignment horizontal="left" vertical="top" wrapText="1"/>
    </xf>
    <xf numFmtId="0" fontId="46" fillId="42" borderId="21" xfId="6" applyFont="1" applyFill="1" applyBorder="1" applyAlignment="1">
      <alignment horizontal="left" vertical="center"/>
    </xf>
    <xf numFmtId="0" fontId="46" fillId="42" borderId="20" xfId="6" applyFont="1" applyFill="1" applyBorder="1" applyAlignment="1">
      <alignment horizontal="left" vertical="center"/>
    </xf>
    <xf numFmtId="0" fontId="46" fillId="42" borderId="20" xfId="6" applyFont="1" applyFill="1" applyBorder="1" applyAlignment="1">
      <alignment horizontal="center" vertical="center"/>
    </xf>
    <xf numFmtId="0" fontId="46" fillId="42" borderId="28" xfId="6" applyFont="1" applyFill="1" applyBorder="1" applyAlignment="1">
      <alignment horizontal="left" vertical="center"/>
    </xf>
    <xf numFmtId="0" fontId="46" fillId="42" borderId="4" xfId="6" applyFont="1" applyFill="1" applyBorder="1" applyAlignment="1">
      <alignment horizontal="left" vertical="center"/>
    </xf>
    <xf numFmtId="0" fontId="46" fillId="42" borderId="36" xfId="6" applyFont="1" applyFill="1" applyBorder="1" applyAlignment="1">
      <alignment horizontal="left" vertical="center"/>
    </xf>
    <xf numFmtId="0" fontId="46" fillId="42" borderId="41" xfId="6" applyFont="1" applyFill="1" applyBorder="1" applyAlignment="1">
      <alignment horizontal="left" vertical="center"/>
    </xf>
    <xf numFmtId="0" fontId="46" fillId="42" borderId="41" xfId="6" applyFont="1" applyFill="1" applyBorder="1" applyAlignment="1">
      <alignment horizontal="center" vertical="center"/>
    </xf>
    <xf numFmtId="0" fontId="46" fillId="42" borderId="19" xfId="6" applyFont="1" applyFill="1" applyBorder="1" applyAlignment="1">
      <alignment horizontal="left" vertical="center"/>
    </xf>
    <xf numFmtId="0" fontId="77" fillId="48" borderId="19" xfId="0" applyFont="1" applyFill="1" applyBorder="1" applyAlignment="1">
      <alignment horizontal="center" vertical="center"/>
    </xf>
    <xf numFmtId="0" fontId="77" fillId="48" borderId="11" xfId="0" applyFont="1" applyFill="1" applyBorder="1" applyAlignment="1">
      <alignment horizontal="center" vertical="center" wrapText="1"/>
    </xf>
    <xf numFmtId="165" fontId="77" fillId="48" borderId="11" xfId="7" applyNumberFormat="1" applyFont="1" applyFill="1" applyBorder="1" applyAlignment="1">
      <alignment horizontal="center" vertical="center" wrapText="1"/>
    </xf>
    <xf numFmtId="0" fontId="35" fillId="48" borderId="11" xfId="0" applyFont="1" applyFill="1" applyBorder="1"/>
    <xf numFmtId="170" fontId="35" fillId="48" borderId="26" xfId="0" applyNumberFormat="1" applyFont="1" applyFill="1" applyBorder="1"/>
    <xf numFmtId="170" fontId="4" fillId="2" borderId="2" xfId="0" applyNumberFormat="1" applyFont="1" applyFill="1" applyBorder="1"/>
    <xf numFmtId="170" fontId="61" fillId="2" borderId="2" xfId="0" applyNumberFormat="1" applyFont="1" applyFill="1" applyBorder="1"/>
    <xf numFmtId="170" fontId="67" fillId="2" borderId="2" xfId="0" applyNumberFormat="1" applyFont="1" applyFill="1" applyBorder="1"/>
    <xf numFmtId="170" fontId="70" fillId="2" borderId="2" xfId="0" applyNumberFormat="1" applyFont="1" applyFill="1" applyBorder="1"/>
    <xf numFmtId="170" fontId="4" fillId="2" borderId="21" xfId="0" applyNumberFormat="1" applyFont="1" applyFill="1" applyBorder="1"/>
    <xf numFmtId="0" fontId="14" fillId="0" borderId="19"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41" borderId="11" xfId="0" applyFont="1" applyFill="1" applyBorder="1" applyAlignment="1">
      <alignment vertical="center" wrapText="1"/>
    </xf>
    <xf numFmtId="170" fontId="14" fillId="41" borderId="26" xfId="0" applyNumberFormat="1" applyFont="1" applyFill="1" applyBorder="1" applyAlignment="1">
      <alignment vertical="center" wrapText="1"/>
    </xf>
    <xf numFmtId="170" fontId="61" fillId="0" borderId="2" xfId="0" applyNumberFormat="1" applyFont="1" applyBorder="1"/>
    <xf numFmtId="0" fontId="4" fillId="37" borderId="28" xfId="0" applyFont="1" applyFill="1" applyBorder="1"/>
    <xf numFmtId="0" fontId="61" fillId="37" borderId="5" xfId="0" applyFont="1" applyFill="1" applyBorder="1"/>
    <xf numFmtId="0" fontId="61" fillId="0" borderId="5" xfId="0" applyFont="1" applyBorder="1"/>
    <xf numFmtId="170" fontId="61" fillId="0" borderId="21" xfId="0" applyNumberFormat="1" applyFont="1" applyBorder="1"/>
    <xf numFmtId="0" fontId="0" fillId="0" borderId="5" xfId="0" pivotButton="1" applyBorder="1"/>
    <xf numFmtId="0" fontId="0" fillId="0" borderId="1" xfId="0" pivotButton="1" applyBorder="1" applyAlignment="1">
      <alignment wrapText="1"/>
    </xf>
    <xf numFmtId="3" fontId="0" fillId="0" borderId="1" xfId="0" applyNumberFormat="1" applyBorder="1"/>
    <xf numFmtId="0" fontId="0" fillId="0" borderId="45" xfId="0" pivotButton="1" applyBorder="1" applyAlignment="1">
      <alignment horizontal="center"/>
    </xf>
    <xf numFmtId="165" fontId="0" fillId="0" borderId="49" xfId="0" applyNumberFormat="1" applyBorder="1"/>
    <xf numFmtId="165" fontId="0" fillId="0" borderId="50" xfId="0" applyNumberFormat="1" applyBorder="1"/>
    <xf numFmtId="0" fontId="18" fillId="43" borderId="15" xfId="0" applyFont="1" applyFill="1" applyBorder="1" applyAlignment="1"/>
    <xf numFmtId="0" fontId="18" fillId="43" borderId="15" xfId="0" applyFont="1" applyFill="1" applyBorder="1" applyAlignment="1">
      <alignment horizontal="left"/>
    </xf>
    <xf numFmtId="0" fontId="18" fillId="43" borderId="15" xfId="0" applyFont="1" applyFill="1" applyBorder="1" applyAlignment="1">
      <alignment horizontal="right" vertical="center"/>
    </xf>
    <xf numFmtId="0" fontId="18" fillId="43" borderId="16" xfId="0" applyFont="1" applyFill="1" applyBorder="1" applyAlignment="1"/>
    <xf numFmtId="168" fontId="0" fillId="43" borderId="48" xfId="0" applyNumberFormat="1" applyFill="1" applyBorder="1" applyAlignment="1"/>
    <xf numFmtId="168" fontId="0" fillId="43" borderId="49" xfId="0" applyNumberFormat="1" applyFill="1" applyBorder="1" applyAlignment="1"/>
    <xf numFmtId="168" fontId="0" fillId="43" borderId="49" xfId="0" applyNumberFormat="1" applyFill="1" applyBorder="1" applyAlignment="1">
      <alignment horizontal="left"/>
    </xf>
    <xf numFmtId="168" fontId="0" fillId="43" borderId="49" xfId="0" applyNumberFormat="1" applyFill="1" applyBorder="1" applyAlignment="1">
      <alignment horizontal="right" vertical="center"/>
    </xf>
    <xf numFmtId="168" fontId="0" fillId="43" borderId="50" xfId="0" applyNumberFormat="1" applyFill="1" applyBorder="1" applyAlignment="1"/>
    <xf numFmtId="0" fontId="59" fillId="42" borderId="41" xfId="6" applyFont="1" applyFill="1" applyBorder="1" applyAlignment="1">
      <alignment horizontal="center" vertical="center"/>
    </xf>
    <xf numFmtId="9" fontId="58" fillId="42" borderId="19" xfId="8" applyFont="1" applyFill="1" applyBorder="1"/>
    <xf numFmtId="165" fontId="0" fillId="0" borderId="48" xfId="0" applyNumberFormat="1" applyBorder="1" applyAlignment="1">
      <alignment horizontal="right" vertical="center"/>
    </xf>
    <xf numFmtId="1" fontId="0" fillId="0" borderId="1" xfId="0" applyNumberFormat="1" applyBorder="1" applyAlignment="1">
      <alignment horizontal="left"/>
    </xf>
    <xf numFmtId="0" fontId="0" fillId="0" borderId="46" xfId="0" pivotButton="1" applyBorder="1" applyAlignment="1">
      <alignment horizontal="left"/>
    </xf>
    <xf numFmtId="165" fontId="0" fillId="0" borderId="0" xfId="0" applyNumberFormat="1" applyBorder="1"/>
    <xf numFmtId="3" fontId="0" fillId="0" borderId="0" xfId="0" applyNumberFormat="1" applyBorder="1" applyAlignment="1">
      <alignment horizontal="right" vertical="center"/>
    </xf>
    <xf numFmtId="0" fontId="0" fillId="0" borderId="18" xfId="0" applyNumberFormat="1" applyBorder="1"/>
    <xf numFmtId="0" fontId="0" fillId="0" borderId="53" xfId="0" applyNumberFormat="1" applyBorder="1"/>
    <xf numFmtId="3" fontId="0" fillId="0" borderId="17" xfId="0" applyNumberFormat="1" applyBorder="1" applyAlignment="1">
      <alignment horizontal="right" vertical="center"/>
    </xf>
    <xf numFmtId="3" fontId="0" fillId="0" borderId="14" xfId="0" applyNumberFormat="1" applyBorder="1" applyAlignment="1">
      <alignment horizontal="right" vertical="center"/>
    </xf>
    <xf numFmtId="165" fontId="0" fillId="0" borderId="15" xfId="0" applyNumberFormat="1" applyBorder="1"/>
    <xf numFmtId="0" fontId="0" fillId="0" borderId="16" xfId="0" applyNumberFormat="1" applyBorder="1"/>
    <xf numFmtId="0" fontId="0" fillId="0" borderId="51" xfId="0" applyBorder="1" applyAlignment="1">
      <alignment horizontal="center" vertical="center" wrapText="1"/>
    </xf>
    <xf numFmtId="0" fontId="0" fillId="42" borderId="41" xfId="0" applyNumberFormat="1" applyFill="1" applyBorder="1"/>
    <xf numFmtId="3" fontId="0" fillId="42" borderId="41" xfId="0" applyNumberFormat="1" applyFill="1" applyBorder="1" applyAlignment="1">
      <alignment horizontal="right" vertical="center"/>
    </xf>
    <xf numFmtId="3" fontId="0" fillId="0" borderId="41" xfId="0" applyNumberFormat="1" applyBorder="1" applyAlignment="1">
      <alignment horizontal="right" vertical="center"/>
    </xf>
    <xf numFmtId="0" fontId="0" fillId="42" borderId="41" xfId="0" applyNumberFormat="1" applyFill="1" applyBorder="1" applyAlignment="1">
      <alignment horizontal="right"/>
    </xf>
    <xf numFmtId="0" fontId="0" fillId="0" borderId="30" xfId="0" pivotButton="1" applyBorder="1"/>
    <xf numFmtId="0" fontId="0" fillId="0" borderId="32" xfId="0" applyBorder="1"/>
    <xf numFmtId="0" fontId="0" fillId="0" borderId="15" xfId="0" pivotButton="1" applyBorder="1" applyAlignment="1">
      <alignment horizontal="left"/>
    </xf>
    <xf numFmtId="9" fontId="0" fillId="0" borderId="18" xfId="0" applyNumberFormat="1" applyBorder="1"/>
    <xf numFmtId="9" fontId="0" fillId="0" borderId="53" xfId="0" applyNumberFormat="1" applyBorder="1"/>
    <xf numFmtId="0" fontId="62" fillId="42" borderId="53" xfId="0" applyNumberFormat="1" applyFont="1" applyFill="1" applyBorder="1" applyAlignment="1">
      <alignment horizontal="right"/>
    </xf>
    <xf numFmtId="3" fontId="0" fillId="0" borderId="49" xfId="0" applyNumberFormat="1" applyBorder="1" applyAlignment="1">
      <alignment horizontal="right" vertical="center"/>
    </xf>
    <xf numFmtId="0" fontId="0" fillId="0" borderId="49" xfId="0" applyNumberFormat="1" applyBorder="1"/>
    <xf numFmtId="0" fontId="62" fillId="42" borderId="50" xfId="0" applyNumberFormat="1" applyFont="1" applyFill="1" applyBorder="1" applyAlignment="1">
      <alignment horizontal="right"/>
    </xf>
    <xf numFmtId="0" fontId="0" fillId="0" borderId="14" xfId="0" applyNumberFormat="1" applyBorder="1"/>
    <xf numFmtId="3" fontId="0" fillId="0" borderId="15" xfId="0" applyNumberFormat="1" applyBorder="1" applyAlignment="1">
      <alignment horizontal="right" vertical="center"/>
    </xf>
    <xf numFmtId="0" fontId="0" fillId="0" borderId="15" xfId="0" applyNumberFormat="1" applyBorder="1"/>
    <xf numFmtId="9" fontId="0" fillId="0" borderId="16" xfId="0" applyNumberFormat="1" applyBorder="1"/>
    <xf numFmtId="0" fontId="0" fillId="0" borderId="17" xfId="0" applyNumberFormat="1" applyBorder="1"/>
    <xf numFmtId="0" fontId="0" fillId="0" borderId="52" xfId="0" applyNumberFormat="1" applyBorder="1"/>
    <xf numFmtId="0" fontId="0" fillId="42" borderId="52" xfId="0" applyNumberFormat="1" applyFill="1" applyBorder="1" applyAlignment="1">
      <alignment horizontal="right"/>
    </xf>
    <xf numFmtId="0" fontId="0" fillId="42" borderId="52" xfId="0" applyNumberFormat="1" applyFill="1" applyBorder="1"/>
    <xf numFmtId="0" fontId="0" fillId="0" borderId="48" xfId="0" applyNumberFormat="1" applyBorder="1"/>
    <xf numFmtId="0" fontId="0" fillId="0" borderId="30" xfId="0" applyBorder="1" applyAlignment="1">
      <alignment horizontal="center"/>
    </xf>
    <xf numFmtId="0" fontId="0" fillId="0" borderId="31" xfId="0" applyBorder="1" applyAlignment="1">
      <alignment horizontal="right" vertical="center"/>
    </xf>
    <xf numFmtId="0" fontId="0" fillId="0" borderId="31" xfId="0" applyBorder="1" applyAlignment="1">
      <alignment horizontal="center"/>
    </xf>
    <xf numFmtId="0" fontId="0" fillId="0" borderId="32" xfId="0" applyBorder="1" applyAlignment="1">
      <alignment horizontal="center"/>
    </xf>
    <xf numFmtId="0" fontId="3" fillId="10" borderId="0" xfId="0" applyFont="1" applyFill="1" applyBorder="1"/>
    <xf numFmtId="3" fontId="3" fillId="10" borderId="0" xfId="0" applyNumberFormat="1" applyFont="1" applyFill="1" applyBorder="1" applyAlignment="1">
      <alignment horizontal="center"/>
    </xf>
    <xf numFmtId="0" fontId="47" fillId="5" borderId="15" xfId="6" applyFont="1" applyFill="1" applyBorder="1" applyAlignment="1">
      <alignment vertical="center"/>
    </xf>
    <xf numFmtId="0" fontId="0" fillId="13" borderId="1" xfId="0" applyFont="1" applyFill="1" applyBorder="1" applyAlignment="1"/>
    <xf numFmtId="3" fontId="82" fillId="10" borderId="1" xfId="0" applyNumberFormat="1" applyFont="1" applyFill="1" applyBorder="1"/>
    <xf numFmtId="3" fontId="82" fillId="10" borderId="1" xfId="0" applyNumberFormat="1" applyFont="1" applyFill="1" applyBorder="1" applyAlignment="1">
      <alignment horizontal="center"/>
    </xf>
    <xf numFmtId="3" fontId="83" fillId="10" borderId="5" xfId="0" applyNumberFormat="1" applyFont="1" applyFill="1" applyBorder="1" applyAlignment="1">
      <alignment horizontal="center"/>
    </xf>
    <xf numFmtId="3" fontId="83" fillId="10" borderId="21" xfId="0" applyNumberFormat="1" applyFont="1" applyFill="1" applyBorder="1" applyAlignment="1">
      <alignment horizontal="center"/>
    </xf>
    <xf numFmtId="0" fontId="3" fillId="0" borderId="1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84" fillId="34" borderId="13" xfId="0" applyFont="1" applyFill="1" applyBorder="1" applyAlignment="1">
      <alignment vertical="center" wrapText="1"/>
    </xf>
    <xf numFmtId="16" fontId="84" fillId="40" borderId="13" xfId="0" quotePrefix="1" applyNumberFormat="1" applyFont="1" applyFill="1" applyBorder="1" applyAlignment="1">
      <alignment vertical="center" wrapText="1"/>
    </xf>
    <xf numFmtId="0" fontId="84" fillId="36" borderId="13" xfId="0" quotePrefix="1" applyFont="1" applyFill="1" applyBorder="1" applyAlignment="1">
      <alignment vertical="center" wrapText="1"/>
    </xf>
    <xf numFmtId="0" fontId="84" fillId="35" borderId="13" xfId="0" applyFont="1" applyFill="1" applyBorder="1" applyAlignment="1">
      <alignment vertical="center" wrapText="1"/>
    </xf>
    <xf numFmtId="0" fontId="20" fillId="10" borderId="3" xfId="0" applyFont="1" applyFill="1" applyBorder="1"/>
    <xf numFmtId="0" fontId="19" fillId="10" borderId="28" xfId="0" applyFont="1" applyFill="1" applyBorder="1"/>
    <xf numFmtId="0" fontId="0" fillId="0" borderId="30" xfId="0" applyBorder="1" applyAlignment="1">
      <alignment horizontal="center" vertical="center" wrapText="1"/>
    </xf>
    <xf numFmtId="165" fontId="0" fillId="2" borderId="17" xfId="7" applyNumberFormat="1" applyFont="1" applyFill="1" applyBorder="1"/>
    <xf numFmtId="165" fontId="0" fillId="2" borderId="0" xfId="7" applyNumberFormat="1" applyFont="1" applyFill="1"/>
    <xf numFmtId="165" fontId="2" fillId="2" borderId="17" xfId="7" applyNumberFormat="1" applyFont="1" applyFill="1" applyBorder="1"/>
    <xf numFmtId="165" fontId="0" fillId="2" borderId="14" xfId="7" applyNumberFormat="1" applyFont="1" applyFill="1" applyBorder="1"/>
    <xf numFmtId="0" fontId="0" fillId="0" borderId="44" xfId="0" applyBorder="1" applyAlignment="1">
      <alignment horizontal="center" vertical="center" wrapText="1"/>
    </xf>
    <xf numFmtId="0" fontId="85" fillId="0" borderId="0" xfId="0" applyFont="1"/>
    <xf numFmtId="165" fontId="0" fillId="42" borderId="0" xfId="0" applyNumberFormat="1" applyFill="1" applyBorder="1"/>
    <xf numFmtId="165" fontId="0" fillId="42" borderId="10" xfId="0" applyNumberFormat="1" applyFill="1" applyBorder="1" applyAlignment="1">
      <alignment horizontal="right"/>
    </xf>
    <xf numFmtId="0" fontId="0" fillId="42" borderId="62" xfId="0" applyNumberFormat="1" applyFill="1" applyBorder="1" applyAlignment="1">
      <alignment horizontal="right"/>
    </xf>
    <xf numFmtId="3" fontId="0" fillId="42" borderId="61" xfId="0" applyNumberFormat="1" applyFill="1" applyBorder="1" applyAlignment="1">
      <alignment horizontal="right" vertical="center"/>
    </xf>
    <xf numFmtId="0" fontId="0" fillId="42" borderId="17" xfId="0" applyFill="1" applyBorder="1" applyAlignment="1">
      <alignment horizontal="center" vertical="center"/>
    </xf>
    <xf numFmtId="0" fontId="0" fillId="0" borderId="46" xfId="0" pivotButton="1" applyBorder="1" applyAlignment="1">
      <alignment horizontal="center"/>
    </xf>
    <xf numFmtId="0" fontId="0" fillId="0" borderId="15" xfId="0" pivotButton="1" applyBorder="1" applyAlignment="1"/>
    <xf numFmtId="0" fontId="0" fillId="42" borderId="18" xfId="0" applyNumberFormat="1" applyFill="1" applyBorder="1"/>
    <xf numFmtId="3" fontId="0" fillId="42" borderId="17" xfId="0" applyNumberFormat="1" applyFill="1" applyBorder="1" applyAlignment="1">
      <alignment horizontal="right" vertical="center"/>
    </xf>
    <xf numFmtId="0" fontId="0" fillId="0" borderId="30" xfId="0" applyBorder="1" applyAlignment="1">
      <alignment horizontal="right" vertical="center"/>
    </xf>
    <xf numFmtId="165" fontId="0" fillId="0" borderId="31" xfId="0" applyNumberFormat="1" applyBorder="1" applyAlignment="1">
      <alignment horizontal="center"/>
    </xf>
    <xf numFmtId="49" fontId="0" fillId="2" borderId="0" xfId="0" applyNumberFormat="1" applyFill="1" applyBorder="1" applyAlignment="1">
      <alignment horizontal="left" vertical="center"/>
    </xf>
    <xf numFmtId="49" fontId="0" fillId="2" borderId="0" xfId="0" applyNumberFormat="1" applyFont="1" applyFill="1" applyBorder="1" applyAlignment="1">
      <alignment horizontal="left" vertical="center"/>
    </xf>
    <xf numFmtId="49" fontId="0" fillId="34"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1" fontId="13" fillId="0" borderId="0" xfId="8" applyNumberFormat="1" applyFont="1" applyFill="1" applyBorder="1" applyAlignment="1">
      <alignment horizontal="left" vertical="center" wrapText="1"/>
    </xf>
    <xf numFmtId="1" fontId="0" fillId="2" borderId="0" xfId="8" applyNumberFormat="1" applyFont="1" applyFill="1" applyBorder="1" applyAlignment="1">
      <alignment horizontal="left" vertical="center"/>
    </xf>
    <xf numFmtId="0" fontId="0" fillId="2" borderId="0" xfId="0" applyFill="1" applyBorder="1"/>
    <xf numFmtId="1" fontId="0" fillId="0" borderId="0" xfId="8" applyNumberFormat="1" applyFont="1" applyFill="1" applyBorder="1" applyAlignment="1">
      <alignment horizontal="left" vertical="top"/>
    </xf>
    <xf numFmtId="165" fontId="13" fillId="0" borderId="0" xfId="7" applyNumberFormat="1" applyFont="1" applyFill="1" applyBorder="1" applyAlignment="1">
      <alignment horizontal="center" vertical="center" wrapText="1"/>
    </xf>
    <xf numFmtId="165" fontId="0" fillId="2" borderId="0" xfId="7" applyNumberFormat="1" applyFont="1" applyFill="1" applyBorder="1" applyAlignment="1">
      <alignment horizontal="center" vertical="center"/>
    </xf>
    <xf numFmtId="165" fontId="0" fillId="0" borderId="0" xfId="7" applyNumberFormat="1" applyFont="1" applyFill="1" applyBorder="1" applyAlignment="1">
      <alignment horizontal="center" vertical="top"/>
    </xf>
    <xf numFmtId="169" fontId="13" fillId="0" borderId="0" xfId="8" applyNumberFormat="1" applyFont="1" applyFill="1" applyBorder="1" applyAlignment="1">
      <alignment horizontal="left" vertical="center" wrapText="1"/>
    </xf>
    <xf numFmtId="169" fontId="0" fillId="0" borderId="0" xfId="8" applyNumberFormat="1" applyFont="1" applyFill="1" applyBorder="1" applyAlignment="1">
      <alignment horizontal="left" vertical="top"/>
    </xf>
    <xf numFmtId="169" fontId="5" fillId="0" borderId="0" xfId="8"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49" fontId="0" fillId="2" borderId="0" xfId="0" applyNumberFormat="1" applyFill="1" applyBorder="1" applyAlignment="1">
      <alignment vertical="top" wrapText="1"/>
    </xf>
    <xf numFmtId="0" fontId="0" fillId="2" borderId="0" xfId="0" applyNumberFormat="1" applyFill="1" applyBorder="1" applyAlignment="1">
      <alignment horizontal="left" vertical="center"/>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0" fontId="27" fillId="22" borderId="42" xfId="0" applyFont="1" applyFill="1" applyBorder="1" applyAlignment="1">
      <alignment horizontal="center" wrapText="1"/>
    </xf>
    <xf numFmtId="0" fontId="27" fillId="22" borderId="43" xfId="0" applyFont="1" applyFill="1" applyBorder="1" applyAlignment="1">
      <alignment horizontal="center" wrapText="1"/>
    </xf>
    <xf numFmtId="0" fontId="28" fillId="23" borderId="43" xfId="0" applyFont="1" applyFill="1" applyBorder="1" applyAlignment="1">
      <alignment horizontal="center" wrapText="1"/>
    </xf>
    <xf numFmtId="0" fontId="27" fillId="24" borderId="43" xfId="0" applyFont="1" applyFill="1" applyBorder="1" applyAlignment="1">
      <alignment horizontal="center" wrapText="1"/>
    </xf>
    <xf numFmtId="0" fontId="27" fillId="25" borderId="43" xfId="0" applyFont="1" applyFill="1" applyBorder="1" applyAlignment="1">
      <alignment horizontal="center" wrapText="1"/>
    </xf>
    <xf numFmtId="9" fontId="86" fillId="27" borderId="43" xfId="8" applyFont="1" applyFill="1" applyBorder="1" applyAlignment="1">
      <alignment horizontal="center"/>
    </xf>
    <xf numFmtId="0" fontId="28" fillId="26" borderId="43" xfId="0" applyFont="1" applyFill="1" applyBorder="1" applyAlignment="1">
      <alignment horizontal="center" wrapText="1"/>
    </xf>
    <xf numFmtId="0" fontId="28" fillId="26" borderId="44" xfId="0" applyFont="1" applyFill="1" applyBorder="1" applyAlignment="1">
      <alignment horizontal="center" wrapText="1"/>
    </xf>
    <xf numFmtId="0" fontId="0" fillId="0" borderId="35" xfId="0" applyBorder="1" applyAlignment="1">
      <alignment horizontal="center" vertical="center" wrapText="1"/>
    </xf>
    <xf numFmtId="0" fontId="0" fillId="0" borderId="38" xfId="0" applyBorder="1" applyAlignment="1">
      <alignment horizontal="center" vertical="center" wrapText="1"/>
    </xf>
    <xf numFmtId="166" fontId="51" fillId="11" borderId="0" xfId="6" applyNumberFormat="1" applyFont="1" applyFill="1" applyBorder="1" applyAlignment="1">
      <alignment horizontal="left" vertical="center"/>
    </xf>
    <xf numFmtId="0" fontId="17" fillId="44" borderId="35" xfId="0" applyFont="1" applyFill="1" applyBorder="1" applyAlignment="1">
      <alignment horizontal="left" vertical="center"/>
    </xf>
    <xf numFmtId="0" fontId="17" fillId="44" borderId="51" xfId="0" applyFont="1" applyFill="1" applyBorder="1" applyAlignment="1">
      <alignment horizontal="left" vertical="center"/>
    </xf>
    <xf numFmtId="0" fontId="0" fillId="0" borderId="35" xfId="0" applyBorder="1" applyAlignment="1">
      <alignment horizontal="left" vertical="center" wrapText="1"/>
    </xf>
    <xf numFmtId="0" fontId="0" fillId="0" borderId="51" xfId="0" applyBorder="1" applyAlignment="1">
      <alignment horizontal="left" vertical="center" wrapText="1"/>
    </xf>
    <xf numFmtId="166" fontId="72" fillId="42" borderId="26" xfId="6" applyNumberFormat="1" applyFont="1" applyFill="1" applyBorder="1" applyAlignment="1">
      <alignment horizontal="left" vertical="center"/>
    </xf>
    <xf numFmtId="166" fontId="72" fillId="42" borderId="41"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7"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1" fillId="13" borderId="2" xfId="0" applyFont="1" applyFill="1" applyBorder="1" applyAlignment="1">
      <alignment horizontal="center"/>
    </xf>
    <xf numFmtId="0" fontId="41" fillId="13" borderId="10" xfId="0" applyFont="1" applyFill="1" applyBorder="1" applyAlignment="1">
      <alignment horizontal="center"/>
    </xf>
    <xf numFmtId="0" fontId="41" fillId="13" borderId="3" xfId="0" applyFont="1" applyFill="1" applyBorder="1" applyAlignment="1">
      <alignment horizontal="center"/>
    </xf>
    <xf numFmtId="0" fontId="80" fillId="5" borderId="14" xfId="6" applyFont="1" applyFill="1" applyBorder="1" applyAlignment="1">
      <alignment horizontal="left" vertical="center"/>
    </xf>
    <xf numFmtId="0" fontId="80" fillId="5" borderId="15" xfId="6" applyFont="1" applyFill="1" applyBorder="1" applyAlignment="1">
      <alignment horizontal="left" vertical="center"/>
    </xf>
    <xf numFmtId="166" fontId="81" fillId="5" borderId="17" xfId="6" applyNumberFormat="1" applyFont="1" applyFill="1" applyBorder="1" applyAlignment="1">
      <alignment horizontal="left" vertical="center"/>
    </xf>
    <xf numFmtId="166" fontId="81" fillId="5" borderId="0" xfId="6" applyNumberFormat="1" applyFont="1" applyFill="1" applyBorder="1" applyAlignment="1">
      <alignment horizontal="left" vertical="center"/>
    </xf>
    <xf numFmtId="168" fontId="19" fillId="10" borderId="20" xfId="0" applyNumberFormat="1" applyFont="1" applyFill="1" applyBorder="1" applyAlignment="1">
      <alignment horizontal="left"/>
    </xf>
    <xf numFmtId="0" fontId="46" fillId="11" borderId="4" xfId="6" applyFont="1" applyFill="1" applyBorder="1" applyAlignment="1">
      <alignment horizontal="left" vertical="center"/>
    </xf>
    <xf numFmtId="0" fontId="46" fillId="11" borderId="0" xfId="6" applyFont="1" applyFill="1" applyBorder="1" applyAlignment="1">
      <alignment horizontal="left" vertical="center"/>
    </xf>
    <xf numFmtId="166" fontId="48" fillId="11" borderId="26" xfId="6" applyNumberFormat="1" applyFont="1" applyFill="1" applyBorder="1" applyAlignment="1">
      <alignment horizontal="left" vertical="center"/>
    </xf>
    <xf numFmtId="166" fontId="48" fillId="11" borderId="41" xfId="6" applyNumberFormat="1" applyFont="1" applyFill="1" applyBorder="1" applyAlignment="1">
      <alignment horizontal="left" vertical="center"/>
    </xf>
    <xf numFmtId="0" fontId="0" fillId="42" borderId="30" xfId="0" applyFill="1" applyBorder="1" applyAlignment="1">
      <alignment horizontal="center" vertical="center" wrapText="1"/>
    </xf>
    <xf numFmtId="0" fontId="0" fillId="42" borderId="31" xfId="0" applyFill="1" applyBorder="1" applyAlignment="1">
      <alignment horizontal="center"/>
    </xf>
    <xf numFmtId="0" fontId="0" fillId="42" borderId="32" xfId="0" applyFill="1" applyBorder="1" applyAlignment="1">
      <alignment horizontal="center"/>
    </xf>
    <xf numFmtId="165" fontId="0" fillId="0" borderId="30" xfId="0" applyNumberFormat="1" applyBorder="1" applyAlignment="1">
      <alignment horizontal="center" vertical="center" wrapText="1"/>
    </xf>
    <xf numFmtId="165" fontId="0" fillId="0" borderId="31" xfId="0" applyNumberFormat="1" applyBorder="1" applyAlignment="1">
      <alignment horizontal="left"/>
    </xf>
    <xf numFmtId="165" fontId="0" fillId="0" borderId="32" xfId="0" applyNumberFormat="1" applyBorder="1" applyAlignment="1">
      <alignment horizontal="left"/>
    </xf>
    <xf numFmtId="0" fontId="0" fillId="0" borderId="35" xfId="0" applyBorder="1" applyAlignment="1">
      <alignment horizontal="center" vertical="center" wrapText="1"/>
    </xf>
    <xf numFmtId="0" fontId="0" fillId="0" borderId="38" xfId="0" applyBorder="1" applyAlignment="1">
      <alignment horizontal="center"/>
    </xf>
    <xf numFmtId="0" fontId="0" fillId="0" borderId="38" xfId="0" applyBorder="1" applyAlignment="1">
      <alignment horizontal="center" vertical="center" wrapText="1"/>
    </xf>
    <xf numFmtId="0" fontId="0" fillId="0" borderId="51" xfId="0" applyBorder="1" applyAlignment="1">
      <alignment horizontal="center"/>
    </xf>
    <xf numFmtId="0" fontId="0" fillId="0" borderId="60" xfId="0" applyBorder="1" applyAlignment="1">
      <alignment horizontal="center" vertical="center" wrapText="1"/>
    </xf>
    <xf numFmtId="0" fontId="0" fillId="0" borderId="58" xfId="0" applyBorder="1" applyAlignment="1">
      <alignment horizontal="center"/>
    </xf>
    <xf numFmtId="0" fontId="0" fillId="0" borderId="38" xfId="0" applyBorder="1" applyAlignment="1">
      <alignment horizontal="left"/>
    </xf>
    <xf numFmtId="0" fontId="0" fillId="0" borderId="51" xfId="0" applyBorder="1" applyAlignment="1">
      <alignment horizontal="left"/>
    </xf>
    <xf numFmtId="0" fontId="0" fillId="42" borderId="31" xfId="0" applyFill="1" applyBorder="1" applyAlignment="1">
      <alignment horizontal="left"/>
    </xf>
    <xf numFmtId="0" fontId="0" fillId="42" borderId="32" xfId="0" applyFill="1" applyBorder="1" applyAlignment="1">
      <alignment horizontal="left"/>
    </xf>
    <xf numFmtId="166" fontId="48" fillId="11" borderId="52" xfId="6" applyNumberFormat="1" applyFont="1" applyFill="1" applyBorder="1" applyAlignment="1">
      <alignment horizontal="left" vertical="center"/>
    </xf>
    <xf numFmtId="0" fontId="0" fillId="0" borderId="58" xfId="0" applyBorder="1" applyAlignment="1">
      <alignment horizontal="left"/>
    </xf>
    <xf numFmtId="0" fontId="0" fillId="0" borderId="59" xfId="0" applyBorder="1" applyAlignment="1">
      <alignment horizontal="left"/>
    </xf>
    <xf numFmtId="0" fontId="0" fillId="0" borderId="30" xfId="0" applyBorder="1" applyAlignment="1">
      <alignment horizontal="center" vertical="center" wrapText="1"/>
    </xf>
    <xf numFmtId="0" fontId="0" fillId="0" borderId="31" xfId="0" applyBorder="1" applyAlignment="1">
      <alignment horizontal="left"/>
    </xf>
    <xf numFmtId="0" fontId="0" fillId="0" borderId="32" xfId="0" applyBorder="1" applyAlignment="1">
      <alignment horizontal="left"/>
    </xf>
    <xf numFmtId="0" fontId="18" fillId="43" borderId="14" xfId="0" applyFont="1" applyFill="1" applyBorder="1" applyAlignment="1">
      <alignment horizontal="left"/>
    </xf>
    <xf numFmtId="0" fontId="18" fillId="43" borderId="15" xfId="0" applyFont="1" applyFill="1" applyBorder="1" applyAlignment="1">
      <alignment horizontal="left"/>
    </xf>
    <xf numFmtId="0" fontId="46" fillId="11" borderId="21" xfId="6" applyFont="1" applyFill="1" applyBorder="1" applyAlignment="1">
      <alignment horizontal="left" vertical="center"/>
    </xf>
    <xf numFmtId="0" fontId="46" fillId="11" borderId="20" xfId="6" applyFont="1" applyFill="1" applyBorder="1" applyAlignment="1">
      <alignment horizontal="left" vertical="center"/>
    </xf>
    <xf numFmtId="0" fontId="46" fillId="11" borderId="26" xfId="6" applyFont="1" applyFill="1" applyBorder="1" applyAlignment="1">
      <alignment horizontal="left" vertical="center"/>
    </xf>
    <xf numFmtId="0" fontId="46" fillId="11" borderId="41" xfId="6" applyFont="1" applyFill="1" applyBorder="1" applyAlignment="1">
      <alignment horizontal="left" vertical="center"/>
    </xf>
    <xf numFmtId="166" fontId="48" fillId="11" borderId="2" xfId="6" applyNumberFormat="1" applyFont="1" applyFill="1" applyBorder="1" applyAlignment="1">
      <alignment horizontal="left" vertical="center"/>
    </xf>
    <xf numFmtId="166" fontId="48" fillId="11" borderId="10" xfId="6" applyNumberFormat="1" applyFont="1" applyFill="1" applyBorder="1" applyAlignment="1">
      <alignment horizontal="left" vertical="center"/>
    </xf>
    <xf numFmtId="166" fontId="48" fillId="11" borderId="3" xfId="6" applyNumberFormat="1" applyFont="1" applyFill="1" applyBorder="1" applyAlignment="1">
      <alignment horizontal="left" vertical="center"/>
    </xf>
    <xf numFmtId="166" fontId="48" fillId="11" borderId="19" xfId="6" applyNumberFormat="1" applyFont="1" applyFill="1" applyBorder="1" applyAlignment="1">
      <alignment horizontal="left" vertical="center"/>
    </xf>
    <xf numFmtId="0" fontId="43" fillId="30" borderId="1" xfId="0" applyFont="1" applyFill="1" applyBorder="1" applyAlignment="1">
      <alignment horizontal="center"/>
    </xf>
    <xf numFmtId="0" fontId="38" fillId="42" borderId="26" xfId="6" applyFont="1" applyFill="1" applyBorder="1" applyAlignment="1">
      <alignment horizontal="left" vertical="center"/>
    </xf>
    <xf numFmtId="0" fontId="38" fillId="42" borderId="41" xfId="6" applyFont="1" applyFill="1" applyBorder="1" applyAlignment="1">
      <alignment horizontal="left" vertical="center"/>
    </xf>
    <xf numFmtId="166" fontId="48" fillId="11" borderId="4" xfId="6" applyNumberFormat="1" applyFont="1" applyFill="1" applyBorder="1" applyAlignment="1">
      <alignment horizontal="left" vertical="center"/>
    </xf>
    <xf numFmtId="166" fontId="48" fillId="11" borderId="0" xfId="6" applyNumberFormat="1" applyFont="1" applyFill="1" applyBorder="1" applyAlignment="1">
      <alignment horizontal="left" vertical="center"/>
    </xf>
    <xf numFmtId="0" fontId="0" fillId="31" borderId="30" xfId="0" applyFill="1" applyBorder="1" applyAlignment="1">
      <alignment horizontal="center" wrapText="1"/>
    </xf>
    <xf numFmtId="0" fontId="0" fillId="31" borderId="15" xfId="0" applyFill="1" applyBorder="1" applyAlignment="1">
      <alignment horizontal="center" wrapText="1"/>
    </xf>
    <xf numFmtId="0" fontId="0" fillId="31" borderId="16" xfId="0" applyFill="1" applyBorder="1" applyAlignment="1">
      <alignment horizontal="center" wrapText="1"/>
    </xf>
    <xf numFmtId="0" fontId="0" fillId="46" borderId="30" xfId="0" applyFill="1" applyBorder="1" applyAlignment="1">
      <alignment horizontal="center" wrapText="1"/>
    </xf>
    <xf numFmtId="0" fontId="0" fillId="46" borderId="31" xfId="0" applyFill="1" applyBorder="1" applyAlignment="1">
      <alignment horizontal="center" wrapText="1"/>
    </xf>
    <xf numFmtId="0" fontId="0" fillId="46" borderId="32" xfId="0" applyFill="1" applyBorder="1" applyAlignment="1">
      <alignment horizontal="center" wrapText="1"/>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9" borderId="3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4" borderId="14" xfId="0" applyFill="1" applyBorder="1" applyAlignment="1">
      <alignment horizontal="center" textRotation="90" wrapText="1"/>
    </xf>
    <xf numFmtId="0" fontId="0" fillId="4" borderId="15" xfId="0" applyFill="1" applyBorder="1" applyAlignment="1">
      <alignment horizontal="center" textRotation="90" wrapText="1"/>
    </xf>
    <xf numFmtId="0" fontId="0" fillId="4" borderId="16" xfId="0" applyFill="1" applyBorder="1" applyAlignment="1">
      <alignment horizontal="center" textRotation="90" wrapText="1"/>
    </xf>
    <xf numFmtId="0" fontId="0" fillId="5" borderId="14" xfId="0" applyFill="1" applyBorder="1" applyAlignment="1">
      <alignment horizontal="center" textRotation="90" wrapText="1"/>
    </xf>
    <xf numFmtId="0" fontId="0" fillId="5" borderId="15" xfId="0" applyFill="1" applyBorder="1" applyAlignment="1">
      <alignment horizontal="center" textRotation="90" wrapText="1"/>
    </xf>
    <xf numFmtId="0" fontId="0" fillId="5" borderId="16" xfId="0" applyFill="1" applyBorder="1" applyAlignment="1">
      <alignment horizontal="center" textRotation="90" wrapText="1"/>
    </xf>
    <xf numFmtId="0" fontId="0" fillId="6" borderId="14" xfId="0" applyFill="1" applyBorder="1" applyAlignment="1">
      <alignment horizontal="center" textRotation="90" wrapText="1"/>
    </xf>
    <xf numFmtId="0" fontId="0" fillId="6" borderId="15" xfId="0" applyFill="1" applyBorder="1" applyAlignment="1">
      <alignment horizontal="center" textRotation="90" wrapText="1"/>
    </xf>
    <xf numFmtId="0" fontId="0" fillId="6" borderId="16" xfId="0" applyFill="1" applyBorder="1" applyAlignment="1">
      <alignment horizontal="center" textRotation="90"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3" borderId="32" xfId="0" applyFill="1" applyBorder="1" applyAlignment="1">
      <alignment horizontal="center" wrapText="1"/>
    </xf>
    <xf numFmtId="0" fontId="0" fillId="5" borderId="31" xfId="0" applyFill="1" applyBorder="1" applyAlignment="1">
      <alignment horizontal="center" wrapText="1"/>
    </xf>
    <xf numFmtId="0" fontId="0" fillId="31" borderId="31" xfId="0" applyFill="1" applyBorder="1" applyAlignment="1">
      <alignment horizontal="center" wrapText="1"/>
    </xf>
    <xf numFmtId="0" fontId="0" fillId="31" borderId="32"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2" borderId="32" xfId="0" applyFill="1" applyBorder="1" applyAlignment="1">
      <alignment horizont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3" xfId="0" applyFont="1" applyFill="1" applyBorder="1" applyAlignment="1">
      <alignment horizontal="center" vertical="center" wrapText="1"/>
    </xf>
    <xf numFmtId="0" fontId="46" fillId="42" borderId="0" xfId="6" applyFont="1" applyFill="1" applyBorder="1" applyAlignment="1">
      <alignment horizontal="left" vertical="center"/>
    </xf>
    <xf numFmtId="166" fontId="48" fillId="42" borderId="41" xfId="6" applyNumberFormat="1" applyFont="1" applyFill="1" applyBorder="1" applyAlignment="1">
      <alignment horizontal="left" vertical="center"/>
    </xf>
  </cellXfs>
  <cellStyles count="20">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162">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65" formatCode="_-* #,##0_-;\-* #,##0_-;_-* &quot;-&quot;??_-;_-@_-"/>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161"/>
      <tableStyleElement type="firstColumnStripe" dxfId="1160"/>
    </tableStyle>
  </tableStyles>
  <colors>
    <mruColors>
      <color rgb="FFC46200"/>
      <color rgb="FFFF8000"/>
      <color rgb="FFFFFF00"/>
      <color rgb="FFDCE6F1"/>
      <color rgb="FF00FF00"/>
      <color rgb="FFFFC800"/>
      <color rgb="FF99CCFF"/>
      <color rgb="FF6699FF"/>
      <color rgb="FF0000FF"/>
      <color rgb="FFFD23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openxmlformats.org/officeDocument/2006/relationships/customXml" Target="../customXml/item2.xml"/><Relationship Id="rId47" Type="http://schemas.openxmlformats.org/officeDocument/2006/relationships/customXml" Target="../customXml/item7.xml"/><Relationship Id="rId50" Type="http://schemas.openxmlformats.org/officeDocument/2006/relationships/customXml" Target="../customXml/item10.xml"/><Relationship Id="rId55"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5.xml"/><Relationship Id="rId38" Type="http://schemas.openxmlformats.org/officeDocument/2006/relationships/styles" Target="styles.xml"/><Relationship Id="rId46"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customXml" Target="../customXml/item1.xml"/><Relationship Id="rId54"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4.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3"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1.xml"/><Relationship Id="rId49" Type="http://schemas.openxmlformats.org/officeDocument/2006/relationships/customXml" Target="../customXml/item9.xml"/><Relationship Id="rId57"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4" Type="http://schemas.openxmlformats.org/officeDocument/2006/relationships/customXml" Target="../customXml/item4.xml"/><Relationship Id="rId52"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openxmlformats.org/officeDocument/2006/relationships/customXml" Target="../customXml/item3.xml"/><Relationship Id="rId48" Type="http://schemas.openxmlformats.org/officeDocument/2006/relationships/customXml" Target="../customXml/item8.xml"/><Relationship Id="rId56"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Analysis'!$B$43:$B$44</c:f>
              <c:strCache>
                <c:ptCount val="1"/>
                <c:pt idx="0">
                  <c:v>Rakhine-Buddhist</c:v>
                </c:pt>
              </c:strCache>
            </c:strRef>
          </c:tx>
          <c:invertIfNegative val="0"/>
          <c:cat>
            <c:strRef>
              <c:f>'Camp Analysis'!$A$45</c:f>
              <c:strCache>
                <c:ptCount val="1"/>
                <c:pt idx="0">
                  <c:v>Total</c:v>
                </c:pt>
              </c:strCache>
            </c:strRef>
          </c:cat>
          <c:val>
            <c:numRef>
              <c:f>'Camp Analysis'!$B$45</c:f>
              <c:numCache>
                <c:formatCode>General</c:formatCode>
                <c:ptCount val="1"/>
                <c:pt idx="0">
                  <c:v>635</c:v>
                </c:pt>
              </c:numCache>
            </c:numRef>
          </c:val>
        </c:ser>
        <c:ser>
          <c:idx val="1"/>
          <c:order val="1"/>
          <c:tx>
            <c:strRef>
              <c:f>'Camp Analysis'!$C$43:$C$44</c:f>
              <c:strCache>
                <c:ptCount val="1"/>
                <c:pt idx="0">
                  <c:v>Kaman-Muslim</c:v>
                </c:pt>
              </c:strCache>
            </c:strRef>
          </c:tx>
          <c:invertIfNegative val="0"/>
          <c:cat>
            <c:strRef>
              <c:f>'Camp Analysis'!$A$45</c:f>
              <c:strCache>
                <c:ptCount val="1"/>
                <c:pt idx="0">
                  <c:v>Total</c:v>
                </c:pt>
              </c:strCache>
            </c:strRef>
          </c:cat>
          <c:val>
            <c:numRef>
              <c:f>'Camp Analysis'!$C$45</c:f>
              <c:numCache>
                <c:formatCode>General</c:formatCode>
                <c:ptCount val="1"/>
                <c:pt idx="0">
                  <c:v>2668</c:v>
                </c:pt>
              </c:numCache>
            </c:numRef>
          </c:val>
        </c:ser>
        <c:ser>
          <c:idx val="2"/>
          <c:order val="2"/>
          <c:tx>
            <c:strRef>
              <c:f>'Camp Analysis'!$D$43:$D$44</c:f>
              <c:strCache>
                <c:ptCount val="1"/>
                <c:pt idx="0">
                  <c:v>-Muslim</c:v>
                </c:pt>
              </c:strCache>
            </c:strRef>
          </c:tx>
          <c:invertIfNegative val="0"/>
          <c:cat>
            <c:strRef>
              <c:f>'Camp Analysis'!$A$45</c:f>
              <c:strCache>
                <c:ptCount val="1"/>
                <c:pt idx="0">
                  <c:v>Total</c:v>
                </c:pt>
              </c:strCache>
            </c:strRef>
          </c:cat>
          <c:val>
            <c:numRef>
              <c:f>'Camp Analysis'!$D$45</c:f>
              <c:numCache>
                <c:formatCode>General</c:formatCode>
                <c:ptCount val="1"/>
                <c:pt idx="0">
                  <c:v>116559</c:v>
                </c:pt>
              </c:numCache>
            </c:numRef>
          </c:val>
        </c:ser>
        <c:dLbls>
          <c:showLegendKey val="0"/>
          <c:showVal val="0"/>
          <c:showCatName val="0"/>
          <c:showSerName val="0"/>
          <c:showPercent val="0"/>
          <c:showBubbleSize val="0"/>
        </c:dLbls>
        <c:gapWidth val="150"/>
        <c:shape val="box"/>
        <c:axId val="368798248"/>
        <c:axId val="368797856"/>
        <c:axId val="0"/>
      </c:bar3DChart>
      <c:catAx>
        <c:axId val="368798248"/>
        <c:scaling>
          <c:orientation val="minMax"/>
        </c:scaling>
        <c:delete val="0"/>
        <c:axPos val="l"/>
        <c:numFmt formatCode="General" sourceLinked="0"/>
        <c:majorTickMark val="out"/>
        <c:minorTickMark val="none"/>
        <c:tickLblPos val="nextTo"/>
        <c:crossAx val="368797856"/>
        <c:crosses val="autoZero"/>
        <c:auto val="1"/>
        <c:lblAlgn val="ctr"/>
        <c:lblOffset val="100"/>
        <c:noMultiLvlLbl val="0"/>
      </c:catAx>
      <c:valAx>
        <c:axId val="368797856"/>
        <c:scaling>
          <c:orientation val="minMax"/>
          <c:min val="0"/>
        </c:scaling>
        <c:delete val="0"/>
        <c:axPos val="b"/>
        <c:majorGridlines/>
        <c:numFmt formatCode="0%" sourceLinked="1"/>
        <c:majorTickMark val="out"/>
        <c:minorTickMark val="none"/>
        <c:tickLblPos val="nextTo"/>
        <c:crossAx val="3687982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Analysis'!$B$201:$B$202</c:f>
              <c:strCache>
                <c:ptCount val="1"/>
                <c:pt idx="0">
                  <c:v>Host Families</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Analysis'!$B$203:$B$211</c:f>
              <c:numCache>
                <c:formatCode>General</c:formatCode>
                <c:ptCount val="8"/>
                <c:pt idx="7">
                  <c:v>6146</c:v>
                </c:pt>
              </c:numCache>
            </c:numRef>
          </c:val>
        </c:ser>
        <c:ser>
          <c:idx val="1"/>
          <c:order val="1"/>
          <c:tx>
            <c:strRef>
              <c:f>'Camp Analysis'!$C$201:$C$202</c:f>
              <c:strCache>
                <c:ptCount val="1"/>
                <c:pt idx="0">
                  <c:v>Planned Camp</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Analysis'!$C$203:$C$211</c:f>
              <c:numCache>
                <c:formatCode>General</c:formatCode>
                <c:ptCount val="8"/>
                <c:pt idx="0">
                  <c:v>1601</c:v>
                </c:pt>
                <c:pt idx="3">
                  <c:v>2922</c:v>
                </c:pt>
                <c:pt idx="4">
                  <c:v>15429</c:v>
                </c:pt>
                <c:pt idx="5">
                  <c:v>187</c:v>
                </c:pt>
                <c:pt idx="6">
                  <c:v>2258</c:v>
                </c:pt>
                <c:pt idx="7">
                  <c:v>76307</c:v>
                </c:pt>
              </c:numCache>
            </c:numRef>
          </c:val>
        </c:ser>
        <c:ser>
          <c:idx val="2"/>
          <c:order val="2"/>
          <c:tx>
            <c:strRef>
              <c:f>'Camp Analysis'!$D$201:$D$202</c:f>
              <c:strCache>
                <c:ptCount val="1"/>
                <c:pt idx="0">
                  <c:v>Self Settled Camp</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Analysis'!$D$203:$D$211</c:f>
              <c:numCache>
                <c:formatCode>General</c:formatCode>
                <c:ptCount val="8"/>
                <c:pt idx="1">
                  <c:v>546</c:v>
                </c:pt>
                <c:pt idx="2">
                  <c:v>1378</c:v>
                </c:pt>
                <c:pt idx="5">
                  <c:v>77</c:v>
                </c:pt>
                <c:pt idx="6">
                  <c:v>1308</c:v>
                </c:pt>
                <c:pt idx="7">
                  <c:v>11703</c:v>
                </c:pt>
              </c:numCache>
            </c:numRef>
          </c:val>
        </c:ser>
        <c:dLbls>
          <c:showLegendKey val="0"/>
          <c:showVal val="0"/>
          <c:showCatName val="0"/>
          <c:showSerName val="0"/>
          <c:showPercent val="0"/>
          <c:showBubbleSize val="0"/>
        </c:dLbls>
        <c:gapWidth val="150"/>
        <c:overlap val="100"/>
        <c:axId val="412439168"/>
        <c:axId val="412439560"/>
      </c:barChart>
      <c:catAx>
        <c:axId val="412439168"/>
        <c:scaling>
          <c:orientation val="minMax"/>
        </c:scaling>
        <c:delete val="0"/>
        <c:axPos val="l"/>
        <c:numFmt formatCode="General" sourceLinked="0"/>
        <c:majorTickMark val="out"/>
        <c:minorTickMark val="none"/>
        <c:tickLblPos val="nextTo"/>
        <c:crossAx val="412439560"/>
        <c:crosses val="autoZero"/>
        <c:auto val="1"/>
        <c:lblAlgn val="ctr"/>
        <c:lblOffset val="100"/>
        <c:noMultiLvlLbl val="0"/>
      </c:catAx>
      <c:valAx>
        <c:axId val="412439560"/>
        <c:scaling>
          <c:orientation val="minMax"/>
        </c:scaling>
        <c:delete val="0"/>
        <c:axPos val="b"/>
        <c:majorGridlines/>
        <c:numFmt formatCode="General" sourceLinked="1"/>
        <c:majorTickMark val="out"/>
        <c:minorTickMark val="none"/>
        <c:tickLblPos val="nextTo"/>
        <c:crossAx val="412439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Analysis!PivotTable7</c:name>
    <c:fmtId val="10"/>
  </c:pivotSource>
  <c:chart>
    <c:title>
      <c:tx>
        <c:rich>
          <a:bodyPr/>
          <a:lstStyle/>
          <a:p>
            <a:pPr>
              <a:defRPr/>
            </a:pPr>
            <a:r>
              <a:rPr lang="en-US"/>
              <a:t>Zone 1</a:t>
            </a:r>
          </a:p>
        </c:rich>
      </c:tx>
      <c:layout>
        <c:manualLayout>
          <c:xMode val="edge"/>
          <c:yMode val="edge"/>
          <c:x val="0.45804853402776713"/>
          <c:y val="0"/>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4.6454031733514971E-2"/>
          <c:y val="0.17450121495851856"/>
          <c:w val="0.58411270225954626"/>
          <c:h val="0.68221311596301015"/>
        </c:manualLayout>
      </c:layout>
      <c:barChart>
        <c:barDir val="col"/>
        <c:grouping val="stacked"/>
        <c:varyColors val="0"/>
        <c:ser>
          <c:idx val="0"/>
          <c:order val="0"/>
          <c:tx>
            <c:strRef>
              <c:f>'Camp Analysis'!$B$94:$B$96</c:f>
              <c:strCache>
                <c:ptCount val="1"/>
                <c:pt idx="0">
                  <c:v>(blank) - Self Settled Camp</c:v>
                </c:pt>
              </c:strCache>
            </c:strRef>
          </c:tx>
          <c:invertIfNegative val="0"/>
          <c:cat>
            <c:multiLvlStrRef>
              <c:f>'Camp Analysis'!$A$97:$A$99</c:f>
              <c:multiLvlStrCache>
                <c:ptCount val="1"/>
                <c:lvl>
                  <c:pt idx="0">
                    <c:v>Nidin</c:v>
                  </c:pt>
                </c:lvl>
                <c:lvl>
                  <c:pt idx="0">
                    <c:v>Kyauktaw</c:v>
                  </c:pt>
                </c:lvl>
              </c:multiLvlStrCache>
            </c:multiLvlStrRef>
          </c:cat>
          <c:val>
            <c:numRef>
              <c:f>'Camp Analysis'!$B$97:$B$99</c:f>
              <c:numCache>
                <c:formatCode>#,##0</c:formatCode>
                <c:ptCount val="1"/>
                <c:pt idx="0">
                  <c:v>546</c:v>
                </c:pt>
              </c:numCache>
            </c:numRef>
          </c:val>
        </c:ser>
        <c:dLbls>
          <c:showLegendKey val="0"/>
          <c:showVal val="0"/>
          <c:showCatName val="0"/>
          <c:showSerName val="0"/>
          <c:showPercent val="0"/>
          <c:showBubbleSize val="0"/>
        </c:dLbls>
        <c:gapWidth val="150"/>
        <c:overlap val="100"/>
        <c:axId val="412439952"/>
        <c:axId val="412440736"/>
      </c:barChart>
      <c:catAx>
        <c:axId val="412439952"/>
        <c:scaling>
          <c:orientation val="minMax"/>
        </c:scaling>
        <c:delete val="0"/>
        <c:axPos val="b"/>
        <c:numFmt formatCode="General" sourceLinked="0"/>
        <c:majorTickMark val="out"/>
        <c:minorTickMark val="none"/>
        <c:tickLblPos val="nextTo"/>
        <c:crossAx val="412440736"/>
        <c:crosses val="autoZero"/>
        <c:auto val="1"/>
        <c:lblAlgn val="ctr"/>
        <c:lblOffset val="100"/>
        <c:noMultiLvlLbl val="0"/>
      </c:catAx>
      <c:valAx>
        <c:axId val="412440736"/>
        <c:scaling>
          <c:orientation val="minMax"/>
        </c:scaling>
        <c:delete val="0"/>
        <c:axPos val="l"/>
        <c:majorGridlines/>
        <c:numFmt formatCode="#,##0" sourceLinked="1"/>
        <c:majorTickMark val="out"/>
        <c:minorTickMark val="none"/>
        <c:tickLblPos val="nextTo"/>
        <c:crossAx val="412439952"/>
        <c:crosses val="autoZero"/>
        <c:crossBetween val="between"/>
      </c:valAx>
    </c:plotArea>
    <c:legend>
      <c:legendPos val="r"/>
      <c:layout>
        <c:manualLayout>
          <c:xMode val="edge"/>
          <c:yMode val="edge"/>
          <c:x val="0.74583434765925016"/>
          <c:y val="0.37884134437738243"/>
          <c:w val="0.25263228627391576"/>
          <c:h val="0.24231709729751119"/>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Analysis'!$C$133:$C$135</c:f>
              <c:strCache>
                <c:ptCount val="1"/>
                <c:pt idx="0">
                  <c:v>Rakhine - Planned Camp</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Analysis'!$C$136:$C$161</c:f>
              <c:numCache>
                <c:formatCode>#,##0</c:formatCode>
                <c:ptCount val="20"/>
                <c:pt idx="0">
                  <c:v>327</c:v>
                </c:pt>
              </c:numCache>
            </c:numRef>
          </c:val>
        </c:ser>
        <c:ser>
          <c:idx val="1"/>
          <c:order val="1"/>
          <c:tx>
            <c:strRef>
              <c:f>'Camp Analysis'!$D$133:$D$135</c:f>
              <c:strCache>
                <c:ptCount val="1"/>
                <c:pt idx="0">
                  <c:v>Rakhine - Self Settled Camp</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Analysis'!$D$136:$D$161</c:f>
              <c:numCache>
                <c:formatCode>#,##0</c:formatCode>
                <c:ptCount val="20"/>
                <c:pt idx="11">
                  <c:v>77</c:v>
                </c:pt>
              </c:numCache>
            </c:numRef>
          </c:val>
        </c:ser>
        <c:ser>
          <c:idx val="2"/>
          <c:order val="2"/>
          <c:tx>
            <c:strRef>
              <c:f>'Camp Analysis'!$E$133:$E$135</c:f>
              <c:strCache>
                <c:ptCount val="1"/>
                <c:pt idx="0">
                  <c:v>Rakhine - Host Families</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Analysis'!$E$136:$E$161</c:f>
              <c:numCache>
                <c:formatCode>#,##0</c:formatCode>
                <c:ptCount val="20"/>
                <c:pt idx="16">
                  <c:v>27</c:v>
                </c:pt>
              </c:numCache>
            </c:numRef>
          </c:val>
        </c:ser>
        <c:ser>
          <c:idx val="3"/>
          <c:order val="3"/>
          <c:tx>
            <c:strRef>
              <c:f>'Camp Analysis'!$G$133:$G$135</c:f>
              <c:strCache>
                <c:ptCount val="1"/>
                <c:pt idx="0">
                  <c:v>(blank) - Planned Camp</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Analysis'!$G$136:$G$161</c:f>
              <c:numCache>
                <c:formatCode>#,##0</c:formatCode>
                <c:ptCount val="20"/>
                <c:pt idx="1">
                  <c:v>1274</c:v>
                </c:pt>
                <c:pt idx="12">
                  <c:v>187</c:v>
                </c:pt>
                <c:pt idx="13">
                  <c:v>961</c:v>
                </c:pt>
                <c:pt idx="14">
                  <c:v>1297</c:v>
                </c:pt>
              </c:numCache>
            </c:numRef>
          </c:val>
        </c:ser>
        <c:ser>
          <c:idx val="4"/>
          <c:order val="4"/>
          <c:tx>
            <c:strRef>
              <c:f>'Camp Analysis'!$H$133:$H$135</c:f>
              <c:strCache>
                <c:ptCount val="1"/>
                <c:pt idx="0">
                  <c:v>(blank) - Self Settled Camp</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Analysis'!$H$136:$H$161</c:f>
              <c:numCache>
                <c:formatCode>#,##0</c:formatCode>
                <c:ptCount val="20"/>
                <c:pt idx="2">
                  <c:v>30</c:v>
                </c:pt>
                <c:pt idx="3">
                  <c:v>35</c:v>
                </c:pt>
                <c:pt idx="4">
                  <c:v>37</c:v>
                </c:pt>
                <c:pt idx="5">
                  <c:v>58</c:v>
                </c:pt>
                <c:pt idx="6">
                  <c:v>102</c:v>
                </c:pt>
                <c:pt idx="7">
                  <c:v>110</c:v>
                </c:pt>
                <c:pt idx="8">
                  <c:v>291</c:v>
                </c:pt>
                <c:pt idx="9">
                  <c:v>338</c:v>
                </c:pt>
                <c:pt idx="10">
                  <c:v>377</c:v>
                </c:pt>
                <c:pt idx="15">
                  <c:v>1308</c:v>
                </c:pt>
              </c:numCache>
            </c:numRef>
          </c:val>
        </c:ser>
        <c:ser>
          <c:idx val="5"/>
          <c:order val="5"/>
          <c:tx>
            <c:strRef>
              <c:f>'Camp Analysis'!$I$133:$I$135</c:f>
              <c:strCache>
                <c:ptCount val="1"/>
                <c:pt idx="0">
                  <c:v>(blank) - Host Families</c:v>
                </c:pt>
              </c:strCache>
            </c:strRef>
          </c:tx>
          <c:invertIfNegative val="0"/>
          <c:cat>
            <c:multiLvlStrRef>
              <c:f>'Camp Analysis'!$A$136:$B$161</c:f>
              <c:multiLvlStrCache>
                <c:ptCount val="20"/>
                <c:lvl>
                  <c:pt idx="0">
                    <c:v>Ka Nyin Taw</c:v>
                  </c:pt>
                  <c:pt idx="1">
                    <c:v>Kyauk Ta Lone</c:v>
                  </c:pt>
                  <c:pt idx="2">
                    <c:v>Ywa thit Kay</c:v>
                  </c:pt>
                  <c:pt idx="3">
                    <c:v>Thaung Paing Nyar</c:v>
                  </c:pt>
                  <c:pt idx="4">
                    <c:v>Nyaung Pin Hla</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Analysis'!$I$136:$I$161</c:f>
              <c:numCache>
                <c:formatCode>#,##0</c:formatCode>
                <c:ptCount val="20"/>
                <c:pt idx="17">
                  <c:v>226</c:v>
                </c:pt>
                <c:pt idx="18">
                  <c:v>2942</c:v>
                </c:pt>
                <c:pt idx="19">
                  <c:v>2951</c:v>
                </c:pt>
              </c:numCache>
            </c:numRef>
          </c:val>
        </c:ser>
        <c:dLbls>
          <c:showLegendKey val="0"/>
          <c:showVal val="0"/>
          <c:showCatName val="0"/>
          <c:showSerName val="0"/>
          <c:showPercent val="0"/>
          <c:showBubbleSize val="0"/>
        </c:dLbls>
        <c:gapWidth val="150"/>
        <c:overlap val="100"/>
        <c:axId val="566262240"/>
        <c:axId val="566262632"/>
      </c:barChart>
      <c:catAx>
        <c:axId val="566262240"/>
        <c:scaling>
          <c:orientation val="minMax"/>
        </c:scaling>
        <c:delete val="0"/>
        <c:axPos val="b"/>
        <c:numFmt formatCode="General" sourceLinked="0"/>
        <c:majorTickMark val="out"/>
        <c:minorTickMark val="none"/>
        <c:tickLblPos val="nextTo"/>
        <c:crossAx val="566262632"/>
        <c:crosses val="autoZero"/>
        <c:auto val="1"/>
        <c:lblAlgn val="ctr"/>
        <c:lblOffset val="100"/>
        <c:noMultiLvlLbl val="0"/>
      </c:catAx>
      <c:valAx>
        <c:axId val="566262632"/>
        <c:scaling>
          <c:orientation val="minMax"/>
        </c:scaling>
        <c:delete val="0"/>
        <c:axPos val="l"/>
        <c:majorGridlines/>
        <c:numFmt formatCode="#,##0" sourceLinked="1"/>
        <c:majorTickMark val="out"/>
        <c:minorTickMark val="none"/>
        <c:tickLblPos val="nextTo"/>
        <c:crossAx val="566262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Analysis'!$B$56:$B$57</c:f>
              <c:strCache>
                <c:ptCount val="1"/>
                <c:pt idx="0">
                  <c:v>Rakhine-Buddhist</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Analysis'!$B$58:$B$79</c:f>
              <c:numCache>
                <c:formatCode>#,##0</c:formatCode>
                <c:ptCount val="18"/>
                <c:pt idx="16">
                  <c:v>204</c:v>
                </c:pt>
              </c:numCache>
            </c:numRef>
          </c:val>
        </c:ser>
        <c:ser>
          <c:idx val="1"/>
          <c:order val="1"/>
          <c:tx>
            <c:strRef>
              <c:f>'Camp Analysis'!$C$56:$C$57</c:f>
              <c:strCache>
                <c:ptCount val="1"/>
                <c:pt idx="0">
                  <c:v>Kaman-Muslim</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Analysis'!$C$58:$C$79</c:f>
              <c:numCache>
                <c:formatCode>#,##0</c:formatCode>
                <c:ptCount val="18"/>
                <c:pt idx="3">
                  <c:v>2668</c:v>
                </c:pt>
              </c:numCache>
            </c:numRef>
          </c:val>
        </c:ser>
        <c:ser>
          <c:idx val="2"/>
          <c:order val="2"/>
          <c:tx>
            <c:strRef>
              <c:f>'Camp Analysis'!$D$56:$D$57</c:f>
              <c:strCache>
                <c:ptCount val="1"/>
                <c:pt idx="0">
                  <c:v>-Muslim</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Analysis'!$D$58:$D$79</c:f>
              <c:numCache>
                <c:formatCode>#,##0</c:formatCode>
                <c:ptCount val="18"/>
                <c:pt idx="0">
                  <c:v>4357</c:v>
                </c:pt>
                <c:pt idx="1">
                  <c:v>5060</c:v>
                </c:pt>
                <c:pt idx="2">
                  <c:v>3344</c:v>
                </c:pt>
                <c:pt idx="4">
                  <c:v>2104</c:v>
                </c:pt>
                <c:pt idx="5">
                  <c:v>4851</c:v>
                </c:pt>
                <c:pt idx="6">
                  <c:v>6917</c:v>
                </c:pt>
                <c:pt idx="7">
                  <c:v>8189</c:v>
                </c:pt>
                <c:pt idx="8">
                  <c:v>4285</c:v>
                </c:pt>
                <c:pt idx="9">
                  <c:v>3352</c:v>
                </c:pt>
                <c:pt idx="10">
                  <c:v>3389</c:v>
                </c:pt>
                <c:pt idx="11">
                  <c:v>13655</c:v>
                </c:pt>
                <c:pt idx="12">
                  <c:v>11731</c:v>
                </c:pt>
                <c:pt idx="13">
                  <c:v>12178</c:v>
                </c:pt>
                <c:pt idx="14">
                  <c:v>11703</c:v>
                </c:pt>
                <c:pt idx="15">
                  <c:v>5656</c:v>
                </c:pt>
                <c:pt idx="17">
                  <c:v>2718</c:v>
                </c:pt>
              </c:numCache>
            </c:numRef>
          </c:val>
        </c:ser>
        <c:dLbls>
          <c:showLegendKey val="0"/>
          <c:showVal val="0"/>
          <c:showCatName val="0"/>
          <c:showSerName val="0"/>
          <c:showPercent val="0"/>
          <c:showBubbleSize val="0"/>
        </c:dLbls>
        <c:gapWidth val="150"/>
        <c:overlap val="100"/>
        <c:axId val="566263808"/>
        <c:axId val="566264200"/>
      </c:barChart>
      <c:catAx>
        <c:axId val="566263808"/>
        <c:scaling>
          <c:orientation val="minMax"/>
        </c:scaling>
        <c:delete val="0"/>
        <c:axPos val="b"/>
        <c:numFmt formatCode="General" sourceLinked="0"/>
        <c:majorTickMark val="out"/>
        <c:minorTickMark val="none"/>
        <c:tickLblPos val="nextTo"/>
        <c:crossAx val="566264200"/>
        <c:crosses val="autoZero"/>
        <c:auto val="1"/>
        <c:lblAlgn val="ctr"/>
        <c:lblOffset val="100"/>
        <c:noMultiLvlLbl val="0"/>
      </c:catAx>
      <c:valAx>
        <c:axId val="566264200"/>
        <c:scaling>
          <c:orientation val="minMax"/>
        </c:scaling>
        <c:delete val="0"/>
        <c:axPos val="l"/>
        <c:majorGridlines/>
        <c:numFmt formatCode="#,##0" sourceLinked="1"/>
        <c:majorTickMark val="out"/>
        <c:minorTickMark val="none"/>
        <c:tickLblPos val="nextTo"/>
        <c:crossAx val="566263808"/>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Kyauk_Phyu</c:v>
                </c:pt>
                <c:pt idx="1">
                  <c:v>Kyauktaw</c:v>
                </c:pt>
                <c:pt idx="2">
                  <c:v>Maungdaw</c:v>
                </c:pt>
                <c:pt idx="3">
                  <c:v>Myebon</c:v>
                </c:pt>
                <c:pt idx="4">
                  <c:v>Minbya</c:v>
                </c:pt>
                <c:pt idx="5">
                  <c:v>Mrauk_U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1</c:v>
                </c:pt>
                <c:pt idx="4">
                  <c:v>0</c:v>
                </c:pt>
                <c:pt idx="5">
                  <c:v>0</c:v>
                </c:pt>
                <c:pt idx="6">
                  <c:v>0.92979971677119155</c:v>
                </c:pt>
                <c:pt idx="7">
                  <c:v>1</c:v>
                </c:pt>
                <c:pt idx="8">
                  <c:v>0.56760374832663985</c:v>
                </c:pt>
                <c:pt idx="9">
                  <c:v>0.80470055522613337</c:v>
                </c:pt>
              </c:numCache>
            </c:numRef>
          </c:val>
        </c:ser>
        <c:dLbls>
          <c:showLegendKey val="0"/>
          <c:showVal val="0"/>
          <c:showCatName val="0"/>
          <c:showSerName val="0"/>
          <c:showPercent val="0"/>
          <c:showBubbleSize val="0"/>
        </c:dLbls>
        <c:gapWidth val="75"/>
        <c:axId val="566264592"/>
        <c:axId val="566264984"/>
      </c:barChart>
      <c:catAx>
        <c:axId val="566264592"/>
        <c:scaling>
          <c:orientation val="minMax"/>
        </c:scaling>
        <c:delete val="0"/>
        <c:axPos val="b"/>
        <c:numFmt formatCode="General" sourceLinked="0"/>
        <c:majorTickMark val="none"/>
        <c:minorTickMark val="none"/>
        <c:tickLblPos val="nextTo"/>
        <c:crossAx val="566264984"/>
        <c:crosses val="autoZero"/>
        <c:auto val="1"/>
        <c:lblAlgn val="ctr"/>
        <c:lblOffset val="100"/>
        <c:noMultiLvlLbl val="0"/>
      </c:catAx>
      <c:valAx>
        <c:axId val="566264984"/>
        <c:scaling>
          <c:orientation val="minMax"/>
          <c:max val="1"/>
        </c:scaling>
        <c:delete val="0"/>
        <c:axPos val="l"/>
        <c:majorGridlines/>
        <c:numFmt formatCode="0%" sourceLinked="1"/>
        <c:majorTickMark val="none"/>
        <c:minorTickMark val="none"/>
        <c:tickLblPos val="nextTo"/>
        <c:spPr>
          <a:ln w="9525">
            <a:noFill/>
          </a:ln>
        </c:spPr>
        <c:crossAx val="566264592"/>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566265768"/>
        <c:axId val="566266160"/>
      </c:barChart>
      <c:catAx>
        <c:axId val="566265768"/>
        <c:scaling>
          <c:orientation val="minMax"/>
        </c:scaling>
        <c:delete val="0"/>
        <c:axPos val="b"/>
        <c:numFmt formatCode="General" sourceLinked="0"/>
        <c:majorTickMark val="out"/>
        <c:minorTickMark val="none"/>
        <c:tickLblPos val="nextTo"/>
        <c:crossAx val="566266160"/>
        <c:crosses val="autoZero"/>
        <c:auto val="1"/>
        <c:lblAlgn val="ctr"/>
        <c:lblOffset val="100"/>
        <c:noMultiLvlLbl val="0"/>
      </c:catAx>
      <c:valAx>
        <c:axId val="566266160"/>
        <c:scaling>
          <c:orientation val="minMax"/>
        </c:scaling>
        <c:delete val="0"/>
        <c:axPos val="l"/>
        <c:majorGridlines/>
        <c:numFmt formatCode="General" sourceLinked="1"/>
        <c:majorTickMark val="out"/>
        <c:minorTickMark val="none"/>
        <c:tickLblPos val="nextTo"/>
        <c:crossAx val="566265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566266944"/>
        <c:axId val="566267336"/>
      </c:barChart>
      <c:catAx>
        <c:axId val="566266944"/>
        <c:scaling>
          <c:orientation val="minMax"/>
        </c:scaling>
        <c:delete val="0"/>
        <c:axPos val="l"/>
        <c:numFmt formatCode="General" sourceLinked="0"/>
        <c:majorTickMark val="out"/>
        <c:minorTickMark val="none"/>
        <c:tickLblPos val="nextTo"/>
        <c:spPr>
          <a:ln>
            <a:noFill/>
          </a:ln>
        </c:spPr>
        <c:crossAx val="566267336"/>
        <c:crosses val="autoZero"/>
        <c:auto val="1"/>
        <c:lblAlgn val="ctr"/>
        <c:lblOffset val="100"/>
        <c:noMultiLvlLbl val="0"/>
      </c:catAx>
      <c:valAx>
        <c:axId val="566267336"/>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566266944"/>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Kyauk_Phyu</c:v>
                </c:pt>
                <c:pt idx="2">
                  <c:v>Maungdaw</c:v>
                </c:pt>
                <c:pt idx="3">
                  <c:v>Rathedaung</c:v>
                </c:pt>
                <c:pt idx="4">
                  <c:v>Myebon</c:v>
                </c:pt>
                <c:pt idx="5">
                  <c:v>Mrauk_U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566268120"/>
        <c:axId val="566268512"/>
      </c:barChart>
      <c:catAx>
        <c:axId val="566268120"/>
        <c:scaling>
          <c:orientation val="minMax"/>
        </c:scaling>
        <c:delete val="0"/>
        <c:axPos val="l"/>
        <c:numFmt formatCode="General" sourceLinked="0"/>
        <c:majorTickMark val="out"/>
        <c:minorTickMark val="none"/>
        <c:tickLblPos val="nextTo"/>
        <c:crossAx val="566268512"/>
        <c:crosses val="autoZero"/>
        <c:auto val="1"/>
        <c:lblAlgn val="ctr"/>
        <c:lblOffset val="100"/>
        <c:noMultiLvlLbl val="0"/>
      </c:catAx>
      <c:valAx>
        <c:axId val="566268512"/>
        <c:scaling>
          <c:orientation val="minMax"/>
        </c:scaling>
        <c:delete val="0"/>
        <c:axPos val="b"/>
        <c:majorGridlines/>
        <c:numFmt formatCode="_-* #,##0_-;\-* #,##0_-;_-* &quot;-&quot;??_-;_-@_-" sourceLinked="1"/>
        <c:majorTickMark val="out"/>
        <c:minorTickMark val="none"/>
        <c:tickLblPos val="nextTo"/>
        <c:crossAx val="566268120"/>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105542.25060737705</c:v>
                </c:pt>
                <c:pt idx="1">
                  <c:v>39362.962210302503</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0"/>
              <c:y val="-0.26203260886060514"/>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0"/>
                  <c:y val="-0.2620326088606051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566017872"/>
        <c:axId val="566018264"/>
      </c:barChart>
      <c:catAx>
        <c:axId val="566017872"/>
        <c:scaling>
          <c:orientation val="minMax"/>
        </c:scaling>
        <c:delete val="0"/>
        <c:axPos val="b"/>
        <c:numFmt formatCode="General" sourceLinked="0"/>
        <c:majorTickMark val="out"/>
        <c:minorTickMark val="none"/>
        <c:tickLblPos val="nextTo"/>
        <c:crossAx val="566018264"/>
        <c:crosses val="autoZero"/>
        <c:auto val="1"/>
        <c:lblAlgn val="ctr"/>
        <c:lblOffset val="100"/>
        <c:noMultiLvlLbl val="0"/>
      </c:catAx>
      <c:valAx>
        <c:axId val="566018264"/>
        <c:scaling>
          <c:orientation val="minMax"/>
        </c:scaling>
        <c:delete val="0"/>
        <c:axPos val="l"/>
        <c:majorGridlines/>
        <c:numFmt formatCode="General" sourceLinked="1"/>
        <c:majorTickMark val="out"/>
        <c:minorTickMark val="none"/>
        <c:tickLblPos val="nextTo"/>
        <c:crossAx val="5660178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Analysis'!$I$43:$I$44</c:f>
              <c:strCache>
                <c:ptCount val="1"/>
                <c:pt idx="0">
                  <c:v>Camp Management</c:v>
                </c:pt>
              </c:strCache>
            </c:strRef>
          </c:tx>
          <c:invertIfNegative val="0"/>
          <c:cat>
            <c:strRef>
              <c:f>'Camp Analysis'!$H$45:$H$50</c:f>
              <c:strCache>
                <c:ptCount val="5"/>
                <c:pt idx="0">
                  <c:v>DRC</c:v>
                </c:pt>
                <c:pt idx="1">
                  <c:v>LWF</c:v>
                </c:pt>
                <c:pt idx="2">
                  <c:v>UNHCR</c:v>
                </c:pt>
                <c:pt idx="3">
                  <c:v>NRC</c:v>
                </c:pt>
                <c:pt idx="4">
                  <c:v>RI</c:v>
                </c:pt>
              </c:strCache>
            </c:strRef>
          </c:cat>
          <c:val>
            <c:numRef>
              <c:f>'Camp Analysis'!$I$45:$I$50</c:f>
              <c:numCache>
                <c:formatCode>General</c:formatCode>
                <c:ptCount val="5"/>
                <c:pt idx="0">
                  <c:v>56907</c:v>
                </c:pt>
                <c:pt idx="1">
                  <c:v>37524</c:v>
                </c:pt>
                <c:pt idx="3">
                  <c:v>9008</c:v>
                </c:pt>
              </c:numCache>
            </c:numRef>
          </c:val>
        </c:ser>
        <c:ser>
          <c:idx val="1"/>
          <c:order val="1"/>
          <c:tx>
            <c:strRef>
              <c:f>'Camp Analysis'!$J$43:$J$44</c:f>
              <c:strCache>
                <c:ptCount val="1"/>
                <c:pt idx="0">
                  <c:v>Focal Point</c:v>
                </c:pt>
              </c:strCache>
            </c:strRef>
          </c:tx>
          <c:invertIfNegative val="0"/>
          <c:dPt>
            <c:idx val="3"/>
            <c:invertIfNegative val="0"/>
            <c:bubble3D val="0"/>
            <c:spPr>
              <a:solidFill>
                <a:schemeClr val="accent1"/>
              </a:solidFill>
            </c:spPr>
          </c:dPt>
          <c:cat>
            <c:strRef>
              <c:f>'Camp Analysis'!$H$45:$H$50</c:f>
              <c:strCache>
                <c:ptCount val="5"/>
                <c:pt idx="0">
                  <c:v>DRC</c:v>
                </c:pt>
                <c:pt idx="1">
                  <c:v>LWF</c:v>
                </c:pt>
                <c:pt idx="2">
                  <c:v>UNHCR</c:v>
                </c:pt>
                <c:pt idx="3">
                  <c:v>NRC</c:v>
                </c:pt>
                <c:pt idx="4">
                  <c:v>RI</c:v>
                </c:pt>
              </c:strCache>
            </c:strRef>
          </c:cat>
          <c:val>
            <c:numRef>
              <c:f>'Camp Analysis'!$J$45:$J$50</c:f>
              <c:numCache>
                <c:formatCode>General</c:formatCode>
                <c:ptCount val="5"/>
                <c:pt idx="2">
                  <c:v>13501</c:v>
                </c:pt>
                <c:pt idx="4">
                  <c:v>2922</c:v>
                </c:pt>
              </c:numCache>
            </c:numRef>
          </c:val>
        </c:ser>
        <c:dLbls>
          <c:showLegendKey val="0"/>
          <c:showVal val="0"/>
          <c:showCatName val="0"/>
          <c:showSerName val="0"/>
          <c:showPercent val="0"/>
          <c:showBubbleSize val="0"/>
        </c:dLbls>
        <c:gapWidth val="70"/>
        <c:overlap val="100"/>
        <c:axId val="375311520"/>
        <c:axId val="375311128"/>
      </c:barChart>
      <c:catAx>
        <c:axId val="375311520"/>
        <c:scaling>
          <c:orientation val="minMax"/>
        </c:scaling>
        <c:delete val="0"/>
        <c:axPos val="b"/>
        <c:numFmt formatCode="General" sourceLinked="0"/>
        <c:majorTickMark val="out"/>
        <c:minorTickMark val="none"/>
        <c:tickLblPos val="nextTo"/>
        <c:txPr>
          <a:bodyPr/>
          <a:lstStyle/>
          <a:p>
            <a:pPr>
              <a:defRPr sz="1100"/>
            </a:pPr>
            <a:endParaRPr lang="en-US"/>
          </a:p>
        </c:txPr>
        <c:crossAx val="375311128"/>
        <c:crosses val="autoZero"/>
        <c:auto val="1"/>
        <c:lblAlgn val="ctr"/>
        <c:lblOffset val="100"/>
        <c:noMultiLvlLbl val="0"/>
      </c:catAx>
      <c:valAx>
        <c:axId val="375311128"/>
        <c:scaling>
          <c:orientation val="minMax"/>
        </c:scaling>
        <c:delete val="0"/>
        <c:axPos val="l"/>
        <c:majorGridlines/>
        <c:numFmt formatCode="#,##0" sourceLinked="0"/>
        <c:majorTickMark val="out"/>
        <c:minorTickMark val="none"/>
        <c:tickLblPos val="nextTo"/>
        <c:crossAx val="375311520"/>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tx>
            <c:strRef>
              <c:f>analysis!$B$2</c:f>
              <c:strCache>
                <c:ptCount val="1"/>
                <c:pt idx="0">
                  <c:v>Hygiene Family Kit</c:v>
                </c:pt>
              </c:strCache>
            </c:strRef>
          </c:tx>
          <c:invertIfNegative val="0"/>
          <c:cat>
            <c:strRef>
              <c:f>analysis!$A$3:$A$7</c:f>
              <c:strCache>
                <c:ptCount val="5"/>
                <c:pt idx="0">
                  <c:v>DRC</c:v>
                </c:pt>
                <c:pt idx="1">
                  <c:v>LWF</c:v>
                </c:pt>
                <c:pt idx="2">
                  <c:v>UNHCR</c:v>
                </c:pt>
                <c:pt idx="3">
                  <c:v>AGE</c:v>
                </c:pt>
                <c:pt idx="4">
                  <c:v>RI</c:v>
                </c:pt>
              </c:strCache>
            </c:strRef>
          </c:cat>
          <c:val>
            <c:numRef>
              <c:f>analysis!$B$3:$B$7</c:f>
              <c:numCache>
                <c:formatCode>General</c:formatCode>
                <c:ptCount val="5"/>
                <c:pt idx="0">
                  <c:v>0</c:v>
                </c:pt>
                <c:pt idx="1">
                  <c:v>0</c:v>
                </c:pt>
                <c:pt idx="2">
                  <c:v>65</c:v>
                </c:pt>
                <c:pt idx="3">
                  <c:v>0</c:v>
                </c:pt>
                <c:pt idx="4">
                  <c:v>0</c:v>
                </c:pt>
              </c:numCache>
            </c:numRef>
          </c:val>
        </c:ser>
        <c:ser>
          <c:idx val="1"/>
          <c:order val="1"/>
          <c:tx>
            <c:strRef>
              <c:f>analysis!$C$2</c:f>
              <c:strCache>
                <c:ptCount val="1"/>
                <c:pt idx="0">
                  <c:v>NFI Core Kit</c:v>
                </c:pt>
              </c:strCache>
            </c:strRef>
          </c:tx>
          <c:invertIfNegative val="0"/>
          <c:cat>
            <c:strRef>
              <c:f>analysis!$A$3:$A$7</c:f>
              <c:strCache>
                <c:ptCount val="5"/>
                <c:pt idx="0">
                  <c:v>DRC</c:v>
                </c:pt>
                <c:pt idx="1">
                  <c:v>LWF</c:v>
                </c:pt>
                <c:pt idx="2">
                  <c:v>UNHCR</c:v>
                </c:pt>
                <c:pt idx="3">
                  <c:v>AGE</c:v>
                </c:pt>
                <c:pt idx="4">
                  <c:v>RI</c:v>
                </c:pt>
              </c:strCache>
            </c:strRef>
          </c:cat>
          <c:val>
            <c:numRef>
              <c:f>analysis!$C$3:$C$7</c:f>
              <c:numCache>
                <c:formatCode>General</c:formatCode>
                <c:ptCount val="5"/>
                <c:pt idx="0">
                  <c:v>0</c:v>
                </c:pt>
                <c:pt idx="1">
                  <c:v>986</c:v>
                </c:pt>
                <c:pt idx="2">
                  <c:v>2677</c:v>
                </c:pt>
                <c:pt idx="3">
                  <c:v>0</c:v>
                </c:pt>
                <c:pt idx="4">
                  <c:v>0</c:v>
                </c:pt>
              </c:numCache>
            </c:numRef>
          </c:val>
        </c:ser>
        <c:ser>
          <c:idx val="2"/>
          <c:order val="2"/>
          <c:tx>
            <c:strRef>
              <c:f>analysis!$D$2</c:f>
              <c:strCache>
                <c:ptCount val="1"/>
                <c:pt idx="0">
                  <c:v>Women's Sanitary Kit</c:v>
                </c:pt>
              </c:strCache>
            </c:strRef>
          </c:tx>
          <c:invertIfNegative val="0"/>
          <c:cat>
            <c:strRef>
              <c:f>analysis!$A$3:$A$7</c:f>
              <c:strCache>
                <c:ptCount val="5"/>
                <c:pt idx="0">
                  <c:v>DRC</c:v>
                </c:pt>
                <c:pt idx="1">
                  <c:v>LWF</c:v>
                </c:pt>
                <c:pt idx="2">
                  <c:v>UNHCR</c:v>
                </c:pt>
                <c:pt idx="3">
                  <c:v>AGE</c:v>
                </c:pt>
                <c:pt idx="4">
                  <c:v>RI</c:v>
                </c:pt>
              </c:strCache>
            </c:strRef>
          </c:cat>
          <c:val>
            <c:numRef>
              <c:f>analysis!$D$3:$D$7</c:f>
              <c:numCache>
                <c:formatCode>General</c:formatCode>
                <c:ptCount val="5"/>
                <c:pt idx="0">
                  <c:v>0</c:v>
                </c:pt>
                <c:pt idx="1">
                  <c:v>0</c:v>
                </c:pt>
                <c:pt idx="2">
                  <c:v>0</c:v>
                </c:pt>
                <c:pt idx="3">
                  <c:v>0</c:v>
                </c:pt>
                <c:pt idx="4">
                  <c:v>0</c:v>
                </c:pt>
              </c:numCache>
            </c:numRef>
          </c:val>
        </c:ser>
        <c:ser>
          <c:idx val="3"/>
          <c:order val="3"/>
          <c:tx>
            <c:strRef>
              <c:f>analysis!$E$2</c:f>
              <c:strCache>
                <c:ptCount val="1"/>
                <c:pt idx="0">
                  <c:v>Mosquito Nets</c:v>
                </c:pt>
              </c:strCache>
            </c:strRef>
          </c:tx>
          <c:invertIfNegative val="0"/>
          <c:cat>
            <c:strRef>
              <c:f>analysis!$A$3:$A$7</c:f>
              <c:strCache>
                <c:ptCount val="5"/>
                <c:pt idx="0">
                  <c:v>DRC</c:v>
                </c:pt>
                <c:pt idx="1">
                  <c:v>LWF</c:v>
                </c:pt>
                <c:pt idx="2">
                  <c:v>UNHCR</c:v>
                </c:pt>
                <c:pt idx="3">
                  <c:v>AGE</c:v>
                </c:pt>
                <c:pt idx="4">
                  <c:v>RI</c:v>
                </c:pt>
              </c:strCache>
            </c:strRef>
          </c:cat>
          <c:val>
            <c:numRef>
              <c:f>analysis!$E$3:$E$7</c:f>
              <c:numCache>
                <c:formatCode>General</c:formatCode>
                <c:ptCount val="5"/>
                <c:pt idx="0">
                  <c:v>0</c:v>
                </c:pt>
                <c:pt idx="1">
                  <c:v>1974</c:v>
                </c:pt>
                <c:pt idx="2">
                  <c:v>8708</c:v>
                </c:pt>
                <c:pt idx="3">
                  <c:v>0</c:v>
                </c:pt>
                <c:pt idx="4">
                  <c:v>724</c:v>
                </c:pt>
              </c:numCache>
            </c:numRef>
          </c:val>
        </c:ser>
        <c:ser>
          <c:idx val="4"/>
          <c:order val="4"/>
          <c:tx>
            <c:strRef>
              <c:f>analysis!$F$2</c:f>
              <c:strCache>
                <c:ptCount val="1"/>
                <c:pt idx="0">
                  <c:v>Tarpaulins</c:v>
                </c:pt>
              </c:strCache>
            </c:strRef>
          </c:tx>
          <c:invertIfNegative val="0"/>
          <c:cat>
            <c:strRef>
              <c:f>analysis!$A$3:$A$7</c:f>
              <c:strCache>
                <c:ptCount val="5"/>
                <c:pt idx="0">
                  <c:v>DRC</c:v>
                </c:pt>
                <c:pt idx="1">
                  <c:v>LWF</c:v>
                </c:pt>
                <c:pt idx="2">
                  <c:v>UNHCR</c:v>
                </c:pt>
                <c:pt idx="3">
                  <c:v>AGE</c:v>
                </c:pt>
                <c:pt idx="4">
                  <c:v>RI</c:v>
                </c:pt>
              </c:strCache>
            </c:strRef>
          </c:cat>
          <c:val>
            <c:numRef>
              <c:f>analysis!$F$3:$F$7</c:f>
              <c:numCache>
                <c:formatCode>General</c:formatCode>
                <c:ptCount val="5"/>
                <c:pt idx="0">
                  <c:v>0</c:v>
                </c:pt>
                <c:pt idx="1">
                  <c:v>987</c:v>
                </c:pt>
                <c:pt idx="2">
                  <c:v>4881</c:v>
                </c:pt>
                <c:pt idx="3">
                  <c:v>0</c:v>
                </c:pt>
                <c:pt idx="4">
                  <c:v>724</c:v>
                </c:pt>
              </c:numCache>
            </c:numRef>
          </c:val>
        </c:ser>
        <c:ser>
          <c:idx val="5"/>
          <c:order val="5"/>
          <c:tx>
            <c:strRef>
              <c:f>analysis!$H$2</c:f>
              <c:strCache>
                <c:ptCount val="1"/>
                <c:pt idx="0">
                  <c:v>Blanket</c:v>
                </c:pt>
              </c:strCache>
            </c:strRef>
          </c:tx>
          <c:invertIfNegative val="0"/>
          <c:cat>
            <c:strRef>
              <c:f>analysis!$A$3:$A$7</c:f>
              <c:strCache>
                <c:ptCount val="5"/>
                <c:pt idx="0">
                  <c:v>DRC</c:v>
                </c:pt>
                <c:pt idx="1">
                  <c:v>LWF</c:v>
                </c:pt>
                <c:pt idx="2">
                  <c:v>UNHCR</c:v>
                </c:pt>
                <c:pt idx="3">
                  <c:v>AGE</c:v>
                </c:pt>
                <c:pt idx="4">
                  <c:v>RI</c:v>
                </c:pt>
              </c:strCache>
            </c:strRef>
          </c:cat>
          <c:val>
            <c:numRef>
              <c:f>analysis!$H$3:$H$7</c:f>
              <c:numCache>
                <c:formatCode>General</c:formatCode>
                <c:ptCount val="5"/>
                <c:pt idx="0">
                  <c:v>0</c:v>
                </c:pt>
                <c:pt idx="1">
                  <c:v>1974</c:v>
                </c:pt>
                <c:pt idx="2">
                  <c:v>7727</c:v>
                </c:pt>
                <c:pt idx="3">
                  <c:v>0</c:v>
                </c:pt>
                <c:pt idx="4">
                  <c:v>0</c:v>
                </c:pt>
              </c:numCache>
            </c:numRef>
          </c:val>
        </c:ser>
        <c:ser>
          <c:idx val="6"/>
          <c:order val="6"/>
          <c:tx>
            <c:strRef>
              <c:f>analysis!$I$2</c:f>
              <c:strCache>
                <c:ptCount val="1"/>
                <c:pt idx="0">
                  <c:v>Kitchen Set</c:v>
                </c:pt>
              </c:strCache>
            </c:strRef>
          </c:tx>
          <c:invertIfNegative val="0"/>
          <c:cat>
            <c:strRef>
              <c:f>analysis!$A$3:$A$7</c:f>
              <c:strCache>
                <c:ptCount val="5"/>
                <c:pt idx="0">
                  <c:v>DRC</c:v>
                </c:pt>
                <c:pt idx="1">
                  <c:v>LWF</c:v>
                </c:pt>
                <c:pt idx="2">
                  <c:v>UNHCR</c:v>
                </c:pt>
                <c:pt idx="3">
                  <c:v>AGE</c:v>
                </c:pt>
                <c:pt idx="4">
                  <c:v>RI</c:v>
                </c:pt>
              </c:strCache>
            </c:strRef>
          </c:cat>
          <c:val>
            <c:numRef>
              <c:f>analysis!$I$3:$I$7</c:f>
              <c:numCache>
                <c:formatCode>General</c:formatCode>
                <c:ptCount val="5"/>
                <c:pt idx="0">
                  <c:v>0</c:v>
                </c:pt>
                <c:pt idx="1">
                  <c:v>987</c:v>
                </c:pt>
                <c:pt idx="2">
                  <c:v>4355</c:v>
                </c:pt>
                <c:pt idx="3">
                  <c:v>0</c:v>
                </c:pt>
                <c:pt idx="4">
                  <c:v>724</c:v>
                </c:pt>
              </c:numCache>
            </c:numRef>
          </c:val>
        </c:ser>
        <c:ser>
          <c:idx val="7"/>
          <c:order val="7"/>
          <c:tx>
            <c:strRef>
              <c:f>analysis!$J$2</c:f>
              <c:strCache>
                <c:ptCount val="1"/>
                <c:pt idx="0">
                  <c:v>Complementary Kit</c:v>
                </c:pt>
              </c:strCache>
            </c:strRef>
          </c:tx>
          <c:invertIfNegative val="0"/>
          <c:cat>
            <c:strRef>
              <c:f>analysis!$A$3:$A$7</c:f>
              <c:strCache>
                <c:ptCount val="5"/>
                <c:pt idx="0">
                  <c:v>DRC</c:v>
                </c:pt>
                <c:pt idx="1">
                  <c:v>LWF</c:v>
                </c:pt>
                <c:pt idx="2">
                  <c:v>UNHCR</c:v>
                </c:pt>
                <c:pt idx="3">
                  <c:v>AGE</c:v>
                </c:pt>
                <c:pt idx="4">
                  <c:v>RI</c:v>
                </c:pt>
              </c:strCache>
            </c:strRef>
          </c:cat>
          <c:val>
            <c:numRef>
              <c:f>analysis!$J$3:$J$7</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566019832"/>
        <c:axId val="566020616"/>
      </c:barChart>
      <c:catAx>
        <c:axId val="566019832"/>
        <c:scaling>
          <c:orientation val="minMax"/>
        </c:scaling>
        <c:delete val="0"/>
        <c:axPos val="l"/>
        <c:numFmt formatCode="General" sourceLinked="0"/>
        <c:majorTickMark val="none"/>
        <c:minorTickMark val="none"/>
        <c:tickLblPos val="nextTo"/>
        <c:crossAx val="566020616"/>
        <c:crosses val="autoZero"/>
        <c:auto val="1"/>
        <c:lblAlgn val="ctr"/>
        <c:lblOffset val="100"/>
        <c:noMultiLvlLbl val="0"/>
      </c:catAx>
      <c:valAx>
        <c:axId val="566020616"/>
        <c:scaling>
          <c:orientation val="minMax"/>
        </c:scaling>
        <c:delete val="0"/>
        <c:axPos val="b"/>
        <c:majorGridlines/>
        <c:numFmt formatCode="General" sourceLinked="1"/>
        <c:majorTickMark val="none"/>
        <c:minorTickMark val="none"/>
        <c:tickLblPos val="nextTo"/>
        <c:crossAx val="566019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Summary'!$H$16</c:f>
              <c:strCache>
                <c:ptCount val="1"/>
                <c:pt idx="0">
                  <c:v>Distributed</c:v>
                </c:pt>
              </c:strCache>
            </c:strRef>
          </c:tx>
          <c:spPr>
            <a:solidFill>
              <a:srgbClr val="25FF88"/>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Summary'!$H$17:$H$24</c:f>
              <c:numCache>
                <c:formatCode>0%</c:formatCode>
                <c:ptCount val="8"/>
                <c:pt idx="0">
                  <c:v>0.27077417738433274</c:v>
                </c:pt>
                <c:pt idx="1">
                  <c:v>0.27526306998496741</c:v>
                </c:pt>
                <c:pt idx="2">
                  <c:v>0.23590696509103057</c:v>
                </c:pt>
                <c:pt idx="3">
                  <c:v>0.25329881409721061</c:v>
                </c:pt>
                <c:pt idx="4">
                  <c:v>0</c:v>
                </c:pt>
                <c:pt idx="5">
                  <c:v>0.22231501586771338</c:v>
                </c:pt>
                <c:pt idx="6">
                  <c:v>0.25325705695673961</c:v>
                </c:pt>
                <c:pt idx="7">
                  <c:v>0.55766661099047932</c:v>
                </c:pt>
              </c:numCache>
            </c:numRef>
          </c:val>
        </c:ser>
        <c:ser>
          <c:idx val="3"/>
          <c:order val="1"/>
          <c:tx>
            <c:strRef>
              <c:f>'NFI Summary'!$J$16</c:f>
              <c:strCache>
                <c:ptCount val="1"/>
                <c:pt idx="0">
                  <c:v>In Stock</c:v>
                </c:pt>
              </c:strCache>
            </c:strRef>
          </c:tx>
          <c:spPr>
            <a:solidFill>
              <a:schemeClr val="accent1">
                <a:lumMod val="40000"/>
                <a:lumOff val="60000"/>
              </a:schemeClr>
            </a:solidFill>
            <a:ln>
              <a:noFill/>
            </a:ln>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Summary'!$J$17:$J$24</c:f>
              <c:numCache>
                <c:formatCode>0%</c:formatCode>
                <c:ptCount val="8"/>
                <c:pt idx="0">
                  <c:v>4.3323033238683813E-2</c:v>
                </c:pt>
                <c:pt idx="1">
                  <c:v>7.0319024553198592E-2</c:v>
                </c:pt>
                <c:pt idx="2">
                  <c:v>4.2717554701854017E-2</c:v>
                </c:pt>
                <c:pt idx="3">
                  <c:v>6.8732253215299813E-2</c:v>
                </c:pt>
                <c:pt idx="4">
                  <c:v>3.3405712376816435E-4</c:v>
                </c:pt>
                <c:pt idx="5">
                  <c:v>4.8354768665441791E-2</c:v>
                </c:pt>
                <c:pt idx="6">
                  <c:v>4.088024052112911E-2</c:v>
                </c:pt>
                <c:pt idx="7">
                  <c:v>3.1451478202772672E-2</c:v>
                </c:pt>
              </c:numCache>
            </c:numRef>
          </c:val>
        </c:ser>
        <c:ser>
          <c:idx val="0"/>
          <c:order val="2"/>
          <c:tx>
            <c:strRef>
              <c:f>'NFI Summary'!$N$16</c:f>
              <c:strCache>
                <c:ptCount val="1"/>
                <c:pt idx="0">
                  <c:v>Pipeline</c:v>
                </c:pt>
              </c:strCache>
            </c:strRef>
          </c:tx>
          <c:spPr>
            <a:solidFill>
              <a:srgbClr val="FFC00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Summary'!$N$17:$N$24</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Summary'!$P$16</c:f>
              <c:strCache>
                <c:ptCount val="1"/>
                <c:pt idx="0">
                  <c:v>Remaining Need</c:v>
                </c:pt>
              </c:strCache>
            </c:strRef>
          </c:tx>
          <c:spPr>
            <a:solidFill>
              <a:srgbClr val="FF505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Summary'!$P$17:$P$24</c:f>
              <c:numCache>
                <c:formatCode>0%</c:formatCode>
                <c:ptCount val="8"/>
                <c:pt idx="0">
                  <c:v>0.68590278937698346</c:v>
                </c:pt>
                <c:pt idx="1">
                  <c:v>0.65441790546183398</c:v>
                </c:pt>
                <c:pt idx="2">
                  <c:v>0.72137548020711539</c:v>
                </c:pt>
                <c:pt idx="3">
                  <c:v>0.67796893268748959</c:v>
                </c:pt>
                <c:pt idx="4">
                  <c:v>0.99966594287623178</c:v>
                </c:pt>
                <c:pt idx="5">
                  <c:v>0.72933021546684484</c:v>
                </c:pt>
                <c:pt idx="6">
                  <c:v>0.70586270252213124</c:v>
                </c:pt>
                <c:pt idx="7">
                  <c:v>0.41088191080674796</c:v>
                </c:pt>
              </c:numCache>
            </c:numRef>
          </c:val>
        </c:ser>
        <c:dLbls>
          <c:showLegendKey val="0"/>
          <c:showVal val="0"/>
          <c:showCatName val="0"/>
          <c:showSerName val="0"/>
          <c:showPercent val="0"/>
          <c:showBubbleSize val="0"/>
        </c:dLbls>
        <c:gapWidth val="55"/>
        <c:overlap val="100"/>
        <c:axId val="566021400"/>
        <c:axId val="566021792"/>
      </c:barChart>
      <c:catAx>
        <c:axId val="566021400"/>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566021792"/>
        <c:crosses val="autoZero"/>
        <c:auto val="1"/>
        <c:lblAlgn val="ctr"/>
        <c:lblOffset val="100"/>
        <c:noMultiLvlLbl val="0"/>
      </c:catAx>
      <c:valAx>
        <c:axId val="56602179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566021400"/>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2016.xlsx]NFI Distribution (by Tship)!PivotTable3</c:name>
    <c:fmtId val="8"/>
  </c:pivotSource>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Tship)'!$B$55</c:f>
              <c:strCache>
                <c:ptCount val="1"/>
                <c:pt idx="0">
                  <c:v> Mosquito net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Tship)'!$B$56:$B$61</c:f>
              <c:numCache>
                <c:formatCode>_-* #,##0_-;\-* #,##0_-;_-* "-"??_-;_-@_-</c:formatCode>
                <c:ptCount val="5"/>
                <c:pt idx="0">
                  <c:v>0</c:v>
                </c:pt>
                <c:pt idx="1">
                  <c:v>8708</c:v>
                </c:pt>
                <c:pt idx="2">
                  <c:v>1974</c:v>
                </c:pt>
                <c:pt idx="3">
                  <c:v>724</c:v>
                </c:pt>
                <c:pt idx="4">
                  <c:v>0</c:v>
                </c:pt>
              </c:numCache>
            </c:numRef>
          </c:val>
        </c:ser>
        <c:ser>
          <c:idx val="1"/>
          <c:order val="1"/>
          <c:tx>
            <c:strRef>
              <c:f>'NFI Distribution (by Tship)'!$C$55</c:f>
              <c:strCache>
                <c:ptCount val="1"/>
                <c:pt idx="0">
                  <c:v>Tarpaulin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Tship)'!$C$56:$C$61</c:f>
              <c:numCache>
                <c:formatCode>_-* #,##0_-;\-* #,##0_-;_-* "-"??_-;_-@_-</c:formatCode>
                <c:ptCount val="5"/>
                <c:pt idx="0">
                  <c:v>0</c:v>
                </c:pt>
                <c:pt idx="1">
                  <c:v>4881</c:v>
                </c:pt>
                <c:pt idx="2">
                  <c:v>987</c:v>
                </c:pt>
                <c:pt idx="3">
                  <c:v>724</c:v>
                </c:pt>
                <c:pt idx="4">
                  <c:v>0</c:v>
                </c:pt>
              </c:numCache>
            </c:numRef>
          </c:val>
        </c:ser>
        <c:ser>
          <c:idx val="2"/>
          <c:order val="2"/>
          <c:tx>
            <c:strRef>
              <c:f>'NFI Distribution (by Tship)'!$D$55</c:f>
              <c:strCache>
                <c:ptCount val="1"/>
                <c:pt idx="0">
                  <c:v>Blanket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Tship)'!$D$56:$D$61</c:f>
              <c:numCache>
                <c:formatCode>_-* #,##0_-;\-* #,##0_-;_-* "-"??_-;_-@_-</c:formatCode>
                <c:ptCount val="5"/>
                <c:pt idx="0">
                  <c:v>0</c:v>
                </c:pt>
                <c:pt idx="1">
                  <c:v>7727</c:v>
                </c:pt>
                <c:pt idx="2">
                  <c:v>1974</c:v>
                </c:pt>
                <c:pt idx="3">
                  <c:v>0</c:v>
                </c:pt>
                <c:pt idx="4">
                  <c:v>0</c:v>
                </c:pt>
              </c:numCache>
            </c:numRef>
          </c:val>
        </c:ser>
        <c:ser>
          <c:idx val="3"/>
          <c:order val="3"/>
          <c:tx>
            <c:strRef>
              <c:f>'NFI Distribution (by Tship)'!$E$55</c:f>
              <c:strCache>
                <c:ptCount val="1"/>
                <c:pt idx="0">
                  <c:v>Kitchen Set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Tship)'!$E$56:$E$61</c:f>
              <c:numCache>
                <c:formatCode>_-* #,##0_-;\-* #,##0_-;_-* "-"??_-;_-@_-</c:formatCode>
                <c:ptCount val="5"/>
                <c:pt idx="0">
                  <c:v>0</c:v>
                </c:pt>
                <c:pt idx="1">
                  <c:v>4355</c:v>
                </c:pt>
                <c:pt idx="2">
                  <c:v>987</c:v>
                </c:pt>
                <c:pt idx="3">
                  <c:v>724</c:v>
                </c:pt>
                <c:pt idx="4">
                  <c:v>0</c:v>
                </c:pt>
              </c:numCache>
            </c:numRef>
          </c:val>
        </c:ser>
        <c:ser>
          <c:idx val="4"/>
          <c:order val="4"/>
          <c:tx>
            <c:strRef>
              <c:f>'NFI Distribution (by Tship)'!$F$55</c:f>
              <c:strCache>
                <c:ptCount val="1"/>
                <c:pt idx="0">
                  <c:v>Complementary Kit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Tship)'!$F$56:$F$61</c:f>
              <c:numCache>
                <c:formatCode>_-* #,##0_-;\-* #,##0_-;_-* "-"??_-;_-@_-</c:formatCode>
                <c:ptCount val="5"/>
                <c:pt idx="0">
                  <c:v>0</c:v>
                </c:pt>
                <c:pt idx="1">
                  <c:v>0</c:v>
                </c:pt>
                <c:pt idx="2">
                  <c:v>0</c:v>
                </c:pt>
                <c:pt idx="3">
                  <c:v>0</c:v>
                </c:pt>
                <c:pt idx="4">
                  <c:v>0</c:v>
                </c:pt>
              </c:numCache>
            </c:numRef>
          </c:val>
        </c:ser>
        <c:ser>
          <c:idx val="5"/>
          <c:order val="5"/>
          <c:tx>
            <c:strRef>
              <c:f>'NFI Distribution (by Tship)'!$G$55</c:f>
              <c:strCache>
                <c:ptCount val="1"/>
                <c:pt idx="0">
                  <c:v>Plastic Bucket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Tship)'!$G$56:$G$61</c:f>
              <c:numCache>
                <c:formatCode>_-* #,##0_-;\-* #,##0_-;_-* "-"??_-;_-@_-</c:formatCode>
                <c:ptCount val="5"/>
                <c:pt idx="0">
                  <c:v>0</c:v>
                </c:pt>
                <c:pt idx="1">
                  <c:v>4355</c:v>
                </c:pt>
                <c:pt idx="2">
                  <c:v>969</c:v>
                </c:pt>
                <c:pt idx="3">
                  <c:v>0</c:v>
                </c:pt>
                <c:pt idx="4">
                  <c:v>0</c:v>
                </c:pt>
              </c:numCache>
            </c:numRef>
          </c:val>
        </c:ser>
        <c:ser>
          <c:idx val="6"/>
          <c:order val="6"/>
          <c:tx>
            <c:strRef>
              <c:f>'NFI Distribution (by Tship)'!$H$55</c:f>
              <c:strCache>
                <c:ptCount val="1"/>
                <c:pt idx="0">
                  <c:v> Jerry Can</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Tship)'!$H$56:$H$61</c:f>
              <c:numCache>
                <c:formatCode>_-* #,##0_-;\-* #,##0_-;_-* "-"??_-;_-@_-</c:formatCode>
                <c:ptCount val="5"/>
                <c:pt idx="0">
                  <c:v>0</c:v>
                </c:pt>
                <c:pt idx="1">
                  <c:v>4355</c:v>
                </c:pt>
                <c:pt idx="2">
                  <c:v>986</c:v>
                </c:pt>
                <c:pt idx="3">
                  <c:v>724</c:v>
                </c:pt>
                <c:pt idx="4">
                  <c:v>0</c:v>
                </c:pt>
              </c:numCache>
            </c:numRef>
          </c:val>
        </c:ser>
        <c:ser>
          <c:idx val="7"/>
          <c:order val="7"/>
          <c:tx>
            <c:strRef>
              <c:f>'NFI Distribution (by Tship)'!$I$55</c:f>
              <c:strCache>
                <c:ptCount val="1"/>
                <c:pt idx="0">
                  <c:v>Plastic  Mat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Tship)'!$I$56:$I$61</c:f>
              <c:numCache>
                <c:formatCode>_-* #,##0_-;\-* #,##0_-;_-* "-"??_-;_-@_-</c:formatCode>
                <c:ptCount val="5"/>
                <c:pt idx="0">
                  <c:v>0</c:v>
                </c:pt>
                <c:pt idx="1">
                  <c:v>54437.5</c:v>
                </c:pt>
                <c:pt idx="2">
                  <c:v>12337.5</c:v>
                </c:pt>
                <c:pt idx="3">
                  <c:v>0</c:v>
                </c:pt>
                <c:pt idx="4">
                  <c:v>0</c:v>
                </c:pt>
              </c:numCache>
            </c:numRef>
          </c:val>
        </c:ser>
        <c:dLbls>
          <c:showLegendKey val="0"/>
          <c:showVal val="0"/>
          <c:showCatName val="0"/>
          <c:showSerName val="0"/>
          <c:showPercent val="0"/>
          <c:showBubbleSize val="0"/>
        </c:dLbls>
        <c:gapWidth val="150"/>
        <c:axId val="566022576"/>
        <c:axId val="566022968"/>
      </c:barChart>
      <c:catAx>
        <c:axId val="566022576"/>
        <c:scaling>
          <c:orientation val="minMax"/>
        </c:scaling>
        <c:delete val="0"/>
        <c:axPos val="b"/>
        <c:numFmt formatCode="General" sourceLinked="0"/>
        <c:majorTickMark val="out"/>
        <c:minorTickMark val="none"/>
        <c:tickLblPos val="nextTo"/>
        <c:crossAx val="566022968"/>
        <c:crosses val="autoZero"/>
        <c:auto val="1"/>
        <c:lblAlgn val="ctr"/>
        <c:lblOffset val="100"/>
        <c:noMultiLvlLbl val="0"/>
      </c:catAx>
      <c:valAx>
        <c:axId val="566022968"/>
        <c:scaling>
          <c:orientation val="minMax"/>
        </c:scaling>
        <c:delete val="0"/>
        <c:axPos val="l"/>
        <c:majorGridlines/>
        <c:numFmt formatCode="_-* #,##0_-;\-* #,##0_-;_-* &quot;-&quot;??_-;_-@_-" sourceLinked="1"/>
        <c:majorTickMark val="out"/>
        <c:minorTickMark val="none"/>
        <c:tickLblPos val="nextTo"/>
        <c:crossAx val="56602257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Pt>
            <c:idx val="5"/>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98704</c:v>
                </c:pt>
                <c:pt idx="1">
                  <c:v>15012</c:v>
                </c:pt>
                <c:pt idx="2">
                  <c:v>6146</c:v>
                </c:pt>
                <c:pt idx="3">
                  <c:v>9642</c:v>
                </c:pt>
                <c:pt idx="4">
                  <c:v>15182</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98704</c:v>
                </c:pt>
                <c:pt idx="1">
                  <c:v>15012</c:v>
                </c:pt>
                <c:pt idx="2">
                  <c:v>6146</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June 2016.xlsx]Camp Analysis!PivotTable13</c:name>
    <c:fmtId val="4"/>
  </c:pivotSource>
  <c:chart>
    <c:title>
      <c:tx>
        <c:rich>
          <a:bodyPr/>
          <a:lstStyle/>
          <a:p>
            <a:pPr>
              <a:defRPr sz="1200"/>
            </a:pPr>
            <a:r>
              <a:rPr lang="en-US" sz="1200"/>
              <a:t># IDP Locations </a:t>
            </a:r>
            <a:r>
              <a:rPr lang="en-US" sz="1200" b="0"/>
              <a:t>(39)</a:t>
            </a:r>
          </a:p>
        </c:rich>
      </c:tx>
      <c:layout>
        <c:manualLayout>
          <c:xMode val="edge"/>
          <c:yMode val="edge"/>
          <c:x val="0.14568565704478256"/>
          <c:y val="3.889688687796591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Analysis'!$B$182:$B$183</c:f>
              <c:strCache>
                <c:ptCount val="1"/>
                <c:pt idx="0">
                  <c:v>Host Families</c:v>
                </c:pt>
              </c:strCache>
            </c:strRef>
          </c:tx>
          <c:spPr>
            <a:solidFill>
              <a:schemeClr val="accent6">
                <a:lumMod val="75000"/>
              </a:schemeClr>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Analysis'!$B$184:$B$192</c:f>
              <c:numCache>
                <c:formatCode>General</c:formatCode>
                <c:ptCount val="8"/>
                <c:pt idx="7">
                  <c:v>4</c:v>
                </c:pt>
              </c:numCache>
            </c:numRef>
          </c:val>
        </c:ser>
        <c:ser>
          <c:idx val="1"/>
          <c:order val="1"/>
          <c:tx>
            <c:strRef>
              <c:f>'Camp Analysis'!$C$182:$C$183</c:f>
              <c:strCache>
                <c:ptCount val="1"/>
                <c:pt idx="0">
                  <c:v>Planned Camp</c:v>
                </c:pt>
              </c:strCache>
            </c:strRef>
          </c:tx>
          <c:spPr>
            <a:solidFill>
              <a:schemeClr val="accent1"/>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Analysis'!$C$184:$C$192</c:f>
              <c:numCache>
                <c:formatCode>General</c:formatCode>
                <c:ptCount val="8"/>
                <c:pt idx="0">
                  <c:v>2</c:v>
                </c:pt>
                <c:pt idx="3">
                  <c:v>2</c:v>
                </c:pt>
                <c:pt idx="4">
                  <c:v>4</c:v>
                </c:pt>
                <c:pt idx="5">
                  <c:v>1</c:v>
                </c:pt>
                <c:pt idx="6">
                  <c:v>2</c:v>
                </c:pt>
                <c:pt idx="7">
                  <c:v>11</c:v>
                </c:pt>
              </c:numCache>
            </c:numRef>
          </c:val>
        </c:ser>
        <c:ser>
          <c:idx val="2"/>
          <c:order val="2"/>
          <c:tx>
            <c:strRef>
              <c:f>'Camp Analysis'!$D$182:$D$183</c:f>
              <c:strCache>
                <c:ptCount val="1"/>
                <c:pt idx="0">
                  <c:v>Self Settled Camp</c:v>
                </c:pt>
              </c:strCache>
            </c:strRef>
          </c:tx>
          <c:spPr>
            <a:solidFill>
              <a:srgbClr val="FFFF00"/>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Analysis'!$D$184:$D$192</c:f>
              <c:numCache>
                <c:formatCode>General</c:formatCode>
                <c:ptCount val="8"/>
                <c:pt idx="1">
                  <c:v>1</c:v>
                </c:pt>
                <c:pt idx="2">
                  <c:v>9</c:v>
                </c:pt>
                <c:pt idx="5">
                  <c:v>1</c:v>
                </c:pt>
                <c:pt idx="6">
                  <c:v>1</c:v>
                </c:pt>
                <c:pt idx="7">
                  <c:v>1</c:v>
                </c:pt>
              </c:numCache>
            </c:numRef>
          </c:val>
        </c:ser>
        <c:dLbls>
          <c:showLegendKey val="0"/>
          <c:showVal val="0"/>
          <c:showCatName val="0"/>
          <c:showSerName val="0"/>
          <c:showPercent val="0"/>
          <c:showBubbleSize val="0"/>
        </c:dLbls>
        <c:gapWidth val="75"/>
        <c:overlap val="100"/>
        <c:axId val="255862072"/>
        <c:axId val="257432512"/>
      </c:barChart>
      <c:catAx>
        <c:axId val="255862072"/>
        <c:scaling>
          <c:orientation val="minMax"/>
        </c:scaling>
        <c:delete val="1"/>
        <c:axPos val="r"/>
        <c:numFmt formatCode="General" sourceLinked="0"/>
        <c:majorTickMark val="none"/>
        <c:minorTickMark val="none"/>
        <c:tickLblPos val="nextTo"/>
        <c:crossAx val="257432512"/>
        <c:crosses val="autoZero"/>
        <c:auto val="1"/>
        <c:lblAlgn val="ctr"/>
        <c:lblOffset val="100"/>
        <c:noMultiLvlLbl val="0"/>
      </c:catAx>
      <c:valAx>
        <c:axId val="257432512"/>
        <c:scaling>
          <c:orientation val="maxMin"/>
        </c:scaling>
        <c:delete val="0"/>
        <c:axPos val="b"/>
        <c:majorGridlines/>
        <c:numFmt formatCode="General" sourceLinked="1"/>
        <c:majorTickMark val="none"/>
        <c:minorTickMark val="none"/>
        <c:tickLblPos val="nextTo"/>
        <c:spPr>
          <a:ln w="9525">
            <a:noFill/>
          </a:ln>
        </c:spPr>
        <c:crossAx val="255862072"/>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Analysis!PivotTable14</c:name>
    <c:fmtId val="13"/>
  </c:pivotSource>
  <c:chart>
    <c:title>
      <c:tx>
        <c:rich>
          <a:bodyPr/>
          <a:lstStyle/>
          <a:p>
            <a:pPr>
              <a:defRPr/>
            </a:pPr>
            <a:r>
              <a:rPr lang="en-US" sz="1200"/>
              <a:t>IDP</a:t>
            </a:r>
            <a:r>
              <a:rPr lang="en-US" sz="1200" baseline="0"/>
              <a:t> Population </a:t>
            </a:r>
            <a:r>
              <a:rPr lang="en-US" sz="1200" b="0" baseline="0"/>
              <a:t>(119,862)</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Analysis'!$B$201:$B$202</c:f>
              <c:strCache>
                <c:ptCount val="1"/>
                <c:pt idx="0">
                  <c:v>Host Families</c:v>
                </c:pt>
              </c:strCache>
            </c:strRef>
          </c:tx>
          <c:spPr>
            <a:solidFill>
              <a:schemeClr val="accent6">
                <a:lumMod val="75000"/>
              </a:schemeClr>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Analysis'!$B$203:$B$211</c:f>
              <c:numCache>
                <c:formatCode>General</c:formatCode>
                <c:ptCount val="8"/>
                <c:pt idx="7">
                  <c:v>6146</c:v>
                </c:pt>
              </c:numCache>
            </c:numRef>
          </c:val>
        </c:ser>
        <c:ser>
          <c:idx val="1"/>
          <c:order val="1"/>
          <c:tx>
            <c:strRef>
              <c:f>'Camp Analysis'!$C$201:$C$202</c:f>
              <c:strCache>
                <c:ptCount val="1"/>
                <c:pt idx="0">
                  <c:v>Planned Camp</c:v>
                </c:pt>
              </c:strCache>
            </c:strRef>
          </c:tx>
          <c:spPr>
            <a:solidFill>
              <a:schemeClr val="accent1"/>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Analysis'!$C$203:$C$211</c:f>
              <c:numCache>
                <c:formatCode>General</c:formatCode>
                <c:ptCount val="8"/>
                <c:pt idx="0">
                  <c:v>1601</c:v>
                </c:pt>
                <c:pt idx="3">
                  <c:v>2922</c:v>
                </c:pt>
                <c:pt idx="4">
                  <c:v>15429</c:v>
                </c:pt>
                <c:pt idx="5">
                  <c:v>187</c:v>
                </c:pt>
                <c:pt idx="6">
                  <c:v>2258</c:v>
                </c:pt>
                <c:pt idx="7">
                  <c:v>76307</c:v>
                </c:pt>
              </c:numCache>
            </c:numRef>
          </c:val>
        </c:ser>
        <c:ser>
          <c:idx val="2"/>
          <c:order val="2"/>
          <c:tx>
            <c:strRef>
              <c:f>'Camp Analysis'!$D$201:$D$202</c:f>
              <c:strCache>
                <c:ptCount val="1"/>
                <c:pt idx="0">
                  <c:v>Self Settled Camp</c:v>
                </c:pt>
              </c:strCache>
            </c:strRef>
          </c:tx>
          <c:spPr>
            <a:solidFill>
              <a:srgbClr val="FFFF00"/>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Analysis'!$D$203:$D$211</c:f>
              <c:numCache>
                <c:formatCode>General</c:formatCode>
                <c:ptCount val="8"/>
                <c:pt idx="1">
                  <c:v>546</c:v>
                </c:pt>
                <c:pt idx="2">
                  <c:v>1378</c:v>
                </c:pt>
                <c:pt idx="5">
                  <c:v>77</c:v>
                </c:pt>
                <c:pt idx="6">
                  <c:v>1308</c:v>
                </c:pt>
                <c:pt idx="7">
                  <c:v>11703</c:v>
                </c:pt>
              </c:numCache>
            </c:numRef>
          </c:val>
        </c:ser>
        <c:dLbls>
          <c:showLegendKey val="0"/>
          <c:showVal val="0"/>
          <c:showCatName val="0"/>
          <c:showSerName val="0"/>
          <c:showPercent val="0"/>
          <c:showBubbleSize val="0"/>
        </c:dLbls>
        <c:gapWidth val="75"/>
        <c:overlap val="100"/>
        <c:axId val="258460216"/>
        <c:axId val="363744424"/>
      </c:barChart>
      <c:catAx>
        <c:axId val="258460216"/>
        <c:scaling>
          <c:orientation val="minMax"/>
        </c:scaling>
        <c:delete val="0"/>
        <c:axPos val="l"/>
        <c:numFmt formatCode="General" sourceLinked="0"/>
        <c:majorTickMark val="out"/>
        <c:minorTickMark val="none"/>
        <c:tickLblPos val="nextTo"/>
        <c:txPr>
          <a:bodyPr/>
          <a:lstStyle/>
          <a:p>
            <a:pPr>
              <a:defRPr sz="1200" baseline="0"/>
            </a:pPr>
            <a:endParaRPr lang="en-US"/>
          </a:p>
        </c:txPr>
        <c:crossAx val="363744424"/>
        <c:crosses val="autoZero"/>
        <c:auto val="1"/>
        <c:lblAlgn val="ctr"/>
        <c:lblOffset val="100"/>
        <c:noMultiLvlLbl val="0"/>
      </c:catAx>
      <c:valAx>
        <c:axId val="363744424"/>
        <c:scaling>
          <c:orientation val="minMax"/>
        </c:scaling>
        <c:delete val="0"/>
        <c:axPos val="b"/>
        <c:majorGridlines/>
        <c:numFmt formatCode="#,##0" sourceLinked="0"/>
        <c:majorTickMark val="out"/>
        <c:minorTickMark val="none"/>
        <c:tickLblPos val="nextTo"/>
        <c:crossAx val="258460216"/>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5"/>
        <c:marker>
          <c:symbol val="none"/>
        </c:marker>
        <c:dLbl>
          <c:idx val="0"/>
          <c:numFmt formatCode="#,##0" sourceLinked="0"/>
          <c:spPr/>
          <c:txPr>
            <a:bodyPr/>
            <a:lstStyle/>
            <a:p>
              <a:pPr>
                <a:defRPr/>
              </a:pPr>
              <a:endParaRPr lang="en-US"/>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pivotFmt>
      <c:pivotFmt>
        <c:idx val="8"/>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Analysis'!$B$36:$B$37</c:f>
              <c:strCache>
                <c:ptCount val="1"/>
                <c:pt idx="0">
                  <c:v>Camp Management</c:v>
                </c:pt>
              </c:strCache>
            </c:strRef>
          </c:tx>
          <c:invertIfNegative val="0"/>
          <c:dLbls>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'Camp Analysis'!$A$38</c:f>
              <c:strCache>
                <c:ptCount val="1"/>
                <c:pt idx="0">
                  <c:v>Total</c:v>
                </c:pt>
              </c:strCache>
            </c:strRef>
          </c:cat>
          <c:val>
            <c:numRef>
              <c:f>'Camp Analysis'!$B$38</c:f>
              <c:numCache>
                <c:formatCode>General</c:formatCode>
                <c:ptCount val="1"/>
                <c:pt idx="0">
                  <c:v>103439</c:v>
                </c:pt>
              </c:numCache>
            </c:numRef>
          </c:val>
        </c:ser>
        <c:ser>
          <c:idx val="1"/>
          <c:order val="1"/>
          <c:tx>
            <c:strRef>
              <c:f>'Camp Analysis'!$C$36:$C$37</c:f>
              <c:strCache>
                <c:ptCount val="1"/>
                <c:pt idx="0">
                  <c:v>Focal Point</c:v>
                </c:pt>
              </c:strCache>
            </c:strRef>
          </c:tx>
          <c:invertIfNegative val="0"/>
          <c:dLbls>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numFmt formatCode="#,##0" sourceLinked="0"/>
            <c:spPr/>
            <c:txPr>
              <a:bodyPr/>
              <a:lstStyle/>
              <a:p>
                <a:pPr>
                  <a:defRPr/>
                </a:pPr>
                <a:endParaRPr lang="en-US"/>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Analysis'!$A$38</c:f>
              <c:strCache>
                <c:ptCount val="1"/>
                <c:pt idx="0">
                  <c:v>Total</c:v>
                </c:pt>
              </c:strCache>
            </c:strRef>
          </c:cat>
          <c:val>
            <c:numRef>
              <c:f>'Camp Analysis'!$C$38</c:f>
              <c:numCache>
                <c:formatCode>General</c:formatCode>
                <c:ptCount val="1"/>
                <c:pt idx="0">
                  <c:v>16423</c:v>
                </c:pt>
              </c:numCache>
            </c:numRef>
          </c:val>
        </c:ser>
        <c:dLbls>
          <c:showLegendKey val="0"/>
          <c:showVal val="0"/>
          <c:showCatName val="0"/>
          <c:showSerName val="0"/>
          <c:showPercent val="0"/>
          <c:showBubbleSize val="0"/>
        </c:dLbls>
        <c:gapWidth val="90"/>
        <c:overlap val="100"/>
        <c:axId val="375682616"/>
        <c:axId val="420330744"/>
      </c:barChart>
      <c:catAx>
        <c:axId val="375682616"/>
        <c:scaling>
          <c:orientation val="minMax"/>
        </c:scaling>
        <c:delete val="0"/>
        <c:axPos val="b"/>
        <c:numFmt formatCode="General" sourceLinked="0"/>
        <c:majorTickMark val="out"/>
        <c:minorTickMark val="none"/>
        <c:tickLblPos val="nextTo"/>
        <c:txPr>
          <a:bodyPr/>
          <a:lstStyle/>
          <a:p>
            <a:pPr>
              <a:defRPr sz="1100"/>
            </a:pPr>
            <a:endParaRPr lang="en-US"/>
          </a:p>
        </c:txPr>
        <c:crossAx val="420330744"/>
        <c:crosses val="autoZero"/>
        <c:auto val="1"/>
        <c:lblAlgn val="ctr"/>
        <c:lblOffset val="100"/>
        <c:noMultiLvlLbl val="0"/>
      </c:catAx>
      <c:valAx>
        <c:axId val="420330744"/>
        <c:scaling>
          <c:orientation val="minMax"/>
          <c:max val="120000"/>
          <c:min val="0"/>
        </c:scaling>
        <c:delete val="0"/>
        <c:axPos val="l"/>
        <c:majorGridlines/>
        <c:numFmt formatCode="General" sourceLinked="1"/>
        <c:majorTickMark val="out"/>
        <c:minorTickMark val="none"/>
        <c:tickLblPos val="nextTo"/>
        <c:crossAx val="375682616"/>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98704</c:v>
                </c:pt>
                <c:pt idx="1">
                  <c:v>15012</c:v>
                </c:pt>
                <c:pt idx="2">
                  <c:v>6146</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5409459514032462"/>
          <c:y val="6.8558653609292003E-2"/>
          <c:w val="0.23339620764479396"/>
          <c:h val="0.4181083539000928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Camp'!$M$38:$M$39</c:f>
              <c:strCache>
                <c:ptCount val="1"/>
                <c:pt idx="0">
                  <c:v>F</c:v>
                </c:pt>
              </c:strCache>
            </c:strRef>
          </c:tx>
          <c:spPr>
            <a:solidFill>
              <a:srgbClr val="FD2361"/>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Camp'!$M$40:$M$46</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Camp'!$N$38:$N$39</c:f>
              <c:strCache>
                <c:ptCount val="1"/>
                <c:pt idx="0">
                  <c:v>M</c:v>
                </c:pt>
              </c:strCache>
            </c:strRef>
          </c:tx>
          <c:spPr>
            <a:solidFill>
              <a:schemeClr val="tx2">
                <a:lumMod val="60000"/>
                <a:lumOff val="40000"/>
              </a:schemeClr>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Camp'!$N$40:$N$46</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420333096"/>
        <c:axId val="420333488"/>
      </c:barChart>
      <c:catAx>
        <c:axId val="420333096"/>
        <c:scaling>
          <c:orientation val="minMax"/>
        </c:scaling>
        <c:delete val="0"/>
        <c:axPos val="l"/>
        <c:numFmt formatCode="General" sourceLinked="0"/>
        <c:majorTickMark val="out"/>
        <c:minorTickMark val="none"/>
        <c:tickLblPos val="nextTo"/>
        <c:crossAx val="420333488"/>
        <c:crosses val="autoZero"/>
        <c:auto val="1"/>
        <c:lblAlgn val="ctr"/>
        <c:lblOffset val="100"/>
        <c:noMultiLvlLbl val="0"/>
      </c:catAx>
      <c:valAx>
        <c:axId val="420333488"/>
        <c:scaling>
          <c:orientation val="minMax"/>
        </c:scaling>
        <c:delete val="0"/>
        <c:axPos val="b"/>
        <c:majorGridlines/>
        <c:numFmt formatCode="#,###;[Black]#,###" sourceLinked="0"/>
        <c:majorTickMark val="out"/>
        <c:minorTickMark val="none"/>
        <c:tickLblPos val="nextTo"/>
        <c:crossAx val="420333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June 2016.xlsx]Vulnerability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spPr>
          <a:solidFill>
            <a:schemeClr val="accent4">
              <a:lumMod val="60000"/>
              <a:lumOff val="40000"/>
            </a:schemeClr>
          </a:solidFill>
        </c:spPr>
        <c:marker>
          <c:symbol val="none"/>
        </c:marker>
      </c:pivotFmt>
      <c:pivotFmt>
        <c:idx val="4"/>
        <c:spPr>
          <a:solidFill>
            <a:srgbClr val="00B0F0"/>
          </a:solidFill>
        </c:spPr>
        <c:marker>
          <c:symbol val="none"/>
        </c:marker>
      </c:pivotFmt>
      <c:pivotFmt>
        <c:idx val="5"/>
      </c:pivotFmt>
      <c:pivotFmt>
        <c:idx val="6"/>
      </c:pivotFmt>
    </c:pivotFmts>
    <c:plotArea>
      <c:layout/>
      <c:barChart>
        <c:barDir val="bar"/>
        <c:grouping val="clustered"/>
        <c:varyColors val="0"/>
        <c:ser>
          <c:idx val="0"/>
          <c:order val="0"/>
          <c:tx>
            <c:strRef>
              <c:f>'Vulnerability per Camp'!$K$1:$K$2</c:f>
              <c:strCache>
                <c:ptCount val="1"/>
                <c:pt idx="0">
                  <c:v>Myebon</c:v>
                </c:pt>
              </c:strCache>
            </c:strRef>
          </c:tx>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Camp'!$K$3:$K$11</c:f>
              <c:numCache>
                <c:formatCode>_-* #,##0_-;\-* #,##0_-;_-* "-"??_-;_-@_-</c:formatCode>
                <c:ptCount val="8"/>
                <c:pt idx="0">
                  <c:v>3</c:v>
                </c:pt>
                <c:pt idx="1">
                  <c:v>12</c:v>
                </c:pt>
                <c:pt idx="2">
                  <c:v>68</c:v>
                </c:pt>
                <c:pt idx="3">
                  <c:v>73</c:v>
                </c:pt>
                <c:pt idx="4">
                  <c:v>124</c:v>
                </c:pt>
                <c:pt idx="5">
                  <c:v>65</c:v>
                </c:pt>
                <c:pt idx="6">
                  <c:v>36</c:v>
                </c:pt>
                <c:pt idx="7">
                  <c:v>55</c:v>
                </c:pt>
              </c:numCache>
            </c:numRef>
          </c:val>
        </c:ser>
        <c:ser>
          <c:idx val="1"/>
          <c:order val="1"/>
          <c:tx>
            <c:strRef>
              <c:f>'Vulnerability per Camp'!$L$1:$L$2</c:f>
              <c:strCache>
                <c:ptCount val="1"/>
                <c:pt idx="0">
                  <c:v>Pauktaw</c:v>
                </c:pt>
              </c:strCache>
            </c:strRef>
          </c:tx>
          <c:spPr>
            <a:solidFill>
              <a:schemeClr val="accent4">
                <a:lumMod val="60000"/>
                <a:lumOff val="40000"/>
              </a:schemeClr>
            </a:solidFill>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Camp'!$L$3:$L$11</c:f>
              <c:numCache>
                <c:formatCode>_-* #,##0_-;\-* #,##0_-;_-* "-"??_-;_-@_-</c:formatCode>
                <c:ptCount val="8"/>
                <c:pt idx="0">
                  <c:v>10</c:v>
                </c:pt>
                <c:pt idx="1">
                  <c:v>11</c:v>
                </c:pt>
                <c:pt idx="2">
                  <c:v>28</c:v>
                </c:pt>
                <c:pt idx="3">
                  <c:v>64</c:v>
                </c:pt>
                <c:pt idx="4">
                  <c:v>981</c:v>
                </c:pt>
                <c:pt idx="5">
                  <c:v>73</c:v>
                </c:pt>
                <c:pt idx="6">
                  <c:v>111</c:v>
                </c:pt>
                <c:pt idx="7">
                  <c:v>139</c:v>
                </c:pt>
              </c:numCache>
            </c:numRef>
          </c:val>
        </c:ser>
        <c:ser>
          <c:idx val="2"/>
          <c:order val="2"/>
          <c:tx>
            <c:strRef>
              <c:f>'Vulnerability per Camp'!$M$1:$M$2</c:f>
              <c:strCache>
                <c:ptCount val="1"/>
                <c:pt idx="0">
                  <c:v>Sittwe</c:v>
                </c:pt>
              </c:strCache>
            </c:strRef>
          </c:tx>
          <c:spPr>
            <a:solidFill>
              <a:srgbClr val="00B0F0"/>
            </a:solidFill>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Camp'!$M$3:$M$11</c:f>
              <c:numCache>
                <c:formatCode>_-* #,##0_-;\-* #,##0_-;_-* "-"??_-;_-@_-</c:formatCode>
                <c:ptCount val="8"/>
                <c:pt idx="0">
                  <c:v>364</c:v>
                </c:pt>
                <c:pt idx="1">
                  <c:v>217</c:v>
                </c:pt>
                <c:pt idx="2">
                  <c:v>537</c:v>
                </c:pt>
                <c:pt idx="3">
                  <c:v>2108</c:v>
                </c:pt>
                <c:pt idx="4">
                  <c:v>2104</c:v>
                </c:pt>
                <c:pt idx="5">
                  <c:v>477</c:v>
                </c:pt>
                <c:pt idx="6">
                  <c:v>696</c:v>
                </c:pt>
                <c:pt idx="7">
                  <c:v>820</c:v>
                </c:pt>
              </c:numCache>
            </c:numRef>
          </c:val>
        </c:ser>
        <c:dLbls>
          <c:showLegendKey val="0"/>
          <c:showVal val="0"/>
          <c:showCatName val="0"/>
          <c:showSerName val="0"/>
          <c:showPercent val="0"/>
          <c:showBubbleSize val="0"/>
        </c:dLbls>
        <c:gapWidth val="0"/>
        <c:overlap val="-19"/>
        <c:axId val="420334272"/>
        <c:axId val="412437208"/>
      </c:barChart>
      <c:catAx>
        <c:axId val="420334272"/>
        <c:scaling>
          <c:orientation val="minMax"/>
        </c:scaling>
        <c:delete val="0"/>
        <c:axPos val="l"/>
        <c:numFmt formatCode="General" sourceLinked="0"/>
        <c:majorTickMark val="none"/>
        <c:minorTickMark val="none"/>
        <c:tickLblPos val="nextTo"/>
        <c:txPr>
          <a:bodyPr/>
          <a:lstStyle/>
          <a:p>
            <a:pPr>
              <a:defRPr sz="1000"/>
            </a:pPr>
            <a:endParaRPr lang="en-US"/>
          </a:p>
        </c:txPr>
        <c:crossAx val="412437208"/>
        <c:crosses val="autoZero"/>
        <c:auto val="1"/>
        <c:lblAlgn val="ctr"/>
        <c:lblOffset val="100"/>
        <c:noMultiLvlLbl val="0"/>
      </c:catAx>
      <c:valAx>
        <c:axId val="41243720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420334272"/>
        <c:crosses val="autoZero"/>
        <c:crossBetween val="between"/>
      </c:valAx>
      <c:spPr>
        <a:ln>
          <a:solidFill>
            <a:schemeClr val="tx1"/>
          </a:solid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June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Analysis'!$N$8</c:f>
              <c:strCache>
                <c:ptCount val="1"/>
                <c:pt idx="0">
                  <c:v>Total</c:v>
                </c:pt>
              </c:strCache>
            </c:strRef>
          </c:tx>
          <c:invertIfNegative val="0"/>
          <c:cat>
            <c:strRef>
              <c:f>'Camp Analysis'!$M$9:$M$19</c:f>
              <c:strCache>
                <c:ptCount val="10"/>
                <c:pt idx="0">
                  <c:v>Sittwe</c:v>
                </c:pt>
                <c:pt idx="1">
                  <c:v>Pauktaw</c:v>
                </c:pt>
                <c:pt idx="2">
                  <c:v>Kyauktaw</c:v>
                </c:pt>
                <c:pt idx="3">
                  <c:v>Minbya</c:v>
                </c:pt>
                <c:pt idx="4">
                  <c:v>Rathedaung</c:v>
                </c:pt>
                <c:pt idx="5">
                  <c:v>Mrauk_U</c:v>
                </c:pt>
                <c:pt idx="6">
                  <c:v>Myebon</c:v>
                </c:pt>
                <c:pt idx="7">
                  <c:v>Kyauk_Phyu</c:v>
                </c:pt>
                <c:pt idx="8">
                  <c:v>Maungdaw</c:v>
                </c:pt>
                <c:pt idx="9">
                  <c:v>Ramree</c:v>
                </c:pt>
              </c:strCache>
            </c:strRef>
          </c:cat>
          <c:val>
            <c:numRef>
              <c:f>'Camp Analysis'!$N$9:$N$19</c:f>
              <c:numCache>
                <c:formatCode>General</c:formatCode>
                <c:ptCount val="10"/>
                <c:pt idx="0">
                  <c:v>98754</c:v>
                </c:pt>
                <c:pt idx="1">
                  <c:v>19721</c:v>
                </c:pt>
                <c:pt idx="2">
                  <c:v>6527</c:v>
                </c:pt>
                <c:pt idx="3">
                  <c:v>5638</c:v>
                </c:pt>
                <c:pt idx="4">
                  <c:v>4055</c:v>
                </c:pt>
                <c:pt idx="5">
                  <c:v>3826</c:v>
                </c:pt>
                <c:pt idx="6">
                  <c:v>2922</c:v>
                </c:pt>
                <c:pt idx="7">
                  <c:v>1601</c:v>
                </c:pt>
                <c:pt idx="8">
                  <c:v>1378</c:v>
                </c:pt>
                <c:pt idx="9">
                  <c:v>264</c:v>
                </c:pt>
              </c:numCache>
            </c:numRef>
          </c:val>
        </c:ser>
        <c:dLbls>
          <c:showLegendKey val="0"/>
          <c:showVal val="0"/>
          <c:showCatName val="0"/>
          <c:showSerName val="0"/>
          <c:showPercent val="0"/>
          <c:showBubbleSize val="0"/>
        </c:dLbls>
        <c:gapWidth val="150"/>
        <c:axId val="412437992"/>
        <c:axId val="412438384"/>
      </c:barChart>
      <c:catAx>
        <c:axId val="412437992"/>
        <c:scaling>
          <c:orientation val="minMax"/>
        </c:scaling>
        <c:delete val="0"/>
        <c:axPos val="l"/>
        <c:numFmt formatCode="General" sourceLinked="0"/>
        <c:majorTickMark val="out"/>
        <c:minorTickMark val="none"/>
        <c:tickLblPos val="nextTo"/>
        <c:txPr>
          <a:bodyPr/>
          <a:lstStyle/>
          <a:p>
            <a:pPr>
              <a:defRPr sz="1050"/>
            </a:pPr>
            <a:endParaRPr lang="en-US"/>
          </a:p>
        </c:txPr>
        <c:crossAx val="412438384"/>
        <c:crosses val="autoZero"/>
        <c:auto val="1"/>
        <c:lblAlgn val="ctr"/>
        <c:lblOffset val="100"/>
        <c:noMultiLvlLbl val="0"/>
      </c:catAx>
      <c:valAx>
        <c:axId val="412438384"/>
        <c:scaling>
          <c:orientation val="minMax"/>
        </c:scaling>
        <c:delete val="0"/>
        <c:axPos val="b"/>
        <c:majorGridlines/>
        <c:numFmt formatCode="General" sourceLinked="1"/>
        <c:majorTickMark val="out"/>
        <c:minorTickMark val="none"/>
        <c:tickLblPos val="nextTo"/>
        <c:crossAx val="412437992"/>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8" Type="http://schemas.openxmlformats.org/officeDocument/2006/relationships/hyperlink" Target="#'Camp Analysis'!R1C1"/><Relationship Id="rId3" Type="http://schemas.openxmlformats.org/officeDocument/2006/relationships/image" Target="../media/image6.png"/><Relationship Id="rId7" Type="http://schemas.openxmlformats.org/officeDocument/2006/relationships/hyperlink" Target="#'Camp List'!R1C1"/><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5" Type="http://schemas.openxmlformats.org/officeDocument/2006/relationships/hyperlink" Target="#Home!A1"/><Relationship Id="rId10" Type="http://schemas.openxmlformats.org/officeDocument/2006/relationships/hyperlink" Target="#'CCCM Dashboard'!R1C1"/><Relationship Id="rId4" Type="http://schemas.openxmlformats.org/officeDocument/2006/relationships/image" Target="../media/image16.png"/><Relationship Id="rId9" Type="http://schemas.openxmlformats.org/officeDocument/2006/relationships/hyperlink" Target="#'Camp List (printable) '!R1C1"/></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4.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6.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7.xml"/><Relationship Id="rId9" Type="http://schemas.openxmlformats.org/officeDocument/2006/relationships/hyperlink" Target="#'Shelter Coverage &amp; Gaps'!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8.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0.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1.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Asia/Myanmar/RakhineAndKachin/Pages/Standards_Guidelines.aspx" TargetMode="External"/><Relationship Id="rId9"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9.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5.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57" name="Picture 56"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70" name="Picture 69"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83" name="Picture 82"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96" name="Picture 95"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08" name="Picture 107"/>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09" name="Picture 108"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411181</xdr:colOff>
      <xdr:row>29</xdr:row>
      <xdr:rowOff>149186</xdr:rowOff>
    </xdr:from>
    <xdr:to>
      <xdr:col>15</xdr:col>
      <xdr:colOff>367230</xdr:colOff>
      <xdr:row>49</xdr:row>
      <xdr:rowOff>112120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413132</xdr:colOff>
      <xdr:row>50</xdr:row>
      <xdr:rowOff>1</xdr:rowOff>
    </xdr:from>
    <xdr:to>
      <xdr:col>15</xdr:col>
      <xdr:colOff>395460</xdr:colOff>
      <xdr:row>72</xdr:row>
      <xdr:rowOff>390181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5"/>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401656</xdr:colOff>
      <xdr:row>5</xdr:row>
      <xdr:rowOff>57379</xdr:rowOff>
    </xdr:from>
    <xdr:to>
      <xdr:col>15</xdr:col>
      <xdr:colOff>355752</xdr:colOff>
      <xdr:row>29</xdr:row>
      <xdr:rowOff>57378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7"/>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8"/>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9"/>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10"/>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6065044"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0479201"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298613" y="692727"/>
          <a:ext cx="3110114"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554436"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5.xml><?xml version="1.0" encoding="utf-8"?>
<c:userShapes xmlns:c="http://schemas.openxmlformats.org/drawingml/2006/chart">
  <cdr:absSizeAnchor xmlns:cdr="http://schemas.openxmlformats.org/drawingml/2006/chartDrawing">
    <cdr:from>
      <cdr:x>0.01048</cdr:x>
      <cdr:y>0.0421</cdr:y>
    </cdr:from>
    <cdr:ext cx="5387974" cy="256328"/>
    <cdr:sp macro="" textlink="">
      <cdr:nvSpPr>
        <cdr:cNvPr id="2" name="TextBox 3"/>
        <cdr:cNvSpPr txBox="1">
          <a:spLocks xmlns:a="http://schemas.openxmlformats.org/drawingml/2006/main"/>
        </cdr:cNvSpPr>
      </cdr:nvSpPr>
      <cdr:spPr>
        <a:xfrm xmlns:a="http://schemas.openxmlformats.org/drawingml/2006/main">
          <a:off x="57150" y="134197"/>
          <a:ext cx="5387974" cy="25632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6.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119,862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39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39,363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18.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415768" y="510268"/>
          <a:ext cx="5490482"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3825875" y="682625"/>
          <a:ext cx="606425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494044</xdr:colOff>
      <xdr:row>0</xdr:row>
      <xdr:rowOff>506735</xdr:rowOff>
    </xdr:from>
    <xdr:to>
      <xdr:col>4</xdr:col>
      <xdr:colOff>234461</xdr:colOff>
      <xdr:row>1</xdr:row>
      <xdr:rowOff>297525</xdr:rowOff>
    </xdr:to>
    <xdr:grpSp>
      <xdr:nvGrpSpPr>
        <xdr:cNvPr id="9" name="Group 8"/>
        <xdr:cNvGrpSpPr/>
      </xdr:nvGrpSpPr>
      <xdr:grpSpPr>
        <a:xfrm>
          <a:off x="1641374" y="440060"/>
          <a:ext cx="3063343" cy="290420"/>
          <a:chOff x="6500812" y="317500"/>
          <a:chExt cx="6186806" cy="575469"/>
        </a:xfrm>
      </xdr:grpSpPr>
      <xdr:pic>
        <xdr:nvPicPr>
          <xdr:cNvPr id="10" name="Picture 9"/>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1" name="Picture 10"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3"/>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4"/>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5"/>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6"/>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7"/>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63500</xdr:colOff>
      <xdr:row>5</xdr:row>
      <xdr:rowOff>264583</xdr:rowOff>
    </xdr:from>
    <xdr:to>
      <xdr:col>34</xdr:col>
      <xdr:colOff>495299</xdr:colOff>
      <xdr:row>37</xdr:row>
      <xdr:rowOff>42335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17199</xdr:colOff>
      <xdr:row>1</xdr:row>
      <xdr:rowOff>197116</xdr:rowOff>
    </xdr:from>
    <xdr:to>
      <xdr:col>9</xdr:col>
      <xdr:colOff>507472</xdr:colOff>
      <xdr:row>2</xdr:row>
      <xdr:rowOff>222060</xdr:rowOff>
    </xdr:to>
    <xdr:grpSp>
      <xdr:nvGrpSpPr>
        <xdr:cNvPr id="16" name="Group 15"/>
        <xdr:cNvGrpSpPr/>
      </xdr:nvGrpSpPr>
      <xdr:grpSpPr>
        <a:xfrm>
          <a:off x="6660887" y="649554"/>
          <a:ext cx="2859616" cy="44166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15877</xdr:colOff>
      <xdr:row>25</xdr:row>
      <xdr:rowOff>95250</xdr:rowOff>
    </xdr:from>
    <xdr:to>
      <xdr:col>8</xdr:col>
      <xdr:colOff>254000</xdr:colOff>
      <xdr:row>38</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129721</xdr:rowOff>
    </xdr:to>
    <xdr:grpSp>
      <xdr:nvGrpSpPr>
        <xdr:cNvPr id="22" name="Group 21"/>
        <xdr:cNvGrpSpPr/>
      </xdr:nvGrpSpPr>
      <xdr:grpSpPr>
        <a:xfrm>
          <a:off x="7556500" y="859518"/>
          <a:ext cx="4942794" cy="440417"/>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11</xdr:row>
      <xdr:rowOff>63500</xdr:rowOff>
    </xdr:from>
    <xdr:to>
      <xdr:col>15</xdr:col>
      <xdr:colOff>595313</xdr:colOff>
      <xdr:row>13</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000" baseline="0">
              <a:solidFill>
                <a:schemeClr val="tx2">
                  <a:lumMod val="40000"/>
                  <a:lumOff val="60000"/>
                </a:schemeClr>
              </a:solidFill>
              <a:latin typeface="Franklin Gothic Demi" pitchFamily="34" charset="0"/>
            </a:rPr>
            <a:t>https://www.sheltercluster.org/Asia/Myanmar/RakhineAndKachin/Pages/Standards_Guidelines.aspx</a:t>
          </a:r>
          <a:endParaRPr lang="en-US" sz="1000">
            <a:solidFill>
              <a:schemeClr val="tx2">
                <a:lumMod val="40000"/>
                <a:lumOff val="60000"/>
              </a:schemeClr>
            </a:solidFill>
            <a:latin typeface="Franklin Gothic Demi" pitchFamily="34" charset="0"/>
          </a:endParaRPr>
        </a:p>
      </xdr:txBody>
    </xdr:sp>
    <xdr:clientData/>
  </xdr:twoCellAnchor>
  <xdr:twoCellAnchor>
    <xdr:from>
      <xdr:col>2</xdr:col>
      <xdr:colOff>38363</xdr:colOff>
      <xdr:row>38</xdr:row>
      <xdr:rowOff>682625</xdr:rowOff>
    </xdr:from>
    <xdr:to>
      <xdr:col>15</xdr:col>
      <xdr:colOff>533401</xdr:colOff>
      <xdr:row>41</xdr:row>
      <xdr:rowOff>19845</xdr:rowOff>
    </xdr:to>
    <xdr:grpSp>
      <xdr:nvGrpSpPr>
        <xdr:cNvPr id="32" name="Group 31"/>
        <xdr:cNvGrpSpPr/>
      </xdr:nvGrpSpPr>
      <xdr:grpSpPr>
        <a:xfrm>
          <a:off x="324113" y="9513661"/>
          <a:ext cx="12129145" cy="589077"/>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25</xdr:row>
      <xdr:rowOff>95249</xdr:rowOff>
    </xdr:from>
    <xdr:to>
      <xdr:col>15</xdr:col>
      <xdr:colOff>583405</xdr:colOff>
      <xdr:row>38</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156884</xdr:colOff>
      <xdr:row>4</xdr:row>
      <xdr:rowOff>33618</xdr:rowOff>
    </xdr:from>
    <xdr:to>
      <xdr:col>16</xdr:col>
      <xdr:colOff>291352</xdr:colOff>
      <xdr:row>23</xdr:row>
      <xdr:rowOff>212911</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three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119,862</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39</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11</xdr:col>
      <xdr:colOff>837637</xdr:colOff>
      <xdr:row>2</xdr:row>
      <xdr:rowOff>99919</xdr:rowOff>
    </xdr:from>
    <xdr:to>
      <xdr:col>16</xdr:col>
      <xdr:colOff>269875</xdr:colOff>
      <xdr:row>3</xdr:row>
      <xdr:rowOff>120650</xdr:rowOff>
    </xdr:to>
    <xdr:grpSp>
      <xdr:nvGrpSpPr>
        <xdr:cNvPr id="223" name="Group 222"/>
        <xdr:cNvGrpSpPr/>
      </xdr:nvGrpSpPr>
      <xdr:grpSpPr>
        <a:xfrm>
          <a:off x="10749159" y="652093"/>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6"/>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7"/>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8"/>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9"/>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0"/>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0</xdr:col>
      <xdr:colOff>62753</xdr:colOff>
      <xdr:row>13</xdr:row>
      <xdr:rowOff>0</xdr:rowOff>
    </xdr:from>
    <xdr:to>
      <xdr:col>2</xdr:col>
      <xdr:colOff>0</xdr:colOff>
      <xdr:row>27</xdr:row>
      <xdr:rowOff>55216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645457</xdr:colOff>
      <xdr:row>14</xdr:row>
      <xdr:rowOff>138043</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509105</xdr:colOff>
      <xdr:row>32</xdr:row>
      <xdr:rowOff>50764</xdr:rowOff>
    </xdr:from>
    <xdr:to>
      <xdr:col>12</xdr:col>
      <xdr:colOff>64605</xdr:colOff>
      <xdr:row>46</xdr:row>
      <xdr:rowOff>51645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46090</xdr:colOff>
      <xdr:row>8</xdr:row>
      <xdr:rowOff>82826</xdr:rowOff>
    </xdr:from>
    <xdr:ext cx="5546008" cy="1242391"/>
    <xdr:sp macro="" textlink="">
      <xdr:nvSpPr>
        <xdr:cNvPr id="8" name="TextBox 7"/>
        <xdr:cNvSpPr txBox="1"/>
      </xdr:nvSpPr>
      <xdr:spPr>
        <a:xfrm>
          <a:off x="46090" y="2222500"/>
          <a:ext cx="5546008" cy="1242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b="0" i="0" u="none">
              <a:ln>
                <a:noFill/>
              </a:ln>
              <a:solidFill>
                <a:srgbClr val="FF0000"/>
              </a:solidFill>
              <a:latin typeface="Calibri (Body)"/>
            </a:rPr>
            <a:t>Since</a:t>
          </a:r>
          <a:r>
            <a:rPr lang="en-US" sz="1100" b="0" i="0" u="none" baseline="0">
              <a:ln>
                <a:noFill/>
              </a:ln>
              <a:solidFill>
                <a:srgbClr val="FF0000"/>
              </a:solidFill>
              <a:latin typeface="Calibri (Body)"/>
            </a:rPr>
            <a:t> the previous Cluster Analysis Report, dated 1st March 2016,</a:t>
          </a:r>
          <a:r>
            <a:rPr lang="en-US" sz="1100" b="0" i="0" u="none">
              <a:ln>
                <a:noFill/>
              </a:ln>
              <a:solidFill>
                <a:srgbClr val="FF0000"/>
              </a:solidFill>
              <a:latin typeface="Calibri (Body)"/>
            </a:rPr>
            <a:t> around 1,900 IDPs living in Kyein Ni Pyin</a:t>
          </a:r>
          <a:r>
            <a:rPr lang="en-US" sz="1100" b="0" i="0" u="none" baseline="0">
              <a:ln>
                <a:noFill/>
              </a:ln>
              <a:solidFill>
                <a:srgbClr val="FF0000"/>
              </a:solidFill>
              <a:latin typeface="Calibri (Body)"/>
            </a:rPr>
            <a:t> (KNP) Camp in</a:t>
          </a:r>
          <a:r>
            <a:rPr lang="en-US" sz="1100" b="0" i="0" u="none">
              <a:ln>
                <a:noFill/>
              </a:ln>
              <a:solidFill>
                <a:srgbClr val="FF0000"/>
              </a:solidFill>
              <a:latin typeface="Calibri (Body)"/>
            </a:rPr>
            <a:t> Pauk</a:t>
          </a:r>
          <a:r>
            <a:rPr lang="en-US" sz="1100" b="0" i="0" u="none" baseline="0">
              <a:ln>
                <a:noFill/>
              </a:ln>
              <a:solidFill>
                <a:srgbClr val="FF0000"/>
              </a:solidFill>
              <a:latin typeface="Calibri (Body)"/>
            </a:rPr>
            <a:t>taw Township have been added to the camp list. Hence, for this 1st June report the total IDP population has increased to 119,862.  The reason for this addition is it has become clear that the Rakhine State Government's General Administrative Department (GAD) is </a:t>
          </a:r>
          <a:r>
            <a:rPr lang="en-US" sz="1100" b="0" i="1" u="none" baseline="0">
              <a:ln>
                <a:noFill/>
              </a:ln>
              <a:solidFill>
                <a:srgbClr val="FF0000"/>
              </a:solidFill>
              <a:latin typeface="Calibri (Body)"/>
            </a:rPr>
            <a:t>not</a:t>
          </a:r>
          <a:r>
            <a:rPr lang="en-US" sz="1100" b="0" i="0" u="none" baseline="0">
              <a:ln>
                <a:noFill/>
              </a:ln>
              <a:solidFill>
                <a:srgbClr val="FF0000"/>
              </a:solidFill>
              <a:latin typeface="Calibri (Body)"/>
            </a:rPr>
            <a:t> using standard administrative structures for these 360 families despite them being settled in individual housing in KNP. </a:t>
          </a:r>
          <a:endParaRPr lang="en-US" sz="1100" b="0" i="0" u="none">
            <a:ln>
              <a:noFill/>
            </a:ln>
            <a:solidFill>
              <a:srgbClr val="FF0000"/>
            </a:solidFill>
            <a:latin typeface="Calibri (Body)"/>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342900</xdr:colOff>
          <xdr:row>19</xdr:row>
          <xdr:rowOff>57150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119,862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22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Kyauk_Phyu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1378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2922</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Mrauk_U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15429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94156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119,862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22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55828</xdr:colOff>
      <xdr:row>34</xdr:row>
      <xdr:rowOff>119062</xdr:rowOff>
    </xdr:from>
    <xdr:to>
      <xdr:col>29</xdr:col>
      <xdr:colOff>654844</xdr:colOff>
      <xdr:row>70</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124166</xdr:colOff>
      <xdr:row>13</xdr:row>
      <xdr:rowOff>28575</xdr:rowOff>
    </xdr:from>
    <xdr:to>
      <xdr:col>17</xdr:col>
      <xdr:colOff>47625</xdr:colOff>
      <xdr:row>39</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346605</xdr:colOff>
      <xdr:row>4</xdr:row>
      <xdr:rowOff>41010</xdr:rowOff>
    </xdr:from>
    <xdr:to>
      <xdr:col>9</xdr:col>
      <xdr:colOff>317500</xdr:colOff>
      <xdr:row>31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148669" y="587377"/>
          <a:ext cx="7948082"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15</xdr:col>
      <xdr:colOff>903514</xdr:colOff>
      <xdr:row>201</xdr:row>
      <xdr:rowOff>59870</xdr:rowOff>
    </xdr:from>
    <xdr:to>
      <xdr:col>18</xdr:col>
      <xdr:colOff>762000</xdr:colOff>
      <xdr:row>215</xdr:row>
      <xdr:rowOff>59870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697308"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UNHCRuser" refreshedDate="42275.366899305554" createdVersion="4" refreshedVersion="4"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293.443021412037" createdVersion="4" refreshedVersion="5" minRefreshableVersion="3" recordCount="184">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293.446245023151"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328.621364467595" createdVersion="4" refreshedVersion="5" minRefreshableVersion="3" recordCount="276">
  <cacheSource type="worksheet">
    <worksheetSource ref="B1:G277"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548.497190972223"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DRC"/>
        <s v="CARE"/>
        <s v="ICRC"/>
        <s v="MAUK"/>
        <s v="WFP"/>
        <s v="TDC/Natala Government"/>
        <s v="UNHCR/BAJ"/>
        <s v="Service City"/>
        <s v="MRF"/>
        <s v="IRW"/>
        <s v="MRCS"/>
      </sharedItems>
    </cacheField>
    <cacheField name="Implementing Partner" numFmtId="49">
      <sharedItems/>
    </cacheField>
    <cacheField name="State" numFmtId="49">
      <sharedItems count="1">
        <s v="Rakhine"/>
      </sharedItems>
    </cacheField>
    <cacheField name="Township" numFmtId="0">
      <sharedItems count="10">
        <s v="Kyauktaw"/>
        <s v="Kyauk_Phyu"/>
        <s v="Minbya"/>
        <s v="Mrauk_U"/>
        <s v="Myebon"/>
        <s v="Pauktaw"/>
        <s v="Ramree"/>
        <s v="Rathedaung"/>
        <s v="Sittwe"/>
        <s v="Maungdaw"/>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548.551418634263" createdVersion="4" refreshedVersion="5" minRefreshableVersion="3" recordCount="396">
  <cacheSource type="worksheet">
    <worksheetSource name="Data_NFI_t"/>
  </cacheSource>
  <cacheFields count="33">
    <cacheField name="Months" numFmtId="1">
      <sharedItems containsSemiMixedTypes="0" containsString="0" containsNumber="1" minValue="-2.4333333333333331" maxValue="47.833333333333336" count="771">
        <n v="-0.66666666666666663"/>
        <n v="-0.6333333333333333"/>
        <n v="3.9333333333333331"/>
        <n v="4.1333333333333337"/>
        <n v="4.2"/>
        <n v="4.3666666666666663"/>
        <n v="5.833333333333333"/>
        <n v="6.3666666666666663"/>
        <n v="6.5"/>
        <n v="6.5333333333333332"/>
        <n v="7.0333333333333332"/>
        <n v="7.2666666666666666"/>
        <n v="7.9"/>
        <n v="8.6"/>
        <n v="9.8000000000000007"/>
        <n v="9.9333333333333336"/>
        <n v="10.433333333333334"/>
        <n v="10.466666666666667"/>
        <n v="10.933333333333334"/>
        <n v="11.366666666666667"/>
        <n v="11.4"/>
        <n v="11.433333333333334"/>
        <n v="11.466666666666667"/>
        <n v="11.733333333333333"/>
        <n v="11.866666666666667"/>
        <n v="11.9"/>
        <n v="12.6"/>
        <n v="12.866666666666667"/>
        <n v="13.033333333333333"/>
        <n v="13.066666666666666"/>
        <n v="13.1"/>
        <n v="13.366666666666667"/>
        <n v="14.8"/>
        <n v="15.133333333333333"/>
        <n v="15.266666666666667"/>
        <n v="15.566666666666666"/>
        <n v="16.2"/>
        <n v="16.3"/>
        <n v="16.566666666666666"/>
        <n v="17.066666666666666"/>
        <n v="17.233333333333334"/>
        <n v="17.533333333333335"/>
        <n v="17.7"/>
        <n v="17.733333333333334"/>
        <n v="17.833333333333332"/>
        <n v="20.733333333333334"/>
        <n v="20.766666666666666"/>
        <n v="20.8"/>
        <n v="21.433333333333334"/>
        <n v="21.5"/>
        <n v="21.9"/>
        <n v="22.333333333333332"/>
        <n v="22.7"/>
        <n v="23.933333333333334"/>
        <n v="24.133333333333333"/>
        <n v="26.4"/>
        <n v="27.433333333333334"/>
        <n v="28.4"/>
        <n v="28.9"/>
        <n v="28.933333333333334"/>
        <n v="29.233333333333334"/>
        <n v="29.366666666666667"/>
        <n v="29.433333333333334"/>
        <n v="30.033333333333335"/>
        <n v="30.066666666666666"/>
        <n v="30.3"/>
        <n v="30.833333333333332"/>
        <n v="31"/>
        <n v="31.033333333333335"/>
        <n v="31.066666666666666"/>
        <n v="31.466666666666665"/>
        <n v="31.566666666666666"/>
        <n v="31.766666666666666"/>
        <n v="31.9"/>
        <n v="31.933333333333334"/>
        <n v="32.866666666666667"/>
        <n v="32.9"/>
        <n v="33.1"/>
        <n v="33.633333333333333"/>
        <n v="34.1"/>
        <n v="34.266666666666666"/>
        <n v="35.233333333333334"/>
        <n v="35.266666666666666"/>
        <n v="35.366666666666667"/>
        <n v="35.533333333333331"/>
        <n v="35.700000000000003"/>
        <n v="36.633333333333333"/>
        <n v="36.666666666666664"/>
        <n v="36.700000000000003"/>
        <n v="36.833333333333336"/>
        <n v="36.866666666666667"/>
        <n v="37.6"/>
        <n v="37.633333333333333"/>
        <n v="37.733333333333334"/>
        <n v="37.799999999999997"/>
        <n v="38.200000000000003"/>
        <n v="38.266666666666666"/>
        <n v="38.299999999999997"/>
        <n v="38.43333333333333"/>
        <n v="38.466666666666669"/>
        <n v="38.5"/>
        <n v="38.533333333333331"/>
        <n v="39.166666666666664"/>
        <n v="39.466666666666669"/>
        <n v="39.533333333333331"/>
        <n v="39.6"/>
        <n v="39.666666666666664"/>
        <n v="39.833333333333336"/>
        <n v="39.866666666666667"/>
        <n v="40.06666666666667"/>
        <n v="40.1"/>
        <n v="40.299999999999997"/>
        <n v="40.533333333333331"/>
        <n v="40.6"/>
        <n v="40.799999999999997"/>
        <n v="40.9"/>
        <n v="41"/>
        <n v="41.033333333333331"/>
        <n v="41.266666666666666"/>
        <n v="41.3"/>
        <n v="41.366666666666667"/>
        <n v="41.56666666666667"/>
        <n v="41.833333333333336"/>
        <n v="41.866666666666667"/>
        <n v="42.033333333333331"/>
        <n v="42.06666666666667"/>
        <n v="42.1"/>
        <n v="42.133333333333333"/>
        <n v="42.166666666666664"/>
        <n v="42.2"/>
        <n v="42.233333333333334"/>
        <n v="42.3"/>
        <n v="42.466666666666669"/>
        <n v="42.533333333333331"/>
        <n v="42.633333333333333"/>
        <n v="42.93333333333333"/>
        <n v="43"/>
        <n v="43.533333333333331"/>
        <n v="43.56666666666667"/>
        <n v="43.6"/>
        <n v="43.633333333333333"/>
        <n v="44.43333333333333"/>
        <n v="44.466666666666669"/>
        <n v="45.43333333333333"/>
        <n v="45.5"/>
        <n v="45.633333333333333"/>
        <n v="45.866666666666667"/>
        <n v="45.93333333333333"/>
        <n v="46.533333333333331"/>
        <n v="46.733333333333334"/>
        <n v="46.766666666666666"/>
        <n v="47.033333333333331"/>
        <n v="47.06666666666667"/>
        <n v="47.1"/>
        <n v="47.133333333333333"/>
        <n v="47.166666666666664"/>
        <n v="47.2"/>
        <n v="47.233333333333334"/>
        <n v="47.333333333333336"/>
        <n v="47.366666666666667"/>
        <n v="47.4"/>
        <n v="47.43333333333333"/>
        <n v="47.5"/>
        <n v="47.56666666666667"/>
        <n v="47.733333333333334"/>
        <n v="47.766666666666666"/>
        <n v="47.8"/>
        <n v="47.833333333333336"/>
        <n v="0" u="1"/>
        <n v="33.766666666666666" u="1"/>
        <n v="24.033333333333335" u="1"/>
        <n v="28.7" u="1"/>
        <n v="34.733333333333334" u="1"/>
        <n v="1.1666666666666667" u="1"/>
        <n v="15.833333333333334" u="1"/>
        <n v="20.333333333333332" u="1"/>
        <n v="25" u="1"/>
        <n v="21.3" u="1"/>
        <n v="12.133333333333333" u="1"/>
        <n v="36.200000000000003" u="1"/>
        <n v="30.4" u="1"/>
        <n v="39.1" u="1"/>
        <n v="8.4333333333333336" u="1"/>
        <n v="31.366666666666667" u="1"/>
        <n v="1.3333333333333333" u="1"/>
        <n v="19.3" u="1"/>
        <n v="11.133333333333333" u="1"/>
        <n v="32.200000000000003" u="1"/>
        <n v="33.166666666666664" u="1"/>
        <n v="23.733333333333334" u="1"/>
        <n v="35.1" u="1"/>
        <n v="20.033333333333335" u="1"/>
        <n v="1.5" u="1"/>
        <n v="13.833333333333334" u="1"/>
        <n v="21" u="1"/>
        <n v="3.7666666666666666" u="1"/>
        <n v="10.133333333333333" u="1"/>
        <n v="30.1" u="1"/>
        <n v="37.533333333333331" u="1"/>
        <n v="18.033333333333335" u="1"/>
        <n v="12.833333333333334" u="1"/>
        <n v="39.966666666666669" u="1"/>
        <n v="2.9333333333333331" u="1"/>
        <n v="40.93333333333333" u="1"/>
        <n v="32.56666666666667" u="1"/>
        <n v="28.1" u="1"/>
        <n v="33.533333333333331" u="1"/>
        <n v="-1.1666666666666667" u="1"/>
        <n v="34.5" u="1"/>
        <n v="19.733333333333334" u="1"/>
        <n v="29.066666666666666" u="1"/>
        <n v="0.46666666666666667" u="1"/>
        <n v="20.7" u="1"/>
        <n v="25.366666666666667" u="1"/>
        <n v="0.83333333333333337" u="1"/>
        <n v="14.166666666666666" u="1"/>
        <n v="35.966666666666669" u="1"/>
        <n v="3.2666666666666666" u="1"/>
        <n v="6.9" u="1"/>
        <n v="26.1" u="1"/>
        <n v="30.766666666666666" u="1"/>
        <n v="22.4" u="1"/>
        <n v="27.066666666666666" u="1"/>
        <n v="23.366666666666667" u="1"/>
        <n v="40.333333333333336" u="1"/>
        <n v="3.6" u="1"/>
        <n v="32.93333333333333" u="1"/>
        <n v="33.9" u="1"/>
        <n v="9.4666666666666668" u="1"/>
        <n v="28.766666666666666" u="1"/>
        <n v="34.866666666666667" u="1"/>
        <n v="15.866666666666667" u="1"/>
        <n v="20.399999999999999" u="1"/>
        <n v="25.066666666666666" u="1"/>
        <n v="16.7" u="1"/>
        <n v="12.166666666666666" u="1"/>
        <n v="36.333333333333336" u="1"/>
        <n v="37.299999999999997" u="1"/>
        <n v="39.233333333333334" u="1"/>
        <n v="8.4666666666666668" u="1"/>
        <n v="26.766666666666666" u="1"/>
        <n v="31.433333333333334" u="1"/>
        <n v="23.066666666666666" u="1"/>
        <n v="0.3" u="1"/>
        <n v="19.366666666666667" u="1"/>
        <n v="40.700000000000003" u="1"/>
        <n v="11.166666666666666" u="1"/>
        <n v="32.333333333333336" u="1"/>
        <n v="41.666666666666664" u="1"/>
        <n v="33.299999999999997" u="1"/>
        <n v="1.9666666666666666" u="1"/>
        <n v="6.5666666666666664" u="1"/>
        <n v="24.766666666666666" u="1"/>
        <n v="16.399999999999999" u="1"/>
        <n v="21.066666666666666" u="1"/>
        <n v="-2.1" u="1"/>
        <n v="30.166666666666668" u="1"/>
        <n v="38.633333333333333" u="1"/>
        <n v="-0.23333333333333334" u="1"/>
        <n v="4.9000000000000004" u="1"/>
        <n v="18.100000000000001" u="1"/>
        <n v="15.2" u="1"/>
        <n v="-2.4333333333333331" u="1"/>
        <n v="-1.6333333333333333" u="1"/>
        <n v="41.06666666666667" u="1"/>
        <n v="0.66666666666666663" u="1"/>
        <n v="9.1666666666666661" u="1"/>
        <n v="28.166666666666668" u="1"/>
        <n v="33.666666666666664" u="1"/>
        <n v="2.6" u="1"/>
        <n v="24.466666666666665" u="1"/>
        <n v="29.133333333333333" u="1"/>
        <n v="35.6" u="1"/>
        <n v="25.433333333333334" u="1"/>
        <n v="14.2" u="1"/>
        <n v="8.1666666666666661" u="1"/>
        <n v="10.5" u="1"/>
        <n v="39" u="1"/>
        <n v="22.466666666666665" u="1"/>
        <n v="27.133333333333333" u="1"/>
        <n v="23.433333333333334" u="1"/>
        <n v="13.2" u="1"/>
        <n v="40.466666666666669" u="1"/>
        <n v="-1.9666666666666666" u="1"/>
        <n v="33.06666666666667" u="1"/>
        <n v="34.033333333333331" u="1"/>
        <n v="28.833333333333332" u="1"/>
        <n v="35" u="1"/>
        <n v="29.8" u="1"/>
        <n v="3.7" u="1"/>
        <n v="16.766666666666666" u="1"/>
        <n v="12.2" u="1"/>
        <n v="14.533333333333333" u="1"/>
        <n v="36.466666666666669" u="1"/>
        <n v="37.43333333333333" u="1"/>
        <n v="30.533333333333335" u="1"/>
        <n v="38.4" u="1"/>
        <n v="39.366666666666667" u="1"/>
        <n v="22.166666666666668" u="1"/>
        <n v="31.5" u="1"/>
        <n v="18.466666666666665" u="1"/>
        <n v="23.133333333333333" u="1"/>
        <n v="27.8" u="1"/>
        <n v="5.2333333333333334" u="1"/>
        <n v="19.433333333333334" u="1"/>
        <n v="32.466666666666669" u="1"/>
        <n v="33.43333333333333" u="1"/>
        <n v="28.533333333333335" u="1"/>
        <n v="34.4" u="1"/>
        <n v="24.833333333333332" u="1"/>
        <n v="29.5" u="1"/>
        <n v="1.8" u="1"/>
        <n v="21.133333333333333" u="1"/>
        <n v="25.8" u="1"/>
        <n v="4.7333333333333334" u="1"/>
        <n v="10.199999999999999" u="1"/>
        <n v="30.233333333333334" u="1"/>
        <n v="38.766666666666666" u="1"/>
        <n v="26.533333333333335" u="1"/>
        <n v="31.2" u="1"/>
        <n v="0.5" u="1"/>
        <n v="22.833333333333332" u="1"/>
        <n v="15.233333333333333" u="1"/>
        <n v="23.8" u="1"/>
        <n v="3.5333333333333332" u="1"/>
        <n v="32.833333333333336" u="1"/>
        <n v="7.4333333333333336" u="1"/>
        <n v="9.1999999999999993" u="1"/>
        <n v="28.233333333333334" u="1"/>
        <n v="33.799999999999997" u="1"/>
        <n v="34.766666666666666" u="1"/>
        <n v="35.733333333333334" u="1"/>
        <n v="25.5" u="1"/>
        <n v="14.233333333333333" u="1"/>
        <n v="21.8" u="1"/>
        <n v="2.7" u="1"/>
        <n v="6.9333333333333336" u="1"/>
        <n v="26.233333333333334" u="1"/>
        <n v="27.2" u="1"/>
        <n v="18.833333333333332" u="1"/>
        <n v="23.5" u="1"/>
        <n v="33.200000000000003" u="1"/>
        <n v="34.166666666666664" u="1"/>
        <n v="24.233333333333334" u="1"/>
        <n v="35.133333333333333" u="1"/>
        <n v="36.1" u="1"/>
        <n v="29.866666666666667" u="1"/>
        <n v="16.833333333333332" u="1"/>
        <n v="14.566666666666666" u="1"/>
        <n v="2.2000000000000002" u="1"/>
        <n v="3.3666666666666667" u="1"/>
        <n v="30.6" u="1"/>
        <n v="5.9333333333333336" u="1"/>
        <n v="8.5333333333333332" u="1"/>
        <n v="22.233333333333334" u="1"/>
        <n v="32.1" u="1"/>
        <n v="23.2" u="1"/>
        <n v="27.866666666666667" u="1"/>
        <n v="40.966666666666669" u="1"/>
        <n v="33.56666666666667" u="1"/>
        <n v="28.6" u="1"/>
        <n v="34.533333333333331" u="1"/>
        <n v="35.5" u="1"/>
        <n v="24.9" u="1"/>
        <n v="29.566666666666666" u="1"/>
        <n v="21.2" u="1"/>
        <n v="25.866666666666667" u="1"/>
        <n v="38.9" u="1"/>
        <n v="31.266666666666666" u="1"/>
        <n v="4.9333333333333336" u="1"/>
        <n v="22.9" u="1"/>
        <n v="27.566666666666666" u="1"/>
        <n v="41.333333333333336" u="1"/>
        <n v="32.966666666666669" u="1"/>
        <n v="9.2333333333333325" u="1"/>
        <n v="33.93333333333333" u="1"/>
        <n v="34.9" u="1"/>
        <n v="24.6" u="1"/>
        <n v="29.266666666666666" u="1"/>
        <n v="6.7666666666666666" u="1"/>
        <n v="16.233333333333334" u="1"/>
        <n v="20.9" u="1"/>
        <n v="37.333333333333336" u="1"/>
        <n v="0.9" u="1"/>
        <n v="39.266666666666666" u="1"/>
        <n v="40.233333333333334" u="1"/>
        <n v="22.6" u="1"/>
        <n v="27.266666666666666" u="1"/>
        <n v="5.0999999999999996" u="1"/>
        <n v="6.2666666666666666" u="1"/>
        <n v="23.566666666666666" u="1"/>
        <n v="15.6" u="1"/>
        <n v="19.866666666666667" u="1"/>
        <n v="41.7" u="1"/>
        <n v="33.333333333333336" u="1"/>
        <n v="9.5666666666666664" u="1"/>
        <n v="29.933333333333334" u="1"/>
        <n v="5.7666666666666666" u="1"/>
        <n v="17.866666666666667" u="1"/>
        <n v="39.633333333333333" u="1"/>
        <n v="8.5666666666666664" u="1"/>
        <n v="26.966666666666665" u="1"/>
        <n v="31.633333333333333" u="1"/>
        <n v="32.233333333333334" u="1"/>
        <n v="23.266666666666666" u="1"/>
        <n v="27.933333333333334" u="1"/>
        <n v="3.4666666666666668" u="1"/>
        <n v="4.0999999999999996" u="1"/>
        <n v="5.2666666666666666" u="1"/>
        <n v="19.566666666666666" u="1"/>
        <n v="13.6" u="1"/>
        <n v="33.700000000000003" u="1"/>
        <n v="0.56666666666666665" u="1"/>
        <n v="35.633333333333333" u="1"/>
        <n v="9.9" u="1"/>
        <n v="24.966666666666665" u="1"/>
        <n v="29.633333333333333" u="1"/>
        <n v="16.600000000000001" u="1"/>
        <n v="21.266666666666666" u="1"/>
        <n v="4.7666666666666666" u="1"/>
        <n v="39.033333333333331" u="1"/>
        <n v="26.666666666666668" u="1"/>
        <n v="31.333333333333332" u="1"/>
        <n v="40" u="1"/>
        <n v="22.966666666666665" u="1"/>
        <n v="27.633333333333333" u="1"/>
        <n v="19.266666666666666" u="1"/>
        <n v="4.2666666666666666" u="1"/>
        <n v="41.466666666666669" u="1"/>
        <n v="11.6" u="1"/>
        <n v="34.06666666666667" u="1"/>
        <n v="35.033333333333331" u="1"/>
        <n v="24.666666666666668" u="1"/>
        <n v="29.333333333333332" u="1"/>
        <n v="36" u="1"/>
        <n v="20.966666666666665" u="1"/>
        <n v="25.633333333333333" u="1"/>
        <n v="21.933333333333334" u="1"/>
        <n v="3.3" u="1"/>
        <n v="37.466666666666669" u="1"/>
        <n v="10.6" u="1"/>
        <n v="39.4" u="1"/>
        <n v="27.333333333333332" u="1"/>
        <n v="23.633333333333333" u="1"/>
        <n v="28.3" u="1"/>
        <n v="13.3" u="1"/>
        <n v="15.633333333333333" u="1"/>
        <n v="34.43333333333333" u="1"/>
        <n v="9.6" u="1"/>
        <n v="11.933333333333334" u="1"/>
        <n v="35.4" u="1"/>
        <n v="36.366666666666667" u="1"/>
        <n v="20.666666666666668" u="1"/>
        <n v="30" u="1"/>
        <n v="26.3" u="1"/>
        <n v="-0.16666666666666666" u="1"/>
        <n v="14.633333333333333" u="1"/>
        <n v="2.8" u="1"/>
        <n v="30.733333333333334" u="1"/>
        <n v="39.766666666666666" u="1"/>
        <n v="7.1333333333333337" u="1"/>
        <n v="27.033333333333335" u="1"/>
        <n v="31.7" u="1"/>
        <n v="40.733333333333334" u="1"/>
        <n v="32.366666666666667" u="1"/>
        <n v="18.666666666666668" u="1"/>
        <n v="23.333333333333332" u="1"/>
        <n v="28" u="1"/>
        <n v="19.633333333333333" u="1"/>
        <n v="24.3" u="1"/>
        <n v="0.8" u="1"/>
        <n v="13.633333333333333" u="1"/>
        <n v="28.733333333333334" u="1"/>
        <n v="34.799999999999997" u="1"/>
        <n v="35.766666666666666" u="1"/>
        <n v="21.333333333333332" u="1"/>
        <n v="26" u="1"/>
        <n v="22.3" u="1"/>
        <n v="12.633333333333333" u="1"/>
        <n v="2.2999999999999998" u="1"/>
        <n v="31.4" u="1"/>
        <n v="40.133333333333333" u="1"/>
        <n v="41.1" u="1"/>
        <n v="8.9333333333333336" u="1"/>
        <n v="23.033333333333335" u="1"/>
        <n v="32.733333333333334" u="1"/>
        <n v="15.333333333333334" u="1"/>
        <n v="20.3" u="1"/>
        <n v="9.3000000000000007" u="1"/>
        <n v="11.633333333333333" u="1"/>
        <n v="34.200000000000003" u="1"/>
        <n v="35.166666666666664" u="1"/>
        <n v="24.733333333333334" u="1"/>
        <n v="29.4" u="1"/>
        <n v="36.133333333333333" u="1"/>
        <n v="5.6333333333333337" u="1"/>
        <n v="21.033333333333335" u="1"/>
        <n v="25.7" u="1"/>
        <n v="30.366666666666667" u="1"/>
        <n v="14.333333333333334" u="1"/>
        <n v="17.333333333333332" u="1"/>
        <n v="18.3" u="1"/>
        <n v="10.633333333333333" u="1"/>
        <n v="31.1" u="1"/>
        <n v="27.4" u="1"/>
        <n v="15.666666666666666" u="1"/>
        <n v="34.56666666666667" u="1"/>
        <n v="29.1" u="1"/>
        <n v="36.5" u="1"/>
        <n v="25.4" u="1"/>
        <n v="5.8" u="1"/>
        <n v="6.9666666666666668" u="1"/>
        <n v="17.033333333333335" u="1"/>
        <n v="26.366666666666667" u="1"/>
        <n v="14.666666666666666" u="1"/>
        <n v="18" u="1"/>
        <n v="38.93333333333333" u="1"/>
        <n v="10.966666666666667" u="1"/>
        <n v="27.1" u="1"/>
        <n v="32.5" u="1"/>
        <n v="23.4" u="1"/>
        <n v="28.066666666666666" u="1"/>
        <n v="5.3" u="1"/>
        <n v="19.7" u="1"/>
        <n v="24.366666666666667" u="1"/>
        <n v="13.666666666666666" u="1"/>
        <n v="16" u="1"/>
        <n v="33.966666666666669" u="1"/>
        <n v="34.93333333333333" u="1"/>
        <n v="35.9" u="1"/>
        <n v="9.9666666666666668" u="1"/>
        <n v="29.766666666666666" u="1"/>
        <n v="16.733333333333334" u="1"/>
        <n v="26.066666666666666" u="1"/>
        <n v="4.8" u="1"/>
        <n v="5.9666666666666668" u="1"/>
        <n v="22.366666666666667" u="1"/>
        <n v="12.666666666666666" u="1"/>
        <n v="15" u="1"/>
        <n v="38.333333333333336" u="1"/>
        <n v="39.299999999999997" u="1"/>
        <n v="40.266666666666666" u="1"/>
        <n v="41.233333333333334" u="1"/>
        <n v="19.399999999999999" u="1"/>
        <n v="24.066666666666666" u="1"/>
        <n v="3.5666666666666669" u="1"/>
        <n v="4.3" u="1"/>
        <n v="5.4666666666666668" u="1"/>
        <n v="20.366666666666667" u="1"/>
        <n v="11.666666666666666" u="1"/>
        <n v="34.333333333333336" u="1"/>
        <n v="35.299999999999997" u="1"/>
        <n v="29.466666666666665" u="1"/>
        <n v="0.4" u="1"/>
        <n v="21.1" u="1"/>
        <n v="25.766666666666666" u="1"/>
        <n v="30.433333333333334" u="1"/>
        <n v="22.066666666666666" u="1"/>
        <n v="31.166666666666668" u="1"/>
        <n v="40.633333333333333" u="1"/>
        <n v="27.466666666666665" u="1"/>
        <n v="32.266666666666666" u="1"/>
        <n v="33.233333333333334" u="1"/>
        <n v="23.766666666666666" u="1"/>
        <n v="28.433333333333334" u="1"/>
        <n v="3.0666666666666669" u="1"/>
        <n v="4.4666666666666668" u="1"/>
        <n v="34.700000000000003" u="1"/>
        <n v="7.666666666666667" u="1"/>
        <n v="12" u="1"/>
        <n v="29.166666666666668" u="1"/>
        <n v="25.466666666666665" u="1"/>
        <n v="30.133333333333333" u="1"/>
        <n v="0.8666666666666667" u="1"/>
        <n v="14.7" u="1"/>
        <n v="39.06666666666667" u="1"/>
        <n v="40.033333333333331" u="1"/>
        <n v="27.166666666666668" u="1"/>
        <n v="28.133333333333333" u="1"/>
        <n v="33.6" u="1"/>
        <n v="24.433333333333334" u="1"/>
        <n v="13.7" u="1"/>
        <n v="16.066666666666666" u="1"/>
        <n v="3.7333333333333334" u="1"/>
        <n v="35.06666666666667" u="1"/>
        <n v="36.033333333333331" u="1"/>
        <n v="6.666666666666667" u="1"/>
        <n v="29.833333333333332" u="1"/>
        <n v="21.466666666666665" u="1"/>
        <n v="26.133333333333333" u="1"/>
        <n v="30.8" u="1"/>
        <n v="22.433333333333334" u="1"/>
        <n v="39.43333333333333" u="1"/>
        <n v="31.533333333333335" u="1"/>
        <n v="40.4" u="1"/>
        <n v="23.166666666666668" u="1"/>
        <n v="27.833333333333332" u="1"/>
        <n v="33" u="1"/>
        <n v="19.466666666666665" u="1"/>
        <n v="28.8" u="1"/>
        <n v="11.7" u="1"/>
        <n v="34.466666666666669" u="1"/>
        <n v="35.43333333333333" u="1"/>
        <n v="2.0666666666666669" u="1"/>
        <n v="3.2333333333333334" u="1"/>
        <n v="29.533333333333335" u="1"/>
        <n v="37.366666666666667" u="1"/>
        <n v="25.833333333333332" u="1"/>
        <n v="-0.8666666666666667" u="1"/>
        <n v="30.5" u="1"/>
        <n v="22.133333333333333" u="1"/>
        <n v="26.8" u="1"/>
        <n v="38.833333333333336" u="1"/>
        <n v="27.533333333333335" u="1"/>
        <n v="32.4" u="1"/>
        <n v="41.733333333333334" u="1"/>
        <n v="33.366666666666667" u="1"/>
        <n v="28.5" u="1"/>
        <n v="24.8" u="1"/>
        <n v="34.833333333333336" u="1"/>
        <n v="9.6999999999999993" u="1"/>
        <n v="25.533333333333335" u="1"/>
        <n v="30.2" u="1"/>
        <n v="4.666666666666667" u="1"/>
        <n v="7" u="1"/>
        <n v="17.166666666666668" u="1"/>
        <n v="21.833333333333332" u="1"/>
        <n v="18.133333333333333" u="1"/>
        <n v="22.8" u="1"/>
        <n v="39.200000000000003" u="1"/>
        <n v="8.6999999999999993" u="1"/>
        <n v="27.233333333333334" u="1"/>
        <n v="41.133333333333333" u="1"/>
        <n v="32.766666666666666" u="1"/>
        <n v="28.2" u="1"/>
        <n v="33.733333333333334" u="1"/>
        <n v="5.333333333333333" u="1"/>
        <n v="24.5" u="1"/>
        <n v="35.200000000000003" u="1"/>
        <n v="25.233333333333334" u="1"/>
        <n v="29.9" u="1"/>
        <n v="3.8333333333333335" u="1"/>
        <n v="4.833333333333333" u="1"/>
        <n v="18.8" u="1"/>
        <n v="0.43333333333333335" u="1"/>
        <n v="32.166666666666664" u="1"/>
        <n v="9.0333333333333332" u="1"/>
        <n v="27.9" u="1"/>
        <n v="33.133333333333333" u="1"/>
        <n v="24.2" u="1"/>
        <n v="4.333333333333333" u="1"/>
        <n v="5.5" u="1"/>
        <n v="20.5" u="1"/>
        <n v="16.8" u="1"/>
        <n v="-1.2" u="1"/>
        <n v="35.56666666666667" u="1"/>
        <n v="29.6" u="1"/>
        <n v="36.533333333333331" u="1"/>
        <n v="37.5" u="1"/>
        <n v="8.0333333333333332" u="1"/>
        <n v="21.233333333333334" u="1"/>
        <n v="30.566666666666666" u="1"/>
        <n v="3.3333333333333335" u="1"/>
        <n v="38.966666666666669" u="1"/>
        <n v="10.733333333333333" u="1"/>
        <n v="15.4" u="1"/>
        <n v="39.93333333333333" u="1"/>
        <n v="-1.3666666666666667" u="1"/>
        <n v="27.6" u="1"/>
        <n v="32.533333333333331" u="1"/>
        <n v="33.5" u="1"/>
        <n v="23.9" u="1"/>
        <n v="28.566666666666666" u="1"/>
        <n v="24.866666666666667" u="1"/>
        <n v="34.966666666666669" u="1"/>
        <n v="14.4" u="1"/>
        <n v="35.93333333333333" u="1"/>
        <n v="36.9" u="1"/>
        <n v="25.6" u="1"/>
        <n v="30.266666666666666" u="1"/>
        <n v="26.566666666666666" u="1"/>
        <n v="1.0333333333333334" u="1"/>
        <n v="22.866666666666667" u="1"/>
        <n v="2.8333333333333335" u="1"/>
        <n v="4" u="1"/>
        <n v="39.333333333333336" u="1"/>
        <n v="31.966666666666665" u="1"/>
        <n v="28.266666666666666" u="1"/>
        <n v="13.766666666666667" u="1"/>
        <n v="36.299999999999997" u="1"/>
        <n v="29.966666666666665" u="1"/>
        <n v="26.266666666666666" u="1"/>
        <n v="18.866666666666667" u="1"/>
        <n v="39.700000000000003" u="1"/>
        <n v="2.3333333333333335" u="1"/>
        <n v="3.5" u="1"/>
        <n v="40.666666666666664" u="1"/>
        <n v="32.299999999999997" u="1"/>
        <n v="41.633333333333333" u="1"/>
        <n v="27.966666666666665" u="1"/>
        <n v="-0.93333333333333335" u="1"/>
        <n v="33.266666666666666" u="1"/>
        <n v="19.600000000000001" u="1"/>
        <n v="24.266666666666666" u="1"/>
        <n v="20.566666666666666" u="1"/>
        <n v="16.866666666666667" u="1"/>
        <n v="-0.26666666666666666" u="1"/>
        <n v="29.666666666666668" u="1"/>
        <n v="8.0666666666666664" u="1"/>
        <n v="25.966666666666665" u="1"/>
        <n v="30.633333333333333" u="1"/>
        <n v="38.6" u="1"/>
        <n v="-1.0333333333333334" u="1"/>
        <n v="22.266666666666666" u="1"/>
        <n v="3" u="1"/>
        <n v="27.666666666666668" u="1"/>
        <n v="32.666666666666664" u="1"/>
        <n v="9.4" u="1"/>
        <n v="23.966666666666665" u="1"/>
        <n v="28.633333333333333" u="1"/>
        <n v="15.8" u="1"/>
        <n v="20.266666666666666" u="1"/>
        <n v="24.933333333333334" u="1"/>
        <n v="36.06666666666667" u="1"/>
        <n v="25.666666666666668" u="1"/>
        <n v="30.333333333333332" u="1"/>
        <n v="18.266666666666666" u="1"/>
        <n v="22.933333333333334" u="1"/>
        <n v="40.43333333333333" u="1"/>
        <n v="0.93333333333333335" u="1"/>
        <n v="32.06666666666667" u="1"/>
        <n v="41.4" u="1"/>
        <n v="1.6666666666666667" u="1"/>
        <n v="2.5" u="1"/>
        <n v="23.666666666666668" u="1"/>
        <n v="28.333333333333332" u="1"/>
        <n v="34" u="1"/>
        <n v="5.3666666666666663" u="1"/>
        <n v="7.7" u="1"/>
        <n v="24.633333333333333" u="1"/>
        <n v="29.3" u="1"/>
        <n v="13.8" u="1"/>
        <n v="0.26666666666666666" u="1"/>
        <n v="35.466666666666669" u="1"/>
        <n v="36.43333333333333" u="1"/>
        <n v="10.1" u="1"/>
        <n v="38.366666666666667" u="1"/>
        <n v="26.333333333333332" u="1"/>
        <n v="4.8666666666666663" u="1"/>
        <n v="7.2" u="1"/>
        <n v="22.633333333333333" u="1"/>
        <n v="12.8" u="1"/>
        <n v="31.733333333333334" u="1"/>
        <n v="32.43333333333333" u="1"/>
        <n v="9.1" u="1"/>
        <n v="24.333333333333332" u="1"/>
        <n v="5.5333333333333332" u="1"/>
        <n v="6.7" u="1"/>
        <n v="25.3" u="1"/>
        <n v="35.833333333333336" u="1"/>
        <n v="29.733333333333334" u="1"/>
        <n v="0.6" u="1"/>
        <n v="8.1" u="1"/>
        <n v="30.7" u="1"/>
        <n v="17.666666666666668" u="1"/>
        <n v="27" u="1"/>
        <n v="5.0333333333333332" u="1"/>
        <n v="18.633333333333333" u="1"/>
        <n v="23.3" u="1"/>
        <n v="-1.6666666666666667" u="1"/>
        <n v="32.799999999999997" u="1"/>
      </sharedItems>
    </cacheField>
    <cacheField name="year" numFmtId="1">
      <sharedItems containsSemiMixedTypes="0" containsString="0" containsNumber="1" containsInteger="1" minValue="2012" maxValue="2016"/>
    </cacheField>
    <cacheField name="Distribution Date" numFmtId="15">
      <sharedItems containsSemiMixedTypes="0" containsNonDate="0" containsDate="1" containsString="0" minDate="2012-06-27T00:00:00" maxDate="2016-06-22T00:00:00"/>
    </cacheField>
    <cacheField name="Organization" numFmtId="0">
      <sharedItems containsBlank="1" count="17">
        <s v="UNHCR"/>
        <s v="RI"/>
        <s v="MRCS"/>
        <s v="LWF"/>
        <s v="IOM"/>
        <s v="DRC"/>
        <s v="Save the Children"/>
        <s v="CDN"/>
        <s v="AGE"/>
        <s v="UNFPA"/>
        <s v="Muslim Aid"/>
        <s v="Solidarites International"/>
        <s v="UNICEF "/>
        <s v="KOICAT"/>
        <s v="ABCD"/>
        <m u="1"/>
        <s v="SCI" u="1"/>
      </sharedItems>
    </cacheField>
    <cacheField name="Implementing Partner" numFmtId="0">
      <sharedItems containsBlank="1"/>
    </cacheField>
    <cacheField name="State" numFmtId="0">
      <sharedItems containsBlank="1" count="2">
        <s v="Rakhine"/>
        <m u="1"/>
      </sharedItems>
    </cacheField>
    <cacheField name="Township" numFmtId="0">
      <sharedItems containsBlank="1" count="11">
        <s v="Kyauk_Phyu"/>
        <s v="Sittwe"/>
        <s v="Myebon"/>
        <s v="Pauktaw"/>
        <s v="Rathedaung"/>
        <s v="Kyauktaw"/>
        <s v="Minbya"/>
        <s v="Mrauk_U"/>
        <s v="Maungdaw"/>
        <s v="Ramree"/>
        <m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emiMixedTypes="0" containsString="0" containsNumber="1" containsInteger="1" minValue="0" maxValue="65"/>
    </cacheField>
    <cacheField name="NFI Core Kit_LS" numFmtId="0">
      <sharedItems containsSemiMixedTypes="0" containsString="0" containsNumber="1" containsInteger="1" minValue="0" maxValue="986"/>
    </cacheField>
    <cacheField name="Sanitary Kit_LS" numFmtId="0">
      <sharedItems containsSemiMixedTypes="0" containsString="0" containsNumber="1" containsInteger="1" minValue="0" maxValue="0"/>
    </cacheField>
    <cacheField name="Mosquito net_LS" numFmtId="0">
      <sharedItems containsSemiMixedTypes="0" containsString="0" containsNumber="1" containsInteger="1" minValue="0" maxValue="3630"/>
    </cacheField>
    <cacheField name="Tarpaulin_LS" numFmtId="0">
      <sharedItems containsSemiMixedTypes="0" containsString="0" containsNumber="1" containsInteger="1" minValue="0" maxValue="1815"/>
    </cacheField>
    <cacheField name="Blanket_LS" numFmtId="0">
      <sharedItems containsSemiMixedTypes="0" containsString="0" containsNumber="1" containsInteger="1" minValue="0" maxValue="1972"/>
    </cacheField>
    <cacheField name="Kitchen Set_LS" numFmtId="0">
      <sharedItems containsSemiMixedTypes="0" containsString="0" containsNumber="1" containsInteger="1" minValue="0" maxValue="1815"/>
    </cacheField>
    <cacheField name="Complementary Kit_LS" numFmtId="0">
      <sharedItems containsSemiMixedTypes="0" containsString="0" containsNumber="1" containsInteger="1" minValue="0" maxValue="0"/>
    </cacheField>
    <cacheField name="Plastic Bucket_LS" numFmtId="0">
      <sharedItems containsSemiMixedTypes="0" containsString="0" containsNumber="1" containsInteger="1" minValue="0" maxValue="1815"/>
    </cacheField>
    <cacheField name="Jerry Can_LS" numFmtId="0">
      <sharedItems containsSemiMixedTypes="0" containsString="0" containsNumber="1" containsInteger="1" minValue="0" maxValue="1815"/>
    </cacheField>
    <cacheField name="Plastic  Mat_LS" numFmtId="0">
      <sharedItems containsSemiMixedTypes="0" containsString="0" containsNumber="1" minValue="0" maxValue="22687.5"/>
    </cacheField>
    <cacheField name="Pcode" numFmtId="0">
      <sharedItems/>
    </cacheField>
    <cacheField name="Status" numFmtId="0">
      <sharedItems count="5">
        <s v="Open"/>
        <s v="Returned in Individual Housing"/>
        <s v="Relocated in Individual Housing"/>
        <s v=""/>
        <s v="Close"/>
      </sharedItems>
    </cacheField>
    <cacheField name="Year2" numFmtId="0" formula="YEAR('Distribution Date')" databaseField="0"/>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549.611365972225" missingItemsLimit="0" createdVersion="4" refreshedVersion="5" minRefreshableVersion="3" recordCount="118">
  <cacheSource type="worksheet">
    <worksheetSource name="AllData_CampList"/>
  </cacheSource>
  <cacheFields count="36">
    <cacheField name="Status" numFmtId="49">
      <sharedItems count="4">
        <s v="Open"/>
        <s v="Relocated in Individual Housing"/>
        <s v="Returned in Individual Housing"/>
        <s v="Close"/>
      </sharedItems>
    </cacheField>
    <cacheField name="State" numFmtId="49">
      <sharedItems count="1">
        <s v="Rakhine"/>
      </sharedItems>
    </cacheField>
    <cacheField name="State_Pcode" numFmtId="49">
      <sharedItems/>
    </cacheField>
    <cacheField name="District" numFmtId="49">
      <sharedItems containsBlank="1"/>
    </cacheField>
    <cacheField name="District_Pcode" numFmtId="49">
      <sharedItems containsBlank="1"/>
    </cacheField>
    <cacheField name="TOWNSHIP_NAME" numFmtId="49">
      <sharedItems count="10">
        <s v="Sittwe"/>
        <s v="Ramree"/>
        <s v="Myebon"/>
        <s v="Kyauk_Phyu"/>
        <s v="Rathedaung"/>
        <s v="Pauktaw"/>
        <s v="Maungdaw"/>
        <s v="Kyauktaw"/>
        <s v="Mrauk_U"/>
        <s v="Minbya"/>
      </sharedItems>
    </cacheField>
    <cacheField name="Township_Pcode" numFmtId="49">
      <sharedItems/>
    </cacheField>
    <cacheField name="VillageTracKTown_Name" numFmtId="49">
      <sharedItems containsBlank="1"/>
    </cacheField>
    <cacheField name="VillageTrackTown_Pcode" numFmtId="49">
      <sharedItems containsBlank="1"/>
    </cacheField>
    <cacheField name="VillageWard_Name" numFmtId="49">
      <sharedItems containsBlank="1"/>
    </cacheField>
    <cacheField name="VillageWard_Pcode" numFmtId="49">
      <sharedItems containsBlank="1" containsMixedTypes="1" containsNumber="1" containsInteger="1" minValue="196129" maxValue="217973"/>
    </cacheField>
    <cacheField name="Camp Name" numFmtId="49">
      <sharedItems count="117">
        <s v="Thin Pone Tan"/>
        <s v="Ramree Town"/>
        <s v="Kan Thar Htwat Wa"/>
        <s v="Ka Nyin Taw"/>
        <s v="Baw Du Pha (IDP in host families)"/>
        <s v="Dar Pai (IDP in host families)"/>
        <s v="Thet Kae Pyin (IDPs in host family)"/>
        <s v="Basare"/>
        <s v="Baw Du Pha 1"/>
        <s v="Baw Du Pha 2"/>
        <s v="Dar Pai"/>
        <s v="Khaung Doke Khar "/>
        <s v="Maw Ti Ngar"/>
        <s v="Ohn Taw Chay"/>
        <s v="Ohn Taw Gyi (North)"/>
        <s v="Ohn Taw Gyi (South)"/>
        <s v="Say Tha Mar Gyi"/>
        <s v="Thet Kae Pyin "/>
        <s v="Thae Chaung"/>
        <s v="Chein Khar Li"/>
        <s v="Koe Tan Kauk"/>
        <s v="Ah Htet Nan Yar"/>
        <s v="Ramree Ward 6"/>
        <s v="Ah Nauk Ywe"/>
        <s v="Taung Paw "/>
        <s v="Bomu Ywa"/>
        <s v="Du Than Dar"/>
        <s v="Honsara (Zaw Ma Tat)"/>
        <s v="Myoma Myauk (Chitta Ywa)"/>
        <s v="Nyaung Pin Hla"/>
        <s v="Sin Thay Pyin (Zay Di Pyin)"/>
        <s v="Thaung Paing Nyar"/>
        <s v="Ward-6 (Lay Myaing)"/>
        <s v="Ywa thit Kay"/>
        <s v="Nidin"/>
        <s v="Kyauk Ta Lone"/>
        <s v="Sin Tet Maw"/>
        <s v="Nget Chaung"/>
        <s v="Kyein Ni Pyin"/>
        <s v="Sat Roe Kya 1"/>
        <s v="Sat Roe Kya 2"/>
        <s v="Set Yone Su"/>
        <s v="Set Yone Su 3"/>
        <s v="Raw Ma Ni Sin Oe"/>
        <s v="Thi Kyar"/>
        <s v="Ba Wan Chaung Wa Su"/>
        <s v="Khaung Htoke"/>
        <s v="Set Yone Maw"/>
        <s v="Ah Pauk Wa "/>
        <s v="Ah Nauk Pyin"/>
        <s v="Nyaung Pin Gyi"/>
        <s v="Pa Rein"/>
        <s v="Yai Thei-Muslim"/>
        <s v="Aung Taing"/>
        <s v="Paik Thay"/>
        <s v="Sam Ba Le"/>
        <s v="San Htoe Tan"/>
        <s v="Tha Dar"/>
        <s v="Tha Yet Oak"/>
        <s v="Ah Lel"/>
        <s v="Ah Lel Kyun"/>
        <s v="Goke Pi Htaunt"/>
        <s v="In Bar Yi"/>
        <s v="Let Saung Kauk"/>
        <s v="Shwe Hlaing"/>
        <s v="Taung Bwe"/>
        <s v="Yun Nyar"/>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sharedItems>
      <fieldGroup par="35"/>
    </cacheField>
    <cacheField name="P_Code" numFmtId="49">
      <sharedItems count="117">
        <s v="MMR012CMP058"/>
        <s v="MMR012CMP038"/>
        <s v="MMR012CMP013"/>
        <s v="MMR012CMP036"/>
        <s v="MMR012CMP103"/>
        <s v="MMR012CMP097"/>
        <s v="MMR012CMP091"/>
        <s v="MMR012CMP039"/>
        <s v="MMR012CMP113"/>
        <s v="MMR012CMP114"/>
        <s v="MMR012CMP041"/>
        <s v="MMR012CMP042"/>
        <s v="MMR012CMP092"/>
        <s v="MMR012CMP098"/>
        <s v="MMR012CMP115"/>
        <s v="MMR012CMP116"/>
        <s v="MMR012CMP045"/>
        <s v="MMR012CMP048"/>
        <s v="MMR012CMP046"/>
        <s v="MMR012CMP033"/>
        <s v="MMR012CMP110"/>
        <s v="MMR012CMP034"/>
        <s v="MMR012CMP037"/>
        <s v="MMR012CMP016"/>
        <s v="MMR012CMP014"/>
        <s v="MMR012CMP084"/>
        <s v="MMR012CMP088"/>
        <s v="MMR012CMP109"/>
        <s v="MMR012CMP083"/>
        <s v="MMR012CMP082"/>
        <s v="MMR012CMP094"/>
        <s v="MMR012CMP086"/>
        <s v="MMR012CMP095"/>
        <s v="MMR012CMP085"/>
        <s v="MMR012CMP023"/>
        <s v="MMR012CMP035"/>
        <s v="MMR012CMP019"/>
        <s v="MMR012CMP017"/>
        <s v="MMR012CMP018"/>
        <s v="MMR012CMP111"/>
        <s v="MMR012CMP112"/>
        <s v="MMR012CMP056"/>
        <s v="MMR012CMP093"/>
        <s v="MMR012CMP012"/>
        <s v="MMR012CMP117"/>
        <s v="MMR012CMP015"/>
        <s v="MMR012CMP030"/>
        <s v="MMR012CMP104"/>
        <s v="MMR012CMP024"/>
        <s v="MMR012CMP032"/>
        <s v="MMR012CMP031"/>
        <s v="MMR012CMP009"/>
        <s v="MMR012CMP010"/>
        <s v="MMR012CMP006"/>
        <s v="MMR012CMP001"/>
        <s v="MMR012CMP008"/>
        <s v="MMR012CMP003"/>
        <s v="MMR012CMP002"/>
        <s v="MMR012CMP005"/>
        <s v="MMR012CMP022"/>
        <s v="MMR012CMP025"/>
        <s v="MMR012CMP027"/>
        <s v="MMR012CMP026"/>
        <s v="MMR012CMP020"/>
        <s v="MMR012CMP029"/>
        <s v="MMR012CMP021"/>
        <s v="MMR012CMP028"/>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sharedItems>
    </cacheField>
    <cacheField name="Longitude" numFmtId="0">
      <sharedItems containsMixedTypes="1" containsNumber="1" minValue="92.338031000000001" maxValue="93.865170000000006"/>
    </cacheField>
    <cacheField name="Latitude" numFmtId="0">
      <sharedItems containsMixedTypes="1" containsNumber="1" minValue="19.088283000000001" maxValue="21.066663999999999"/>
    </cacheField>
    <cacheField name="Altitude" numFmtId="49">
      <sharedItems containsBlank="1"/>
    </cacheField>
    <cacheField name="HH" numFmtId="0">
      <sharedItems containsString="0" containsBlank="1" containsNumber="1" containsInteger="1" minValue="5" maxValue="2629"/>
    </cacheField>
    <cacheField name="Total" numFmtId="0">
      <sharedItems containsString="0" containsBlank="1" containsNumber="1" containsInteger="1" minValue="27" maxValue="13655"/>
    </cacheField>
    <cacheField name="Avg" numFmtId="169">
      <sharedItems containsString="0" containsBlank="1" containsNumber="1" minValue="0" maxValue="8.7222222222222214"/>
    </cacheField>
    <cacheField name="Accessibility" numFmtId="49">
      <sharedItems/>
    </cacheField>
    <cacheField name="Affected population" numFmtId="49">
      <sharedItems containsBlank="1"/>
    </cacheField>
    <cacheField name="Type of Accomodation" numFmtId="0">
      <sharedItems count="5">
        <s v="Host Families"/>
        <s v="Self Settled Camp"/>
        <s v="Planned Camp"/>
        <s v="Individual House"/>
        <s v="Collective Center"/>
      </sharedItems>
    </cacheField>
    <cacheField name="Isolated Location" numFmtId="49">
      <sharedItems containsBlank="1"/>
    </cacheField>
    <cacheField name="Opening Date" numFmtId="49">
      <sharedItems containsNonDate="0" containsString="0" containsBlank="1"/>
    </cacheField>
    <cacheField name="Ethnicity" numFmtId="49">
      <sharedItems containsBlank="1" count="4">
        <s v="Rakhine"/>
        <m/>
        <s v="Kaman"/>
        <s v="Maramargyi"/>
      </sharedItems>
    </cacheField>
    <cacheField name="Religion" numFmtId="49">
      <sharedItems containsBlank="1"/>
    </cacheField>
    <cacheField name="Type of Population" numFmtId="0">
      <sharedItems containsBlank="1" count="6">
        <s v="Rakhine-Buddhist"/>
        <s v="-Muslim"/>
        <s v="Kaman-Muslim"/>
        <s v="Maramargyi-Buddhist"/>
        <s v="-"/>
        <m/>
      </sharedItems>
    </cacheField>
    <cacheField name="CM/FP" numFmtId="0">
      <sharedItems containsBlank="1" count="3">
        <s v="Focal Point"/>
        <s v="Camp Management"/>
        <m/>
      </sharedItems>
    </cacheField>
    <cacheField name="Responsible Agency" numFmtId="0">
      <sharedItems containsBlank="1" count="7">
        <s v="UNHCR"/>
        <s v="RI"/>
        <s v="LWF"/>
        <s v="DRC"/>
        <s v="NRC"/>
        <m/>
        <s v=" "/>
      </sharedItems>
    </cacheField>
    <cacheField name="Source" numFmtId="49">
      <sharedItems containsBlank="1"/>
    </cacheField>
    <cacheField name="Method" numFmtId="49">
      <sharedItems containsBlank="1"/>
    </cacheField>
    <cacheField name="Update Date" numFmtId="15">
      <sharedItems containsSemiMixedTypes="0" containsNonDate="0" containsDate="1" containsString="0" minDate="2013-09-03T00:00:00" maxDate="2016-04-12T00:00:00"/>
    </cacheField>
    <cacheField name="Comment" numFmtId="0">
      <sharedItems containsBlank="1" longText="1"/>
    </cacheField>
    <cacheField name="Contact" numFmtId="0">
      <sharedItems containsMixedTypes="1" containsNumber="1" containsInteger="1" minValue="0" maxValue="0" count="7">
        <s v="Richard Kevin Tracey, CCCM/NFI Cluster Coordinator, tracey@unhcr.org,09448027896"/>
        <s v="Trisha Bury_x000a_Health Program Manager (Sittwe)_x000a_trisha.bury@ri.org"/>
        <s v="Yadu Shresk_x000a_Emergency Project Coordinator_x000a_campro.mmr@lwfdws.org"/>
        <s v="Bruce Spires_x000a_, CCCM Project Coordinator,_x000a_bruce.spires@drcmm.org, 09423662612"/>
        <s v="Richard Nixon Okello, CCCM Project Coordinator, richard.okello@nrc.no,09451359894"/>
        <s v=""/>
        <n v="0"/>
      </sharedItems>
    </cacheField>
    <cacheField name="shelter_coverage" numFmtId="9">
      <sharedItems containsSemiMixedTypes="0" containsString="0" containsNumber="1" minValue="0" maxValue="1"/>
    </cacheField>
    <cacheField name="Camp Name2" numFmtId="0" databaseField="0">
      <fieldGroup base="11">
        <discretePr count="117">
          <x v="62"/>
          <x v="47"/>
          <x v="68"/>
          <x v="70"/>
          <x v="6"/>
          <x v="15"/>
          <x v="61"/>
          <x v="68"/>
          <x v="68"/>
          <x v="68"/>
          <x v="68"/>
          <x v="68"/>
          <x v="68"/>
          <x v="68"/>
          <x v="68"/>
          <x v="68"/>
          <x v="68"/>
          <x v="68"/>
          <x v="68"/>
          <x v="11"/>
          <x v="26"/>
          <x v="0"/>
          <x v="48"/>
          <x v="68"/>
          <x v="68"/>
          <x v="7"/>
          <x v="17"/>
          <x v="22"/>
          <x v="71"/>
          <x v="39"/>
          <x v="72"/>
          <x v="58"/>
          <x v="73"/>
          <x v="65"/>
          <x v="69"/>
          <x v="28"/>
          <x v="68"/>
          <x v="68"/>
          <x v="68"/>
          <x v="68"/>
          <x v="68"/>
          <x v="68"/>
          <x v="68"/>
          <x v="69"/>
          <x v="69"/>
          <x v="68"/>
          <x v="69"/>
          <x v="69"/>
          <x v="69"/>
          <x v="1"/>
          <x v="38"/>
          <x v="69"/>
          <x v="69"/>
          <x v="69"/>
          <x v="69"/>
          <x v="69"/>
          <x v="69"/>
          <x v="69"/>
          <x v="69"/>
          <x v="69"/>
          <x v="69"/>
          <x v="69"/>
          <x v="69"/>
          <x v="69"/>
          <x v="69"/>
          <x v="69"/>
          <x v="69"/>
          <x v="4"/>
          <x v="8"/>
          <x v="23"/>
          <x v="25"/>
          <x v="27"/>
          <x v="33"/>
          <x v="54"/>
          <x v="66"/>
          <x v="2"/>
          <x v="29"/>
          <x v="67"/>
          <x v="37"/>
          <x v="59"/>
          <x v="35"/>
          <x v="52"/>
          <x v="3"/>
          <x v="12"/>
          <x v="13"/>
          <x v="18"/>
          <x v="19"/>
          <x v="24"/>
          <x v="30"/>
          <x v="32"/>
          <x v="36"/>
          <x v="46"/>
          <x v="50"/>
          <x v="51"/>
          <x v="53"/>
          <x v="57"/>
          <x v="60"/>
          <x v="63"/>
          <x v="64"/>
          <x v="5"/>
          <x v="14"/>
          <x v="16"/>
          <x v="20"/>
          <x v="21"/>
          <x v="31"/>
          <x v="34"/>
          <x v="40"/>
          <x v="41"/>
          <x v="42"/>
          <x v="43"/>
          <x v="45"/>
          <x v="9"/>
          <x v="10"/>
          <x v="44"/>
          <x v="49"/>
          <x v="56"/>
          <x v="55"/>
        </discretePr>
        <groupItems count="74">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Thin Pone Tan"/>
          <s v="Weikzar Thaikdi Monastery"/>
          <s v="Ya Tayar Monastery"/>
          <s v="Ywa thit Kay"/>
          <s v="Ywa thit Kay 2"/>
          <s v="Ywa thit Kay 3"/>
          <s v="Group1"/>
          <s v="Group2"/>
          <s v="Ka Nyin Taw"/>
          <s v="Myoma Myauk (Chitta Ywa)"/>
          <s v="Sin Thay Pyin (Zay Di Pyin)"/>
          <s v="Ward-6 (Lay Myaing)"/>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MMR012CMP017"/>
    <x v="0"/>
    <x v="0"/>
    <n v="1000"/>
    <n v="-1000"/>
    <s v="LWF"/>
    <d v="2015-04-03T00:00:00"/>
  </r>
  <r>
    <s v="Rakhine"/>
    <x v="0"/>
    <x v="10"/>
    <s v="MMR012CMP017"/>
    <x v="0"/>
    <x v="1"/>
    <n v="939"/>
    <n v="939"/>
    <s v="LWF"/>
    <d v="2015-04-03T00:00:00"/>
  </r>
  <r>
    <s v="Rakhine"/>
    <x v="0"/>
    <x v="10"/>
    <s v="MMR012CMP017"/>
    <x v="1"/>
    <x v="0"/>
    <n v="740"/>
    <n v="-740"/>
    <s v="LWF"/>
    <d v="2015-04-03T00:00:00"/>
  </r>
  <r>
    <s v="Rakhine"/>
    <x v="0"/>
    <x v="10"/>
    <s v="MMR012CMP017"/>
    <x v="1"/>
    <x v="1"/>
    <n v="743"/>
    <n v="743"/>
    <s v="LWF"/>
    <d v="2015-04-03T00:00:00"/>
  </r>
  <r>
    <s v="Rakhine"/>
    <x v="0"/>
    <x v="10"/>
    <s v="MMR012CMP017"/>
    <x v="2"/>
    <x v="0"/>
    <n v="522"/>
    <n v="-522"/>
    <s v="LWF"/>
    <d v="2015-04-03T00:00:00"/>
  </r>
  <r>
    <s v="Rakhine"/>
    <x v="0"/>
    <x v="10"/>
    <s v="MMR012CMP017"/>
    <x v="2"/>
    <x v="1"/>
    <n v="383"/>
    <n v="383"/>
    <s v="LWF"/>
    <d v="2015-04-03T00:00:00"/>
  </r>
  <r>
    <s v="Rakhine"/>
    <x v="0"/>
    <x v="10"/>
    <s v="MMR012CMP017"/>
    <x v="3"/>
    <x v="0"/>
    <n v="509"/>
    <n v="-509"/>
    <s v="LWF"/>
    <d v="2015-04-03T00:00:00"/>
  </r>
  <r>
    <s v="Rakhine"/>
    <x v="0"/>
    <x v="10"/>
    <s v="MMR012CMP017"/>
    <x v="3"/>
    <x v="1"/>
    <n v="758"/>
    <n v="758"/>
    <s v="LWF"/>
    <d v="2015-04-03T00:00:00"/>
  </r>
  <r>
    <s v="Rakhine"/>
    <x v="0"/>
    <x v="10"/>
    <s v="MMR012CMP017"/>
    <x v="4"/>
    <x v="0"/>
    <n v="850"/>
    <n v="-850"/>
    <s v="LWF"/>
    <d v="2015-04-03T00:00:00"/>
  </r>
  <r>
    <s v="Rakhine"/>
    <x v="0"/>
    <x v="10"/>
    <s v="MMR012CMP017"/>
    <x v="4"/>
    <x v="1"/>
    <n v="747"/>
    <n v="747"/>
    <s v="LWF"/>
    <d v="2015-04-03T00:00:00"/>
  </r>
  <r>
    <s v="Rakhine"/>
    <x v="0"/>
    <x v="10"/>
    <s v="MMR012CMP017"/>
    <x v="5"/>
    <x v="0"/>
    <n v="117"/>
    <n v="-117"/>
    <s v="LWF"/>
    <d v="2015-04-03T00:00:00"/>
  </r>
  <r>
    <s v="Rakhine"/>
    <x v="0"/>
    <x v="10"/>
    <s v="MMR012CMP017"/>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184">
  <r>
    <s v="Rakhine"/>
    <x v="0"/>
    <x v="0"/>
    <s v="MMR012CMP016"/>
    <x v="0"/>
    <m/>
    <s v="LWF"/>
    <d v="2015-04-06T00:00:00"/>
  </r>
  <r>
    <s v="Rakhine"/>
    <x v="0"/>
    <x v="0"/>
    <s v="MMR012CMP016"/>
    <x v="1"/>
    <n v="1"/>
    <s v="LWF"/>
    <d v="2015-04-06T00:00:00"/>
  </r>
  <r>
    <s v="Rakhine"/>
    <x v="0"/>
    <x v="0"/>
    <s v="MMR012CMP016"/>
    <x v="2"/>
    <m/>
    <s v="LWF"/>
    <d v="2015-04-06T00:00:00"/>
  </r>
  <r>
    <s v="Rakhine"/>
    <x v="0"/>
    <x v="0"/>
    <s v="MMR012CMP016"/>
    <x v="3"/>
    <n v="15"/>
    <s v="LWF"/>
    <d v="2015-04-06T00:00:00"/>
  </r>
  <r>
    <s v="Rakhine"/>
    <x v="0"/>
    <x v="0"/>
    <s v="MMR012CMP016"/>
    <x v="4"/>
    <n v="286"/>
    <s v="LWF"/>
    <d v="2015-04-06T00:00:00"/>
  </r>
  <r>
    <s v="Rakhine"/>
    <x v="0"/>
    <x v="0"/>
    <s v="MMR012CMP016"/>
    <x v="5"/>
    <n v="2"/>
    <s v="LWF"/>
    <d v="2015-04-06T00:00:00"/>
  </r>
  <r>
    <s v="Rakhine"/>
    <x v="0"/>
    <x v="0"/>
    <s v="MMR012CMP016"/>
    <x v="6"/>
    <n v="33"/>
    <s v="LWF"/>
    <d v="2015-04-06T00:00:00"/>
  </r>
  <r>
    <s v="Rakhine"/>
    <x v="0"/>
    <x v="0"/>
    <s v="MMR012CMP016"/>
    <x v="7"/>
    <m/>
    <s v="LWF"/>
    <d v="2015-04-06T00:00:00"/>
  </r>
  <r>
    <s v="Rakhine"/>
    <x v="0"/>
    <x v="1"/>
    <s v="MMR012CMP015"/>
    <x v="0"/>
    <n v="0"/>
    <s v="LWF"/>
    <d v="2015-03-01T00:00:00"/>
  </r>
  <r>
    <s v="Rakhine"/>
    <x v="0"/>
    <x v="1"/>
    <s v="MMR012CMP015"/>
    <x v="1"/>
    <n v="0"/>
    <s v="LWF"/>
    <d v="2015-03-01T00:00:00"/>
  </r>
  <r>
    <s v="Rakhine"/>
    <x v="0"/>
    <x v="1"/>
    <s v="MMR012CMP015"/>
    <x v="2"/>
    <n v="0"/>
    <s v="LWF"/>
    <d v="2015-03-01T00:00:00"/>
  </r>
  <r>
    <s v="Rakhine"/>
    <x v="0"/>
    <x v="1"/>
    <s v="MMR012CMP015"/>
    <x v="3"/>
    <n v="1"/>
    <s v="LWF"/>
    <d v="2015-03-01T00:00:00"/>
  </r>
  <r>
    <s v="Rakhine"/>
    <x v="0"/>
    <x v="1"/>
    <s v="MMR012CMP015"/>
    <x v="4"/>
    <n v="11"/>
    <s v="LWF"/>
    <d v="2015-03-01T00:00:00"/>
  </r>
  <r>
    <s v="Rakhine"/>
    <x v="0"/>
    <x v="1"/>
    <s v="MMR012CMP015"/>
    <x v="5"/>
    <n v="0"/>
    <s v="LWF"/>
    <d v="2015-03-01T00:00:00"/>
  </r>
  <r>
    <s v="Rakhine"/>
    <x v="0"/>
    <x v="1"/>
    <s v="MMR012CMP015"/>
    <x v="6"/>
    <n v="4"/>
    <s v="LWF"/>
    <d v="2015-03-01T00:00:00"/>
  </r>
  <r>
    <s v="Rakhine"/>
    <x v="0"/>
    <x v="1"/>
    <s v="MMR012CMP015"/>
    <x v="7"/>
    <n v="2"/>
    <s v="LWF"/>
    <d v="2015-03-01T00:00:00"/>
  </r>
  <r>
    <s v="Rakhine"/>
    <x v="1"/>
    <x v="2"/>
    <s v="MMR012CMP039"/>
    <x v="0"/>
    <n v="1"/>
    <s v="LWF"/>
    <d v="2015-03-23T00:00:00"/>
  </r>
  <r>
    <s v="Rakhine"/>
    <x v="1"/>
    <x v="2"/>
    <s v="MMR012CMP039"/>
    <x v="1"/>
    <n v="10"/>
    <s v="LWF"/>
    <d v="2015-03-23T00:00:00"/>
  </r>
  <r>
    <s v="Rakhine"/>
    <x v="1"/>
    <x v="2"/>
    <s v="MMR012CMP039"/>
    <x v="2"/>
    <n v="5"/>
    <s v="LWF"/>
    <d v="2015-03-23T00:00:00"/>
  </r>
  <r>
    <s v="Rakhine"/>
    <x v="1"/>
    <x v="2"/>
    <s v="MMR012CMP039"/>
    <x v="3"/>
    <n v="19"/>
    <s v="LWF"/>
    <d v="2015-03-23T00:00:00"/>
  </r>
  <r>
    <s v="Rakhine"/>
    <x v="1"/>
    <x v="2"/>
    <s v="MMR012CMP039"/>
    <x v="4"/>
    <n v="206"/>
    <s v="LWF"/>
    <d v="2015-03-23T00:00:00"/>
  </r>
  <r>
    <s v="Rakhine"/>
    <x v="1"/>
    <x v="2"/>
    <s v="MMR012CMP039"/>
    <x v="5"/>
    <n v="11"/>
    <s v="LWF"/>
    <d v="2015-03-23T00:00:00"/>
  </r>
  <r>
    <s v="Rakhine"/>
    <x v="1"/>
    <x v="2"/>
    <s v="MMR012CMP039"/>
    <x v="6"/>
    <n v="32"/>
    <s v="LWF"/>
    <d v="2015-03-23T00:00:00"/>
  </r>
  <r>
    <s v="Rakhine"/>
    <x v="1"/>
    <x v="2"/>
    <s v="MMR012CMP039"/>
    <x v="7"/>
    <n v="6"/>
    <s v="LWF"/>
    <d v="2015-03-23T00:00:00"/>
  </r>
  <r>
    <s v="Rakhine"/>
    <x v="1"/>
    <x v="3"/>
    <s v="MMR012CMP113"/>
    <x v="0"/>
    <n v="20"/>
    <s v="DRC"/>
    <d v="2015-03-24T00:00:00"/>
  </r>
  <r>
    <s v="Rakhine"/>
    <x v="1"/>
    <x v="3"/>
    <s v="MMR012CMP113"/>
    <x v="1"/>
    <n v="14"/>
    <s v="DRC"/>
    <d v="2015-03-24T00:00:00"/>
  </r>
  <r>
    <s v="Rakhine"/>
    <x v="1"/>
    <x v="3"/>
    <s v="MMR012CMP113"/>
    <x v="2"/>
    <n v="12"/>
    <s v="DRC"/>
    <d v="2015-03-24T00:00:00"/>
  </r>
  <r>
    <s v="Rakhine"/>
    <x v="1"/>
    <x v="3"/>
    <s v="MMR012CMP113"/>
    <x v="3"/>
    <n v="124"/>
    <s v="DRC"/>
    <d v="2015-03-24T00:00:00"/>
  </r>
  <r>
    <s v="Rakhine"/>
    <x v="1"/>
    <x v="3"/>
    <s v="MMR012CMP113"/>
    <x v="4"/>
    <n v="42"/>
    <s v="DRC"/>
    <d v="2015-03-24T00:00:00"/>
  </r>
  <r>
    <s v="Rakhine"/>
    <x v="1"/>
    <x v="3"/>
    <s v="MMR012CMP113"/>
    <x v="5"/>
    <n v="15"/>
    <s v="DRC"/>
    <d v="2015-03-24T00:00:00"/>
  </r>
  <r>
    <s v="Rakhine"/>
    <x v="1"/>
    <x v="3"/>
    <s v="MMR012CMP113"/>
    <x v="6"/>
    <n v="28"/>
    <s v="DRC"/>
    <d v="2015-03-24T00:00:00"/>
  </r>
  <r>
    <s v="Rakhine"/>
    <x v="1"/>
    <x v="3"/>
    <s v="MMR012CMP113"/>
    <x v="7"/>
    <n v="40"/>
    <s v="DRC"/>
    <d v="2015-03-24T00:00:00"/>
  </r>
  <r>
    <s v="Rakhine"/>
    <x v="1"/>
    <x v="4"/>
    <s v="MMR012CMP114"/>
    <x v="0"/>
    <n v="45"/>
    <s v="DRC"/>
    <d v="2015-03-19T00:00:00"/>
  </r>
  <r>
    <s v="Rakhine"/>
    <x v="1"/>
    <x v="4"/>
    <s v="MMR012CMP114"/>
    <x v="1"/>
    <n v="14"/>
    <s v="DRC"/>
    <d v="2015-03-19T00:00:00"/>
  </r>
  <r>
    <s v="Rakhine"/>
    <x v="1"/>
    <x v="4"/>
    <s v="MMR012CMP114"/>
    <x v="2"/>
    <n v="45"/>
    <s v="DRC"/>
    <d v="2015-03-19T00:00:00"/>
  </r>
  <r>
    <s v="Rakhine"/>
    <x v="1"/>
    <x v="4"/>
    <s v="MMR012CMP114"/>
    <x v="3"/>
    <n v="185"/>
    <s v="DRC"/>
    <d v="2015-03-19T00:00:00"/>
  </r>
  <r>
    <s v="Rakhine"/>
    <x v="1"/>
    <x v="4"/>
    <s v="MMR012CMP114"/>
    <x v="4"/>
    <n v="21"/>
    <s v="DRC"/>
    <d v="2015-03-19T00:00:00"/>
  </r>
  <r>
    <s v="Rakhine"/>
    <x v="1"/>
    <x v="4"/>
    <s v="MMR012CMP114"/>
    <x v="5"/>
    <n v="26"/>
    <s v="DRC"/>
    <d v="2015-03-19T00:00:00"/>
  </r>
  <r>
    <s v="Rakhine"/>
    <x v="1"/>
    <x v="4"/>
    <s v="MMR012CMP114"/>
    <x v="6"/>
    <n v="45"/>
    <s v="DRC"/>
    <d v="2015-03-19T00:00:00"/>
  </r>
  <r>
    <s v="Rakhine"/>
    <x v="1"/>
    <x v="4"/>
    <s v="MMR012CMP114"/>
    <x v="7"/>
    <n v="55"/>
    <s v="DRC"/>
    <d v="2015-03-19T00:00:00"/>
  </r>
  <r>
    <s v="Rakhine"/>
    <x v="1"/>
    <x v="5"/>
    <s v="MMR012CMP041"/>
    <x v="0"/>
    <n v="115"/>
    <s v="DRC"/>
    <d v="2015-03-19T00:00:00"/>
  </r>
  <r>
    <s v="Rakhine"/>
    <x v="1"/>
    <x v="5"/>
    <s v="MMR012CMP041"/>
    <x v="1"/>
    <n v="40"/>
    <s v="DRC"/>
    <d v="2015-03-19T00:00:00"/>
  </r>
  <r>
    <s v="Rakhine"/>
    <x v="1"/>
    <x v="5"/>
    <s v="MMR012CMP041"/>
    <x v="2"/>
    <n v="32"/>
    <s v="DRC"/>
    <d v="2015-03-19T00:00:00"/>
  </r>
  <r>
    <s v="Rakhine"/>
    <x v="1"/>
    <x v="5"/>
    <s v="MMR012CMP041"/>
    <x v="3"/>
    <n v="229"/>
    <s v="DRC"/>
    <d v="2015-03-19T00:00:00"/>
  </r>
  <r>
    <s v="Rakhine"/>
    <x v="1"/>
    <x v="5"/>
    <s v="MMR012CMP041"/>
    <x v="4"/>
    <n v="52"/>
    <s v="DRC"/>
    <d v="2015-03-19T00:00:00"/>
  </r>
  <r>
    <s v="Rakhine"/>
    <x v="1"/>
    <x v="5"/>
    <s v="MMR012CMP041"/>
    <x v="5"/>
    <n v="32"/>
    <s v="DRC"/>
    <d v="2015-03-19T00:00:00"/>
  </r>
  <r>
    <s v="Rakhine"/>
    <x v="1"/>
    <x v="5"/>
    <s v="MMR012CMP041"/>
    <x v="6"/>
    <n v="94"/>
    <s v="DRC"/>
    <d v="2015-03-19T00:00:00"/>
  </r>
  <r>
    <s v="Rakhine"/>
    <x v="1"/>
    <x v="5"/>
    <s v="MMR012CMP041"/>
    <x v="7"/>
    <n v="69"/>
    <s v="DRC"/>
    <d v="2015-03-19T00:00:00"/>
  </r>
  <r>
    <s v="Rakhine"/>
    <x v="2"/>
    <x v="6"/>
    <s v="MMR012CMP013"/>
    <x v="0"/>
    <n v="0"/>
    <s v="RI"/>
    <d v="2015-05-06T00:00:00"/>
  </r>
  <r>
    <s v="Rakhine"/>
    <x v="2"/>
    <x v="6"/>
    <s v="MMR012CMP013"/>
    <x v="1"/>
    <n v="0"/>
    <s v="RI"/>
    <d v="2015-05-06T00:00:00"/>
  </r>
  <r>
    <s v="Rakhine"/>
    <x v="2"/>
    <x v="6"/>
    <s v="MMR012CMP013"/>
    <x v="2"/>
    <n v="0"/>
    <s v="RI"/>
    <d v="2015-05-06T00:00:00"/>
  </r>
  <r>
    <s v="Rakhine"/>
    <x v="2"/>
    <x v="6"/>
    <s v="MMR012CMP013"/>
    <x v="3"/>
    <n v="3"/>
    <s v="RI"/>
    <d v="2015-05-06T00:00:00"/>
  </r>
  <r>
    <s v="Rakhine"/>
    <x v="2"/>
    <x v="6"/>
    <s v="MMR012CMP013"/>
    <x v="4"/>
    <n v="3"/>
    <s v="RI"/>
    <d v="2015-05-06T00:00:00"/>
  </r>
  <r>
    <s v="Rakhine"/>
    <x v="2"/>
    <x v="6"/>
    <s v="MMR012CMP013"/>
    <x v="5"/>
    <n v="12"/>
    <s v="RI"/>
    <d v="2015-05-06T00:00:00"/>
  </r>
  <r>
    <s v="Rakhine"/>
    <x v="2"/>
    <x v="6"/>
    <s v="MMR012CMP013"/>
    <x v="6"/>
    <n v="2"/>
    <s v="RI"/>
    <d v="2015-05-06T00:00:00"/>
  </r>
  <r>
    <s v="Rakhine"/>
    <x v="2"/>
    <x v="6"/>
    <s v="MMR012CMP013"/>
    <x v="7"/>
    <n v="4"/>
    <s v="RI"/>
    <d v="2015-05-06T00:00:00"/>
  </r>
  <r>
    <s v="Rakhine"/>
    <x v="1"/>
    <x v="7"/>
    <s v="MMR012CMP042"/>
    <x v="0"/>
    <n v="2"/>
    <s v="LWF"/>
    <d v="2015-04-06T00:00:00"/>
  </r>
  <r>
    <s v="Rakhine"/>
    <x v="1"/>
    <x v="7"/>
    <s v="MMR012CMP042"/>
    <x v="1"/>
    <n v="1"/>
    <s v="LWF"/>
    <d v="2015-04-06T00:00:00"/>
  </r>
  <r>
    <s v="Rakhine"/>
    <x v="1"/>
    <x v="7"/>
    <s v="MMR012CMP042"/>
    <x v="2"/>
    <n v="2"/>
    <s v="LWF"/>
    <d v="2015-04-06T00:00:00"/>
  </r>
  <r>
    <s v="Rakhine"/>
    <x v="1"/>
    <x v="7"/>
    <s v="MMR012CMP042"/>
    <x v="3"/>
    <n v="41"/>
    <s v="LWF"/>
    <d v="2015-04-06T00:00:00"/>
  </r>
  <r>
    <s v="Rakhine"/>
    <x v="1"/>
    <x v="7"/>
    <s v="MMR012CMP042"/>
    <x v="4"/>
    <n v="210"/>
    <s v="LWF"/>
    <d v="2015-04-06T00:00:00"/>
  </r>
  <r>
    <s v="Rakhine"/>
    <x v="1"/>
    <x v="7"/>
    <s v="MMR012CMP042"/>
    <x v="5"/>
    <n v="27"/>
    <s v="LWF"/>
    <d v="2015-04-06T00:00:00"/>
  </r>
  <r>
    <s v="Rakhine"/>
    <x v="1"/>
    <x v="7"/>
    <s v="MMR012CMP042"/>
    <x v="6"/>
    <n v="54"/>
    <s v="LWF"/>
    <d v="2015-04-06T00:00:00"/>
  </r>
  <r>
    <s v="Rakhine"/>
    <x v="1"/>
    <x v="7"/>
    <s v="MMR012CMP042"/>
    <x v="7"/>
    <n v="12"/>
    <s v="LWF"/>
    <d v="2015-04-06T00:00:00"/>
  </r>
  <r>
    <s v="Rakhine"/>
    <x v="0"/>
    <x v="8"/>
    <s v="MMR012CMP018"/>
    <x v="0"/>
    <n v="23"/>
    <s v="SCI"/>
    <d v="2015-06-18T00:00:00"/>
  </r>
  <r>
    <s v="Rakhine"/>
    <x v="0"/>
    <x v="8"/>
    <s v="MMR012CMP018"/>
    <x v="1"/>
    <n v="4"/>
    <s v="SCI"/>
    <d v="2015-06-18T00:00:00"/>
  </r>
  <r>
    <s v="Rakhine"/>
    <x v="0"/>
    <x v="8"/>
    <s v="MMR012CMP018"/>
    <x v="2"/>
    <n v="2"/>
    <s v="SCI"/>
    <d v="2015-06-18T00:00:00"/>
  </r>
  <r>
    <s v="Rakhine"/>
    <x v="0"/>
    <x v="8"/>
    <s v="MMR012CMP018"/>
    <x v="3"/>
    <n v="38"/>
    <s v="SCI"/>
    <d v="2015-06-18T00:00:00"/>
  </r>
  <r>
    <s v="Rakhine"/>
    <x v="0"/>
    <x v="8"/>
    <s v="MMR012CMP018"/>
    <x v="4"/>
    <n v="36"/>
    <s v="SCI"/>
    <d v="2015-06-18T00:00:00"/>
  </r>
  <r>
    <s v="Rakhine"/>
    <x v="0"/>
    <x v="8"/>
    <s v="MMR012CMP018"/>
    <x v="5"/>
    <n v="21"/>
    <s v="SCI"/>
    <d v="2015-06-18T00:00:00"/>
  </r>
  <r>
    <s v="Rakhine"/>
    <x v="0"/>
    <x v="8"/>
    <s v="MMR012CMP018"/>
    <x v="6"/>
    <n v="33"/>
    <s v="SCI"/>
    <d v="2015-06-18T00:00:00"/>
  </r>
  <r>
    <s v="Rakhine"/>
    <x v="0"/>
    <x v="8"/>
    <s v="MMR012CMP018"/>
    <x v="7"/>
    <n v="83"/>
    <s v="SCI"/>
    <d v="2015-06-18T00:00:00"/>
  </r>
  <r>
    <s v="Rakhine"/>
    <x v="1"/>
    <x v="9"/>
    <s v="MMR012CMP092"/>
    <x v="0"/>
    <n v="6"/>
    <s v="SCI"/>
    <d v="2015-06-08T00:00:00"/>
  </r>
  <r>
    <s v="Rakhine"/>
    <x v="1"/>
    <x v="9"/>
    <s v="MMR012CMP092"/>
    <x v="1"/>
    <n v="3"/>
    <s v="SCI"/>
    <d v="2015-06-08T00:00:00"/>
  </r>
  <r>
    <s v="Rakhine"/>
    <x v="1"/>
    <x v="9"/>
    <s v="MMR012CMP092"/>
    <x v="2"/>
    <n v="3"/>
    <s v="SCI"/>
    <d v="2015-06-08T00:00:00"/>
  </r>
  <r>
    <s v="Rakhine"/>
    <x v="1"/>
    <x v="9"/>
    <s v="MMR012CMP092"/>
    <x v="3"/>
    <n v="37"/>
    <s v="SCI"/>
    <d v="2015-06-08T00:00:00"/>
  </r>
  <r>
    <s v="Rakhine"/>
    <x v="1"/>
    <x v="9"/>
    <s v="MMR012CMP092"/>
    <x v="4"/>
    <n v="28"/>
    <s v="SCI"/>
    <d v="2015-06-08T00:00:00"/>
  </r>
  <r>
    <s v="Rakhine"/>
    <x v="1"/>
    <x v="9"/>
    <s v="MMR012CMP092"/>
    <x v="5"/>
    <n v="9"/>
    <s v="SCI"/>
    <d v="2015-06-08T00:00:00"/>
  </r>
  <r>
    <s v="Rakhine"/>
    <x v="1"/>
    <x v="9"/>
    <s v="MMR012CMP092"/>
    <x v="6"/>
    <n v="5"/>
    <s v="SCI"/>
    <d v="2015-06-08T00:00:00"/>
  </r>
  <r>
    <s v="Rakhine"/>
    <x v="1"/>
    <x v="9"/>
    <s v="MMR012CMP092"/>
    <x v="7"/>
    <n v="73"/>
    <s v="SCI"/>
    <d v="2015-06-08T00:00:00"/>
  </r>
  <r>
    <s v="Rakhine"/>
    <x v="0"/>
    <x v="10"/>
    <s v="MMR012CMP017"/>
    <x v="0"/>
    <n v="4"/>
    <s v="LWF"/>
    <d v="2015-04-03T00:00:00"/>
  </r>
  <r>
    <s v="Rakhine"/>
    <x v="0"/>
    <x v="10"/>
    <s v="MMR012CMP017"/>
    <x v="1"/>
    <n v="4"/>
    <s v="LWF"/>
    <d v="2015-04-03T00:00:00"/>
  </r>
  <r>
    <s v="Rakhine"/>
    <x v="0"/>
    <x v="10"/>
    <s v="MMR012CMP017"/>
    <x v="2"/>
    <n v="8"/>
    <s v="LWF"/>
    <d v="2015-04-03T00:00:00"/>
  </r>
  <r>
    <s v="Rakhine"/>
    <x v="0"/>
    <x v="10"/>
    <s v="MMR012CMP017"/>
    <x v="3"/>
    <n v="9"/>
    <s v="LWF"/>
    <d v="2015-04-03T00:00:00"/>
  </r>
  <r>
    <s v="Rakhine"/>
    <x v="0"/>
    <x v="10"/>
    <s v="MMR012CMP017"/>
    <x v="4"/>
    <n v="640"/>
    <s v="LWF"/>
    <d v="2015-04-03T00:00:00"/>
  </r>
  <r>
    <s v="Rakhine"/>
    <x v="0"/>
    <x v="10"/>
    <s v="MMR012CMP017"/>
    <x v="5"/>
    <n v="33"/>
    <s v="LWF"/>
    <d v="2015-04-03T00:00:00"/>
  </r>
  <r>
    <s v="Rakhine"/>
    <x v="0"/>
    <x v="10"/>
    <s v="MMR012CMP017"/>
    <x v="6"/>
    <n v="31"/>
    <s v="LWF"/>
    <d v="2015-04-03T00:00:00"/>
  </r>
  <r>
    <s v="Rakhine"/>
    <x v="0"/>
    <x v="10"/>
    <s v="MMR012CMP017"/>
    <x v="7"/>
    <n v="12"/>
    <s v="LWF"/>
    <d v="2015-04-03T00:00:00"/>
  </r>
  <r>
    <s v="Rakhine"/>
    <x v="1"/>
    <x v="11"/>
    <s v="MMR012CMP098"/>
    <x v="0"/>
    <n v="100"/>
    <s v="DRC"/>
    <d v="2015-03-17T00:00:00"/>
  </r>
  <r>
    <s v="Rakhine"/>
    <x v="1"/>
    <x v="11"/>
    <s v="MMR012CMP098"/>
    <x v="1"/>
    <n v="20"/>
    <s v="DRC"/>
    <d v="2015-03-17T00:00:00"/>
  </r>
  <r>
    <s v="Rakhine"/>
    <x v="1"/>
    <x v="11"/>
    <s v="MMR012CMP098"/>
    <x v="2"/>
    <n v="1"/>
    <s v="DRC"/>
    <d v="2015-03-17T00:00:00"/>
  </r>
  <r>
    <s v="Rakhine"/>
    <x v="1"/>
    <x v="11"/>
    <s v="MMR012CMP098"/>
    <x v="3"/>
    <n v="82"/>
    <s v="DRC"/>
    <d v="2015-03-17T00:00:00"/>
  </r>
  <r>
    <s v="Rakhine"/>
    <x v="1"/>
    <x v="11"/>
    <s v="MMR012CMP098"/>
    <x v="4"/>
    <n v="26"/>
    <s v="DRC"/>
    <d v="2015-03-17T00:00:00"/>
  </r>
  <r>
    <s v="Rakhine"/>
    <x v="1"/>
    <x v="11"/>
    <s v="MMR012CMP098"/>
    <x v="5"/>
    <n v="12"/>
    <s v="DRC"/>
    <d v="2015-03-17T00:00:00"/>
  </r>
  <r>
    <s v="Rakhine"/>
    <x v="1"/>
    <x v="11"/>
    <s v="MMR012CMP098"/>
    <x v="6"/>
    <n v="32"/>
    <s v="DRC"/>
    <d v="2015-03-17T00:00:00"/>
  </r>
  <r>
    <s v="Rakhine"/>
    <x v="1"/>
    <x v="11"/>
    <s v="MMR012CMP098"/>
    <x v="7"/>
    <n v="49"/>
    <s v="DRC"/>
    <d v="2015-03-17T00:00:00"/>
  </r>
  <r>
    <s v="Rakhine"/>
    <x v="1"/>
    <x v="12"/>
    <s v="MMR012CMP115"/>
    <x v="0"/>
    <n v="116"/>
    <s v="DRC"/>
    <d v="2015-04-07T00:00:00"/>
  </r>
  <r>
    <s v="Rakhine"/>
    <x v="1"/>
    <x v="12"/>
    <s v="MMR012CMP115"/>
    <x v="1"/>
    <n v="72"/>
    <s v="DRC"/>
    <d v="2015-04-07T00:00:00"/>
  </r>
  <r>
    <s v="Rakhine"/>
    <x v="1"/>
    <x v="12"/>
    <s v="MMR012CMP115"/>
    <x v="2"/>
    <n v="133"/>
    <s v="DRC"/>
    <d v="2015-04-07T00:00:00"/>
  </r>
  <r>
    <s v="Rakhine"/>
    <x v="1"/>
    <x v="12"/>
    <s v="MMR012CMP115"/>
    <x v="3"/>
    <n v="585"/>
    <s v="DRC"/>
    <d v="2015-04-07T00:00:00"/>
  </r>
  <r>
    <s v="Rakhine"/>
    <x v="1"/>
    <x v="12"/>
    <s v="MMR012CMP115"/>
    <x v="4"/>
    <n v="103"/>
    <s v="DRC"/>
    <d v="2015-04-07T00:00:00"/>
  </r>
  <r>
    <s v="Rakhine"/>
    <x v="1"/>
    <x v="12"/>
    <s v="MMR012CMP115"/>
    <x v="5"/>
    <n v="94"/>
    <s v="DRC"/>
    <d v="2015-04-07T00:00:00"/>
  </r>
  <r>
    <s v="Rakhine"/>
    <x v="1"/>
    <x v="12"/>
    <s v="MMR012CMP115"/>
    <x v="6"/>
    <n v="146"/>
    <s v="DRC"/>
    <d v="2015-04-07T00:00:00"/>
  </r>
  <r>
    <s v="Rakhine"/>
    <x v="1"/>
    <x v="12"/>
    <s v="MMR012CMP115"/>
    <x v="7"/>
    <n v="161"/>
    <s v="DRC"/>
    <d v="2015-04-07T00:00:00"/>
  </r>
  <r>
    <s v="Rakhine"/>
    <x v="1"/>
    <x v="13"/>
    <s v="MMR012CMP116"/>
    <x v="0"/>
    <n v="10"/>
    <s v="LWF"/>
    <d v="2015-04-08T00:00:00"/>
  </r>
  <r>
    <s v="Rakhine"/>
    <x v="1"/>
    <x v="13"/>
    <s v="MMR012CMP116"/>
    <x v="1"/>
    <n v="6"/>
    <s v="LWF"/>
    <d v="2015-04-08T00:00:00"/>
  </r>
  <r>
    <s v="Rakhine"/>
    <x v="1"/>
    <x v="13"/>
    <s v="MMR012CMP116"/>
    <x v="2"/>
    <n v="44"/>
    <s v="LWF"/>
    <d v="2015-04-08T00:00:00"/>
  </r>
  <r>
    <s v="Rakhine"/>
    <x v="1"/>
    <x v="13"/>
    <s v="MMR012CMP116"/>
    <x v="3"/>
    <n v="200"/>
    <s v="LWF"/>
    <d v="2015-04-08T00:00:00"/>
  </r>
  <r>
    <s v="Rakhine"/>
    <x v="1"/>
    <x v="13"/>
    <s v="MMR012CMP116"/>
    <x v="4"/>
    <n v="581"/>
    <s v="LWF"/>
    <d v="2015-04-08T00:00:00"/>
  </r>
  <r>
    <s v="Rakhine"/>
    <x v="1"/>
    <x v="13"/>
    <s v="MMR012CMP116"/>
    <x v="5"/>
    <n v="1"/>
    <s v="LWF"/>
    <d v="2015-04-08T00:00:00"/>
  </r>
  <r>
    <s v="Rakhine"/>
    <x v="1"/>
    <x v="13"/>
    <s v="MMR012CMP116"/>
    <x v="6"/>
    <n v="33"/>
    <s v="LWF"/>
    <d v="2015-04-08T00:00:00"/>
  </r>
  <r>
    <s v="Rakhine"/>
    <x v="1"/>
    <x v="13"/>
    <s v="MMR012CMP116"/>
    <x v="7"/>
    <n v="1"/>
    <s v="LWF"/>
    <d v="2015-04-08T00:00:00"/>
  </r>
  <r>
    <s v="Rakhine"/>
    <x v="1"/>
    <x v="14"/>
    <s v="MMR012CMP111"/>
    <x v="0"/>
    <n v="3"/>
    <s v="SCI"/>
    <d v="2015-03-25T00:00:00"/>
  </r>
  <r>
    <s v="Rakhine"/>
    <x v="1"/>
    <x v="14"/>
    <s v="MMR012CMP111"/>
    <x v="1"/>
    <m/>
    <s v="SCI"/>
    <d v="2015-03-25T00:00:00"/>
  </r>
  <r>
    <s v="Rakhine"/>
    <x v="1"/>
    <x v="14"/>
    <s v="MMR012CMP111"/>
    <x v="2"/>
    <m/>
    <s v="SCI"/>
    <d v="2015-03-25T00:00:00"/>
  </r>
  <r>
    <s v="Rakhine"/>
    <x v="1"/>
    <x v="14"/>
    <s v="MMR012CMP111"/>
    <x v="3"/>
    <n v="6"/>
    <s v="SCI"/>
    <d v="2015-03-25T00:00:00"/>
  </r>
  <r>
    <s v="Rakhine"/>
    <x v="1"/>
    <x v="14"/>
    <s v="MMR012CMP111"/>
    <x v="4"/>
    <n v="10"/>
    <s v="SCI"/>
    <d v="2015-03-25T00:00:00"/>
  </r>
  <r>
    <s v="Rakhine"/>
    <x v="1"/>
    <x v="14"/>
    <s v="MMR012CMP111"/>
    <x v="5"/>
    <n v="23"/>
    <s v="SCI"/>
    <d v="2015-03-25T00:00:00"/>
  </r>
  <r>
    <s v="Rakhine"/>
    <x v="1"/>
    <x v="14"/>
    <s v="MMR012CMP111"/>
    <x v="6"/>
    <n v="7"/>
    <s v="SCI"/>
    <d v="2015-03-25T00:00:00"/>
  </r>
  <r>
    <s v="Rakhine"/>
    <x v="1"/>
    <x v="14"/>
    <s v="MMR012CMP111"/>
    <x v="7"/>
    <n v="21"/>
    <s v="SCI"/>
    <d v="2015-03-25T00:00:00"/>
  </r>
  <r>
    <s v="Rakhine"/>
    <x v="1"/>
    <x v="15"/>
    <s v="MMR012CMP112"/>
    <x v="0"/>
    <n v="37"/>
    <s v="UNHCR"/>
    <d v="2015-03-18T00:00:00"/>
  </r>
  <r>
    <s v="Rakhine"/>
    <x v="1"/>
    <x v="15"/>
    <s v="MMR012CMP112"/>
    <x v="1"/>
    <n v="3"/>
    <s v="UNHCR"/>
    <d v="2015-03-18T00:00:00"/>
  </r>
  <r>
    <s v="Rakhine"/>
    <x v="1"/>
    <x v="15"/>
    <s v="MMR012CMP112"/>
    <x v="2"/>
    <n v="3"/>
    <s v="UNHCR"/>
    <d v="2015-03-18T00:00:00"/>
  </r>
  <r>
    <s v="Rakhine"/>
    <x v="1"/>
    <x v="15"/>
    <s v="MMR012CMP112"/>
    <x v="3"/>
    <n v="31"/>
    <s v="UNHCR"/>
    <d v="2015-03-18T00:00:00"/>
  </r>
  <r>
    <s v="Rakhine"/>
    <x v="1"/>
    <x v="15"/>
    <s v="MMR012CMP112"/>
    <x v="4"/>
    <n v="26"/>
    <s v="UNHCR"/>
    <d v="2015-03-18T00:00:00"/>
  </r>
  <r>
    <s v="Rakhine"/>
    <x v="1"/>
    <x v="15"/>
    <s v="MMR012CMP112"/>
    <x v="5"/>
    <n v="89"/>
    <s v="UNHCR"/>
    <d v="2015-03-18T00:00:00"/>
  </r>
  <r>
    <s v="Rakhine"/>
    <x v="1"/>
    <x v="15"/>
    <s v="MMR012CMP112"/>
    <x v="6"/>
    <n v="21"/>
    <s v="UNHCR"/>
    <d v="2015-03-18T00:00:00"/>
  </r>
  <r>
    <s v="Rakhine"/>
    <x v="1"/>
    <x v="15"/>
    <s v="MMR012CMP112"/>
    <x v="7"/>
    <n v="39"/>
    <s v="UNHCR"/>
    <d v="2015-03-18T00:00:00"/>
  </r>
  <r>
    <s v="Rakhine"/>
    <x v="1"/>
    <x v="16"/>
    <s v="MMR012CMP045"/>
    <x v="0"/>
    <n v="54"/>
    <s v="DRC"/>
    <d v="2015-04-08T00:00:00"/>
  </r>
  <r>
    <s v="Rakhine"/>
    <x v="1"/>
    <x v="16"/>
    <s v="MMR012CMP045"/>
    <x v="1"/>
    <n v="18"/>
    <s v="DRC"/>
    <d v="2015-04-08T00:00:00"/>
  </r>
  <r>
    <s v="Rakhine"/>
    <x v="1"/>
    <x v="16"/>
    <s v="MMR012CMP045"/>
    <x v="2"/>
    <n v="78"/>
    <s v="DRC"/>
    <d v="2015-04-08T00:00:00"/>
  </r>
  <r>
    <s v="Rakhine"/>
    <x v="1"/>
    <x v="16"/>
    <s v="MMR012CMP045"/>
    <x v="3"/>
    <n v="466"/>
    <s v="DRC"/>
    <d v="2015-04-08T00:00:00"/>
  </r>
  <r>
    <s v="Rakhine"/>
    <x v="1"/>
    <x v="16"/>
    <s v="MMR012CMP045"/>
    <x v="4"/>
    <n v="69"/>
    <s v="DRC"/>
    <d v="2015-04-08T00:00:00"/>
  </r>
  <r>
    <s v="Rakhine"/>
    <x v="1"/>
    <x v="16"/>
    <s v="MMR012CMP045"/>
    <x v="5"/>
    <n v="26"/>
    <s v="DRC"/>
    <d v="2015-04-08T00:00:00"/>
  </r>
  <r>
    <s v="Rakhine"/>
    <x v="1"/>
    <x v="16"/>
    <s v="MMR012CMP045"/>
    <x v="6"/>
    <n v="104"/>
    <s v="DRC"/>
    <d v="2015-04-08T00:00:00"/>
  </r>
  <r>
    <s v="Rakhine"/>
    <x v="1"/>
    <x v="16"/>
    <s v="MMR012CMP045"/>
    <x v="7"/>
    <n v="144"/>
    <s v="DRC"/>
    <d v="2015-04-08T00:00:00"/>
  </r>
  <r>
    <s v="Rakhine"/>
    <x v="1"/>
    <x v="17"/>
    <s v="MMR012CMP056"/>
    <x v="0"/>
    <n v="0"/>
    <s v="LWF"/>
    <d v="2015-03-20T00:00:00"/>
  </r>
  <r>
    <s v="Rakhine"/>
    <x v="1"/>
    <x v="17"/>
    <s v="MMR012CMP056"/>
    <x v="1"/>
    <n v="0"/>
    <s v="LWF"/>
    <d v="2015-03-20T00:00:00"/>
  </r>
  <r>
    <s v="Rakhine"/>
    <x v="1"/>
    <x v="17"/>
    <s v="MMR012CMP056"/>
    <x v="2"/>
    <n v="0"/>
    <s v="LWF"/>
    <d v="2015-03-20T00:00:00"/>
  </r>
  <r>
    <s v="Rakhine"/>
    <x v="1"/>
    <x v="17"/>
    <s v="MMR012CMP056"/>
    <x v="3"/>
    <n v="3"/>
    <s v="LWF"/>
    <d v="2015-03-20T00:00:00"/>
  </r>
  <r>
    <s v="Rakhine"/>
    <x v="1"/>
    <x v="17"/>
    <s v="MMR012CMP056"/>
    <x v="4"/>
    <n v="10"/>
    <s v="LWF"/>
    <d v="2015-03-20T00:00:00"/>
  </r>
  <r>
    <s v="Rakhine"/>
    <x v="1"/>
    <x v="17"/>
    <s v="MMR012CMP056"/>
    <x v="5"/>
    <n v="5"/>
    <s v="LWF"/>
    <d v="2015-03-20T00:00:00"/>
  </r>
  <r>
    <s v="Rakhine"/>
    <x v="1"/>
    <x v="17"/>
    <s v="MMR012CMP056"/>
    <x v="6"/>
    <n v="7"/>
    <s v="LWF"/>
    <d v="2015-03-20T00:00:00"/>
  </r>
  <r>
    <s v="Rakhine"/>
    <x v="1"/>
    <x v="17"/>
    <s v="MMR012CMP056"/>
    <x v="7"/>
    <n v="4"/>
    <s v="LWF"/>
    <d v="2015-03-20T00:00:00"/>
  </r>
  <r>
    <s v="Rakhine"/>
    <x v="1"/>
    <x v="18"/>
    <s v="MMR012CMP093"/>
    <x v="0"/>
    <n v="2"/>
    <s v="LWF"/>
    <d v="2015-03-01T00:00:00"/>
  </r>
  <r>
    <s v="Rakhine"/>
    <x v="1"/>
    <x v="18"/>
    <s v="MMR012CMP093"/>
    <x v="1"/>
    <n v="0"/>
    <s v="LWF"/>
    <d v="2015-03-01T00:00:00"/>
  </r>
  <r>
    <s v="Rakhine"/>
    <x v="1"/>
    <x v="18"/>
    <s v="MMR012CMP093"/>
    <x v="2"/>
    <n v="0"/>
    <s v="LWF"/>
    <d v="2015-03-01T00:00:00"/>
  </r>
  <r>
    <s v="Rakhine"/>
    <x v="1"/>
    <x v="18"/>
    <s v="MMR012CMP093"/>
    <x v="3"/>
    <n v="8"/>
    <s v="LWF"/>
    <d v="2015-03-01T00:00:00"/>
  </r>
  <r>
    <s v="Rakhine"/>
    <x v="1"/>
    <x v="18"/>
    <s v="MMR012CMP093"/>
    <x v="4"/>
    <n v="32"/>
    <s v="LWF"/>
    <d v="2015-03-01T00:00:00"/>
  </r>
  <r>
    <s v="Rakhine"/>
    <x v="1"/>
    <x v="18"/>
    <s v="MMR012CMP093"/>
    <x v="5"/>
    <n v="14"/>
    <s v="LWF"/>
    <d v="2015-03-01T00:00:00"/>
  </r>
  <r>
    <s v="Rakhine"/>
    <x v="1"/>
    <x v="18"/>
    <s v="MMR012CMP093"/>
    <x v="6"/>
    <n v="7"/>
    <s v="LWF"/>
    <d v="2015-03-01T00:00:00"/>
  </r>
  <r>
    <s v="Rakhine"/>
    <x v="1"/>
    <x v="18"/>
    <s v="MMR012CMP093"/>
    <x v="7"/>
    <n v="3"/>
    <s v="LWF"/>
    <d v="2015-03-01T00:00:00"/>
  </r>
  <r>
    <s v="Rakhine"/>
    <x v="0"/>
    <x v="19"/>
    <s v="MMR012CMP019"/>
    <x v="0"/>
    <n v="1"/>
    <s v="SCI"/>
    <d v="2015-07-27T00:00:00"/>
  </r>
  <r>
    <s v="Rakhine"/>
    <x v="0"/>
    <x v="19"/>
    <s v="MMR012CMP019"/>
    <x v="1"/>
    <n v="2"/>
    <s v="SCI"/>
    <d v="2015-07-27T00:00:00"/>
  </r>
  <r>
    <s v="Rakhine"/>
    <x v="0"/>
    <x v="19"/>
    <s v="MMR012CMP019"/>
    <x v="2"/>
    <m/>
    <s v="SCI"/>
    <d v="2015-07-27T00:00:00"/>
  </r>
  <r>
    <s v="Rakhine"/>
    <x v="0"/>
    <x v="19"/>
    <s v="MMR012CMP019"/>
    <x v="3"/>
    <n v="1"/>
    <s v="SCI"/>
    <d v="2015-07-27T00:00:00"/>
  </r>
  <r>
    <s v="Rakhine"/>
    <x v="0"/>
    <x v="19"/>
    <s v="MMR012CMP019"/>
    <x v="4"/>
    <n v="8"/>
    <s v="SCI"/>
    <d v="2015-07-27T00:00:00"/>
  </r>
  <r>
    <s v="Rakhine"/>
    <x v="0"/>
    <x v="19"/>
    <s v="MMR012CMP019"/>
    <x v="5"/>
    <n v="17"/>
    <s v="SCI"/>
    <d v="2015-07-27T00:00:00"/>
  </r>
  <r>
    <s v="Rakhine"/>
    <x v="0"/>
    <x v="19"/>
    <s v="MMR012CMP019"/>
    <x v="6"/>
    <n v="10"/>
    <s v="SCI"/>
    <d v="2015-07-27T00:00:00"/>
  </r>
  <r>
    <s v="Rakhine"/>
    <x v="0"/>
    <x v="19"/>
    <s v="MMR012CMP019"/>
    <x v="7"/>
    <n v="42"/>
    <s v="SCI"/>
    <d v="2015-07-27T00:00:00"/>
  </r>
  <r>
    <s v="Rakhine"/>
    <x v="2"/>
    <x v="20"/>
    <s v="MMR012CMP014"/>
    <x v="0"/>
    <n v="68"/>
    <s v="RI"/>
    <d v="2015-05-04T00:00:00"/>
  </r>
  <r>
    <s v="Rakhine"/>
    <x v="2"/>
    <x v="20"/>
    <s v="MMR012CMP014"/>
    <x v="1"/>
    <n v="12"/>
    <s v="RI"/>
    <d v="2015-05-04T00:00:00"/>
  </r>
  <r>
    <s v="Rakhine"/>
    <x v="2"/>
    <x v="20"/>
    <s v="MMR012CMP014"/>
    <x v="2"/>
    <n v="3"/>
    <s v="RI"/>
    <d v="2015-05-04T00:00:00"/>
  </r>
  <r>
    <s v="Rakhine"/>
    <x v="2"/>
    <x v="20"/>
    <s v="MMR012CMP014"/>
    <x v="3"/>
    <n v="70"/>
    <s v="RI"/>
    <d v="2015-05-04T00:00:00"/>
  </r>
  <r>
    <s v="Rakhine"/>
    <x v="2"/>
    <x v="20"/>
    <s v="MMR012CMP014"/>
    <x v="4"/>
    <n v="121"/>
    <s v="RI"/>
    <d v="2015-05-04T00:00:00"/>
  </r>
  <r>
    <s v="Rakhine"/>
    <x v="2"/>
    <x v="20"/>
    <s v="MMR012CMP014"/>
    <x v="5"/>
    <n v="53"/>
    <s v="RI"/>
    <d v="2015-05-04T00:00:00"/>
  </r>
  <r>
    <s v="Rakhine"/>
    <x v="2"/>
    <x v="20"/>
    <s v="MMR012CMP014"/>
    <x v="6"/>
    <n v="34"/>
    <s v="RI"/>
    <d v="2015-05-04T00:00:00"/>
  </r>
  <r>
    <s v="Rakhine"/>
    <x v="2"/>
    <x v="20"/>
    <s v="MMR012CMP014"/>
    <x v="7"/>
    <n v="51"/>
    <s v="RI"/>
    <d v="2015-05-04T00:00:00"/>
  </r>
  <r>
    <s v="Rakhine"/>
    <x v="1"/>
    <x v="21"/>
    <s v="MMR012CMP046"/>
    <x v="0"/>
    <n v="1"/>
    <s v="LWF"/>
    <d v="2015-04-19T00:00:00"/>
  </r>
  <r>
    <s v="Rakhine"/>
    <x v="1"/>
    <x v="21"/>
    <s v="MMR012CMP046"/>
    <x v="1"/>
    <n v="4"/>
    <s v="LWF"/>
    <d v="2015-04-19T00:00:00"/>
  </r>
  <r>
    <s v="Rakhine"/>
    <x v="1"/>
    <x v="21"/>
    <s v="MMR012CMP046"/>
    <x v="2"/>
    <n v="2"/>
    <s v="LWF"/>
    <d v="2015-04-19T00:00:00"/>
  </r>
  <r>
    <s v="Rakhine"/>
    <x v="1"/>
    <x v="21"/>
    <s v="MMR012CMP046"/>
    <x v="3"/>
    <n v="29"/>
    <s v="LWF"/>
    <d v="2015-04-19T00:00:00"/>
  </r>
  <r>
    <s v="Rakhine"/>
    <x v="1"/>
    <x v="21"/>
    <s v="MMR012CMP046"/>
    <x v="4"/>
    <n v="639"/>
    <s v="LWF"/>
    <d v="2015-04-19T00:00:00"/>
  </r>
  <r>
    <s v="Rakhine"/>
    <x v="1"/>
    <x v="21"/>
    <s v="MMR012CMP046"/>
    <x v="5"/>
    <n v="56"/>
    <s v="LWF"/>
    <d v="2015-04-19T00:00:00"/>
  </r>
  <r>
    <s v="Rakhine"/>
    <x v="1"/>
    <x v="21"/>
    <s v="MMR012CMP046"/>
    <x v="6"/>
    <n v="63"/>
    <s v="LWF"/>
    <d v="2015-04-19T00:00:00"/>
  </r>
  <r>
    <s v="Rakhine"/>
    <x v="1"/>
    <x v="21"/>
    <s v="MMR012CMP046"/>
    <x v="7"/>
    <n v="36"/>
    <s v="LWF"/>
    <d v="2015-04-19T00:00:00"/>
  </r>
  <r>
    <s v="Rakhine"/>
    <x v="1"/>
    <x v="22"/>
    <s v="MMR012CMP048"/>
    <x v="0"/>
    <n v="25"/>
    <s v="SCI"/>
    <d v="2015-06-16T00:00:00"/>
  </r>
  <r>
    <s v="Rakhine"/>
    <x v="1"/>
    <x v="22"/>
    <s v="MMR012CMP048"/>
    <x v="1"/>
    <n v="12"/>
    <s v="SCI"/>
    <d v="2015-06-16T00:00:00"/>
  </r>
  <r>
    <s v="Rakhine"/>
    <x v="1"/>
    <x v="22"/>
    <s v="MMR012CMP048"/>
    <x v="2"/>
    <n v="4"/>
    <s v="SCI"/>
    <d v="2015-06-16T00:00:00"/>
  </r>
  <r>
    <s v="Rakhine"/>
    <x v="1"/>
    <x v="22"/>
    <s v="MMR012CMP048"/>
    <x v="3"/>
    <n v="63"/>
    <s v="SCI"/>
    <d v="2015-06-16T00:00:00"/>
  </r>
  <r>
    <s v="Rakhine"/>
    <x v="1"/>
    <x v="22"/>
    <s v="MMR012CMP048"/>
    <x v="4"/>
    <n v="49"/>
    <s v="SCI"/>
    <d v="2015-06-16T00:00:00"/>
  </r>
  <r>
    <s v="Rakhine"/>
    <x v="1"/>
    <x v="22"/>
    <s v="MMR012CMP048"/>
    <x v="5"/>
    <n v="37"/>
    <s v="SCI"/>
    <d v="2015-06-16T00:00:00"/>
  </r>
  <r>
    <s v="Rakhine"/>
    <x v="1"/>
    <x v="22"/>
    <s v="MMR012CMP048"/>
    <x v="6"/>
    <n v="18"/>
    <s v="SCI"/>
    <d v="2015-06-16T00:00:00"/>
  </r>
  <r>
    <s v="Rakhine"/>
    <x v="1"/>
    <x v="22"/>
    <s v="MMR012CMP048"/>
    <x v="7"/>
    <n v="107"/>
    <s v="SCI"/>
    <d v="2015-06-16T00:00:00"/>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MMR012CMP017"/>
    <x v="0"/>
    <x v="0"/>
    <n v="1000"/>
  </r>
  <r>
    <x v="0"/>
    <x v="10"/>
    <s v="MMR012CMP017"/>
    <x v="0"/>
    <x v="1"/>
    <n v="939"/>
  </r>
  <r>
    <x v="0"/>
    <x v="10"/>
    <s v="MMR012CMP017"/>
    <x v="1"/>
    <x v="0"/>
    <n v="740"/>
  </r>
  <r>
    <x v="0"/>
    <x v="10"/>
    <s v="MMR012CMP017"/>
    <x v="1"/>
    <x v="1"/>
    <n v="743"/>
  </r>
  <r>
    <x v="0"/>
    <x v="10"/>
    <s v="MMR012CMP017"/>
    <x v="2"/>
    <x v="0"/>
    <n v="522"/>
  </r>
  <r>
    <x v="0"/>
    <x v="10"/>
    <s v="MMR012CMP017"/>
    <x v="2"/>
    <x v="1"/>
    <n v="383"/>
  </r>
  <r>
    <x v="0"/>
    <x v="10"/>
    <s v="MMR012CMP017"/>
    <x v="3"/>
    <x v="0"/>
    <n v="509"/>
  </r>
  <r>
    <x v="0"/>
    <x v="10"/>
    <s v="MMR012CMP017"/>
    <x v="3"/>
    <x v="1"/>
    <n v="758"/>
  </r>
  <r>
    <x v="0"/>
    <x v="10"/>
    <s v="MMR012CMP017"/>
    <x v="4"/>
    <x v="0"/>
    <n v="850"/>
  </r>
  <r>
    <x v="0"/>
    <x v="10"/>
    <s v="MMR012CMP017"/>
    <x v="4"/>
    <x v="1"/>
    <n v="747"/>
  </r>
  <r>
    <x v="0"/>
    <x v="10"/>
    <s v="MMR012CMP017"/>
    <x v="5"/>
    <x v="0"/>
    <n v="117"/>
  </r>
  <r>
    <x v="0"/>
    <x v="10"/>
    <s v="MMR012CMP017"/>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5.xml><?xml version="1.0" encoding="utf-8"?>
<pivotCacheRecords xmlns="http://schemas.openxmlformats.org/spreadsheetml/2006/main" xmlns:r="http://schemas.openxmlformats.org/officeDocument/2006/relationships" count="137">
  <r>
    <d v="2015-09-21T00:00:00"/>
    <x v="0"/>
    <s v="UNHCR"/>
    <x v="0"/>
    <x v="0"/>
    <s v="Khaung Htoke"/>
    <n v="1"/>
    <n v="17"/>
    <n v="17"/>
    <m/>
    <m/>
    <m/>
    <m/>
    <m/>
    <m/>
    <m/>
    <m/>
    <m/>
    <n v="0"/>
    <n v="0"/>
    <m/>
    <s v="Relocated in Individual Housing"/>
    <n v="0"/>
    <n v="0"/>
    <n v="0"/>
  </r>
  <r>
    <d v="2015-07-01T00:00:00"/>
    <x v="1"/>
    <s v="Government"/>
    <x v="0"/>
    <x v="1"/>
    <s v="Kyauk Ta Lone"/>
    <n v="1"/>
    <m/>
    <m/>
    <m/>
    <m/>
    <m/>
    <n v="47"/>
    <m/>
    <m/>
    <m/>
    <m/>
    <m/>
    <n v="0"/>
    <n v="0"/>
    <s v="MMR012CMP035"/>
    <s v="Open"/>
    <n v="0"/>
    <n v="47"/>
    <n v="0"/>
  </r>
  <r>
    <d v="2015-07-01T00:00:00"/>
    <x v="1"/>
    <s v="Government"/>
    <x v="0"/>
    <x v="1"/>
    <s v="Pha Yar Gyi Kwin"/>
    <n v="1"/>
    <m/>
    <m/>
    <m/>
    <m/>
    <m/>
    <n v="53"/>
    <m/>
    <m/>
    <m/>
    <m/>
    <m/>
    <n v="0"/>
    <n v="0"/>
    <s v=""/>
    <s v=""/>
    <s v=""/>
    <n v="53"/>
    <n v="0"/>
  </r>
  <r>
    <d v="2015-07-01T00:00:00"/>
    <x v="1"/>
    <s v="Government"/>
    <x v="0"/>
    <x v="0"/>
    <s v="Ah Lel"/>
    <n v="1"/>
    <m/>
    <m/>
    <m/>
    <m/>
    <m/>
    <m/>
    <m/>
    <m/>
    <n v="26"/>
    <n v="26"/>
    <m/>
    <n v="26"/>
    <n v="0"/>
    <s v="MMR012CMP022"/>
    <s v="Returned in Individual Housing"/>
    <n v="1.0833333333333333"/>
    <n v="26"/>
    <n v="26"/>
  </r>
  <r>
    <d v="2015-07-01T00:00:00"/>
    <x v="1"/>
    <s v="Government"/>
    <x v="0"/>
    <x v="0"/>
    <s v="Ah Lel"/>
    <n v="1"/>
    <m/>
    <m/>
    <m/>
    <m/>
    <m/>
    <m/>
    <m/>
    <m/>
    <n v="14"/>
    <n v="14"/>
    <m/>
    <n v="14"/>
    <n v="0"/>
    <s v="MMR012CMP025"/>
    <s v="Returned in Individual Housing"/>
    <n v="0.58333333333333337"/>
    <n v="14"/>
    <n v="14"/>
  </r>
  <r>
    <d v="2015-07-01T00:00:00"/>
    <x v="1"/>
    <s v="Government"/>
    <x v="0"/>
    <x v="0"/>
    <s v="Ah Pauk Wa "/>
    <n v="1"/>
    <m/>
    <m/>
    <m/>
    <m/>
    <m/>
    <m/>
    <m/>
    <m/>
    <n v="48"/>
    <n v="48"/>
    <m/>
    <n v="48"/>
    <n v="0"/>
    <s v="MMR012CMP024"/>
    <s v="Returned in Individual Housing"/>
    <n v="0.52173913043478259"/>
    <n v="48"/>
    <n v="48"/>
  </r>
  <r>
    <d v="2015-07-01T00:00:00"/>
    <x v="1"/>
    <s v="Government"/>
    <x v="0"/>
    <x v="0"/>
    <s v="Let Saung Kauk"/>
    <n v="1"/>
    <m/>
    <m/>
    <m/>
    <m/>
    <m/>
    <m/>
    <m/>
    <m/>
    <n v="18"/>
    <n v="18"/>
    <m/>
    <n v="18"/>
    <n v="0"/>
    <s v="MMR012CMP020"/>
    <s v="Returned in Individual Housing"/>
    <n v="1"/>
    <n v="18"/>
    <n v="18"/>
  </r>
  <r>
    <d v="2015-07-01T00:00:00"/>
    <x v="1"/>
    <s v="Government"/>
    <x v="0"/>
    <x v="0"/>
    <s v="Taung Bwe"/>
    <n v="1"/>
    <m/>
    <m/>
    <m/>
    <m/>
    <m/>
    <m/>
    <m/>
    <m/>
    <n v="62"/>
    <n v="62"/>
    <m/>
    <n v="62"/>
    <n v="0"/>
    <s v="MMR012CMP021"/>
    <s v="Returned in Individual Housing"/>
    <n v="0.98412698412698407"/>
    <n v="62"/>
    <n v="62"/>
  </r>
  <r>
    <d v="2015-07-01T00:00:00"/>
    <x v="1"/>
    <s v="Government"/>
    <x v="0"/>
    <x v="2"/>
    <s v="Aung Taing"/>
    <n v="1"/>
    <m/>
    <m/>
    <m/>
    <m/>
    <m/>
    <m/>
    <m/>
    <m/>
    <n v="44"/>
    <n v="44"/>
    <m/>
    <n v="44"/>
    <n v="0"/>
    <s v="MMR012CMP006"/>
    <s v="Returned in Individual Housing"/>
    <n v="0.51162790697674421"/>
    <n v="44"/>
    <n v="44"/>
  </r>
  <r>
    <d v="2015-07-01T00:00:00"/>
    <x v="1"/>
    <s v="Government"/>
    <x v="0"/>
    <x v="2"/>
    <s v="Paik Thay"/>
    <n v="1"/>
    <m/>
    <m/>
    <m/>
    <m/>
    <m/>
    <m/>
    <m/>
    <m/>
    <n v="19"/>
    <n v="19"/>
    <m/>
    <n v="19"/>
    <n v="0"/>
    <s v="MMR012CMP001"/>
    <s v="Returned in Individual Housing"/>
    <n v="1"/>
    <n v="19"/>
    <n v="19"/>
  </r>
  <r>
    <d v="2015-07-01T00:00:00"/>
    <x v="1"/>
    <s v="Government"/>
    <x v="0"/>
    <x v="2"/>
    <s v="Sam Ba Le"/>
    <n v="1"/>
    <m/>
    <m/>
    <m/>
    <m/>
    <m/>
    <m/>
    <m/>
    <m/>
    <n v="110"/>
    <n v="110"/>
    <m/>
    <n v="110"/>
    <n v="0"/>
    <s v="MMR012CMP008"/>
    <s v="Returned in Individual Housing"/>
    <n v="0.48888888888888887"/>
    <n v="110"/>
    <n v="110"/>
  </r>
  <r>
    <d v="2015-07-01T00:00:00"/>
    <x v="1"/>
    <s v="Government"/>
    <x v="0"/>
    <x v="2"/>
    <s v="San Htoe Tan"/>
    <n v="1"/>
    <m/>
    <m/>
    <m/>
    <m/>
    <m/>
    <m/>
    <m/>
    <m/>
    <n v="43"/>
    <n v="43"/>
    <m/>
    <n v="43"/>
    <n v="0"/>
    <s v="MMR012CMP003"/>
    <s v="Returned in Individual Housing"/>
    <n v="0.5"/>
    <n v="43"/>
    <n v="43"/>
  </r>
  <r>
    <d v="2015-07-01T00:00:00"/>
    <x v="1"/>
    <s v="Government"/>
    <x v="0"/>
    <x v="2"/>
    <s v="Cheik Thaung"/>
    <n v="1"/>
    <m/>
    <m/>
    <m/>
    <m/>
    <m/>
    <n v="4"/>
    <n v="4"/>
    <m/>
    <m/>
    <m/>
    <m/>
    <n v="4"/>
    <n v="0"/>
    <s v=""/>
    <s v=""/>
    <s v=""/>
    <n v="4"/>
    <n v="4"/>
  </r>
  <r>
    <d v="2015-07-01T00:00:00"/>
    <x v="1"/>
    <s v="Government"/>
    <x v="0"/>
    <x v="2"/>
    <s v="Set Yone Maw"/>
    <n v="1"/>
    <m/>
    <m/>
    <m/>
    <m/>
    <m/>
    <n v="18"/>
    <n v="18"/>
    <m/>
    <m/>
    <m/>
    <m/>
    <n v="18"/>
    <n v="0"/>
    <s v="MMR012CMP104"/>
    <s v="Returned in Individual Housing"/>
    <n v="1.0588235294117647"/>
    <n v="18"/>
    <n v="18"/>
  </r>
  <r>
    <d v="2015-07-01T00:00:00"/>
    <x v="1"/>
    <s v="Government"/>
    <x v="0"/>
    <x v="2"/>
    <s v="Tha Dar"/>
    <n v="1"/>
    <m/>
    <m/>
    <m/>
    <m/>
    <m/>
    <m/>
    <m/>
    <m/>
    <n v="96"/>
    <n v="96"/>
    <m/>
    <n v="96"/>
    <n v="0"/>
    <s v="MMR012CMP002"/>
    <s v="Returned in Individual Housing"/>
    <n v="0.47290640394088668"/>
    <n v="96"/>
    <n v="96"/>
  </r>
  <r>
    <d v="2015-07-01T00:00:00"/>
    <x v="1"/>
    <s v="Government"/>
    <x v="0"/>
    <x v="2"/>
    <s v="Tha Yet Oak"/>
    <n v="1"/>
    <m/>
    <m/>
    <m/>
    <m/>
    <m/>
    <m/>
    <m/>
    <m/>
    <n v="139"/>
    <n v="139"/>
    <m/>
    <n v="139"/>
    <n v="0"/>
    <s v="MMR012CMP005"/>
    <s v="Returned in Individual Housing"/>
    <n v="0.50545454545454549"/>
    <n v="139"/>
    <n v="139"/>
  </r>
  <r>
    <d v="2015-07-01T00:00:00"/>
    <x v="1"/>
    <s v="Government"/>
    <x v="0"/>
    <x v="3"/>
    <s v="Pa Rein"/>
    <n v="1"/>
    <m/>
    <m/>
    <m/>
    <m/>
    <m/>
    <m/>
    <m/>
    <m/>
    <n v="102"/>
    <n v="102"/>
    <m/>
    <n v="102"/>
    <n v="0"/>
    <s v="MMR012CMP009"/>
    <s v="Returned in Individual Housing"/>
    <n v="0.5"/>
    <n v="102"/>
    <n v="102"/>
  </r>
  <r>
    <d v="2015-07-01T00:00:00"/>
    <x v="1"/>
    <s v="Government"/>
    <x v="0"/>
    <x v="3"/>
    <s v="Raw Ma Ni Sin Oe"/>
    <n v="1"/>
    <m/>
    <m/>
    <m/>
    <m/>
    <m/>
    <n v="10"/>
    <n v="10"/>
    <m/>
    <m/>
    <m/>
    <m/>
    <n v="10"/>
    <n v="0"/>
    <s v="MMR012CMP012"/>
    <s v="Relocated in Individual Housing"/>
    <n v="1"/>
    <n v="10"/>
    <n v="10"/>
  </r>
  <r>
    <d v="2015-07-01T00:00:00"/>
    <x v="1"/>
    <s v="Government"/>
    <x v="0"/>
    <x v="3"/>
    <s v="Thi Kyar"/>
    <n v="1"/>
    <m/>
    <m/>
    <m/>
    <m/>
    <m/>
    <n v="32"/>
    <n v="32"/>
    <m/>
    <m/>
    <m/>
    <m/>
    <n v="32"/>
    <n v="0"/>
    <s v="MMR012CMP117"/>
    <s v="Relocated in Individual Housing"/>
    <n v="1.032258064516129"/>
    <n v="32"/>
    <n v="32"/>
  </r>
  <r>
    <d v="2015-07-01T00:00:00"/>
    <x v="1"/>
    <s v="Government"/>
    <x v="0"/>
    <x v="3"/>
    <s v="Yai Thei-Muslim"/>
    <n v="1"/>
    <m/>
    <m/>
    <m/>
    <m/>
    <m/>
    <m/>
    <m/>
    <m/>
    <n v="182"/>
    <n v="182"/>
    <m/>
    <n v="182"/>
    <n v="0"/>
    <s v="MMR012CMP010"/>
    <s v="Returned in Individual Housing"/>
    <n v="0.49863013698630138"/>
    <n v="182"/>
    <n v="182"/>
  </r>
  <r>
    <d v="2015-07-01T00:00:00"/>
    <x v="0"/>
    <s v="LWF"/>
    <x v="0"/>
    <x v="3"/>
    <s v="Pa Rein"/>
    <n v="1"/>
    <m/>
    <m/>
    <m/>
    <m/>
    <m/>
    <m/>
    <m/>
    <m/>
    <n v="102"/>
    <m/>
    <m/>
    <n v="0"/>
    <n v="0"/>
    <s v="MMR012CMP009"/>
    <s v="Returned in Individual Housing"/>
    <n v="0"/>
    <n v="102"/>
    <n v="0"/>
  </r>
  <r>
    <d v="2015-07-01T00:00:00"/>
    <x v="0"/>
    <s v="LWF"/>
    <x v="0"/>
    <x v="3"/>
    <s v="Yai Thei-Muslim"/>
    <n v="1"/>
    <m/>
    <m/>
    <m/>
    <m/>
    <m/>
    <m/>
    <m/>
    <m/>
    <n v="183"/>
    <m/>
    <m/>
    <n v="0"/>
    <n v="0"/>
    <s v="MMR012CMP010"/>
    <s v="Returned in Individual Housing"/>
    <n v="0"/>
    <n v="183"/>
    <n v="0"/>
  </r>
  <r>
    <d v="2015-07-01T00:00:00"/>
    <x v="1"/>
    <s v="Government"/>
    <x v="0"/>
    <x v="4"/>
    <s v="Kan Thar Htwat Wa"/>
    <n v="1"/>
    <m/>
    <m/>
    <m/>
    <m/>
    <m/>
    <n v="42"/>
    <m/>
    <m/>
    <m/>
    <m/>
    <m/>
    <n v="0"/>
    <n v="0"/>
    <s v="MMR012CMP013"/>
    <s v="Open"/>
    <n v="0"/>
    <n v="42"/>
    <n v="0"/>
  </r>
  <r>
    <d v="2015-07-01T00:00:00"/>
    <x v="1"/>
    <s v="Government"/>
    <x v="0"/>
    <x v="5"/>
    <s v="Kyein Ni Pyin"/>
    <n v="1"/>
    <m/>
    <m/>
    <m/>
    <m/>
    <m/>
    <m/>
    <m/>
    <m/>
    <n v="112"/>
    <n v="112"/>
    <m/>
    <n v="112"/>
    <n v="112"/>
    <s v="MMR012CMP018"/>
    <s v="Open"/>
    <n v="9.7222222222222224E-2"/>
    <n v="112"/>
    <n v="112"/>
  </r>
  <r>
    <d v="2015-07-01T00:00:00"/>
    <x v="1"/>
    <s v="Government"/>
    <x v="0"/>
    <x v="5"/>
    <s v="Nget Chaung"/>
    <n v="1"/>
    <m/>
    <m/>
    <m/>
    <m/>
    <m/>
    <m/>
    <m/>
    <m/>
    <n v="660"/>
    <n v="660"/>
    <m/>
    <n v="660"/>
    <n v="660"/>
    <s v="MMR012CMP017"/>
    <s v="Open"/>
    <n v="0.77012835472578767"/>
    <n v="660"/>
    <n v="660"/>
  </r>
  <r>
    <d v="2015-07-01T00:00:00"/>
    <x v="0"/>
    <s v="LWF"/>
    <x v="0"/>
    <x v="5"/>
    <s v="Nget Chaung"/>
    <n v="1"/>
    <m/>
    <m/>
    <m/>
    <m/>
    <m/>
    <m/>
    <m/>
    <m/>
    <n v="36"/>
    <m/>
    <m/>
    <n v="0"/>
    <n v="0"/>
    <s v="MMR012CMP017"/>
    <s v="Open"/>
    <n v="0"/>
    <n v="36"/>
    <n v="0"/>
  </r>
  <r>
    <d v="2015-07-01T00:00:00"/>
    <x v="1"/>
    <s v="Government"/>
    <x v="0"/>
    <x v="6"/>
    <s v="Ramree Town"/>
    <n v="1"/>
    <m/>
    <m/>
    <m/>
    <m/>
    <m/>
    <n v="3"/>
    <m/>
    <m/>
    <m/>
    <m/>
    <m/>
    <n v="0"/>
    <n v="0"/>
    <s v="MMR012CMP038"/>
    <s v="Open"/>
    <n v="0"/>
    <n v="3"/>
    <n v="0"/>
  </r>
  <r>
    <d v="2015-07-01T00:00:00"/>
    <x v="1"/>
    <s v="Government"/>
    <x v="0"/>
    <x v="6"/>
    <s v="Ramree Ward 6"/>
    <n v="1"/>
    <m/>
    <m/>
    <m/>
    <m/>
    <m/>
    <n v="59"/>
    <m/>
    <m/>
    <m/>
    <m/>
    <m/>
    <n v="0"/>
    <n v="0"/>
    <s v="MMR012CMP037"/>
    <s v="Open"/>
    <n v="0"/>
    <n v="59"/>
    <n v="0"/>
  </r>
  <r>
    <d v="2015-07-01T00:00:00"/>
    <x v="1"/>
    <s v="Government"/>
    <x v="0"/>
    <x v="7"/>
    <s v="Ah Nauk Pyin"/>
    <n v="1"/>
    <m/>
    <m/>
    <m/>
    <m/>
    <m/>
    <m/>
    <m/>
    <m/>
    <n v="32"/>
    <n v="32"/>
    <m/>
    <n v="32"/>
    <n v="0"/>
    <s v="MMR012CMP032"/>
    <s v="Returned in Individual Housing"/>
    <n v="1"/>
    <n v="32"/>
    <n v="32"/>
  </r>
  <r>
    <d v="2015-07-01T00:00:00"/>
    <x v="1"/>
    <s v="Government"/>
    <x v="0"/>
    <x v="7"/>
    <s v="Nyaung Pin Gyi"/>
    <n v="1"/>
    <m/>
    <m/>
    <m/>
    <m/>
    <m/>
    <m/>
    <m/>
    <m/>
    <n v="56"/>
    <n v="56"/>
    <m/>
    <n v="56"/>
    <n v="0"/>
    <s v="MMR012CMP031"/>
    <s v="Returned in Individual Housing"/>
    <n v="1.037037037037037"/>
    <n v="56"/>
    <n v="56"/>
  </r>
  <r>
    <d v="2015-07-01T00:00:00"/>
    <x v="0"/>
    <s v="UNHCR"/>
    <x v="0"/>
    <x v="8"/>
    <s v="Set Yone Su"/>
    <n v="1"/>
    <m/>
    <m/>
    <m/>
    <m/>
    <m/>
    <n v="72"/>
    <n v="72"/>
    <m/>
    <m/>
    <m/>
    <m/>
    <n v="72"/>
    <n v="0"/>
    <s v="MMR012CMP056"/>
    <s v="Relocated in Individual Housing"/>
    <n v="1"/>
    <n v="72"/>
    <n v="72"/>
  </r>
  <r>
    <d v="2015-07-01T00:00:00"/>
    <x v="1"/>
    <s v="Government"/>
    <x v="0"/>
    <x v="0"/>
    <s v="Goke Pi Htaunt"/>
    <n v="1"/>
    <m/>
    <m/>
    <m/>
    <m/>
    <m/>
    <m/>
    <m/>
    <m/>
    <n v="116"/>
    <m/>
    <m/>
    <n v="0"/>
    <n v="0"/>
    <s v="MMR012CMP027"/>
    <s v="Returned in Individual Housing"/>
    <n v="0"/>
    <n v="116"/>
    <n v="0"/>
  </r>
  <r>
    <d v="2015-07-01T00:00:00"/>
    <x v="1"/>
    <s v="Government"/>
    <x v="0"/>
    <x v="0"/>
    <s v="In Bar Yi"/>
    <n v="1"/>
    <m/>
    <m/>
    <m/>
    <m/>
    <m/>
    <m/>
    <m/>
    <m/>
    <n v="236"/>
    <m/>
    <m/>
    <n v="0"/>
    <n v="0"/>
    <s v="MMR012CMP026"/>
    <s v="Returned in Individual Housing"/>
    <n v="0"/>
    <n v="236"/>
    <n v="0"/>
  </r>
  <r>
    <d v="2015-07-01T00:00:00"/>
    <x v="1"/>
    <s v="Government"/>
    <x v="0"/>
    <x v="0"/>
    <s v="Nidin"/>
    <n v="1"/>
    <m/>
    <m/>
    <m/>
    <m/>
    <m/>
    <m/>
    <m/>
    <m/>
    <n v="85"/>
    <m/>
    <m/>
    <n v="0"/>
    <n v="0"/>
    <s v="MMR012CMP023"/>
    <s v="Open"/>
    <n v="0"/>
    <n v="85"/>
    <n v="0"/>
  </r>
  <r>
    <d v="2015-07-01T00:00:00"/>
    <x v="1"/>
    <s v="Government"/>
    <x v="0"/>
    <x v="0"/>
    <s v="Shwe Hlaing"/>
    <n v="1"/>
    <m/>
    <m/>
    <m/>
    <m/>
    <m/>
    <m/>
    <m/>
    <m/>
    <n v="144"/>
    <m/>
    <m/>
    <n v="0"/>
    <n v="0"/>
    <s v="MMR012CMP029"/>
    <s v="Returned in Individual Housing"/>
    <n v="0"/>
    <n v="144"/>
    <n v="0"/>
  </r>
  <r>
    <d v="2015-07-01T00:00:00"/>
    <x v="1"/>
    <s v="Government"/>
    <x v="0"/>
    <x v="0"/>
    <s v="Yun Nyar"/>
    <n v="1"/>
    <m/>
    <m/>
    <m/>
    <m/>
    <m/>
    <m/>
    <m/>
    <m/>
    <n v="112"/>
    <m/>
    <m/>
    <n v="0"/>
    <n v="0"/>
    <s v="MMR012CMP028"/>
    <s v="Returned in Individual Housing"/>
    <n v="0"/>
    <n v="112"/>
    <n v="0"/>
  </r>
  <r>
    <d v="2015-07-01T00:00:00"/>
    <x v="0"/>
    <s v="LWF"/>
    <x v="0"/>
    <x v="2"/>
    <s v="Aung Taing"/>
    <n v="1"/>
    <m/>
    <m/>
    <m/>
    <m/>
    <m/>
    <m/>
    <m/>
    <m/>
    <n v="43"/>
    <m/>
    <m/>
    <n v="0"/>
    <n v="0"/>
    <s v="MMR012CMP006"/>
    <s v="Returned in Individual Housing"/>
    <n v="0"/>
    <n v="43"/>
    <n v="0"/>
  </r>
  <r>
    <d v="2015-07-01T00:00:00"/>
    <x v="0"/>
    <s v="LWF"/>
    <x v="0"/>
    <x v="2"/>
    <s v="Sam Ba Le"/>
    <n v="1"/>
    <m/>
    <m/>
    <m/>
    <m/>
    <m/>
    <m/>
    <m/>
    <m/>
    <n v="114"/>
    <m/>
    <m/>
    <n v="0"/>
    <n v="0"/>
    <s v="MMR012CMP008"/>
    <s v="Returned in Individual Housing"/>
    <n v="0"/>
    <n v="114"/>
    <n v="0"/>
  </r>
  <r>
    <d v="2015-07-01T00:00:00"/>
    <x v="0"/>
    <s v="LWF"/>
    <x v="0"/>
    <x v="2"/>
    <s v="San Htoe Tan"/>
    <n v="1"/>
    <m/>
    <m/>
    <m/>
    <m/>
    <m/>
    <m/>
    <m/>
    <m/>
    <n v="43"/>
    <m/>
    <m/>
    <n v="0"/>
    <n v="0"/>
    <s v="MMR012CMP003"/>
    <s v="Returned in Individual Housing"/>
    <n v="0"/>
    <n v="43"/>
    <n v="0"/>
  </r>
  <r>
    <d v="2015-07-01T00:00:00"/>
    <x v="0"/>
    <s v="LWF"/>
    <x v="0"/>
    <x v="2"/>
    <s v="Tha Dar"/>
    <n v="1"/>
    <m/>
    <m/>
    <m/>
    <m/>
    <m/>
    <m/>
    <m/>
    <m/>
    <n v="107"/>
    <m/>
    <m/>
    <n v="0"/>
    <n v="0"/>
    <s v="MMR012CMP002"/>
    <s v="Returned in Individual Housing"/>
    <n v="0"/>
    <n v="107"/>
    <n v="0"/>
  </r>
  <r>
    <d v="2015-07-01T00:00:00"/>
    <x v="0"/>
    <s v="LWF"/>
    <x v="0"/>
    <x v="2"/>
    <s v="Tha Yet Oak"/>
    <n v="1"/>
    <m/>
    <m/>
    <m/>
    <m/>
    <m/>
    <m/>
    <m/>
    <m/>
    <n v="140"/>
    <m/>
    <m/>
    <n v="0"/>
    <n v="0"/>
    <s v="MMR012CMP005"/>
    <s v="Returned in Individual Housing"/>
    <n v="0"/>
    <n v="140"/>
    <n v="0"/>
  </r>
  <r>
    <d v="2015-07-01T00:00:00"/>
    <x v="0"/>
    <s v="LWF"/>
    <x v="0"/>
    <x v="0"/>
    <s v="Ah Pauk Wa "/>
    <n v="1"/>
    <m/>
    <m/>
    <m/>
    <m/>
    <m/>
    <m/>
    <m/>
    <m/>
    <n v="52"/>
    <m/>
    <m/>
    <n v="0"/>
    <n v="0"/>
    <s v="MMR012CMP024"/>
    <s v="Returned in Individual Housing"/>
    <n v="0"/>
    <n v="52"/>
    <n v="0"/>
  </r>
  <r>
    <d v="2015-07-01T00:00:00"/>
    <x v="0"/>
    <s v="LWF"/>
    <x v="0"/>
    <x v="5"/>
    <s v="Kyein Ni Pyin"/>
    <n v="1"/>
    <m/>
    <m/>
    <m/>
    <m/>
    <m/>
    <m/>
    <m/>
    <m/>
    <n v="232"/>
    <m/>
    <m/>
    <n v="0"/>
    <n v="0"/>
    <s v="MMR012CMP018"/>
    <s v="Open"/>
    <n v="0"/>
    <n v="232"/>
    <n v="0"/>
  </r>
  <r>
    <d v="2015-07-01T00:00:00"/>
    <x v="1"/>
    <s v="Government"/>
    <x v="0"/>
    <x v="5"/>
    <s v="Kyein Ni Pyin"/>
    <n v="1"/>
    <m/>
    <m/>
    <m/>
    <m/>
    <m/>
    <m/>
    <m/>
    <m/>
    <n v="647"/>
    <m/>
    <m/>
    <n v="0"/>
    <n v="0"/>
    <s v="MMR012CMP018"/>
    <s v="Open"/>
    <n v="0"/>
    <n v="647"/>
    <n v="0"/>
  </r>
  <r>
    <d v="2015-07-01T00:00:00"/>
    <x v="1"/>
    <s v="Government"/>
    <x v="0"/>
    <x v="5"/>
    <s v="Nget Chaung"/>
    <n v="1"/>
    <m/>
    <m/>
    <m/>
    <m/>
    <m/>
    <m/>
    <m/>
    <m/>
    <n v="642"/>
    <m/>
    <m/>
    <n v="0"/>
    <n v="0"/>
    <s v="MMR012CMP017"/>
    <s v="Open"/>
    <n v="0"/>
    <n v="642"/>
    <n v="0"/>
  </r>
  <r>
    <d v="2015-01-26T00:00:00"/>
    <x v="0"/>
    <s v="UNHCR"/>
    <x v="0"/>
    <x v="5"/>
    <s v="Kyein Ni Pyin"/>
    <n v="1"/>
    <n v="110"/>
    <n v="110"/>
    <m/>
    <m/>
    <m/>
    <m/>
    <m/>
    <m/>
    <m/>
    <m/>
    <m/>
    <n v="0"/>
    <n v="0"/>
    <m/>
    <s v="Open"/>
    <n v="0"/>
    <n v="0"/>
    <n v="0"/>
  </r>
  <r>
    <d v="2013-10-01T00:00:00"/>
    <x v="1"/>
    <s v="Government"/>
    <x v="0"/>
    <x v="0"/>
    <s v="Ah Lel"/>
    <n v="8"/>
    <m/>
    <m/>
    <n v="2"/>
    <n v="2"/>
    <m/>
    <m/>
    <m/>
    <m/>
    <m/>
    <m/>
    <m/>
    <n v="16"/>
    <n v="0"/>
    <s v="MMR012CMP022"/>
    <s v="Returned in Individual Housing"/>
    <n v="0.66666666666666663"/>
    <n v="0"/>
    <n v="0"/>
  </r>
  <r>
    <d v="2013-10-01T00:00:00"/>
    <x v="1"/>
    <s v="Government"/>
    <x v="0"/>
    <x v="0"/>
    <s v="Ah Lel Kyun"/>
    <n v="8"/>
    <m/>
    <m/>
    <n v="2"/>
    <n v="2"/>
    <m/>
    <m/>
    <m/>
    <m/>
    <m/>
    <m/>
    <m/>
    <n v="16"/>
    <n v="0"/>
    <s v="MMR012CMP025"/>
    <s v="Returned in Individual Housing"/>
    <n v="1.1428571428571428"/>
    <n v="0"/>
    <n v="0"/>
  </r>
  <r>
    <d v="2013-10-01T00:00:00"/>
    <x v="1"/>
    <s v="Government"/>
    <x v="0"/>
    <x v="7"/>
    <s v="Ah Nauk Pyin"/>
    <n v="8"/>
    <m/>
    <m/>
    <n v="4"/>
    <n v="4"/>
    <m/>
    <m/>
    <m/>
    <m/>
    <m/>
    <m/>
    <m/>
    <n v="32"/>
    <n v="0"/>
    <s v="MMR012CMP032"/>
    <s v="Returned in Individual Housing"/>
    <n v="1"/>
    <n v="0"/>
    <n v="0"/>
  </r>
  <r>
    <d v="2013-10-01T00:00:00"/>
    <x v="2"/>
    <s v="DRC"/>
    <x v="0"/>
    <x v="5"/>
    <s v="Ah Nauk Ywe"/>
    <n v="8"/>
    <m/>
    <m/>
    <n v="96"/>
    <n v="96"/>
    <n v="0"/>
    <m/>
    <m/>
    <m/>
    <m/>
    <m/>
    <m/>
    <n v="768"/>
    <n v="768"/>
    <s v="MMR012CMP016"/>
    <s v="Open"/>
    <n v="0.62540716612377845"/>
    <n v="0"/>
    <n v="0"/>
  </r>
  <r>
    <d v="2013-10-01T00:00:00"/>
    <x v="1"/>
    <s v="Government"/>
    <x v="0"/>
    <x v="0"/>
    <s v="Ah Pauk Wa "/>
    <n v="8"/>
    <m/>
    <m/>
    <n v="7"/>
    <n v="7"/>
    <m/>
    <m/>
    <m/>
    <m/>
    <m/>
    <m/>
    <m/>
    <n v="56"/>
    <n v="0"/>
    <s v="MMR012CMP024"/>
    <s v="Returned in Individual Housing"/>
    <n v="0.60869565217391308"/>
    <n v="0"/>
    <n v="0"/>
  </r>
  <r>
    <d v="2013-10-01T00:00:00"/>
    <x v="1"/>
    <s v="Government"/>
    <x v="0"/>
    <x v="2"/>
    <s v="Aung Taing"/>
    <n v="8"/>
    <m/>
    <m/>
    <n v="10"/>
    <n v="10"/>
    <m/>
    <m/>
    <m/>
    <m/>
    <m/>
    <m/>
    <m/>
    <n v="80"/>
    <n v="0"/>
    <s v="MMR012CMP006"/>
    <s v="Returned in Individual Housing"/>
    <n v="0.93023255813953487"/>
    <n v="0"/>
    <n v="0"/>
  </r>
  <r>
    <d v="2013-10-01T00:00:00"/>
    <x v="1"/>
    <s v="Government"/>
    <x v="0"/>
    <x v="5"/>
    <s v="Ba Wan Chaung Wa Su"/>
    <n v="10"/>
    <m/>
    <m/>
    <n v="3"/>
    <n v="3"/>
    <m/>
    <m/>
    <m/>
    <m/>
    <m/>
    <m/>
    <m/>
    <n v="30"/>
    <n v="0"/>
    <s v="MMR012CMP015"/>
    <s v="Relocated in Individual Housing"/>
    <n v="1.4285714285714286"/>
    <n v="0"/>
    <n v="0"/>
  </r>
  <r>
    <d v="2013-10-01T00:00:00"/>
    <x v="1"/>
    <s v="Government"/>
    <x v="0"/>
    <x v="8"/>
    <s v="Basare"/>
    <n v="8"/>
    <m/>
    <m/>
    <n v="52"/>
    <n v="52"/>
    <m/>
    <m/>
    <m/>
    <m/>
    <m/>
    <m/>
    <m/>
    <n v="416"/>
    <n v="416"/>
    <s v="MMR012CMP039"/>
    <s v="Open"/>
    <n v="1.0478589420654911"/>
    <n v="0"/>
    <n v="0"/>
  </r>
  <r>
    <d v="2013-10-01T00:00:00"/>
    <x v="3"/>
    <s v="CARE"/>
    <x v="0"/>
    <x v="8"/>
    <s v="Baw Du Pha 1"/>
    <n v="8"/>
    <m/>
    <m/>
    <n v="50"/>
    <n v="50"/>
    <m/>
    <m/>
    <m/>
    <m/>
    <m/>
    <m/>
    <m/>
    <n v="400"/>
    <n v="400"/>
    <s v="MMR012CMP113"/>
    <s v="Open"/>
    <n v="0.4012036108324975"/>
    <n v="0"/>
    <n v="0"/>
  </r>
  <r>
    <d v="2013-10-01T00:00:00"/>
    <x v="1"/>
    <s v="Government"/>
    <x v="0"/>
    <x v="8"/>
    <s v="Baw Du Pha 1"/>
    <n v="8"/>
    <m/>
    <m/>
    <n v="40"/>
    <n v="40"/>
    <m/>
    <m/>
    <m/>
    <m/>
    <m/>
    <m/>
    <m/>
    <n v="320"/>
    <n v="320"/>
    <s v="MMR012CMP113"/>
    <s v="Open"/>
    <n v="0.32096288866599798"/>
    <n v="0"/>
    <n v="0"/>
  </r>
  <r>
    <d v="2013-10-01T00:00:00"/>
    <x v="4"/>
    <s v="ICRC"/>
    <x v="0"/>
    <x v="8"/>
    <s v="Baw Du Pha 1"/>
    <n v="8"/>
    <m/>
    <m/>
    <n v="5"/>
    <n v="5"/>
    <m/>
    <m/>
    <m/>
    <m/>
    <m/>
    <m/>
    <m/>
    <n v="40"/>
    <n v="40"/>
    <s v="MMR012CMP113"/>
    <s v="Open"/>
    <n v="4.0120361083249748E-2"/>
    <n v="0"/>
    <n v="0"/>
  </r>
  <r>
    <d v="2013-10-01T00:00:00"/>
    <x v="5"/>
    <s v="MAUK"/>
    <x v="0"/>
    <x v="8"/>
    <s v="Baw Du Pha 1"/>
    <n v="8"/>
    <m/>
    <m/>
    <n v="32"/>
    <n v="32"/>
    <n v="0"/>
    <m/>
    <m/>
    <m/>
    <m/>
    <m/>
    <m/>
    <n v="256"/>
    <n v="256"/>
    <s v="MMR012CMP113"/>
    <s v="Open"/>
    <n v="0.2567703109327984"/>
    <n v="0"/>
    <n v="0"/>
  </r>
  <r>
    <d v="2013-10-01T00:00:00"/>
    <x v="1"/>
    <s v="Government"/>
    <x v="0"/>
    <x v="8"/>
    <s v="Baw Du Pha 2"/>
    <n v="8"/>
    <m/>
    <m/>
    <n v="100"/>
    <n v="100"/>
    <n v="0"/>
    <m/>
    <m/>
    <m/>
    <m/>
    <m/>
    <m/>
    <n v="800"/>
    <n v="800"/>
    <s v="MMR012CMP114"/>
    <s v="Open"/>
    <n v="0.61680801850424061"/>
    <n v="0"/>
    <n v="0"/>
  </r>
  <r>
    <d v="2013-10-01T00:00:00"/>
    <x v="4"/>
    <s v="ICRC"/>
    <x v="0"/>
    <x v="8"/>
    <s v="Baw Du Pha 2"/>
    <n v="8"/>
    <m/>
    <m/>
    <n v="14"/>
    <n v="14"/>
    <m/>
    <m/>
    <m/>
    <m/>
    <m/>
    <m/>
    <m/>
    <n v="112"/>
    <n v="112"/>
    <s v="MMR012CMP114"/>
    <s v="Open"/>
    <n v="8.6353122590593676E-2"/>
    <n v="0"/>
    <n v="0"/>
  </r>
  <r>
    <d v="2013-10-01T00:00:00"/>
    <x v="6"/>
    <s v="WFP"/>
    <x v="0"/>
    <x v="8"/>
    <s v="Baw Du Pha 2"/>
    <n v="10"/>
    <m/>
    <m/>
    <n v="40"/>
    <n v="40"/>
    <m/>
    <m/>
    <m/>
    <m/>
    <m/>
    <m/>
    <m/>
    <n v="400"/>
    <n v="400"/>
    <s v="MMR012CMP114"/>
    <s v="Open"/>
    <n v="0.3084040092521203"/>
    <n v="0"/>
    <n v="0"/>
  </r>
  <r>
    <d v="2013-10-01T00:00:00"/>
    <x v="1"/>
    <s v="Government"/>
    <x v="0"/>
    <x v="7"/>
    <s v="Chein Khar Li"/>
    <n v="8"/>
    <m/>
    <m/>
    <n v="24"/>
    <n v="24"/>
    <m/>
    <m/>
    <m/>
    <m/>
    <m/>
    <m/>
    <m/>
    <n v="192"/>
    <n v="192"/>
    <s v="MMR012CMP033"/>
    <s v="Open"/>
    <n v="0.88479262672811065"/>
    <n v="0"/>
    <n v="0"/>
  </r>
  <r>
    <d v="2013-10-01T00:00:00"/>
    <x v="3"/>
    <s v="CARE"/>
    <x v="0"/>
    <x v="8"/>
    <s v="Dar Pai"/>
    <n v="8"/>
    <m/>
    <m/>
    <n v="41"/>
    <n v="41"/>
    <m/>
    <m/>
    <m/>
    <m/>
    <m/>
    <m/>
    <m/>
    <n v="328"/>
    <n v="328"/>
    <s v="MMR012CMP041"/>
    <s v="Open"/>
    <n v="0.23478883321403007"/>
    <n v="0"/>
    <n v="0"/>
  </r>
  <r>
    <d v="2013-10-01T00:00:00"/>
    <x v="1"/>
    <s v="Government"/>
    <x v="0"/>
    <x v="8"/>
    <s v="Dar Pai"/>
    <n v="8"/>
    <m/>
    <m/>
    <n v="141"/>
    <n v="141"/>
    <m/>
    <m/>
    <m/>
    <m/>
    <m/>
    <m/>
    <m/>
    <n v="1128"/>
    <n v="1128"/>
    <s v="MMR012CMP041"/>
    <s v="Open"/>
    <n v="0.80744452397995703"/>
    <n v="0"/>
    <n v="0"/>
  </r>
  <r>
    <d v="2013-10-01T00:00:00"/>
    <x v="1"/>
    <s v="Government"/>
    <x v="0"/>
    <x v="0"/>
    <s v="Goke Pi Htaunt"/>
    <n v="8"/>
    <m/>
    <m/>
    <n v="10"/>
    <n v="10"/>
    <m/>
    <m/>
    <m/>
    <m/>
    <m/>
    <m/>
    <m/>
    <n v="80"/>
    <n v="0"/>
    <s v="MMR012CMP027"/>
    <s v="Returned in Individual Housing"/>
    <n v="0.68965517241379315"/>
    <n v="0"/>
    <n v="0"/>
  </r>
  <r>
    <d v="2013-10-01T00:00:00"/>
    <x v="1"/>
    <s v="Government"/>
    <x v="0"/>
    <x v="0"/>
    <s v="In Bar Yi"/>
    <n v="8"/>
    <m/>
    <m/>
    <n v="29"/>
    <n v="29"/>
    <m/>
    <m/>
    <m/>
    <m/>
    <m/>
    <m/>
    <m/>
    <n v="232"/>
    <n v="0"/>
    <s v="MMR012CMP026"/>
    <s v="Returned in Individual Housing"/>
    <n v="0.98305084745762716"/>
    <n v="0"/>
    <n v="0"/>
  </r>
  <r>
    <d v="2013-10-01T00:00:00"/>
    <x v="0"/>
    <s v="UNHCR"/>
    <x v="0"/>
    <x v="4"/>
    <s v="Kan Thar Htwat Wa"/>
    <n v="8"/>
    <m/>
    <m/>
    <n v="6"/>
    <n v="6"/>
    <m/>
    <m/>
    <m/>
    <m/>
    <m/>
    <m/>
    <m/>
    <n v="48"/>
    <n v="48"/>
    <s v="MMR012CMP013"/>
    <s v="Open"/>
    <n v="1.1428571428571428"/>
    <n v="0"/>
    <n v="0"/>
  </r>
  <r>
    <d v="2013-10-01T00:00:00"/>
    <x v="7"/>
    <s v="TDC/Natala Government"/>
    <x v="0"/>
    <x v="9"/>
    <s v="Baw Di Gone"/>
    <n v="1"/>
    <m/>
    <m/>
    <m/>
    <m/>
    <m/>
    <n v="10"/>
    <n v="10"/>
    <m/>
    <m/>
    <m/>
    <m/>
    <n v="10"/>
    <n v="0"/>
    <s v="MMR012CMP079"/>
    <s v="Close"/>
    <s v=""/>
    <n v="10"/>
    <n v="10"/>
  </r>
  <r>
    <d v="2013-10-01T00:00:00"/>
    <x v="8"/>
    <s v="UNHCR/BAJ"/>
    <x v="0"/>
    <x v="9"/>
    <s v="Baw Di Gone"/>
    <n v="1"/>
    <m/>
    <m/>
    <m/>
    <m/>
    <m/>
    <n v="31"/>
    <n v="27"/>
    <m/>
    <m/>
    <m/>
    <m/>
    <n v="27"/>
    <n v="0"/>
    <s v="MMR012CMP079"/>
    <s v="Close"/>
    <s v=""/>
    <n v="31"/>
    <n v="27"/>
  </r>
  <r>
    <d v="2013-10-01T00:00:00"/>
    <x v="3"/>
    <s v="CARE"/>
    <x v="0"/>
    <x v="8"/>
    <s v="Khaung Doke Khar "/>
    <n v="8"/>
    <m/>
    <m/>
    <n v="25"/>
    <n v="25"/>
    <m/>
    <m/>
    <m/>
    <m/>
    <m/>
    <m/>
    <m/>
    <n v="200"/>
    <n v="200"/>
    <s v="MMR012CMP042"/>
    <s v="Open"/>
    <n v="0.25031289111389238"/>
    <n v="0"/>
    <n v="0"/>
  </r>
  <r>
    <d v="2013-10-01T00:00:00"/>
    <x v="1"/>
    <s v="Government"/>
    <x v="0"/>
    <x v="8"/>
    <s v="Khaung Doke Khar "/>
    <n v="8"/>
    <m/>
    <m/>
    <n v="75"/>
    <n v="75"/>
    <m/>
    <m/>
    <m/>
    <m/>
    <m/>
    <m/>
    <m/>
    <n v="600"/>
    <n v="600"/>
    <s v="MMR012CMP042"/>
    <s v="Open"/>
    <n v="0.75093867334167708"/>
    <n v="0"/>
    <n v="0"/>
  </r>
  <r>
    <d v="2013-10-01T00:00:00"/>
    <x v="1"/>
    <s v="Government"/>
    <x v="0"/>
    <x v="0"/>
    <s v="Khaung Htoke"/>
    <n v="8"/>
    <m/>
    <m/>
    <n v="10"/>
    <n v="10"/>
    <m/>
    <m/>
    <m/>
    <m/>
    <m/>
    <m/>
    <m/>
    <n v="80"/>
    <n v="0"/>
    <s v="MMR012CMP030"/>
    <s v="Relocated in Individual Housing"/>
    <n v="0.82474226804123707"/>
    <n v="0"/>
    <n v="0"/>
  </r>
  <r>
    <d v="2013-10-01T00:00:00"/>
    <x v="7"/>
    <s v="TDC/Natala Government"/>
    <x v="0"/>
    <x v="9"/>
    <s v="Kan Pyin Thar Si"/>
    <n v="1"/>
    <m/>
    <m/>
    <m/>
    <m/>
    <m/>
    <n v="15"/>
    <n v="15"/>
    <m/>
    <m/>
    <m/>
    <m/>
    <n v="15"/>
    <n v="0"/>
    <s v=""/>
    <s v=""/>
    <s v=""/>
    <n v="15"/>
    <n v="15"/>
  </r>
  <r>
    <d v="2013-10-01T00:00:00"/>
    <x v="1"/>
    <s v="Government"/>
    <x v="0"/>
    <x v="7"/>
    <s v="Koe Tan Kauk"/>
    <n v="8"/>
    <m/>
    <m/>
    <n v="29"/>
    <n v="29"/>
    <m/>
    <m/>
    <m/>
    <m/>
    <m/>
    <m/>
    <m/>
    <n v="232"/>
    <n v="232"/>
    <s v="MMR012CMP110"/>
    <s v="Open"/>
    <n v="1.2020725388601037"/>
    <n v="0"/>
    <n v="0"/>
  </r>
  <r>
    <d v="2013-10-01T00:00:00"/>
    <x v="7"/>
    <s v="TDC/Natala Government"/>
    <x v="0"/>
    <x v="9"/>
    <s v="Kan Thar Yar"/>
    <n v="1"/>
    <m/>
    <m/>
    <m/>
    <m/>
    <m/>
    <n v="10"/>
    <n v="10"/>
    <m/>
    <m/>
    <m/>
    <m/>
    <n v="10"/>
    <n v="0"/>
    <s v="MMR012CMP081"/>
    <s v="Close"/>
    <s v=""/>
    <n v="10"/>
    <n v="10"/>
  </r>
  <r>
    <d v="2013-10-01T00:00:00"/>
    <x v="8"/>
    <s v="UNHCR/BAJ"/>
    <x v="0"/>
    <x v="9"/>
    <s v="Kan Thar Yar"/>
    <n v="1"/>
    <m/>
    <m/>
    <m/>
    <m/>
    <m/>
    <n v="21"/>
    <n v="21"/>
    <m/>
    <m/>
    <m/>
    <m/>
    <n v="21"/>
    <n v="0"/>
    <s v="MMR012CMP081"/>
    <s v="Close"/>
    <s v=""/>
    <n v="21"/>
    <n v="21"/>
  </r>
  <r>
    <d v="2013-10-01T00:00:00"/>
    <x v="1"/>
    <s v="Government"/>
    <x v="0"/>
    <x v="1"/>
    <s v="Kyauk Ta Lone"/>
    <n v="8"/>
    <m/>
    <m/>
    <n v="22"/>
    <n v="22"/>
    <m/>
    <m/>
    <m/>
    <m/>
    <m/>
    <m/>
    <m/>
    <n v="176"/>
    <n v="176"/>
    <s v="MMR012CMP035"/>
    <s v="Open"/>
    <n v="0.41217798594847777"/>
    <n v="0"/>
    <n v="0"/>
  </r>
  <r>
    <d v="2013-10-01T00:00:00"/>
    <x v="9"/>
    <s v="Service City"/>
    <x v="0"/>
    <x v="1"/>
    <s v="Kyauk Ta Lone"/>
    <n v="8"/>
    <m/>
    <m/>
    <n v="31"/>
    <n v="31"/>
    <m/>
    <m/>
    <m/>
    <m/>
    <m/>
    <m/>
    <m/>
    <n v="248"/>
    <n v="248"/>
    <s v="MMR012CMP035"/>
    <s v="Open"/>
    <n v="0.58079625292740045"/>
    <n v="0"/>
    <n v="0"/>
  </r>
  <r>
    <d v="2013-10-01T00:00:00"/>
    <x v="0"/>
    <s v="UNHCR"/>
    <x v="0"/>
    <x v="5"/>
    <s v="Kyein Ni Pyin"/>
    <n v="8"/>
    <m/>
    <m/>
    <n v="98"/>
    <n v="98"/>
    <m/>
    <m/>
    <m/>
    <m/>
    <m/>
    <m/>
    <m/>
    <n v="784"/>
    <n v="784"/>
    <s v="MMR012CMP018"/>
    <s v="Open"/>
    <n v="0.68055555555555558"/>
    <n v="0"/>
    <n v="0"/>
  </r>
  <r>
    <d v="2013-10-01T00:00:00"/>
    <x v="1"/>
    <s v="Government"/>
    <x v="0"/>
    <x v="0"/>
    <s v="Let Saung Kauk"/>
    <n v="8"/>
    <m/>
    <m/>
    <n v="2"/>
    <n v="2"/>
    <m/>
    <m/>
    <m/>
    <m/>
    <m/>
    <m/>
    <m/>
    <n v="16"/>
    <n v="0"/>
    <s v="MMR012CMP020"/>
    <s v="Returned in Individual Housing"/>
    <n v="0.88888888888888884"/>
    <n v="0"/>
    <n v="0"/>
  </r>
  <r>
    <d v="2013-10-01T00:00:00"/>
    <x v="1"/>
    <s v="Government"/>
    <x v="0"/>
    <x v="8"/>
    <s v="Maw Ti Ngar"/>
    <n v="8"/>
    <m/>
    <m/>
    <n v="78"/>
    <n v="78"/>
    <m/>
    <m/>
    <m/>
    <m/>
    <m/>
    <m/>
    <m/>
    <n v="624"/>
    <n v="624"/>
    <s v="MMR012CMP092"/>
    <s v="Open"/>
    <n v="1"/>
    <n v="0"/>
    <n v="0"/>
  </r>
  <r>
    <d v="2013-10-01T00:00:00"/>
    <x v="7"/>
    <s v="TDC/Natala Government"/>
    <x v="0"/>
    <x v="9"/>
    <s v="Kha Yay Myaing( DPA)"/>
    <n v="1"/>
    <m/>
    <m/>
    <m/>
    <m/>
    <m/>
    <n v="2"/>
    <n v="2"/>
    <m/>
    <m/>
    <m/>
    <m/>
    <n v="2"/>
    <n v="0"/>
    <s v=""/>
    <s v=""/>
    <s v=""/>
    <n v="2"/>
    <n v="2"/>
  </r>
  <r>
    <d v="2013-10-01T00:00:00"/>
    <x v="7"/>
    <s v="TDC/Natala Government"/>
    <x v="0"/>
    <x v="9"/>
    <s v="Kha Yay Myaing(short legged)"/>
    <n v="1"/>
    <m/>
    <m/>
    <m/>
    <m/>
    <m/>
    <n v="22"/>
    <n v="22"/>
    <m/>
    <m/>
    <m/>
    <m/>
    <n v="22"/>
    <n v="0"/>
    <s v=""/>
    <s v=""/>
    <s v=""/>
    <n v="22"/>
    <n v="22"/>
  </r>
  <r>
    <d v="2013-10-01T00:00:00"/>
    <x v="0"/>
    <s v="UNHCR"/>
    <x v="0"/>
    <x v="5"/>
    <s v="Nget Chaung"/>
    <n v="8"/>
    <m/>
    <m/>
    <n v="169"/>
    <n v="169"/>
    <m/>
    <m/>
    <m/>
    <m/>
    <m/>
    <m/>
    <m/>
    <n v="1352"/>
    <n v="1352"/>
    <s v="MMR012CMP017"/>
    <s v="Open"/>
    <n v="1.5775962660443408"/>
    <n v="0"/>
    <n v="0"/>
  </r>
  <r>
    <d v="2013-10-01T00:00:00"/>
    <x v="1"/>
    <s v="Government"/>
    <x v="0"/>
    <x v="0"/>
    <s v="Nidin"/>
    <n v="8"/>
    <m/>
    <m/>
    <n v="9"/>
    <n v="9"/>
    <m/>
    <m/>
    <m/>
    <m/>
    <m/>
    <m/>
    <m/>
    <n v="72"/>
    <n v="72"/>
    <s v="MMR012CMP023"/>
    <s v="Open"/>
    <n v="0.84705882352941175"/>
    <n v="0"/>
    <n v="0"/>
  </r>
  <r>
    <d v="2013-10-01T00:00:00"/>
    <x v="1"/>
    <s v="Government"/>
    <x v="0"/>
    <x v="7"/>
    <s v="Nyaung Pin Gyi"/>
    <n v="8"/>
    <m/>
    <m/>
    <n v="7"/>
    <n v="7"/>
    <m/>
    <m/>
    <m/>
    <m/>
    <m/>
    <m/>
    <m/>
    <n v="56"/>
    <n v="0"/>
    <s v="MMR012CMP031"/>
    <s v="Returned in Individual Housing"/>
    <n v="1.037037037037037"/>
    <n v="0"/>
    <n v="0"/>
  </r>
  <r>
    <d v="2013-10-01T00:00:00"/>
    <x v="0"/>
    <s v="UNHCR"/>
    <x v="0"/>
    <x v="8"/>
    <s v="Ohn Taw Chay"/>
    <n v="8"/>
    <m/>
    <m/>
    <n v="80"/>
    <n v="80"/>
    <m/>
    <m/>
    <m/>
    <m/>
    <m/>
    <m/>
    <m/>
    <n v="640"/>
    <n v="640"/>
    <s v="MMR012CMP098"/>
    <s v="Open"/>
    <n v="0.98613251155624038"/>
    <n v="0"/>
    <n v="0"/>
  </r>
  <r>
    <d v="2013-10-01T00:00:00"/>
    <x v="3"/>
    <s v="CARE"/>
    <x v="0"/>
    <x v="8"/>
    <s v="Ohn Taw Gyi (North)"/>
    <n v="8"/>
    <m/>
    <m/>
    <n v="45"/>
    <n v="45"/>
    <m/>
    <m/>
    <m/>
    <m/>
    <m/>
    <m/>
    <m/>
    <n v="360"/>
    <n v="360"/>
    <s v="MMR012CMP115"/>
    <s v="Open"/>
    <n v="0.13693419551160138"/>
    <n v="0"/>
    <n v="0"/>
  </r>
  <r>
    <d v="2013-10-01T00:00:00"/>
    <x v="1"/>
    <s v="Government"/>
    <x v="0"/>
    <x v="8"/>
    <s v="Ohn Taw Gyi (North)"/>
    <n v="8"/>
    <m/>
    <m/>
    <n v="60"/>
    <n v="60"/>
    <m/>
    <m/>
    <m/>
    <m/>
    <m/>
    <m/>
    <m/>
    <n v="480"/>
    <n v="480"/>
    <s v="MMR012CMP115"/>
    <s v="Open"/>
    <n v="0.18257892734880182"/>
    <n v="0"/>
    <n v="0"/>
  </r>
  <r>
    <d v="2013-10-01T00:00:00"/>
    <x v="10"/>
    <s v="MRF"/>
    <x v="0"/>
    <x v="8"/>
    <s v="Ohn Taw Gyi (North)"/>
    <n v="8"/>
    <m/>
    <m/>
    <n v="115"/>
    <n v="115"/>
    <m/>
    <m/>
    <m/>
    <m/>
    <m/>
    <m/>
    <m/>
    <n v="920"/>
    <n v="920"/>
    <s v="MMR012CMP115"/>
    <s v="Open"/>
    <n v="0.34994294408520349"/>
    <n v="0"/>
    <n v="0"/>
  </r>
  <r>
    <d v="2013-10-01T00:00:00"/>
    <x v="0"/>
    <s v="UNHCR"/>
    <x v="0"/>
    <x v="8"/>
    <s v="Ohn Taw Gyi (North)"/>
    <n v="8"/>
    <m/>
    <m/>
    <n v="115"/>
    <n v="115"/>
    <m/>
    <m/>
    <m/>
    <m/>
    <m/>
    <m/>
    <m/>
    <n v="920"/>
    <n v="920"/>
    <s v="MMR012CMP115"/>
    <s v="Open"/>
    <n v="0.34994294408520349"/>
    <n v="0"/>
    <n v="0"/>
  </r>
  <r>
    <d v="2013-10-01T00:00:00"/>
    <x v="1"/>
    <s v="Government"/>
    <x v="0"/>
    <x v="8"/>
    <s v="Ohn Taw Gyi (South)"/>
    <n v="8"/>
    <m/>
    <m/>
    <n v="221"/>
    <n v="221"/>
    <m/>
    <m/>
    <m/>
    <m/>
    <m/>
    <m/>
    <m/>
    <n v="1768"/>
    <n v="1768"/>
    <s v="MMR012CMP116"/>
    <s v="Open"/>
    <n v="0.78752783964365258"/>
    <n v="0"/>
    <n v="0"/>
  </r>
  <r>
    <d v="2013-10-01T00:00:00"/>
    <x v="1"/>
    <s v="Government"/>
    <x v="0"/>
    <x v="8"/>
    <s v="Ohn Taw Gyi (South)"/>
    <n v="10"/>
    <m/>
    <m/>
    <n v="20"/>
    <n v="20"/>
    <m/>
    <m/>
    <m/>
    <m/>
    <m/>
    <m/>
    <m/>
    <n v="200"/>
    <n v="200"/>
    <s v="MMR012CMP116"/>
    <s v="Open"/>
    <n v="8.9086859688195991E-2"/>
    <n v="0"/>
    <n v="0"/>
  </r>
  <r>
    <d v="2013-10-01T00:00:00"/>
    <x v="0"/>
    <s v="UNHCR"/>
    <x v="0"/>
    <x v="8"/>
    <s v="Ohn Taw Gyi (South)"/>
    <n v="8"/>
    <m/>
    <m/>
    <n v="35"/>
    <n v="35"/>
    <m/>
    <m/>
    <m/>
    <m/>
    <m/>
    <m/>
    <m/>
    <n v="280"/>
    <n v="280"/>
    <s v="MMR012CMP116"/>
    <s v="Open"/>
    <n v="0.12472160356347439"/>
    <n v="0"/>
    <n v="0"/>
  </r>
  <r>
    <d v="2013-10-01T00:00:00"/>
    <x v="1"/>
    <s v="Government"/>
    <x v="0"/>
    <x v="3"/>
    <s v="Pa Rein"/>
    <n v="8"/>
    <m/>
    <m/>
    <n v="26"/>
    <n v="26"/>
    <m/>
    <m/>
    <m/>
    <m/>
    <m/>
    <m/>
    <m/>
    <n v="208"/>
    <n v="0"/>
    <s v="MMR012CMP009"/>
    <s v="Returned in Individual Housing"/>
    <n v="1.0196078431372548"/>
    <n v="0"/>
    <n v="0"/>
  </r>
  <r>
    <d v="2013-10-01T00:00:00"/>
    <x v="1"/>
    <s v="Government"/>
    <x v="0"/>
    <x v="2"/>
    <s v="Paik Thay"/>
    <n v="8"/>
    <m/>
    <m/>
    <n v="2"/>
    <n v="2"/>
    <m/>
    <m/>
    <m/>
    <m/>
    <m/>
    <m/>
    <m/>
    <n v="16"/>
    <n v="0"/>
    <s v="MMR012CMP001"/>
    <s v="Returned in Individual Housing"/>
    <n v="0.84210526315789469"/>
    <n v="0"/>
    <n v="0"/>
  </r>
  <r>
    <d v="2013-10-01T00:00:00"/>
    <x v="9"/>
    <s v="Service City"/>
    <x v="0"/>
    <x v="1"/>
    <s v="Ka Nyin Taw"/>
    <n v="8"/>
    <m/>
    <m/>
    <n v="7"/>
    <n v="7"/>
    <m/>
    <m/>
    <m/>
    <m/>
    <m/>
    <m/>
    <m/>
    <n v="56"/>
    <n v="56"/>
    <s v="MMR012CMP036"/>
    <s v="Open"/>
    <n v="0.86153846153846159"/>
    <n v="0"/>
    <n v="0"/>
  </r>
  <r>
    <d v="2013-10-01T00:00:00"/>
    <x v="1"/>
    <s v="Government"/>
    <x v="0"/>
    <x v="6"/>
    <s v="Ramree Ward 6"/>
    <n v="8"/>
    <m/>
    <m/>
    <n v="12"/>
    <n v="12"/>
    <m/>
    <m/>
    <m/>
    <m/>
    <m/>
    <m/>
    <m/>
    <n v="96"/>
    <n v="96"/>
    <s v="MMR012CMP037"/>
    <s v="Open"/>
    <n v="1.6842105263157894"/>
    <n v="0"/>
    <n v="0"/>
  </r>
  <r>
    <d v="2013-10-01T00:00:00"/>
    <x v="1"/>
    <s v="Government"/>
    <x v="0"/>
    <x v="2"/>
    <s v="Sam Ba Le"/>
    <n v="8"/>
    <m/>
    <m/>
    <n v="28"/>
    <n v="28"/>
    <m/>
    <m/>
    <m/>
    <m/>
    <m/>
    <m/>
    <m/>
    <n v="224"/>
    <n v="0"/>
    <s v="MMR012CMP008"/>
    <s v="Returned in Individual Housing"/>
    <n v="0.99555555555555553"/>
    <n v="0"/>
    <n v="0"/>
  </r>
  <r>
    <d v="2013-10-01T00:00:00"/>
    <x v="1"/>
    <s v="Government"/>
    <x v="0"/>
    <x v="2"/>
    <s v="San Htoe Tan"/>
    <n v="8"/>
    <m/>
    <m/>
    <n v="10"/>
    <n v="10"/>
    <m/>
    <m/>
    <m/>
    <m/>
    <m/>
    <m/>
    <m/>
    <n v="80"/>
    <n v="0"/>
    <s v="MMR012CMP003"/>
    <s v="Returned in Individual Housing"/>
    <n v="0.93023255813953487"/>
    <n v="0"/>
    <n v="0"/>
  </r>
  <r>
    <d v="2013-10-01T00:00:00"/>
    <x v="8"/>
    <s v="UNHCR/BAJ"/>
    <x v="0"/>
    <x v="9"/>
    <s v="Kha Yay Myaing(short legged)"/>
    <n v="1"/>
    <m/>
    <m/>
    <m/>
    <m/>
    <m/>
    <n v="25"/>
    <n v="25"/>
    <m/>
    <m/>
    <m/>
    <m/>
    <n v="25"/>
    <n v="0"/>
    <s v=""/>
    <s v=""/>
    <s v=""/>
    <n v="25"/>
    <n v="25"/>
  </r>
  <r>
    <d v="2013-10-01T00:00:00"/>
    <x v="3"/>
    <s v="CARE"/>
    <x v="0"/>
    <x v="9"/>
    <s v="Kin Chaung"/>
    <n v="1"/>
    <m/>
    <m/>
    <m/>
    <m/>
    <m/>
    <n v="25"/>
    <n v="25"/>
    <m/>
    <m/>
    <m/>
    <m/>
    <n v="25"/>
    <n v="0"/>
    <s v="MMR012CMP080"/>
    <s v="Close"/>
    <s v=""/>
    <n v="25"/>
    <n v="25"/>
  </r>
  <r>
    <d v="2013-10-01T00:00:00"/>
    <x v="2"/>
    <s v="DRC"/>
    <x v="0"/>
    <x v="8"/>
    <s v="Say Tha Mar Gyi"/>
    <n v="8"/>
    <m/>
    <m/>
    <n v="27"/>
    <n v="27"/>
    <m/>
    <m/>
    <m/>
    <m/>
    <m/>
    <m/>
    <m/>
    <n v="216"/>
    <n v="216"/>
    <s v="MMR012CMP045"/>
    <s v="Open"/>
    <n v="8.8669950738916259E-2"/>
    <n v="0"/>
    <n v="0"/>
  </r>
  <r>
    <d v="2013-10-01T00:00:00"/>
    <x v="1"/>
    <s v="Government"/>
    <x v="0"/>
    <x v="8"/>
    <s v="Say Tha Mar Gyi"/>
    <n v="10"/>
    <m/>
    <m/>
    <n v="63"/>
    <n v="63"/>
    <m/>
    <m/>
    <m/>
    <m/>
    <m/>
    <m/>
    <m/>
    <n v="630"/>
    <n v="630"/>
    <s v="MMR012CMP045"/>
    <s v="Open"/>
    <n v="0.25862068965517243"/>
    <n v="0"/>
    <n v="0"/>
  </r>
  <r>
    <d v="2013-10-01T00:00:00"/>
    <x v="11"/>
    <s v="IRW"/>
    <x v="0"/>
    <x v="8"/>
    <s v="Say Tha Mar Gyi"/>
    <n v="8"/>
    <m/>
    <m/>
    <n v="40"/>
    <n v="40"/>
    <m/>
    <m/>
    <m/>
    <m/>
    <m/>
    <m/>
    <m/>
    <n v="320"/>
    <n v="320"/>
    <s v="MMR012CMP045"/>
    <s v="Open"/>
    <n v="0.13136288998357964"/>
    <n v="0"/>
    <n v="0"/>
  </r>
  <r>
    <d v="2013-10-01T00:00:00"/>
    <x v="12"/>
    <s v="MRCS"/>
    <x v="0"/>
    <x v="8"/>
    <s v="Say Tha Mar Gyi"/>
    <n v="8"/>
    <m/>
    <m/>
    <n v="60"/>
    <n v="60"/>
    <m/>
    <m/>
    <m/>
    <m/>
    <m/>
    <m/>
    <m/>
    <n v="480"/>
    <n v="480"/>
    <s v="MMR012CMP045"/>
    <s v="Open"/>
    <n v="0.19704433497536947"/>
    <n v="0"/>
    <n v="0"/>
  </r>
  <r>
    <d v="2013-10-01T00:00:00"/>
    <x v="10"/>
    <s v="MRF"/>
    <x v="0"/>
    <x v="8"/>
    <s v="Say Tha Mar Gyi"/>
    <n v="10"/>
    <m/>
    <m/>
    <n v="77"/>
    <n v="77"/>
    <m/>
    <m/>
    <m/>
    <m/>
    <m/>
    <m/>
    <m/>
    <n v="770"/>
    <n v="770"/>
    <s v="MMR012CMP045"/>
    <s v="Open"/>
    <n v="0.31609195402298851"/>
    <n v="0"/>
    <n v="0"/>
  </r>
  <r>
    <d v="2013-10-01T00:00:00"/>
    <x v="0"/>
    <s v="UNHCR"/>
    <x v="0"/>
    <x v="8"/>
    <s v="Say Tha Mar Gyi"/>
    <n v="8"/>
    <m/>
    <m/>
    <n v="33"/>
    <n v="33"/>
    <m/>
    <m/>
    <m/>
    <m/>
    <m/>
    <m/>
    <m/>
    <n v="264"/>
    <n v="264"/>
    <s v="MMR012CMP045"/>
    <s v="Open"/>
    <n v="0.10837438423645321"/>
    <n v="0"/>
    <n v="0"/>
  </r>
  <r>
    <d v="2013-10-01T00:00:00"/>
    <x v="1"/>
    <s v="Government"/>
    <x v="0"/>
    <x v="8"/>
    <s v="Set Yone Su"/>
    <n v="10"/>
    <m/>
    <m/>
    <n v="22"/>
    <n v="22"/>
    <m/>
    <m/>
    <m/>
    <m/>
    <m/>
    <m/>
    <m/>
    <n v="220"/>
    <n v="0"/>
    <s v="MMR012CMP056"/>
    <s v="Relocated in Individual Housing"/>
    <n v="3.0555555555555554"/>
    <n v="0"/>
    <n v="0"/>
  </r>
  <r>
    <d v="2013-10-01T00:00:00"/>
    <x v="0"/>
    <s v="UNHCR"/>
    <x v="0"/>
    <x v="8"/>
    <s v="Set Yone Su 3"/>
    <n v="8"/>
    <m/>
    <m/>
    <n v="22"/>
    <n v="22"/>
    <m/>
    <m/>
    <m/>
    <m/>
    <m/>
    <m/>
    <m/>
    <n v="176"/>
    <n v="0"/>
    <s v="MMR012CMP093"/>
    <s v="Relocated in Individual Housing"/>
    <n v="1.1655629139072847"/>
    <n v="0"/>
    <n v="0"/>
  </r>
  <r>
    <d v="2013-10-01T00:00:00"/>
    <x v="1"/>
    <s v="Government"/>
    <x v="0"/>
    <x v="0"/>
    <s v="Shwe Hlaing"/>
    <n v="8"/>
    <m/>
    <m/>
    <n v="18"/>
    <n v="18"/>
    <m/>
    <m/>
    <m/>
    <m/>
    <m/>
    <m/>
    <m/>
    <n v="144"/>
    <n v="0"/>
    <s v="MMR012CMP029"/>
    <s v="Returned in Individual Housing"/>
    <n v="1"/>
    <n v="0"/>
    <n v="0"/>
  </r>
  <r>
    <d v="2013-10-01T00:00:00"/>
    <x v="7"/>
    <s v="TDC/Natala Government"/>
    <x v="0"/>
    <x v="9"/>
    <s v="Kyaing Gyi"/>
    <n v="1"/>
    <m/>
    <m/>
    <m/>
    <m/>
    <m/>
    <n v="36"/>
    <n v="36"/>
    <m/>
    <m/>
    <m/>
    <m/>
    <n v="36"/>
    <n v="0"/>
    <s v="MMR012CMP078"/>
    <s v="Close"/>
    <s v=""/>
    <n v="36"/>
    <n v="36"/>
  </r>
  <r>
    <d v="2013-10-01T00:00:00"/>
    <x v="2"/>
    <s v="DRC"/>
    <x v="0"/>
    <x v="5"/>
    <s v="Sin Tet Maw"/>
    <n v="8"/>
    <m/>
    <m/>
    <n v="106"/>
    <n v="106"/>
    <m/>
    <m/>
    <m/>
    <m/>
    <m/>
    <m/>
    <m/>
    <n v="848"/>
    <n v="848"/>
    <s v="MMR012CMP019"/>
    <s v="Open"/>
    <n v="1.0680100755667505"/>
    <n v="0"/>
    <n v="0"/>
  </r>
  <r>
    <d v="2013-10-01T00:00:00"/>
    <x v="1"/>
    <s v="Government"/>
    <x v="0"/>
    <x v="0"/>
    <s v="Taung Bwe"/>
    <n v="8"/>
    <m/>
    <m/>
    <n v="8"/>
    <n v="8"/>
    <m/>
    <m/>
    <m/>
    <m/>
    <m/>
    <m/>
    <m/>
    <n v="64"/>
    <n v="0"/>
    <s v="MMR012CMP021"/>
    <s v="Returned in Individual Housing"/>
    <n v="1.0158730158730158"/>
    <n v="0"/>
    <n v="0"/>
  </r>
  <r>
    <d v="2013-10-01T00:00:00"/>
    <x v="0"/>
    <s v="UNHCR"/>
    <x v="0"/>
    <x v="4"/>
    <s v="Taung Paw "/>
    <n v="8"/>
    <m/>
    <m/>
    <n v="89"/>
    <n v="89"/>
    <m/>
    <m/>
    <m/>
    <m/>
    <m/>
    <m/>
    <m/>
    <n v="712"/>
    <n v="712"/>
    <s v="MMR012CMP014"/>
    <s v="Open"/>
    <n v="1.0439882697947214"/>
    <n v="0"/>
    <n v="0"/>
  </r>
  <r>
    <d v="2013-10-01T00:00:00"/>
    <x v="1"/>
    <s v="Government"/>
    <x v="0"/>
    <x v="2"/>
    <s v="Tha Dar"/>
    <n v="8"/>
    <m/>
    <m/>
    <n v="14"/>
    <n v="14"/>
    <m/>
    <m/>
    <m/>
    <m/>
    <m/>
    <m/>
    <m/>
    <n v="112"/>
    <n v="0"/>
    <s v="MMR012CMP002"/>
    <s v="Returned in Individual Housing"/>
    <n v="0.55172413793103448"/>
    <n v="0"/>
    <n v="0"/>
  </r>
  <r>
    <d v="2013-10-01T00:00:00"/>
    <x v="8"/>
    <s v="UNHCR/BAJ"/>
    <x v="0"/>
    <x v="9"/>
    <s v="Kyaing Gyi"/>
    <n v="1"/>
    <m/>
    <m/>
    <m/>
    <m/>
    <m/>
    <n v="36"/>
    <n v="36"/>
    <m/>
    <m/>
    <m/>
    <m/>
    <n v="36"/>
    <n v="0"/>
    <s v="MMR012CMP078"/>
    <s v="Close"/>
    <s v=""/>
    <n v="36"/>
    <n v="36"/>
  </r>
  <r>
    <d v="2013-10-01T00:00:00"/>
    <x v="7"/>
    <s v="TDC/Natala Government"/>
    <x v="0"/>
    <x v="9"/>
    <s v="Maw Ya Waddy"/>
    <n v="1"/>
    <m/>
    <m/>
    <m/>
    <m/>
    <m/>
    <n v="11"/>
    <n v="11"/>
    <m/>
    <m/>
    <m/>
    <m/>
    <n v="11"/>
    <n v="0"/>
    <s v="MMR012CMP076"/>
    <s v="Close"/>
    <s v=""/>
    <n v="11"/>
    <n v="11"/>
  </r>
  <r>
    <d v="2013-10-01T00:00:00"/>
    <x v="1"/>
    <s v="Government"/>
    <x v="0"/>
    <x v="2"/>
    <s v="Tha Yet Oak"/>
    <n v="8"/>
    <m/>
    <m/>
    <n v="20"/>
    <n v="20"/>
    <m/>
    <m/>
    <m/>
    <m/>
    <m/>
    <m/>
    <m/>
    <n v="160"/>
    <n v="0"/>
    <s v="MMR012CMP005"/>
    <s v="Returned in Individual Housing"/>
    <n v="0.58181818181818179"/>
    <n v="0"/>
    <n v="0"/>
  </r>
  <r>
    <d v="2013-10-01T00:00:00"/>
    <x v="3"/>
    <s v="CARE"/>
    <x v="0"/>
    <x v="8"/>
    <s v="Thet Kae Pyin "/>
    <n v="8"/>
    <m/>
    <m/>
    <n v="63"/>
    <n v="63"/>
    <n v="0"/>
    <m/>
    <m/>
    <m/>
    <m/>
    <m/>
    <m/>
    <n v="504"/>
    <n v="504"/>
    <s v="MMR012CMP048"/>
    <s v="Open"/>
    <n v="0.51219512195121952"/>
    <n v="0"/>
    <n v="0"/>
  </r>
  <r>
    <d v="2013-10-01T00:00:00"/>
    <x v="1"/>
    <s v="Government"/>
    <x v="0"/>
    <x v="8"/>
    <s v="Thet Kae Pyin "/>
    <n v="8"/>
    <m/>
    <m/>
    <n v="60"/>
    <n v="60"/>
    <m/>
    <m/>
    <m/>
    <m/>
    <m/>
    <m/>
    <m/>
    <n v="480"/>
    <n v="480"/>
    <s v="MMR012CMP048"/>
    <s v="Open"/>
    <n v="0.48780487804878048"/>
    <n v="0"/>
    <n v="0"/>
  </r>
  <r>
    <d v="2013-10-01T00:00:00"/>
    <x v="8"/>
    <s v="UNHCR/BAJ"/>
    <x v="0"/>
    <x v="9"/>
    <s v="Maw Ya Waddy"/>
    <n v="1"/>
    <m/>
    <m/>
    <m/>
    <m/>
    <m/>
    <n v="98"/>
    <n v="102"/>
    <m/>
    <m/>
    <m/>
    <m/>
    <n v="102"/>
    <n v="0"/>
    <s v="MMR012CMP076"/>
    <s v="Close"/>
    <s v=""/>
    <n v="98"/>
    <n v="102"/>
  </r>
  <r>
    <d v="2013-10-01T00:00:00"/>
    <x v="1"/>
    <s v="Government"/>
    <x v="0"/>
    <x v="3"/>
    <s v="Yai Thei-Muslim"/>
    <n v="8"/>
    <m/>
    <m/>
    <n v="46"/>
    <n v="46"/>
    <m/>
    <m/>
    <m/>
    <m/>
    <m/>
    <m/>
    <m/>
    <n v="368"/>
    <n v="0"/>
    <s v="MMR012CMP010"/>
    <s v="Returned in Individual Housing"/>
    <n v="1.0082191780821919"/>
    <n v="0"/>
    <n v="0"/>
  </r>
  <r>
    <d v="2013-10-01T00:00:00"/>
    <x v="1"/>
    <s v="Government"/>
    <x v="0"/>
    <x v="0"/>
    <s v="Yun Nyar"/>
    <n v="8"/>
    <m/>
    <m/>
    <n v="14"/>
    <n v="14"/>
    <m/>
    <m/>
    <m/>
    <m/>
    <m/>
    <m/>
    <m/>
    <n v="112"/>
    <n v="0"/>
    <s v="MMR012CMP028"/>
    <s v="Returned in Individual Housing"/>
    <n v="1"/>
    <n v="0"/>
    <n v="0"/>
  </r>
  <r>
    <d v="2013-10-01T00:00:00"/>
    <x v="7"/>
    <s v="TDC/Natala Government"/>
    <x v="0"/>
    <x v="9"/>
    <s v="Shwe Yin Aye"/>
    <n v="1"/>
    <m/>
    <m/>
    <m/>
    <m/>
    <m/>
    <n v="77"/>
    <n v="77"/>
    <m/>
    <m/>
    <m/>
    <m/>
    <n v="77"/>
    <n v="0"/>
    <s v=""/>
    <s v=""/>
    <s v=""/>
    <n v="77"/>
    <n v="77"/>
  </r>
  <r>
    <d v="2013-10-01T00:00:00"/>
    <x v="7"/>
    <s v="TDC/Natala Government"/>
    <x v="0"/>
    <x v="9"/>
    <s v="Tha Yay Kone Baung"/>
    <n v="1"/>
    <m/>
    <m/>
    <m/>
    <m/>
    <m/>
    <n v="12"/>
    <n v="12"/>
    <m/>
    <m/>
    <m/>
    <m/>
    <n v="12"/>
    <n v="0"/>
    <s v="MMR012CMP077"/>
    <s v="Close"/>
    <s v=""/>
    <n v="12"/>
    <n v="12"/>
  </r>
  <r>
    <d v="2013-10-01T00:00:00"/>
    <x v="3"/>
    <s v="CARE"/>
    <x v="0"/>
    <x v="9"/>
    <s v="Tha Yay Kone Baung"/>
    <n v="1"/>
    <m/>
    <m/>
    <m/>
    <m/>
    <m/>
    <n v="103"/>
    <n v="103"/>
    <m/>
    <m/>
    <m/>
    <m/>
    <n v="103"/>
    <n v="0"/>
    <s v="MMR012CMP077"/>
    <s v="Close"/>
    <s v=""/>
    <n v="103"/>
    <n v="103"/>
  </r>
  <r>
    <d v="2013-10-01T00:00:00"/>
    <x v="7"/>
    <s v="TDC/Natala Government"/>
    <x v="0"/>
    <x v="9"/>
    <s v="Wai Thar Li"/>
    <n v="1"/>
    <m/>
    <m/>
    <m/>
    <m/>
    <m/>
    <n v="9"/>
    <n v="9"/>
    <m/>
    <m/>
    <m/>
    <m/>
    <n v="9"/>
    <n v="0"/>
    <s v=""/>
    <s v=""/>
    <s v=""/>
    <n v="9"/>
    <n v="9"/>
  </r>
  <r>
    <d v="2013-10-01T00:00:00"/>
    <x v="8"/>
    <s v="UNHCR/BAJ"/>
    <x v="0"/>
    <x v="9"/>
    <m/>
    <n v="1"/>
    <m/>
    <m/>
    <m/>
    <m/>
    <m/>
    <n v="11"/>
    <n v="11"/>
    <m/>
    <m/>
    <m/>
    <m/>
    <n v="11"/>
    <n v="0"/>
    <s v=""/>
    <s v=""/>
    <s v=""/>
    <n v="11"/>
    <n v="11"/>
  </r>
  <r>
    <d v="2013-10-01T00:00:00"/>
    <x v="1"/>
    <s v="Government"/>
    <x v="0"/>
    <x v="5"/>
    <s v="Ba Wan Chaung Wa Su"/>
    <n v="1"/>
    <m/>
    <m/>
    <m/>
    <m/>
    <m/>
    <n v="21"/>
    <n v="21"/>
    <m/>
    <m/>
    <m/>
    <m/>
    <n v="21"/>
    <n v="0"/>
    <s v="MMR012CMP015"/>
    <s v="Relocated in Individual Housing"/>
    <n v="1"/>
    <n v="21"/>
    <n v="21"/>
  </r>
  <r>
    <d v="2013-10-01T00:00:00"/>
    <x v="1"/>
    <s v="Government"/>
    <x v="0"/>
    <x v="8"/>
    <s v="Sat Roe Kya 1"/>
    <n v="1"/>
    <m/>
    <m/>
    <m/>
    <m/>
    <m/>
    <n v="250"/>
    <n v="250"/>
    <m/>
    <m/>
    <m/>
    <m/>
    <n v="250"/>
    <n v="0"/>
    <s v="MMR012CMP111"/>
    <s v="Relocated in Individual Housing"/>
    <n v="1.0040160642570282"/>
    <n v="250"/>
    <n v="250"/>
  </r>
  <r>
    <d v="2013-10-01T00:00:00"/>
    <x v="1"/>
    <s v="Government"/>
    <x v="0"/>
    <x v="8"/>
    <s v="Sat Roe Kya 2"/>
    <n v="1"/>
    <m/>
    <m/>
    <m/>
    <m/>
    <m/>
    <n v="419"/>
    <n v="419"/>
    <m/>
    <m/>
    <m/>
    <m/>
    <n v="419"/>
    <n v="0"/>
    <s v="MMR012CMP112"/>
    <s v="Relocated in Individual Housing"/>
    <n v="1.0023923444976077"/>
    <n v="419"/>
    <n v="419"/>
  </r>
  <r>
    <d v="2013-10-01T00:00:00"/>
    <x v="10"/>
    <s v="MRF"/>
    <x v="0"/>
    <x v="8"/>
    <s v="Ohn Taw Gyi (South)"/>
    <n v="8"/>
    <m/>
    <m/>
    <n v="9"/>
    <n v="9"/>
    <m/>
    <m/>
    <m/>
    <m/>
    <m/>
    <m/>
    <m/>
    <n v="72"/>
    <n v="72"/>
    <s v="MMR012CMP116"/>
    <s v="Open"/>
    <n v="3.2071269487750555E-2"/>
    <n v="0"/>
    <n v="0"/>
  </r>
  <r>
    <d v="2013-08-23T00:00:00"/>
    <x v="1"/>
    <s v="Government"/>
    <x v="0"/>
    <x v="5"/>
    <s v="Kyein Ni Pyin"/>
    <n v="8"/>
    <m/>
    <m/>
    <n v="9"/>
    <n v="9"/>
    <m/>
    <m/>
    <m/>
    <m/>
    <m/>
    <m/>
    <m/>
    <n v="72"/>
    <n v="72"/>
    <s v="MMR012CMP018"/>
    <s v="Open"/>
    <n v="6.25E-2"/>
    <n v="0"/>
    <n v="0"/>
  </r>
  <r>
    <d v="2015-12-01T00:00:00"/>
    <x v="0"/>
    <s v="Government"/>
    <x v="0"/>
    <x v="0"/>
    <m/>
    <n v="1"/>
    <m/>
    <m/>
    <m/>
    <m/>
    <m/>
    <m/>
    <m/>
    <m/>
    <m/>
    <m/>
    <n v="757"/>
    <m/>
    <n v="0"/>
    <m/>
    <s v=""/>
    <s v=""/>
    <n v="0"/>
    <n v="0"/>
  </r>
  <r>
    <d v="2015-12-01T00:00:00"/>
    <x v="0"/>
    <s v="Government"/>
    <x v="0"/>
    <x v="5"/>
    <m/>
    <n v="1"/>
    <m/>
    <m/>
    <m/>
    <m/>
    <m/>
    <m/>
    <m/>
    <m/>
    <m/>
    <m/>
    <n v="248"/>
    <m/>
    <n v="0"/>
    <m/>
    <s v=""/>
    <s v=""/>
    <n v="0"/>
    <n v="0"/>
  </r>
  <r>
    <d v="2015-12-01T00:00:00"/>
    <x v="0"/>
    <s v="Government"/>
    <x v="0"/>
    <x v="8"/>
    <m/>
    <m/>
    <m/>
    <m/>
    <m/>
    <m/>
    <m/>
    <m/>
    <m/>
    <m/>
    <n v="151"/>
    <m/>
    <m/>
    <m/>
    <n v="0"/>
    <m/>
    <s v=""/>
    <s v=""/>
    <n v="151"/>
    <n v="0"/>
  </r>
</pivotCacheRecords>
</file>

<file path=xl/pivotCache/pivotCacheRecords6.xml><?xml version="1.0" encoding="utf-8"?>
<pivotCacheRecords xmlns="http://schemas.openxmlformats.org/spreadsheetml/2006/main" xmlns:r="http://schemas.openxmlformats.org/officeDocument/2006/relationships" count="396">
  <r>
    <x v="0"/>
    <n v="2016"/>
    <d v="2016-06-21T00:00:00"/>
    <x v="0"/>
    <s v="UNHCR"/>
    <x v="0"/>
    <x v="0"/>
    <s v="Kyauk Ta Lone"/>
    <n v="65"/>
    <n v="65"/>
    <m/>
    <m/>
    <m/>
    <n v="65"/>
    <m/>
    <m/>
    <m/>
    <m/>
    <m/>
    <n v="65"/>
    <n v="65"/>
    <n v="0"/>
    <n v="0"/>
    <n v="0"/>
    <n v="65"/>
    <n v="0"/>
    <n v="0"/>
    <n v="0"/>
    <n v="0"/>
    <n v="0"/>
    <s v="MMR012CMP035"/>
    <x v="0"/>
  </r>
  <r>
    <x v="1"/>
    <n v="2016"/>
    <d v="2016-06-20T00:00:00"/>
    <x v="0"/>
    <s v="UNHCR"/>
    <x v="0"/>
    <x v="0"/>
    <s v="Ka Nyin Taw"/>
    <m/>
    <n v="427"/>
    <m/>
    <m/>
    <m/>
    <n v="854"/>
    <m/>
    <m/>
    <m/>
    <m/>
    <m/>
    <n v="0"/>
    <n v="427"/>
    <n v="0"/>
    <n v="0"/>
    <n v="0"/>
    <n v="854"/>
    <n v="0"/>
    <n v="0"/>
    <n v="0"/>
    <n v="0"/>
    <n v="0"/>
    <s v="MMR012CMP036"/>
    <x v="0"/>
  </r>
  <r>
    <x v="2"/>
    <n v="2016"/>
    <d v="2016-02-04T00:00:00"/>
    <x v="0"/>
    <s v="UNHCR"/>
    <x v="0"/>
    <x v="1"/>
    <s v="Say Tha Mar Gyi"/>
    <m/>
    <m/>
    <m/>
    <n v="3630"/>
    <n v="1815"/>
    <n v="1815"/>
    <n v="1815"/>
    <m/>
    <n v="1815"/>
    <n v="1815"/>
    <n v="9075"/>
    <n v="0"/>
    <n v="0"/>
    <n v="0"/>
    <n v="3630"/>
    <n v="1815"/>
    <n v="1815"/>
    <n v="1815"/>
    <n v="0"/>
    <n v="1815"/>
    <n v="1815"/>
    <n v="22687.5"/>
    <s v="MMR012CMP045"/>
    <x v="0"/>
  </r>
  <r>
    <x v="3"/>
    <n v="2016"/>
    <d v="2016-01-29T00:00:00"/>
    <x v="0"/>
    <s v="UNHCR"/>
    <x v="0"/>
    <x v="1"/>
    <s v="San Htoe Tan"/>
    <m/>
    <m/>
    <m/>
    <n v="6"/>
    <n v="3"/>
    <n v="6"/>
    <n v="3"/>
    <m/>
    <n v="3"/>
    <n v="3"/>
    <n v="15"/>
    <n v="0"/>
    <n v="0"/>
    <n v="0"/>
    <n v="6"/>
    <n v="3"/>
    <n v="6"/>
    <n v="3"/>
    <n v="0"/>
    <n v="3"/>
    <n v="3"/>
    <n v="37.5"/>
    <s v="MMR012CMP003"/>
    <x v="1"/>
  </r>
  <r>
    <x v="4"/>
    <n v="2016"/>
    <d v="2016-01-27T00:00:00"/>
    <x v="1"/>
    <s v="RI"/>
    <x v="0"/>
    <x v="2"/>
    <s v="Kan Thar Htwat Wa"/>
    <m/>
    <m/>
    <m/>
    <n v="42"/>
    <n v="42"/>
    <m/>
    <n v="42"/>
    <m/>
    <m/>
    <n v="42"/>
    <m/>
    <n v="0"/>
    <n v="0"/>
    <n v="0"/>
    <n v="42"/>
    <n v="42"/>
    <n v="0"/>
    <n v="42"/>
    <n v="0"/>
    <n v="0"/>
    <n v="42"/>
    <n v="0"/>
    <s v="MMR012CMP013"/>
    <x v="0"/>
  </r>
  <r>
    <x v="4"/>
    <n v="2016"/>
    <d v="2016-01-27T00:00:00"/>
    <x v="1"/>
    <s v="RI"/>
    <x v="0"/>
    <x v="2"/>
    <s v="Taung Paw "/>
    <m/>
    <m/>
    <m/>
    <n v="682"/>
    <n v="682"/>
    <m/>
    <n v="682"/>
    <m/>
    <m/>
    <n v="682"/>
    <m/>
    <n v="0"/>
    <n v="0"/>
    <n v="0"/>
    <n v="682"/>
    <n v="682"/>
    <n v="0"/>
    <n v="682"/>
    <n v="0"/>
    <n v="0"/>
    <n v="682"/>
    <n v="0"/>
    <s v="MMR012CMP014"/>
    <x v="0"/>
  </r>
  <r>
    <x v="5"/>
    <n v="2016"/>
    <d v="2016-01-22T00:00:00"/>
    <x v="0"/>
    <s v="UNHCR"/>
    <x v="0"/>
    <x v="1"/>
    <s v="Nidin"/>
    <m/>
    <n v="85"/>
    <m/>
    <n v="170"/>
    <n v="85"/>
    <n v="85"/>
    <n v="85"/>
    <m/>
    <n v="85"/>
    <n v="85"/>
    <n v="425"/>
    <n v="0"/>
    <n v="85"/>
    <n v="0"/>
    <n v="170"/>
    <n v="85"/>
    <n v="85"/>
    <n v="85"/>
    <n v="0"/>
    <n v="85"/>
    <n v="85"/>
    <n v="1062.5"/>
    <s v="MMR012CMP023"/>
    <x v="0"/>
  </r>
  <r>
    <x v="6"/>
    <n v="2015"/>
    <d v="2015-12-09T00:00:00"/>
    <x v="2"/>
    <s v="LWF"/>
    <x v="0"/>
    <x v="1"/>
    <s v="Khaung Doke Khar "/>
    <m/>
    <m/>
    <m/>
    <m/>
    <m/>
    <n v="1598"/>
    <m/>
    <m/>
    <m/>
    <m/>
    <m/>
    <n v="0"/>
    <n v="0"/>
    <n v="0"/>
    <n v="0"/>
    <n v="0"/>
    <n v="1598"/>
    <n v="0"/>
    <n v="0"/>
    <n v="0"/>
    <n v="0"/>
    <n v="0"/>
    <s v="MMR012CMP042"/>
    <x v="0"/>
  </r>
  <r>
    <x v="7"/>
    <n v="2015"/>
    <d v="2015-11-23T00:00:00"/>
    <x v="3"/>
    <m/>
    <x v="0"/>
    <x v="3"/>
    <s v="Ah Nauk Ywe"/>
    <m/>
    <n v="986"/>
    <m/>
    <n v="1972"/>
    <n v="986"/>
    <n v="1972"/>
    <n v="986"/>
    <m/>
    <n v="968"/>
    <n v="986"/>
    <n v="4930"/>
    <n v="0"/>
    <n v="986"/>
    <n v="0"/>
    <n v="1972"/>
    <n v="986"/>
    <n v="1972"/>
    <n v="986"/>
    <n v="0"/>
    <n v="968"/>
    <n v="986"/>
    <n v="12325"/>
    <s v="MMR012CMP016"/>
    <x v="0"/>
  </r>
  <r>
    <x v="8"/>
    <n v="2015"/>
    <d v="2015-11-19T00:00:00"/>
    <x v="4"/>
    <s v="LWF"/>
    <x v="0"/>
    <x v="3"/>
    <s v="Nget Chaung"/>
    <m/>
    <m/>
    <m/>
    <n v="1563"/>
    <m/>
    <m/>
    <m/>
    <m/>
    <m/>
    <m/>
    <m/>
    <n v="0"/>
    <n v="0"/>
    <n v="0"/>
    <n v="1563"/>
    <n v="0"/>
    <n v="0"/>
    <n v="0"/>
    <n v="0"/>
    <n v="0"/>
    <n v="0"/>
    <n v="0"/>
    <s v="MMR012CMP017"/>
    <x v="0"/>
  </r>
  <r>
    <x v="9"/>
    <n v="2015"/>
    <d v="2015-11-18T00:00:00"/>
    <x v="3"/>
    <s v="LWF"/>
    <x v="0"/>
    <x v="3"/>
    <s v="Ba Wan Chaung Wa Su"/>
    <m/>
    <n v="21"/>
    <m/>
    <n v="42"/>
    <n v="21"/>
    <n v="42"/>
    <n v="21"/>
    <m/>
    <n v="21"/>
    <n v="21"/>
    <n v="105"/>
    <n v="0"/>
    <n v="21"/>
    <n v="0"/>
    <n v="42"/>
    <n v="21"/>
    <n v="42"/>
    <n v="21"/>
    <n v="0"/>
    <n v="21"/>
    <n v="21"/>
    <n v="262.5"/>
    <s v="MMR012CMP015"/>
    <x v="2"/>
  </r>
  <r>
    <x v="10"/>
    <n v="2015"/>
    <d v="2015-11-03T00:00:00"/>
    <x v="0"/>
    <s v="CFSI"/>
    <x v="0"/>
    <x v="4"/>
    <s v="Ah Htet Nan Yar"/>
    <n v="0"/>
    <n v="0"/>
    <n v="0"/>
    <n v="0"/>
    <n v="7"/>
    <n v="0"/>
    <n v="0"/>
    <n v="0"/>
    <n v="0"/>
    <n v="0"/>
    <n v="0"/>
    <n v="0"/>
    <n v="0"/>
    <n v="0"/>
    <n v="0"/>
    <n v="7"/>
    <n v="0"/>
    <n v="0"/>
    <n v="0"/>
    <n v="0"/>
    <n v="0"/>
    <n v="0"/>
    <s v="MMR012CMP034"/>
    <x v="0"/>
  </r>
  <r>
    <x v="11"/>
    <n v="2015"/>
    <d v="2015-10-27T00:00:00"/>
    <x v="0"/>
    <s v="CFSI"/>
    <x v="0"/>
    <x v="4"/>
    <s v="Ah Nauk Pyin"/>
    <n v="0"/>
    <n v="0"/>
    <n v="0"/>
    <n v="0"/>
    <n v="5"/>
    <n v="0"/>
    <n v="0"/>
    <n v="0"/>
    <n v="0"/>
    <n v="0"/>
    <n v="0"/>
    <n v="0"/>
    <n v="0"/>
    <n v="0"/>
    <n v="0"/>
    <n v="5"/>
    <n v="0"/>
    <n v="0"/>
    <n v="0"/>
    <n v="0"/>
    <n v="0"/>
    <n v="0"/>
    <s v="MMR012CMP032"/>
    <x v="1"/>
  </r>
  <r>
    <x v="12"/>
    <n v="2015"/>
    <d v="2015-10-08T00:00:00"/>
    <x v="0"/>
    <s v="LWF"/>
    <x v="0"/>
    <x v="1"/>
    <s v="Khaung Doke Khar "/>
    <m/>
    <m/>
    <m/>
    <n v="252"/>
    <n v="127"/>
    <n v="252"/>
    <n v="127"/>
    <m/>
    <n v="127"/>
    <n v="127"/>
    <n v="635"/>
    <n v="0"/>
    <n v="0"/>
    <n v="0"/>
    <n v="252"/>
    <n v="127"/>
    <n v="252"/>
    <n v="127"/>
    <n v="0"/>
    <n v="127"/>
    <n v="127"/>
    <n v="1587.5"/>
    <s v="MMR012CMP042"/>
    <x v="0"/>
  </r>
  <r>
    <x v="12"/>
    <n v="2015"/>
    <d v="2015-10-08T00:00:00"/>
    <x v="3"/>
    <m/>
    <x v="0"/>
    <x v="1"/>
    <s v="Khaung Doke Khar "/>
    <m/>
    <m/>
    <m/>
    <s v="2"/>
    <n v="1"/>
    <s v="2"/>
    <s v="1"/>
    <m/>
    <s v="1"/>
    <m/>
    <s v="5"/>
    <n v="0"/>
    <n v="0"/>
    <n v="0"/>
    <n v="2"/>
    <n v="1"/>
    <n v="2"/>
    <n v="1"/>
    <n v="0"/>
    <n v="1"/>
    <n v="0"/>
    <n v="12.5"/>
    <s v="MMR012CMP042"/>
    <x v="0"/>
  </r>
  <r>
    <x v="13"/>
    <n v="2015"/>
    <d v="2015-09-17T00:00:00"/>
    <x v="0"/>
    <s v="DRC"/>
    <x v="0"/>
    <x v="1"/>
    <s v="Say Tha Mar Gyi"/>
    <m/>
    <m/>
    <m/>
    <n v="730"/>
    <n v="365"/>
    <n v="730"/>
    <n v="365"/>
    <m/>
    <n v="365"/>
    <n v="365"/>
    <n v="1825"/>
    <n v="0"/>
    <n v="0"/>
    <n v="0"/>
    <n v="730"/>
    <n v="365"/>
    <n v="730"/>
    <n v="365"/>
    <n v="0"/>
    <n v="365"/>
    <n v="365"/>
    <n v="4562.5"/>
    <s v="MMR012CMP045"/>
    <x v="0"/>
  </r>
  <r>
    <x v="13"/>
    <n v="2015"/>
    <d v="2015-09-17T00:00:00"/>
    <x v="0"/>
    <s v="CFSI"/>
    <x v="0"/>
    <x v="4"/>
    <s v="Chein Khar Li"/>
    <n v="0"/>
    <n v="0"/>
    <n v="0"/>
    <n v="0"/>
    <n v="10"/>
    <n v="0"/>
    <n v="0"/>
    <n v="0"/>
    <n v="0"/>
    <n v="0"/>
    <n v="0"/>
    <n v="0"/>
    <n v="0"/>
    <n v="0"/>
    <n v="0"/>
    <n v="10"/>
    <n v="0"/>
    <n v="0"/>
    <n v="0"/>
    <n v="0"/>
    <n v="0"/>
    <n v="0"/>
    <s v="MMR012CMP033"/>
    <x v="0"/>
  </r>
  <r>
    <x v="14"/>
    <n v="2015"/>
    <d v="2015-08-12T00:00:00"/>
    <x v="0"/>
    <s v="DRC"/>
    <x v="0"/>
    <x v="1"/>
    <s v="Say Tha Mar Gyi"/>
    <m/>
    <n v="273"/>
    <m/>
    <n v="546"/>
    <n v="273"/>
    <n v="546"/>
    <n v="273"/>
    <m/>
    <n v="273"/>
    <n v="273"/>
    <n v="1365"/>
    <n v="0"/>
    <n v="273"/>
    <n v="0"/>
    <n v="546"/>
    <n v="273"/>
    <n v="546"/>
    <n v="273"/>
    <n v="0"/>
    <n v="273"/>
    <n v="273"/>
    <n v="3412.5"/>
    <s v="MMR012CMP045"/>
    <x v="0"/>
  </r>
  <r>
    <x v="14"/>
    <n v="2015"/>
    <d v="2015-08-12T00:00:00"/>
    <x v="0"/>
    <s v="LWF"/>
    <x v="0"/>
    <x v="1"/>
    <s v="Basare"/>
    <m/>
    <n v="59"/>
    <m/>
    <n v="6"/>
    <n v="3"/>
    <n v="6"/>
    <n v="3"/>
    <m/>
    <n v="3"/>
    <n v="3"/>
    <n v="15"/>
    <n v="0"/>
    <n v="59"/>
    <n v="0"/>
    <n v="6"/>
    <n v="3"/>
    <n v="6"/>
    <n v="3"/>
    <n v="0"/>
    <n v="3"/>
    <n v="3"/>
    <n v="37.5"/>
    <s v="MMR012CMP039"/>
    <x v="0"/>
  </r>
  <r>
    <x v="14"/>
    <n v="2015"/>
    <d v="2015-08-12T00:00:00"/>
    <x v="0"/>
    <s v="LWF"/>
    <x v="0"/>
    <x v="1"/>
    <s v="Khaung Doke Khar "/>
    <m/>
    <n v="160"/>
    <m/>
    <n v="96"/>
    <n v="48"/>
    <n v="96"/>
    <n v="48"/>
    <m/>
    <n v="48"/>
    <n v="48"/>
    <n v="240"/>
    <n v="0"/>
    <n v="160"/>
    <n v="0"/>
    <n v="96"/>
    <n v="48"/>
    <n v="96"/>
    <n v="48"/>
    <n v="0"/>
    <n v="48"/>
    <n v="48"/>
    <n v="600"/>
    <s v="MMR012CMP042"/>
    <x v="0"/>
  </r>
  <r>
    <x v="15"/>
    <n v="2015"/>
    <d v="2015-08-08T00:00:00"/>
    <x v="0"/>
    <s v="Save the Children"/>
    <x v="0"/>
    <x v="3"/>
    <s v="Kyein Ni Pyin"/>
    <m/>
    <m/>
    <m/>
    <n v="62"/>
    <n v="31"/>
    <n v="62"/>
    <n v="31"/>
    <m/>
    <n v="31"/>
    <n v="31"/>
    <n v="155"/>
    <n v="0"/>
    <n v="0"/>
    <n v="0"/>
    <n v="62"/>
    <n v="31"/>
    <n v="62"/>
    <n v="31"/>
    <n v="0"/>
    <n v="31"/>
    <n v="31"/>
    <n v="387.5"/>
    <s v="MMR012CMP018"/>
    <x v="0"/>
  </r>
  <r>
    <x v="16"/>
    <n v="2015"/>
    <d v="2015-07-24T00:00:00"/>
    <x v="0"/>
    <s v="Save the Children"/>
    <x v="0"/>
    <x v="1"/>
    <s v="Thet Kae Pyin "/>
    <m/>
    <n v="984"/>
    <m/>
    <n v="1968"/>
    <n v="984"/>
    <n v="1968"/>
    <n v="984"/>
    <m/>
    <n v="984"/>
    <n v="984"/>
    <n v="4920"/>
    <n v="0"/>
    <n v="984"/>
    <n v="0"/>
    <n v="1968"/>
    <n v="984"/>
    <n v="1968"/>
    <n v="984"/>
    <n v="0"/>
    <n v="984"/>
    <n v="984"/>
    <n v="12300"/>
    <s v="MMR012CMP048"/>
    <x v="0"/>
  </r>
  <r>
    <x v="17"/>
    <n v="2015"/>
    <d v="2015-07-23T00:00:00"/>
    <x v="0"/>
    <s v="UNHCR"/>
    <x v="0"/>
    <x v="4"/>
    <s v="Koe Tan Kauk"/>
    <n v="0"/>
    <n v="0"/>
    <n v="0"/>
    <n v="0"/>
    <n v="217"/>
    <n v="0"/>
    <n v="0"/>
    <n v="0"/>
    <n v="0"/>
    <n v="0"/>
    <n v="0"/>
    <n v="0"/>
    <n v="0"/>
    <n v="0"/>
    <n v="0"/>
    <n v="217"/>
    <n v="0"/>
    <n v="0"/>
    <n v="0"/>
    <n v="0"/>
    <n v="0"/>
    <n v="0"/>
    <s v="MMR012CMP110"/>
    <x v="0"/>
  </r>
  <r>
    <x v="17"/>
    <n v="2015"/>
    <d v="2015-07-23T00:00:00"/>
    <x v="0"/>
    <s v="UNHCR"/>
    <x v="0"/>
    <x v="4"/>
    <s v="Chein Khar Li"/>
    <n v="0"/>
    <n v="0"/>
    <n v="0"/>
    <n v="0"/>
    <n v="167"/>
    <n v="0"/>
    <n v="0"/>
    <n v="0"/>
    <n v="0"/>
    <n v="0"/>
    <n v="0"/>
    <n v="0"/>
    <n v="0"/>
    <n v="0"/>
    <n v="0"/>
    <n v="167"/>
    <n v="0"/>
    <n v="0"/>
    <n v="0"/>
    <n v="0"/>
    <n v="0"/>
    <n v="0"/>
    <s v="MMR012CMP033"/>
    <x v="0"/>
  </r>
  <r>
    <x v="18"/>
    <n v="2015"/>
    <d v="2015-07-09T00:00:00"/>
    <x v="0"/>
    <s v="Save the Children"/>
    <x v="0"/>
    <x v="1"/>
    <s v="Maw Ti Ngar"/>
    <m/>
    <n v="624"/>
    <m/>
    <n v="1248"/>
    <n v="624"/>
    <n v="1248"/>
    <n v="624"/>
    <m/>
    <n v="624"/>
    <n v="624"/>
    <n v="3120"/>
    <n v="0"/>
    <n v="624"/>
    <n v="0"/>
    <n v="1248"/>
    <n v="624"/>
    <n v="1248"/>
    <n v="624"/>
    <n v="0"/>
    <n v="624"/>
    <n v="624"/>
    <n v="7800"/>
    <s v="MMR012CMP092"/>
    <x v="0"/>
  </r>
  <r>
    <x v="19"/>
    <n v="2015"/>
    <d v="2015-06-26T00:00:00"/>
    <x v="0"/>
    <s v="UNHCR"/>
    <x v="0"/>
    <x v="5"/>
    <s v="Yun Nyar"/>
    <m/>
    <m/>
    <m/>
    <m/>
    <n v="112"/>
    <m/>
    <m/>
    <m/>
    <m/>
    <m/>
    <m/>
    <n v="0"/>
    <n v="0"/>
    <n v="0"/>
    <n v="0"/>
    <n v="112"/>
    <n v="0"/>
    <n v="0"/>
    <n v="0"/>
    <n v="0"/>
    <n v="0"/>
    <n v="0"/>
    <s v="MMR012CMP028"/>
    <x v="1"/>
  </r>
  <r>
    <x v="19"/>
    <n v="2015"/>
    <d v="2015-06-26T00:00:00"/>
    <x v="0"/>
    <s v="UNHCR"/>
    <x v="0"/>
    <x v="5"/>
    <s v="Shwe Hlaing"/>
    <m/>
    <m/>
    <m/>
    <m/>
    <n v="138"/>
    <m/>
    <m/>
    <m/>
    <m/>
    <m/>
    <m/>
    <n v="0"/>
    <n v="0"/>
    <n v="0"/>
    <n v="0"/>
    <n v="138"/>
    <n v="0"/>
    <n v="0"/>
    <n v="0"/>
    <n v="0"/>
    <n v="0"/>
    <n v="0"/>
    <s v="MMR012CMP029"/>
    <x v="1"/>
  </r>
  <r>
    <x v="20"/>
    <n v="2015"/>
    <d v="2015-06-25T00:00:00"/>
    <x v="0"/>
    <s v="UNHCR"/>
    <x v="0"/>
    <x v="5"/>
    <s v="Nidin"/>
    <m/>
    <m/>
    <m/>
    <m/>
    <n v="85"/>
    <m/>
    <m/>
    <m/>
    <m/>
    <m/>
    <m/>
    <n v="0"/>
    <n v="0"/>
    <n v="0"/>
    <n v="0"/>
    <n v="85"/>
    <n v="0"/>
    <n v="0"/>
    <n v="0"/>
    <n v="0"/>
    <n v="0"/>
    <n v="0"/>
    <s v="MMR012CMP023"/>
    <x v="0"/>
  </r>
  <r>
    <x v="20"/>
    <n v="2015"/>
    <d v="2015-06-25T00:00:00"/>
    <x v="0"/>
    <s v="UNHCR"/>
    <x v="0"/>
    <x v="5"/>
    <s v="Khaung Htoke"/>
    <m/>
    <m/>
    <m/>
    <m/>
    <n v="97"/>
    <m/>
    <m/>
    <m/>
    <m/>
    <m/>
    <m/>
    <n v="0"/>
    <n v="0"/>
    <n v="0"/>
    <n v="0"/>
    <n v="97"/>
    <n v="0"/>
    <n v="0"/>
    <n v="0"/>
    <n v="0"/>
    <n v="0"/>
    <n v="0"/>
    <s v="MMR012CMP030"/>
    <x v="2"/>
  </r>
  <r>
    <x v="21"/>
    <n v="2015"/>
    <d v="2015-06-24T00:00:00"/>
    <x v="0"/>
    <s v="UNHCR"/>
    <x v="0"/>
    <x v="5"/>
    <s v="In Bar Yi"/>
    <m/>
    <m/>
    <m/>
    <m/>
    <n v="236"/>
    <m/>
    <m/>
    <m/>
    <m/>
    <m/>
    <m/>
    <n v="0"/>
    <n v="0"/>
    <n v="0"/>
    <n v="0"/>
    <n v="236"/>
    <n v="0"/>
    <n v="0"/>
    <n v="0"/>
    <n v="0"/>
    <n v="0"/>
    <n v="0"/>
    <s v="MMR012CMP026"/>
    <x v="1"/>
  </r>
  <r>
    <x v="21"/>
    <n v="2015"/>
    <d v="2015-06-24T00:00:00"/>
    <x v="0"/>
    <s v="UNHCR"/>
    <x v="0"/>
    <x v="5"/>
    <s v="Ah Pauk Wa "/>
    <m/>
    <m/>
    <m/>
    <m/>
    <n v="92"/>
    <m/>
    <m/>
    <m/>
    <m/>
    <m/>
    <m/>
    <n v="0"/>
    <n v="0"/>
    <n v="0"/>
    <n v="0"/>
    <n v="92"/>
    <n v="0"/>
    <n v="0"/>
    <n v="0"/>
    <n v="0"/>
    <n v="0"/>
    <n v="0"/>
    <s v="MMR012CMP024"/>
    <x v="1"/>
  </r>
  <r>
    <x v="21"/>
    <n v="2015"/>
    <d v="2015-06-24T00:00:00"/>
    <x v="0"/>
    <s v="UNHCR"/>
    <x v="0"/>
    <x v="5"/>
    <s v="Goke Pi Htaunt"/>
    <m/>
    <m/>
    <m/>
    <m/>
    <n v="116"/>
    <m/>
    <m/>
    <m/>
    <m/>
    <m/>
    <m/>
    <n v="0"/>
    <n v="0"/>
    <n v="0"/>
    <n v="0"/>
    <n v="116"/>
    <n v="0"/>
    <n v="0"/>
    <n v="0"/>
    <n v="0"/>
    <n v="0"/>
    <n v="0"/>
    <s v="MMR012CMP027"/>
    <x v="1"/>
  </r>
  <r>
    <x v="22"/>
    <n v="2015"/>
    <d v="2015-06-23T00:00:00"/>
    <x v="0"/>
    <s v="UNHCR"/>
    <x v="0"/>
    <x v="6"/>
    <s v="Tha Dar"/>
    <m/>
    <m/>
    <m/>
    <m/>
    <n v="16"/>
    <m/>
    <m/>
    <m/>
    <m/>
    <m/>
    <m/>
    <n v="0"/>
    <n v="0"/>
    <n v="0"/>
    <n v="0"/>
    <n v="16"/>
    <n v="0"/>
    <n v="0"/>
    <n v="0"/>
    <n v="0"/>
    <n v="0"/>
    <n v="0"/>
    <s v="MMR012CMP002"/>
    <x v="1"/>
  </r>
  <r>
    <x v="23"/>
    <n v="2015"/>
    <d v="2015-06-15T00:00:00"/>
    <x v="0"/>
    <s v="CFSI"/>
    <x v="0"/>
    <x v="4"/>
    <s v="Koe Tan Kauk"/>
    <n v="0"/>
    <n v="0"/>
    <n v="0"/>
    <n v="0"/>
    <n v="10"/>
    <n v="0"/>
    <n v="0"/>
    <n v="0"/>
    <n v="0"/>
    <n v="0"/>
    <n v="0"/>
    <n v="0"/>
    <n v="0"/>
    <n v="0"/>
    <n v="0"/>
    <n v="10"/>
    <n v="0"/>
    <n v="0"/>
    <n v="0"/>
    <n v="0"/>
    <n v="0"/>
    <n v="0"/>
    <s v="MMR012CMP110"/>
    <x v="0"/>
  </r>
  <r>
    <x v="23"/>
    <n v="2015"/>
    <d v="2015-06-15T00:00:00"/>
    <x v="0"/>
    <s v="CFSI"/>
    <x v="0"/>
    <x v="4"/>
    <s v="Chein Khar Li"/>
    <n v="0"/>
    <n v="0"/>
    <n v="0"/>
    <n v="0"/>
    <n v="20"/>
    <n v="0"/>
    <n v="0"/>
    <n v="0"/>
    <n v="0"/>
    <n v="0"/>
    <n v="0"/>
    <n v="0"/>
    <n v="0"/>
    <n v="0"/>
    <n v="0"/>
    <n v="20"/>
    <n v="0"/>
    <n v="0"/>
    <n v="0"/>
    <n v="0"/>
    <n v="0"/>
    <n v="0"/>
    <s v="MMR012CMP033"/>
    <x v="0"/>
  </r>
  <r>
    <x v="23"/>
    <n v="2015"/>
    <d v="2015-06-15T00:00:00"/>
    <x v="0"/>
    <s v="CFSI"/>
    <x v="0"/>
    <x v="4"/>
    <s v="Ah Htet Nan Yar"/>
    <n v="0"/>
    <n v="0"/>
    <n v="0"/>
    <n v="0"/>
    <n v="10"/>
    <n v="0"/>
    <n v="0"/>
    <n v="0"/>
    <n v="0"/>
    <n v="0"/>
    <n v="0"/>
    <n v="0"/>
    <n v="0"/>
    <n v="0"/>
    <n v="0"/>
    <n v="10"/>
    <n v="0"/>
    <n v="0"/>
    <n v="0"/>
    <n v="0"/>
    <n v="0"/>
    <n v="0"/>
    <s v="MMR012CMP034"/>
    <x v="0"/>
  </r>
  <r>
    <x v="24"/>
    <n v="2015"/>
    <d v="2015-06-11T00:00:00"/>
    <x v="0"/>
    <s v="UNHCR"/>
    <x v="0"/>
    <x v="6"/>
    <s v="Tha Dar"/>
    <m/>
    <m/>
    <m/>
    <m/>
    <n v="187"/>
    <m/>
    <m/>
    <m/>
    <m/>
    <m/>
    <m/>
    <n v="0"/>
    <n v="0"/>
    <n v="0"/>
    <n v="0"/>
    <n v="187"/>
    <n v="0"/>
    <n v="0"/>
    <n v="0"/>
    <n v="0"/>
    <n v="0"/>
    <n v="0"/>
    <s v="MMR012CMP002"/>
    <x v="1"/>
  </r>
  <r>
    <x v="24"/>
    <n v="2015"/>
    <d v="2015-06-11T00:00:00"/>
    <x v="0"/>
    <s v="UNHCR"/>
    <x v="0"/>
    <x v="6"/>
    <s v="San Htoe Tan"/>
    <m/>
    <m/>
    <m/>
    <m/>
    <n v="90"/>
    <m/>
    <m/>
    <m/>
    <m/>
    <m/>
    <m/>
    <n v="0"/>
    <n v="0"/>
    <n v="0"/>
    <n v="0"/>
    <n v="90"/>
    <n v="0"/>
    <n v="0"/>
    <n v="0"/>
    <n v="0"/>
    <n v="0"/>
    <n v="0"/>
    <s v="MMR012CMP003"/>
    <x v="1"/>
  </r>
  <r>
    <x v="24"/>
    <n v="2015"/>
    <d v="2015-06-11T00:00:00"/>
    <x v="0"/>
    <s v="UNHCR"/>
    <x v="0"/>
    <x v="6"/>
    <s v="Aung Taing"/>
    <m/>
    <m/>
    <m/>
    <m/>
    <n v="86"/>
    <m/>
    <m/>
    <m/>
    <m/>
    <m/>
    <m/>
    <n v="0"/>
    <n v="0"/>
    <n v="0"/>
    <n v="0"/>
    <n v="86"/>
    <n v="0"/>
    <n v="0"/>
    <n v="0"/>
    <n v="0"/>
    <n v="0"/>
    <n v="0"/>
    <s v="MMR012CMP006"/>
    <x v="1"/>
  </r>
  <r>
    <x v="24"/>
    <n v="2015"/>
    <d v="2015-06-11T00:00:00"/>
    <x v="0"/>
    <s v="UNHCR"/>
    <x v="0"/>
    <x v="6"/>
    <s v="Sam Ba Le"/>
    <m/>
    <m/>
    <m/>
    <m/>
    <n v="225"/>
    <m/>
    <m/>
    <m/>
    <m/>
    <m/>
    <m/>
    <n v="0"/>
    <n v="0"/>
    <n v="0"/>
    <n v="0"/>
    <n v="225"/>
    <n v="0"/>
    <n v="0"/>
    <n v="0"/>
    <n v="0"/>
    <n v="0"/>
    <n v="0"/>
    <s v="MMR012CMP008"/>
    <x v="1"/>
  </r>
  <r>
    <x v="25"/>
    <n v="2015"/>
    <d v="2015-06-10T00:00:00"/>
    <x v="0"/>
    <s v="UNHCR"/>
    <x v="0"/>
    <x v="7"/>
    <s v="Pa Rein"/>
    <m/>
    <m/>
    <m/>
    <m/>
    <n v="56"/>
    <m/>
    <m/>
    <m/>
    <m/>
    <m/>
    <m/>
    <n v="0"/>
    <n v="0"/>
    <n v="0"/>
    <n v="0"/>
    <n v="56"/>
    <n v="0"/>
    <n v="0"/>
    <n v="0"/>
    <n v="0"/>
    <n v="0"/>
    <n v="0"/>
    <s v="MMR012CMP009"/>
    <x v="1"/>
  </r>
  <r>
    <x v="25"/>
    <n v="2015"/>
    <d v="2015-06-10T00:00:00"/>
    <x v="0"/>
    <s v="UNHCR"/>
    <x v="0"/>
    <x v="7"/>
    <s v="Yai Thei-Muslim"/>
    <m/>
    <m/>
    <m/>
    <m/>
    <n v="55"/>
    <m/>
    <m/>
    <m/>
    <m/>
    <m/>
    <m/>
    <n v="0"/>
    <n v="0"/>
    <n v="0"/>
    <n v="0"/>
    <n v="55"/>
    <n v="0"/>
    <n v="0"/>
    <n v="0"/>
    <n v="0"/>
    <n v="0"/>
    <n v="0"/>
    <s v="MMR012CMP010"/>
    <x v="1"/>
  </r>
  <r>
    <x v="25"/>
    <n v="2015"/>
    <d v="2015-06-10T00:00:00"/>
    <x v="0"/>
    <s v="UNHCR"/>
    <x v="0"/>
    <x v="6"/>
    <s v="Tha Yet Oak"/>
    <m/>
    <m/>
    <m/>
    <m/>
    <n v="275"/>
    <m/>
    <m/>
    <m/>
    <m/>
    <m/>
    <m/>
    <n v="0"/>
    <n v="0"/>
    <n v="0"/>
    <n v="0"/>
    <n v="275"/>
    <n v="0"/>
    <n v="0"/>
    <n v="0"/>
    <n v="0"/>
    <n v="0"/>
    <n v="0"/>
    <s v="MMR012CMP005"/>
    <x v="1"/>
  </r>
  <r>
    <x v="26"/>
    <n v="2015"/>
    <d v="2015-05-20T00:00:00"/>
    <x v="0"/>
    <s v="DRC"/>
    <x v="0"/>
    <x v="1"/>
    <s v="Ohn Taw Chay"/>
    <n v="0"/>
    <n v="140"/>
    <n v="0"/>
    <n v="1298"/>
    <n v="649"/>
    <n v="1298"/>
    <n v="649"/>
    <n v="509"/>
    <n v="649"/>
    <n v="649"/>
    <n v="3245"/>
    <n v="0"/>
    <n v="0"/>
    <n v="0"/>
    <n v="0"/>
    <n v="0"/>
    <n v="0"/>
    <n v="0"/>
    <n v="0"/>
    <n v="0"/>
    <n v="0"/>
    <n v="0"/>
    <s v="MMR012CMP098"/>
    <x v="0"/>
  </r>
  <r>
    <x v="27"/>
    <n v="2015"/>
    <d v="2015-05-12T00:00:00"/>
    <x v="0"/>
    <s v="Save the Children"/>
    <x v="0"/>
    <x v="1"/>
    <s v="Sat Roe Kya 1"/>
    <n v="0"/>
    <m/>
    <n v="0"/>
    <n v="498"/>
    <n v="249"/>
    <n v="498"/>
    <n v="249"/>
    <n v="0"/>
    <n v="249"/>
    <n v="249"/>
    <n v="1245"/>
    <n v="0"/>
    <n v="0"/>
    <n v="0"/>
    <n v="0"/>
    <n v="0"/>
    <n v="0"/>
    <n v="0"/>
    <n v="0"/>
    <n v="0"/>
    <n v="0"/>
    <n v="0"/>
    <s v="MMR012CMP111"/>
    <x v="2"/>
  </r>
  <r>
    <x v="28"/>
    <n v="2015"/>
    <d v="2015-05-07T00:00:00"/>
    <x v="0"/>
    <s v="LWF"/>
    <x v="0"/>
    <x v="1"/>
    <s v="Thae Chaung"/>
    <m/>
    <n v="2145"/>
    <m/>
    <n v="4290"/>
    <n v="2145"/>
    <n v="4290"/>
    <n v="2145"/>
    <m/>
    <n v="2145"/>
    <n v="2145"/>
    <n v="10725"/>
    <n v="0"/>
    <n v="0"/>
    <n v="0"/>
    <n v="0"/>
    <n v="0"/>
    <n v="0"/>
    <n v="0"/>
    <n v="0"/>
    <n v="0"/>
    <n v="0"/>
    <n v="0"/>
    <s v="MMR012CMP046"/>
    <x v="0"/>
  </r>
  <r>
    <x v="29"/>
    <n v="2015"/>
    <d v="2015-05-06T00:00:00"/>
    <x v="5"/>
    <s v="DRC"/>
    <x v="0"/>
    <x v="1"/>
    <s v="Dar Pai"/>
    <n v="0"/>
    <n v="1364"/>
    <n v="0"/>
    <n v="2728"/>
    <n v="1364"/>
    <n v="2728"/>
    <n v="1364"/>
    <n v="0"/>
    <n v="1364"/>
    <n v="1364"/>
    <n v="6820"/>
    <n v="0"/>
    <n v="0"/>
    <n v="0"/>
    <n v="0"/>
    <n v="0"/>
    <n v="0"/>
    <n v="0"/>
    <n v="0"/>
    <n v="0"/>
    <n v="0"/>
    <n v="0"/>
    <s v="MMR012CMP041"/>
    <x v="0"/>
  </r>
  <r>
    <x v="30"/>
    <n v="2015"/>
    <d v="2015-05-05T00:00:00"/>
    <x v="0"/>
    <s v="UNHCR"/>
    <x v="0"/>
    <x v="4"/>
    <s v="Chein Khar Li"/>
    <n v="0"/>
    <n v="7"/>
    <n v="7"/>
    <n v="14"/>
    <n v="5"/>
    <n v="14"/>
    <n v="5"/>
    <n v="0"/>
    <n v="7"/>
    <n v="7"/>
    <n v="21"/>
    <n v="0"/>
    <n v="0"/>
    <n v="0"/>
    <n v="0"/>
    <n v="0"/>
    <n v="0"/>
    <n v="0"/>
    <n v="0"/>
    <n v="0"/>
    <n v="0"/>
    <n v="0"/>
    <s v="MMR012CMP033"/>
    <x v="0"/>
  </r>
  <r>
    <x v="31"/>
    <n v="2015"/>
    <d v="2015-04-27T00:00:00"/>
    <x v="0"/>
    <s v="UNHCR"/>
    <x v="0"/>
    <x v="1"/>
    <s v="Sat Roe Kya 2"/>
    <n v="0"/>
    <m/>
    <n v="0"/>
    <n v="836"/>
    <n v="418"/>
    <n v="836"/>
    <n v="418"/>
    <n v="0"/>
    <n v="418"/>
    <n v="418"/>
    <n v="2090"/>
    <n v="0"/>
    <n v="0"/>
    <n v="0"/>
    <n v="0"/>
    <n v="0"/>
    <n v="0"/>
    <n v="0"/>
    <n v="0"/>
    <n v="0"/>
    <n v="0"/>
    <n v="0"/>
    <s v="MMR012CMP112"/>
    <x v="2"/>
  </r>
  <r>
    <x v="31"/>
    <n v="2015"/>
    <d v="2015-04-27T00:00:00"/>
    <x v="0"/>
    <s v="LWF"/>
    <x v="0"/>
    <x v="1"/>
    <s v="Set Yone Su"/>
    <m/>
    <n v="72"/>
    <m/>
    <n v="144"/>
    <n v="72"/>
    <n v="144"/>
    <n v="72"/>
    <m/>
    <n v="72"/>
    <n v="72"/>
    <n v="360"/>
    <n v="0"/>
    <n v="0"/>
    <n v="0"/>
    <n v="0"/>
    <n v="0"/>
    <n v="0"/>
    <n v="0"/>
    <n v="0"/>
    <n v="0"/>
    <n v="0"/>
    <n v="0"/>
    <s v="MMR012CMP056"/>
    <x v="2"/>
  </r>
  <r>
    <x v="31"/>
    <n v="2015"/>
    <d v="2015-04-27T00:00:00"/>
    <x v="0"/>
    <s v="LWF"/>
    <x v="0"/>
    <x v="1"/>
    <s v="Set Yone Su 3"/>
    <m/>
    <n v="151"/>
    <m/>
    <n v="302"/>
    <n v="151"/>
    <n v="302"/>
    <n v="151"/>
    <m/>
    <n v="151"/>
    <n v="151"/>
    <n v="755"/>
    <n v="0"/>
    <n v="0"/>
    <n v="0"/>
    <n v="0"/>
    <n v="0"/>
    <n v="0"/>
    <n v="0"/>
    <n v="0"/>
    <n v="0"/>
    <n v="0"/>
    <n v="0"/>
    <s v="MMR012CMP093"/>
    <x v="2"/>
  </r>
  <r>
    <x v="32"/>
    <n v="2015"/>
    <d v="2015-03-15T00:00:00"/>
    <x v="6"/>
    <s v="Save the Children"/>
    <x v="0"/>
    <x v="1"/>
    <s v="Thet Kae Pyin "/>
    <n v="1020"/>
    <m/>
    <m/>
    <m/>
    <m/>
    <m/>
    <m/>
    <m/>
    <m/>
    <m/>
    <m/>
    <n v="0"/>
    <n v="0"/>
    <n v="0"/>
    <n v="0"/>
    <n v="0"/>
    <n v="0"/>
    <n v="0"/>
    <n v="0"/>
    <n v="0"/>
    <n v="0"/>
    <n v="0"/>
    <s v="MMR012CMP048"/>
    <x v="0"/>
  </r>
  <r>
    <x v="33"/>
    <n v="2015"/>
    <d v="2015-03-05T00:00:00"/>
    <x v="0"/>
    <s v="UNHCR"/>
    <x v="0"/>
    <x v="8"/>
    <s v="Bomu Ywa"/>
    <n v="0"/>
    <n v="43"/>
    <n v="43"/>
    <n v="86"/>
    <n v="0"/>
    <n v="86"/>
    <n v="33"/>
    <n v="0"/>
    <n v="43"/>
    <n v="43"/>
    <n v="165"/>
    <n v="0"/>
    <n v="0"/>
    <n v="0"/>
    <n v="0"/>
    <n v="0"/>
    <n v="0"/>
    <n v="0"/>
    <n v="0"/>
    <n v="0"/>
    <n v="0"/>
    <n v="0"/>
    <s v="MMR012CMP084"/>
    <x v="0"/>
  </r>
  <r>
    <x v="34"/>
    <n v="2015"/>
    <d v="2015-03-01T00:00:00"/>
    <x v="1"/>
    <s v="RI"/>
    <x v="0"/>
    <x v="2"/>
    <s v="Kan Thar Htwat Wa"/>
    <n v="42"/>
    <m/>
    <m/>
    <m/>
    <m/>
    <m/>
    <m/>
    <m/>
    <m/>
    <m/>
    <m/>
    <n v="0"/>
    <n v="0"/>
    <n v="0"/>
    <n v="0"/>
    <n v="0"/>
    <n v="0"/>
    <n v="0"/>
    <n v="0"/>
    <n v="0"/>
    <n v="0"/>
    <n v="0"/>
    <s v="MMR012CMP013"/>
    <x v="0"/>
  </r>
  <r>
    <x v="34"/>
    <n v="2015"/>
    <d v="2015-03-01T00:00:00"/>
    <x v="1"/>
    <s v="RI"/>
    <x v="0"/>
    <x v="2"/>
    <s v="Taung Paw "/>
    <n v="682"/>
    <m/>
    <m/>
    <m/>
    <m/>
    <m/>
    <m/>
    <m/>
    <m/>
    <m/>
    <m/>
    <n v="0"/>
    <n v="0"/>
    <n v="0"/>
    <n v="0"/>
    <n v="0"/>
    <n v="0"/>
    <n v="0"/>
    <n v="0"/>
    <n v="0"/>
    <n v="0"/>
    <n v="0"/>
    <s v="MMR012CMP014"/>
    <x v="0"/>
  </r>
  <r>
    <x v="35"/>
    <n v="2015"/>
    <d v="2015-02-20T00:00:00"/>
    <x v="7"/>
    <s v="CDN"/>
    <x v="0"/>
    <x v="1"/>
    <s v="Sat Roe Kya 1"/>
    <n v="249"/>
    <m/>
    <m/>
    <m/>
    <m/>
    <m/>
    <m/>
    <m/>
    <m/>
    <m/>
    <m/>
    <n v="0"/>
    <n v="0"/>
    <n v="0"/>
    <n v="0"/>
    <n v="0"/>
    <n v="0"/>
    <n v="0"/>
    <n v="0"/>
    <n v="0"/>
    <n v="0"/>
    <n v="0"/>
    <s v="MMR012CMP111"/>
    <x v="2"/>
  </r>
  <r>
    <x v="36"/>
    <n v="2015"/>
    <d v="2015-02-01T00:00:00"/>
    <x v="1"/>
    <s v="RI"/>
    <x v="0"/>
    <x v="2"/>
    <s v="Kan Thar Htwat Wa"/>
    <n v="42"/>
    <m/>
    <m/>
    <m/>
    <m/>
    <m/>
    <m/>
    <m/>
    <m/>
    <m/>
    <m/>
    <n v="0"/>
    <n v="0"/>
    <n v="0"/>
    <n v="0"/>
    <n v="0"/>
    <n v="0"/>
    <n v="0"/>
    <n v="0"/>
    <n v="0"/>
    <n v="0"/>
    <n v="0"/>
    <s v="MMR012CMP013"/>
    <x v="0"/>
  </r>
  <r>
    <x v="36"/>
    <n v="2015"/>
    <d v="2015-02-01T00:00:00"/>
    <x v="1"/>
    <s v="RI"/>
    <x v="0"/>
    <x v="2"/>
    <s v="Taung Paw "/>
    <n v="682"/>
    <m/>
    <m/>
    <m/>
    <m/>
    <m/>
    <m/>
    <m/>
    <m/>
    <m/>
    <m/>
    <n v="0"/>
    <n v="0"/>
    <n v="0"/>
    <n v="0"/>
    <n v="0"/>
    <n v="0"/>
    <n v="0"/>
    <n v="0"/>
    <n v="0"/>
    <n v="0"/>
    <n v="0"/>
    <s v="MMR012CMP014"/>
    <x v="0"/>
  </r>
  <r>
    <x v="37"/>
    <n v="2015"/>
    <d v="2015-01-29T00:00:00"/>
    <x v="0"/>
    <s v="UNHCR"/>
    <x v="0"/>
    <x v="3"/>
    <s v="Kyein Ni Pyin"/>
    <m/>
    <n v="101"/>
    <m/>
    <n v="1888"/>
    <n v="944"/>
    <n v="1888"/>
    <n v="944"/>
    <m/>
    <n v="944"/>
    <n v="944"/>
    <n v="4720"/>
    <n v="0"/>
    <n v="0"/>
    <n v="0"/>
    <n v="0"/>
    <n v="0"/>
    <n v="0"/>
    <n v="0"/>
    <n v="0"/>
    <n v="0"/>
    <n v="0"/>
    <n v="0"/>
    <s v="MMR012CMP018"/>
    <x v="0"/>
  </r>
  <r>
    <x v="38"/>
    <n v="2015"/>
    <d v="2015-01-21T00:00:00"/>
    <x v="0"/>
    <s v="UNHCR"/>
    <x v="0"/>
    <x v="4"/>
    <s v="Chein Khar Li"/>
    <n v="0"/>
    <n v="0"/>
    <n v="0"/>
    <n v="0"/>
    <n v="0"/>
    <n v="700"/>
    <n v="0"/>
    <n v="0"/>
    <n v="350"/>
    <n v="0"/>
    <n v="1120"/>
    <n v="0"/>
    <n v="0"/>
    <n v="0"/>
    <n v="0"/>
    <n v="0"/>
    <n v="0"/>
    <n v="0"/>
    <n v="0"/>
    <n v="0"/>
    <n v="0"/>
    <n v="0"/>
    <s v="MMR012CMP033"/>
    <x v="0"/>
  </r>
  <r>
    <x v="38"/>
    <n v="2015"/>
    <d v="2015-01-21T00:00:00"/>
    <x v="0"/>
    <s v="UNHCR"/>
    <x v="0"/>
    <x v="4"/>
    <s v="Koe Tan Kauk"/>
    <n v="0"/>
    <n v="0"/>
    <n v="0"/>
    <n v="0"/>
    <n v="0"/>
    <n v="534"/>
    <n v="0"/>
    <n v="0"/>
    <n v="267"/>
    <m/>
    <n v="1010"/>
    <n v="0"/>
    <n v="0"/>
    <n v="0"/>
    <n v="0"/>
    <n v="0"/>
    <n v="0"/>
    <n v="0"/>
    <n v="0"/>
    <n v="0"/>
    <n v="0"/>
    <n v="0"/>
    <s v="MMR012CMP110"/>
    <x v="0"/>
  </r>
  <r>
    <x v="39"/>
    <n v="2015"/>
    <d v="2015-01-06T00:00:00"/>
    <x v="0"/>
    <s v="UNHCR"/>
    <x v="0"/>
    <x v="8"/>
    <s v="Sin Thay Pyin (Zay Di Pyin)"/>
    <n v="16"/>
    <n v="16"/>
    <n v="16"/>
    <n v="32"/>
    <n v="0"/>
    <n v="32"/>
    <n v="8"/>
    <n v="0"/>
    <n v="16"/>
    <n v="16"/>
    <n v="40"/>
    <n v="0"/>
    <n v="0"/>
    <n v="0"/>
    <n v="0"/>
    <n v="0"/>
    <n v="0"/>
    <n v="0"/>
    <n v="0"/>
    <n v="0"/>
    <n v="0"/>
    <n v="0"/>
    <s v="MMR012CMP094"/>
    <x v="0"/>
  </r>
  <r>
    <x v="39"/>
    <n v="2015"/>
    <d v="2015-01-06T00:00:00"/>
    <x v="0"/>
    <s v="UNHCR"/>
    <x v="0"/>
    <x v="8"/>
    <s v="Ywa thit Kay"/>
    <n v="36"/>
    <n v="36"/>
    <n v="36"/>
    <n v="72"/>
    <n v="0"/>
    <n v="72"/>
    <n v="19"/>
    <n v="0"/>
    <n v="36"/>
    <n v="36"/>
    <n v="95"/>
    <n v="0"/>
    <n v="0"/>
    <n v="0"/>
    <n v="0"/>
    <n v="0"/>
    <n v="0"/>
    <n v="0"/>
    <n v="0"/>
    <n v="0"/>
    <n v="0"/>
    <n v="0"/>
    <s v="MMR012CMP085"/>
    <x v="0"/>
  </r>
  <r>
    <x v="39"/>
    <n v="2015"/>
    <d v="2015-01-06T00:00:00"/>
    <x v="0"/>
    <s v="UNHCR"/>
    <x v="0"/>
    <x v="8"/>
    <s v="(Du) Chee Yar Tan (East)"/>
    <n v="39"/>
    <n v="39"/>
    <n v="39"/>
    <n v="78"/>
    <n v="0"/>
    <n v="78"/>
    <n v="28"/>
    <n v="0"/>
    <n v="39"/>
    <n v="39"/>
    <n v="40"/>
    <n v="0"/>
    <n v="0"/>
    <n v="0"/>
    <n v="0"/>
    <n v="0"/>
    <n v="0"/>
    <n v="0"/>
    <n v="0"/>
    <n v="0"/>
    <n v="0"/>
    <n v="0"/>
    <s v=""/>
    <x v="3"/>
  </r>
  <r>
    <x v="40"/>
    <n v="2015"/>
    <d v="2015-01-01T00:00:00"/>
    <x v="1"/>
    <s v="RI"/>
    <x v="0"/>
    <x v="2"/>
    <s v="Kan Thar Htwat Wa"/>
    <n v="42"/>
    <m/>
    <m/>
    <m/>
    <m/>
    <m/>
    <m/>
    <m/>
    <m/>
    <m/>
    <m/>
    <n v="0"/>
    <n v="0"/>
    <n v="0"/>
    <n v="0"/>
    <n v="0"/>
    <n v="0"/>
    <n v="0"/>
    <n v="0"/>
    <n v="0"/>
    <n v="0"/>
    <n v="0"/>
    <s v="MMR012CMP013"/>
    <x v="0"/>
  </r>
  <r>
    <x v="40"/>
    <n v="2015"/>
    <d v="2015-01-01T00:00:00"/>
    <x v="1"/>
    <s v="RI"/>
    <x v="0"/>
    <x v="2"/>
    <s v="Taung Paw "/>
    <n v="682"/>
    <m/>
    <m/>
    <m/>
    <m/>
    <m/>
    <m/>
    <m/>
    <m/>
    <m/>
    <m/>
    <n v="0"/>
    <n v="0"/>
    <n v="0"/>
    <n v="0"/>
    <n v="0"/>
    <n v="0"/>
    <n v="0"/>
    <n v="0"/>
    <n v="0"/>
    <n v="0"/>
    <n v="0"/>
    <s v="MMR012CMP014"/>
    <x v="0"/>
  </r>
  <r>
    <x v="41"/>
    <n v="2014"/>
    <d v="2014-12-23T00:00:00"/>
    <x v="0"/>
    <s v="UNHCR"/>
    <x v="0"/>
    <x v="8"/>
    <s v="Nyaung Pin Hla"/>
    <n v="27"/>
    <n v="27"/>
    <n v="27"/>
    <n v="54"/>
    <n v="0"/>
    <n v="54"/>
    <n v="17"/>
    <n v="0"/>
    <n v="27"/>
    <m/>
    <n v="85"/>
    <n v="0"/>
    <n v="0"/>
    <n v="0"/>
    <n v="0"/>
    <n v="0"/>
    <n v="0"/>
    <n v="0"/>
    <n v="0"/>
    <n v="0"/>
    <n v="0"/>
    <n v="0"/>
    <s v="MMR012CMP082"/>
    <x v="0"/>
  </r>
  <r>
    <x v="42"/>
    <n v="2014"/>
    <d v="2014-12-18T00:00:00"/>
    <x v="0"/>
    <s v="UNHCR"/>
    <x v="0"/>
    <x v="8"/>
    <s v="Thaung Paing Nyar"/>
    <n v="108"/>
    <n v="108"/>
    <n v="108"/>
    <n v="216"/>
    <n v="0"/>
    <n v="216"/>
    <n v="68"/>
    <n v="0"/>
    <n v="108"/>
    <m/>
    <n v="340"/>
    <n v="0"/>
    <n v="0"/>
    <n v="0"/>
    <n v="0"/>
    <n v="0"/>
    <n v="0"/>
    <n v="0"/>
    <n v="0"/>
    <n v="0"/>
    <n v="0"/>
    <n v="0"/>
    <s v="MMR012CMP086"/>
    <x v="0"/>
  </r>
  <r>
    <x v="42"/>
    <n v="2014"/>
    <d v="2014-12-18T00:00:00"/>
    <x v="0"/>
    <s v="UNHCR"/>
    <x v="0"/>
    <x v="8"/>
    <s v="Ward-6 (Lay Myaing)"/>
    <n v="164"/>
    <n v="164"/>
    <n v="164"/>
    <n v="328"/>
    <n v="0"/>
    <n v="328"/>
    <n v="92"/>
    <n v="0"/>
    <n v="164"/>
    <m/>
    <n v="460"/>
    <n v="0"/>
    <n v="0"/>
    <n v="0"/>
    <n v="0"/>
    <n v="0"/>
    <n v="0"/>
    <n v="0"/>
    <n v="0"/>
    <n v="0"/>
    <n v="0"/>
    <n v="0"/>
    <s v="MMR012CMP095"/>
    <x v="0"/>
  </r>
  <r>
    <x v="43"/>
    <n v="2014"/>
    <d v="2014-12-17T00:00:00"/>
    <x v="0"/>
    <s v="UNHCR"/>
    <x v="0"/>
    <x v="8"/>
    <s v="Myoma Myauk (Chitta Ywa)"/>
    <n v="315"/>
    <n v="315"/>
    <n v="315"/>
    <n v="630"/>
    <n v="0"/>
    <n v="630"/>
    <n v="186"/>
    <n v="0"/>
    <n v="315"/>
    <m/>
    <n v="930"/>
    <n v="0"/>
    <n v="0"/>
    <n v="0"/>
    <n v="0"/>
    <n v="0"/>
    <n v="0"/>
    <n v="0"/>
    <n v="0"/>
    <n v="0"/>
    <n v="0"/>
    <n v="0"/>
    <s v="MMR012CMP083"/>
    <x v="0"/>
  </r>
  <r>
    <x v="44"/>
    <n v="2014"/>
    <d v="2014-12-14T00:00:00"/>
    <x v="0"/>
    <s v="UNHCR"/>
    <x v="0"/>
    <x v="8"/>
    <s v="Honsara (Zaw Ma Tat)"/>
    <n v="170"/>
    <n v="170"/>
    <n v="170"/>
    <n v="338"/>
    <n v="0"/>
    <n v="338"/>
    <n v="110"/>
    <n v="0"/>
    <n v="170"/>
    <m/>
    <n v="550"/>
    <n v="0"/>
    <n v="0"/>
    <n v="0"/>
    <n v="0"/>
    <n v="0"/>
    <n v="0"/>
    <n v="0"/>
    <n v="0"/>
    <n v="0"/>
    <n v="0"/>
    <n v="0"/>
    <s v="MMR012CMP109"/>
    <x v="0"/>
  </r>
  <r>
    <x v="45"/>
    <n v="2014"/>
    <d v="2014-09-18T00:00:00"/>
    <x v="0"/>
    <s v="UNHCR"/>
    <x v="0"/>
    <x v="4"/>
    <s v="Ah Htet Nan Yar"/>
    <n v="349"/>
    <n v="349"/>
    <n v="349"/>
    <n v="698"/>
    <n v="250"/>
    <n v="698"/>
    <n v="250"/>
    <n v="0"/>
    <n v="349"/>
    <m/>
    <n v="1250"/>
    <n v="0"/>
    <n v="0"/>
    <n v="0"/>
    <n v="0"/>
    <n v="0"/>
    <n v="0"/>
    <n v="0"/>
    <n v="0"/>
    <n v="0"/>
    <n v="0"/>
    <n v="0"/>
    <s v="MMR012CMP034"/>
    <x v="0"/>
  </r>
  <r>
    <x v="46"/>
    <n v="2014"/>
    <d v="2014-09-17T00:00:00"/>
    <x v="0"/>
    <s v="UNHCR"/>
    <x v="0"/>
    <x v="4"/>
    <s v="Ah Nauk Pyin"/>
    <n v="86"/>
    <n v="86"/>
    <n v="86"/>
    <n v="170"/>
    <n v="66"/>
    <n v="170"/>
    <n v="66"/>
    <n v="0"/>
    <n v="86"/>
    <m/>
    <n v="330"/>
    <n v="0"/>
    <n v="0"/>
    <n v="0"/>
    <n v="0"/>
    <n v="0"/>
    <n v="0"/>
    <n v="0"/>
    <n v="0"/>
    <n v="0"/>
    <n v="0"/>
    <n v="0"/>
    <s v="MMR012CMP032"/>
    <x v="1"/>
  </r>
  <r>
    <x v="47"/>
    <n v="2014"/>
    <d v="2014-09-16T00:00:00"/>
    <x v="0"/>
    <s v="UNHCR"/>
    <x v="0"/>
    <x v="4"/>
    <s v="Nyaung Pin Gyi"/>
    <n v="102"/>
    <n v="102"/>
    <n v="102"/>
    <n v="206"/>
    <n v="66"/>
    <n v="206"/>
    <n v="66"/>
    <n v="0"/>
    <n v="102"/>
    <m/>
    <n v="330"/>
    <n v="0"/>
    <n v="0"/>
    <n v="0"/>
    <n v="0"/>
    <n v="0"/>
    <n v="0"/>
    <n v="0"/>
    <n v="0"/>
    <n v="0"/>
    <n v="0"/>
    <n v="0"/>
    <s v="MMR012CMP031"/>
    <x v="1"/>
  </r>
  <r>
    <x v="48"/>
    <n v="2014"/>
    <d v="2014-08-28T00:00:00"/>
    <x v="5"/>
    <s v="DRC"/>
    <x v="0"/>
    <x v="1"/>
    <s v="Baw Du Pha 2"/>
    <m/>
    <m/>
    <m/>
    <n v="2624"/>
    <n v="1312"/>
    <n v="2624"/>
    <n v="1312"/>
    <m/>
    <n v="1312"/>
    <m/>
    <n v="3936"/>
    <n v="0"/>
    <n v="0"/>
    <n v="0"/>
    <n v="0"/>
    <n v="0"/>
    <n v="0"/>
    <n v="0"/>
    <n v="0"/>
    <n v="0"/>
    <n v="0"/>
    <n v="0"/>
    <s v="MMR012CMP114"/>
    <x v="0"/>
  </r>
  <r>
    <x v="49"/>
    <n v="2014"/>
    <d v="2014-08-26T00:00:00"/>
    <x v="5"/>
    <s v="DRC"/>
    <x v="0"/>
    <x v="1"/>
    <s v="Baw Du Pha 1"/>
    <m/>
    <m/>
    <m/>
    <n v="2020"/>
    <n v="1010"/>
    <n v="2020"/>
    <n v="1010"/>
    <m/>
    <n v="1010"/>
    <m/>
    <n v="3030"/>
    <n v="0"/>
    <n v="0"/>
    <n v="0"/>
    <n v="0"/>
    <n v="0"/>
    <n v="0"/>
    <n v="0"/>
    <n v="0"/>
    <n v="0"/>
    <n v="0"/>
    <n v="0"/>
    <s v="MMR012CMP113"/>
    <x v="0"/>
  </r>
  <r>
    <x v="50"/>
    <n v="2014"/>
    <d v="2014-08-14T00:00:00"/>
    <x v="3"/>
    <s v="LWF"/>
    <x v="0"/>
    <x v="1"/>
    <s v="Set Yone Su"/>
    <m/>
    <m/>
    <m/>
    <n v="2"/>
    <n v="1"/>
    <n v="2"/>
    <n v="1"/>
    <m/>
    <n v="1"/>
    <m/>
    <n v="5"/>
    <n v="0"/>
    <n v="0"/>
    <n v="0"/>
    <n v="0"/>
    <n v="0"/>
    <n v="0"/>
    <n v="0"/>
    <n v="0"/>
    <n v="0"/>
    <n v="0"/>
    <n v="0"/>
    <s v="MMR012CMP056"/>
    <x v="2"/>
  </r>
  <r>
    <x v="50"/>
    <n v="2014"/>
    <d v="2014-08-14T00:00:00"/>
    <x v="3"/>
    <s v="LWF"/>
    <x v="0"/>
    <x v="1"/>
    <s v="Set Yone Su 3"/>
    <m/>
    <m/>
    <m/>
    <n v="2"/>
    <n v="1"/>
    <n v="2"/>
    <n v="1"/>
    <m/>
    <n v="1"/>
    <m/>
    <n v="5"/>
    <n v="0"/>
    <n v="0"/>
    <n v="0"/>
    <n v="0"/>
    <n v="0"/>
    <n v="0"/>
    <n v="0"/>
    <n v="0"/>
    <n v="0"/>
    <n v="0"/>
    <n v="0"/>
    <s v="MMR012CMP093"/>
    <x v="2"/>
  </r>
  <r>
    <x v="51"/>
    <n v="2014"/>
    <d v="2014-08-01T00:00:00"/>
    <x v="8"/>
    <s v="AGE"/>
    <x v="0"/>
    <x v="3"/>
    <s v="Ah Nauk Ywe"/>
    <m/>
    <m/>
    <m/>
    <m/>
    <m/>
    <m/>
    <m/>
    <n v="1128"/>
    <m/>
    <m/>
    <m/>
    <n v="0"/>
    <n v="0"/>
    <n v="0"/>
    <n v="0"/>
    <n v="0"/>
    <n v="0"/>
    <n v="0"/>
    <n v="0"/>
    <n v="0"/>
    <n v="0"/>
    <n v="0"/>
    <s v="MMR012CMP016"/>
    <x v="0"/>
  </r>
  <r>
    <x v="51"/>
    <n v="2014"/>
    <d v="2014-08-01T00:00:00"/>
    <x v="8"/>
    <s v="AGE"/>
    <x v="0"/>
    <x v="3"/>
    <s v="Kyein Ni Pyin"/>
    <m/>
    <m/>
    <m/>
    <m/>
    <m/>
    <m/>
    <m/>
    <n v="959"/>
    <m/>
    <m/>
    <m/>
    <n v="0"/>
    <n v="0"/>
    <n v="0"/>
    <n v="0"/>
    <n v="0"/>
    <n v="0"/>
    <n v="0"/>
    <n v="0"/>
    <n v="0"/>
    <n v="0"/>
    <n v="0"/>
    <s v="MMR012CMP018"/>
    <x v="0"/>
  </r>
  <r>
    <x v="51"/>
    <n v="2014"/>
    <d v="2014-08-01T00:00:00"/>
    <x v="8"/>
    <s v="AGE"/>
    <x v="0"/>
    <x v="3"/>
    <s v="Nget Chaung"/>
    <m/>
    <m/>
    <m/>
    <m/>
    <m/>
    <m/>
    <m/>
    <n v="1130"/>
    <m/>
    <m/>
    <m/>
    <n v="0"/>
    <n v="0"/>
    <n v="0"/>
    <n v="0"/>
    <n v="0"/>
    <n v="0"/>
    <n v="0"/>
    <n v="0"/>
    <n v="0"/>
    <n v="0"/>
    <n v="0"/>
    <s v="MMR012CMP017"/>
    <x v="0"/>
  </r>
  <r>
    <x v="51"/>
    <n v="2014"/>
    <d v="2014-08-01T00:00:00"/>
    <x v="8"/>
    <s v="AGE"/>
    <x v="0"/>
    <x v="3"/>
    <s v="Sin Tet Maw"/>
    <m/>
    <m/>
    <m/>
    <m/>
    <m/>
    <m/>
    <m/>
    <n v="681"/>
    <m/>
    <m/>
    <m/>
    <n v="0"/>
    <n v="0"/>
    <n v="0"/>
    <n v="0"/>
    <n v="0"/>
    <n v="0"/>
    <n v="0"/>
    <n v="0"/>
    <n v="0"/>
    <n v="0"/>
    <n v="0"/>
    <s v="MMR012CMP019"/>
    <x v="0"/>
  </r>
  <r>
    <x v="51"/>
    <n v="2014"/>
    <d v="2014-08-01T00:00:00"/>
    <x v="8"/>
    <s v="AGE"/>
    <x v="0"/>
    <x v="3"/>
    <s v="Ba Wan Chaung Wa Su"/>
    <m/>
    <m/>
    <m/>
    <m/>
    <m/>
    <m/>
    <m/>
    <n v="24"/>
    <m/>
    <m/>
    <m/>
    <n v="0"/>
    <n v="0"/>
    <n v="0"/>
    <n v="0"/>
    <n v="0"/>
    <n v="0"/>
    <n v="0"/>
    <n v="0"/>
    <n v="0"/>
    <n v="0"/>
    <n v="0"/>
    <s v="MMR012CMP015"/>
    <x v="2"/>
  </r>
  <r>
    <x v="51"/>
    <n v="2014"/>
    <d v="2014-08-01T00:00:00"/>
    <x v="8"/>
    <s v="AGE"/>
    <x v="0"/>
    <x v="8"/>
    <s v="Maw Ya Waddy"/>
    <m/>
    <m/>
    <m/>
    <m/>
    <m/>
    <m/>
    <m/>
    <n v="183"/>
    <m/>
    <m/>
    <m/>
    <n v="0"/>
    <n v="0"/>
    <n v="0"/>
    <n v="0"/>
    <n v="0"/>
    <n v="0"/>
    <n v="0"/>
    <n v="0"/>
    <n v="0"/>
    <n v="0"/>
    <n v="0"/>
    <s v="MMR012CMP076"/>
    <x v="4"/>
  </r>
  <r>
    <x v="51"/>
    <n v="2014"/>
    <d v="2014-08-01T00:00:00"/>
    <x v="8"/>
    <s v="AGE"/>
    <x v="0"/>
    <x v="8"/>
    <s v="Kyaing Gyi"/>
    <m/>
    <m/>
    <m/>
    <m/>
    <m/>
    <m/>
    <m/>
    <n v="162"/>
    <m/>
    <m/>
    <m/>
    <n v="0"/>
    <n v="0"/>
    <n v="0"/>
    <n v="0"/>
    <n v="0"/>
    <n v="0"/>
    <n v="0"/>
    <n v="0"/>
    <n v="0"/>
    <n v="0"/>
    <n v="0"/>
    <s v="MMR012CMP078"/>
    <x v="4"/>
  </r>
  <r>
    <x v="51"/>
    <n v="2014"/>
    <d v="2014-08-01T00:00:00"/>
    <x v="8"/>
    <s v="AGE"/>
    <x v="0"/>
    <x v="8"/>
    <s v="Tha Yay Kone Baung"/>
    <m/>
    <m/>
    <m/>
    <m/>
    <m/>
    <m/>
    <m/>
    <n v="192"/>
    <m/>
    <m/>
    <m/>
    <n v="0"/>
    <n v="0"/>
    <n v="0"/>
    <n v="0"/>
    <n v="0"/>
    <n v="0"/>
    <n v="0"/>
    <n v="0"/>
    <n v="0"/>
    <n v="0"/>
    <n v="0"/>
    <s v="MMR012CMP077"/>
    <x v="4"/>
  </r>
  <r>
    <x v="51"/>
    <n v="2014"/>
    <d v="2014-08-01T00:00:00"/>
    <x v="8"/>
    <s v="AGE"/>
    <x v="0"/>
    <x v="8"/>
    <s v="Kin Chaung"/>
    <m/>
    <m/>
    <m/>
    <m/>
    <m/>
    <m/>
    <m/>
    <n v="102"/>
    <m/>
    <m/>
    <m/>
    <n v="0"/>
    <n v="0"/>
    <n v="0"/>
    <n v="0"/>
    <n v="0"/>
    <n v="0"/>
    <n v="0"/>
    <n v="0"/>
    <n v="0"/>
    <n v="0"/>
    <n v="0"/>
    <s v="MMR012CMP080"/>
    <x v="4"/>
  </r>
  <r>
    <x v="51"/>
    <n v="2014"/>
    <d v="2014-08-01T00:00:00"/>
    <x v="8"/>
    <s v="AGE"/>
    <x v="0"/>
    <x v="8"/>
    <s v="Baw Di Gone"/>
    <m/>
    <m/>
    <m/>
    <m/>
    <m/>
    <m/>
    <m/>
    <n v="103"/>
    <m/>
    <m/>
    <m/>
    <n v="0"/>
    <n v="0"/>
    <n v="0"/>
    <n v="0"/>
    <n v="0"/>
    <n v="0"/>
    <n v="0"/>
    <n v="0"/>
    <n v="0"/>
    <n v="0"/>
    <n v="0"/>
    <s v="MMR012CMP079"/>
    <x v="4"/>
  </r>
  <r>
    <x v="51"/>
    <n v="2014"/>
    <d v="2014-08-01T00:00:00"/>
    <x v="8"/>
    <s v="AGE"/>
    <x v="0"/>
    <x v="8"/>
    <s v="Kan Thar Yar"/>
    <m/>
    <m/>
    <m/>
    <m/>
    <m/>
    <m/>
    <m/>
    <n v="175"/>
    <m/>
    <m/>
    <m/>
    <n v="0"/>
    <n v="0"/>
    <n v="0"/>
    <n v="0"/>
    <n v="0"/>
    <n v="0"/>
    <n v="0"/>
    <n v="0"/>
    <n v="0"/>
    <n v="0"/>
    <n v="0"/>
    <s v="MMR012CMP081"/>
    <x v="4"/>
  </r>
  <r>
    <x v="52"/>
    <n v="2014"/>
    <d v="2014-07-21T00:00:00"/>
    <x v="5"/>
    <s v="DRC"/>
    <x v="0"/>
    <x v="1"/>
    <s v="Dar Pai"/>
    <m/>
    <m/>
    <m/>
    <m/>
    <n v="304"/>
    <n v="608"/>
    <m/>
    <m/>
    <n v="304"/>
    <m/>
    <m/>
    <n v="0"/>
    <n v="0"/>
    <n v="0"/>
    <n v="0"/>
    <n v="0"/>
    <n v="0"/>
    <n v="0"/>
    <n v="0"/>
    <n v="0"/>
    <n v="0"/>
    <n v="0"/>
    <s v="MMR012CMP041"/>
    <x v="0"/>
  </r>
  <r>
    <x v="52"/>
    <n v="2014"/>
    <d v="2014-07-21T00:00:00"/>
    <x v="3"/>
    <s v="LWF"/>
    <x v="0"/>
    <x v="1"/>
    <s v="Set Yone Su"/>
    <m/>
    <n v="70"/>
    <m/>
    <m/>
    <m/>
    <m/>
    <m/>
    <m/>
    <m/>
    <m/>
    <m/>
    <n v="0"/>
    <n v="0"/>
    <n v="0"/>
    <n v="0"/>
    <n v="0"/>
    <n v="0"/>
    <n v="0"/>
    <n v="0"/>
    <n v="0"/>
    <n v="0"/>
    <n v="0"/>
    <s v="MMR012CMP056"/>
    <x v="2"/>
  </r>
  <r>
    <x v="52"/>
    <n v="2014"/>
    <d v="2014-07-21T00:00:00"/>
    <x v="3"/>
    <s v="LWF"/>
    <x v="0"/>
    <x v="1"/>
    <s v="Set Yone Su 3"/>
    <m/>
    <n v="151"/>
    <m/>
    <m/>
    <m/>
    <m/>
    <m/>
    <m/>
    <m/>
    <m/>
    <m/>
    <n v="0"/>
    <n v="0"/>
    <n v="0"/>
    <n v="0"/>
    <n v="0"/>
    <n v="0"/>
    <n v="0"/>
    <n v="0"/>
    <n v="0"/>
    <n v="0"/>
    <n v="0"/>
    <s v="MMR012CMP093"/>
    <x v="2"/>
  </r>
  <r>
    <x v="53"/>
    <n v="2014"/>
    <d v="2014-06-14T00:00:00"/>
    <x v="3"/>
    <s v="LWF"/>
    <x v="0"/>
    <x v="1"/>
    <s v="Khaung Doke Khar "/>
    <m/>
    <m/>
    <m/>
    <n v="2"/>
    <n v="1"/>
    <n v="2"/>
    <n v="1"/>
    <m/>
    <n v="1"/>
    <m/>
    <n v="5"/>
    <n v="0"/>
    <n v="0"/>
    <n v="0"/>
    <n v="0"/>
    <n v="0"/>
    <n v="0"/>
    <n v="0"/>
    <n v="0"/>
    <n v="0"/>
    <n v="0"/>
    <n v="0"/>
    <s v="MMR012CMP042"/>
    <x v="0"/>
  </r>
  <r>
    <x v="54"/>
    <n v="2014"/>
    <d v="2014-06-08T00:00:00"/>
    <x v="0"/>
    <s v="UNHCR"/>
    <x v="0"/>
    <x v="1"/>
    <s v="Thae Chaung (IDP in host families)"/>
    <m/>
    <n v="2404"/>
    <m/>
    <n v="4808"/>
    <n v="2404"/>
    <n v="4808"/>
    <n v="2404"/>
    <m/>
    <n v="2404"/>
    <m/>
    <n v="12020"/>
    <n v="0"/>
    <n v="0"/>
    <n v="0"/>
    <n v="0"/>
    <n v="0"/>
    <n v="0"/>
    <n v="0"/>
    <n v="0"/>
    <n v="0"/>
    <n v="0"/>
    <n v="0"/>
    <s v="MMR012CMP101"/>
    <x v="4"/>
  </r>
  <r>
    <x v="55"/>
    <n v="2014"/>
    <d v="2014-04-01T00:00:00"/>
    <x v="5"/>
    <s v="DRC"/>
    <x v="0"/>
    <x v="1"/>
    <s v="Say Tha Mar Gyi"/>
    <m/>
    <m/>
    <m/>
    <m/>
    <n v="2573"/>
    <m/>
    <m/>
    <m/>
    <m/>
    <m/>
    <m/>
    <n v="0"/>
    <n v="0"/>
    <n v="0"/>
    <n v="0"/>
    <n v="0"/>
    <n v="0"/>
    <n v="0"/>
    <n v="0"/>
    <n v="0"/>
    <n v="0"/>
    <n v="0"/>
    <s v="MMR012CMP045"/>
    <x v="0"/>
  </r>
  <r>
    <x v="56"/>
    <n v="2014"/>
    <d v="2014-03-01T00:00:00"/>
    <x v="5"/>
    <s v="DRC"/>
    <x v="0"/>
    <x v="1"/>
    <s v="Baw Du Pha 1"/>
    <m/>
    <m/>
    <m/>
    <m/>
    <n v="1000"/>
    <m/>
    <m/>
    <m/>
    <m/>
    <m/>
    <m/>
    <n v="0"/>
    <n v="0"/>
    <n v="0"/>
    <n v="0"/>
    <n v="0"/>
    <n v="0"/>
    <n v="0"/>
    <n v="0"/>
    <n v="0"/>
    <n v="0"/>
    <n v="0"/>
    <s v="MMR012CMP113"/>
    <x v="0"/>
  </r>
  <r>
    <x v="56"/>
    <n v="2014"/>
    <d v="2014-03-01T00:00:00"/>
    <x v="5"/>
    <s v="DRC"/>
    <x v="0"/>
    <x v="1"/>
    <s v="Baw Du Pha 2"/>
    <m/>
    <m/>
    <m/>
    <m/>
    <n v="1320"/>
    <m/>
    <m/>
    <m/>
    <m/>
    <m/>
    <m/>
    <n v="0"/>
    <n v="0"/>
    <n v="0"/>
    <n v="0"/>
    <n v="0"/>
    <n v="0"/>
    <n v="0"/>
    <n v="0"/>
    <n v="0"/>
    <n v="0"/>
    <n v="0"/>
    <s v="MMR012CMP114"/>
    <x v="0"/>
  </r>
  <r>
    <x v="56"/>
    <n v="2014"/>
    <d v="2014-03-01T00:00:00"/>
    <x v="5"/>
    <s v="DRC"/>
    <x v="0"/>
    <x v="1"/>
    <s v="Dar Pai (IDP in host families)"/>
    <m/>
    <m/>
    <m/>
    <m/>
    <n v="1400"/>
    <m/>
    <m/>
    <m/>
    <m/>
    <m/>
    <m/>
    <n v="0"/>
    <n v="0"/>
    <n v="0"/>
    <n v="0"/>
    <n v="0"/>
    <n v="0"/>
    <n v="0"/>
    <n v="0"/>
    <n v="0"/>
    <n v="0"/>
    <n v="0"/>
    <s v="MMR012CMP097"/>
    <x v="0"/>
  </r>
  <r>
    <x v="56"/>
    <n v="2014"/>
    <d v="2014-03-01T00:00:00"/>
    <x v="5"/>
    <s v="DRC"/>
    <x v="0"/>
    <x v="1"/>
    <s v="Ohn Taw Gyi (North)"/>
    <m/>
    <m/>
    <m/>
    <m/>
    <n v="2549"/>
    <m/>
    <m/>
    <m/>
    <m/>
    <m/>
    <m/>
    <n v="0"/>
    <n v="0"/>
    <n v="0"/>
    <n v="0"/>
    <n v="0"/>
    <n v="0"/>
    <n v="0"/>
    <n v="0"/>
    <n v="0"/>
    <n v="0"/>
    <n v="0"/>
    <s v="MMR012CMP115"/>
    <x v="0"/>
  </r>
  <r>
    <x v="57"/>
    <n v="2014"/>
    <d v="2014-01-31T00:00:00"/>
    <x v="0"/>
    <s v="UNHCR"/>
    <x v="0"/>
    <x v="5"/>
    <s v="Ah Pauk Wa "/>
    <m/>
    <m/>
    <m/>
    <n v="2"/>
    <m/>
    <n v="2"/>
    <n v="1"/>
    <n v="4"/>
    <n v="1"/>
    <m/>
    <n v="2"/>
    <n v="0"/>
    <n v="0"/>
    <n v="0"/>
    <n v="0"/>
    <n v="0"/>
    <n v="0"/>
    <n v="0"/>
    <n v="0"/>
    <n v="0"/>
    <n v="0"/>
    <n v="0"/>
    <s v="MMR012CMP024"/>
    <x v="1"/>
  </r>
  <r>
    <x v="58"/>
    <n v="2014"/>
    <d v="2014-01-16T00:00:00"/>
    <x v="0"/>
    <s v="UNHCR"/>
    <x v="0"/>
    <x v="3"/>
    <s v="Sin Tet Maw"/>
    <m/>
    <m/>
    <m/>
    <m/>
    <m/>
    <n v="20"/>
    <n v="700"/>
    <m/>
    <m/>
    <m/>
    <n v="120"/>
    <n v="0"/>
    <n v="0"/>
    <n v="0"/>
    <n v="0"/>
    <n v="0"/>
    <n v="0"/>
    <n v="0"/>
    <n v="0"/>
    <n v="0"/>
    <n v="0"/>
    <n v="0"/>
    <s v="MMR012CMP019"/>
    <x v="0"/>
  </r>
  <r>
    <x v="58"/>
    <n v="2014"/>
    <d v="2014-01-16T00:00:00"/>
    <x v="0"/>
    <s v="UNHCR"/>
    <x v="0"/>
    <x v="3"/>
    <s v="Sin Tet Maw"/>
    <m/>
    <m/>
    <m/>
    <n v="807"/>
    <m/>
    <m/>
    <m/>
    <n v="807"/>
    <m/>
    <m/>
    <m/>
    <n v="0"/>
    <n v="0"/>
    <n v="0"/>
    <n v="0"/>
    <n v="0"/>
    <n v="0"/>
    <n v="0"/>
    <n v="0"/>
    <n v="0"/>
    <n v="0"/>
    <n v="0"/>
    <s v="MMR012CMP019"/>
    <x v="0"/>
  </r>
  <r>
    <x v="59"/>
    <n v="2014"/>
    <d v="2014-01-15T00:00:00"/>
    <x v="0"/>
    <s v="UNHCR"/>
    <x v="0"/>
    <x v="3"/>
    <s v="Nget Chaung"/>
    <m/>
    <m/>
    <m/>
    <n v="588"/>
    <m/>
    <n v="588"/>
    <n v="294"/>
    <n v="1176"/>
    <n v="294"/>
    <m/>
    <n v="588"/>
    <n v="0"/>
    <n v="0"/>
    <n v="0"/>
    <n v="0"/>
    <n v="0"/>
    <n v="0"/>
    <n v="0"/>
    <n v="0"/>
    <n v="0"/>
    <n v="0"/>
    <n v="0"/>
    <s v="MMR012CMP017"/>
    <x v="0"/>
  </r>
  <r>
    <x v="59"/>
    <n v="2014"/>
    <d v="2014-01-15T00:00:00"/>
    <x v="0"/>
    <s v="UNHCR"/>
    <x v="0"/>
    <x v="3"/>
    <s v="Sin Tet Maw"/>
    <m/>
    <m/>
    <m/>
    <n v="1420"/>
    <m/>
    <n v="1400"/>
    <m/>
    <n v="2800"/>
    <n v="700"/>
    <m/>
    <n v="1400"/>
    <n v="0"/>
    <n v="0"/>
    <n v="0"/>
    <n v="0"/>
    <n v="0"/>
    <n v="0"/>
    <n v="0"/>
    <n v="0"/>
    <n v="0"/>
    <n v="0"/>
    <n v="0"/>
    <s v="MMR012CMP019"/>
    <x v="0"/>
  </r>
  <r>
    <x v="60"/>
    <n v="2014"/>
    <d v="2014-01-06T00:00:00"/>
    <x v="0"/>
    <s v="UNHCR"/>
    <x v="0"/>
    <x v="1"/>
    <s v="Ohn Taw Chay"/>
    <m/>
    <m/>
    <m/>
    <n v="10"/>
    <n v="5"/>
    <n v="15"/>
    <n v="5"/>
    <m/>
    <m/>
    <m/>
    <n v="10"/>
    <n v="0"/>
    <n v="0"/>
    <n v="0"/>
    <n v="0"/>
    <n v="0"/>
    <n v="0"/>
    <n v="0"/>
    <n v="0"/>
    <n v="0"/>
    <n v="0"/>
    <n v="0"/>
    <s v="MMR012CMP098"/>
    <x v="0"/>
  </r>
  <r>
    <x v="61"/>
    <n v="2014"/>
    <d v="2014-01-02T00:00:00"/>
    <x v="0"/>
    <s v="UNHCR"/>
    <x v="0"/>
    <x v="5"/>
    <s v="Ah Pauk Wa "/>
    <m/>
    <m/>
    <n v="1"/>
    <n v="2"/>
    <m/>
    <n v="2"/>
    <n v="1"/>
    <n v="1"/>
    <n v="1"/>
    <m/>
    <n v="2"/>
    <n v="0"/>
    <n v="0"/>
    <n v="0"/>
    <n v="0"/>
    <n v="0"/>
    <n v="0"/>
    <n v="0"/>
    <n v="0"/>
    <n v="0"/>
    <n v="0"/>
    <n v="0"/>
    <s v="MMR012CMP024"/>
    <x v="1"/>
  </r>
  <r>
    <x v="61"/>
    <n v="2014"/>
    <d v="2014-01-02T00:00:00"/>
    <x v="0"/>
    <s v="UNHCR"/>
    <x v="0"/>
    <x v="1"/>
    <s v="Ohn Taw Chay"/>
    <m/>
    <n v="30"/>
    <m/>
    <n v="50"/>
    <n v="25"/>
    <n v="75"/>
    <n v="25"/>
    <m/>
    <m/>
    <m/>
    <n v="50"/>
    <n v="0"/>
    <n v="0"/>
    <n v="0"/>
    <n v="0"/>
    <n v="0"/>
    <n v="0"/>
    <n v="0"/>
    <n v="0"/>
    <n v="0"/>
    <n v="0"/>
    <n v="0"/>
    <s v="MMR012CMP098"/>
    <x v="0"/>
  </r>
  <r>
    <x v="62"/>
    <n v="2013"/>
    <d v="2013-12-31T00:00:00"/>
    <x v="0"/>
    <s v="UNHCR"/>
    <x v="0"/>
    <x v="1"/>
    <s v="Ohn Taw Chay"/>
    <m/>
    <m/>
    <m/>
    <n v="800"/>
    <m/>
    <m/>
    <m/>
    <m/>
    <m/>
    <m/>
    <m/>
    <n v="0"/>
    <n v="0"/>
    <n v="0"/>
    <n v="0"/>
    <n v="0"/>
    <n v="0"/>
    <n v="0"/>
    <n v="0"/>
    <n v="0"/>
    <n v="0"/>
    <n v="0"/>
    <s v="MMR012CMP098"/>
    <x v="0"/>
  </r>
  <r>
    <x v="62"/>
    <n v="2013"/>
    <d v="2013-12-31T00:00:00"/>
    <x v="0"/>
    <s v="UNHCR"/>
    <x v="0"/>
    <x v="1"/>
    <s v="Ohn Taw Chay"/>
    <m/>
    <m/>
    <m/>
    <m/>
    <m/>
    <n v="800"/>
    <n v="400"/>
    <m/>
    <n v="400"/>
    <m/>
    <n v="800"/>
    <n v="0"/>
    <n v="0"/>
    <n v="0"/>
    <n v="0"/>
    <n v="0"/>
    <n v="0"/>
    <n v="0"/>
    <n v="0"/>
    <n v="0"/>
    <n v="0"/>
    <n v="0"/>
    <s v="MMR012CMP098"/>
    <x v="0"/>
  </r>
  <r>
    <x v="62"/>
    <n v="2013"/>
    <d v="2013-12-31T00:00:00"/>
    <x v="0"/>
    <s v="UNHCR"/>
    <x v="0"/>
    <x v="1"/>
    <s v="Ohn Taw Chay"/>
    <m/>
    <m/>
    <m/>
    <m/>
    <n v="309"/>
    <m/>
    <m/>
    <m/>
    <m/>
    <m/>
    <m/>
    <n v="0"/>
    <n v="0"/>
    <n v="0"/>
    <n v="0"/>
    <n v="0"/>
    <n v="0"/>
    <n v="0"/>
    <n v="0"/>
    <n v="0"/>
    <n v="0"/>
    <n v="0"/>
    <s v="MMR012CMP098"/>
    <x v="0"/>
  </r>
  <r>
    <x v="63"/>
    <n v="2013"/>
    <d v="2013-12-13T00:00:00"/>
    <x v="0"/>
    <s v="UNHCR"/>
    <x v="0"/>
    <x v="3"/>
    <s v="Nget Chaung"/>
    <m/>
    <m/>
    <m/>
    <n v="1966"/>
    <m/>
    <n v="1966"/>
    <n v="983"/>
    <n v="983"/>
    <n v="983"/>
    <m/>
    <n v="1966"/>
    <n v="0"/>
    <n v="0"/>
    <n v="0"/>
    <n v="0"/>
    <n v="0"/>
    <n v="0"/>
    <n v="0"/>
    <n v="0"/>
    <n v="0"/>
    <n v="0"/>
    <n v="0"/>
    <s v="MMR012CMP017"/>
    <x v="0"/>
  </r>
  <r>
    <x v="63"/>
    <n v="2013"/>
    <d v="2013-12-13T00:00:00"/>
    <x v="0"/>
    <s v="UNHCR"/>
    <x v="0"/>
    <x v="3"/>
    <s v="Sin Tet Maw"/>
    <m/>
    <m/>
    <m/>
    <n v="807"/>
    <n v="203"/>
    <m/>
    <m/>
    <n v="807"/>
    <m/>
    <m/>
    <m/>
    <n v="0"/>
    <n v="0"/>
    <n v="0"/>
    <n v="0"/>
    <n v="0"/>
    <n v="0"/>
    <n v="0"/>
    <n v="0"/>
    <n v="0"/>
    <n v="0"/>
    <n v="0"/>
    <s v="MMR012CMP019"/>
    <x v="0"/>
  </r>
  <r>
    <x v="64"/>
    <n v="2013"/>
    <d v="2013-12-12T00:00:00"/>
    <x v="1"/>
    <s v="RI"/>
    <x v="0"/>
    <x v="2"/>
    <s v="Taung Paw "/>
    <n v="743"/>
    <m/>
    <m/>
    <n v="743"/>
    <m/>
    <n v="743"/>
    <m/>
    <m/>
    <n v="743"/>
    <m/>
    <m/>
    <n v="0"/>
    <n v="0"/>
    <n v="0"/>
    <n v="0"/>
    <n v="0"/>
    <n v="0"/>
    <n v="0"/>
    <n v="0"/>
    <n v="0"/>
    <n v="0"/>
    <n v="0"/>
    <s v="MMR012CMP014"/>
    <x v="0"/>
  </r>
  <r>
    <x v="65"/>
    <n v="2013"/>
    <d v="2013-12-05T00:00:00"/>
    <x v="0"/>
    <s v="UNHCR"/>
    <x v="0"/>
    <x v="1"/>
    <s v="Ohn Taw Gyi (North)"/>
    <m/>
    <m/>
    <m/>
    <n v="2400"/>
    <m/>
    <n v="2400"/>
    <n v="1200"/>
    <m/>
    <n v="1200"/>
    <m/>
    <n v="6000"/>
    <n v="0"/>
    <n v="0"/>
    <n v="0"/>
    <n v="0"/>
    <n v="0"/>
    <n v="0"/>
    <n v="0"/>
    <n v="0"/>
    <n v="0"/>
    <n v="0"/>
    <n v="0"/>
    <s v="MMR012CMP115"/>
    <x v="0"/>
  </r>
  <r>
    <x v="65"/>
    <n v="2013"/>
    <d v="2013-12-05T00:00:00"/>
    <x v="0"/>
    <s v="UNHCR"/>
    <x v="0"/>
    <x v="1"/>
    <s v="Ohn Taw Gyi (North)"/>
    <m/>
    <m/>
    <m/>
    <m/>
    <n v="33"/>
    <m/>
    <m/>
    <m/>
    <m/>
    <m/>
    <m/>
    <n v="0"/>
    <n v="0"/>
    <n v="0"/>
    <n v="0"/>
    <n v="0"/>
    <n v="0"/>
    <n v="0"/>
    <n v="0"/>
    <n v="0"/>
    <n v="0"/>
    <n v="0"/>
    <s v="MMR012CMP115"/>
    <x v="0"/>
  </r>
  <r>
    <x v="66"/>
    <n v="2013"/>
    <d v="2013-11-19T00:00:00"/>
    <x v="3"/>
    <s v="LWF"/>
    <x v="0"/>
    <x v="1"/>
    <s v="Ohn Taw Gyi (South)"/>
    <m/>
    <n v="731"/>
    <m/>
    <m/>
    <m/>
    <m/>
    <m/>
    <m/>
    <m/>
    <m/>
    <m/>
    <n v="0"/>
    <n v="0"/>
    <n v="0"/>
    <n v="0"/>
    <n v="0"/>
    <n v="0"/>
    <n v="0"/>
    <n v="0"/>
    <n v="0"/>
    <n v="0"/>
    <n v="0"/>
    <s v="MMR012CMP116"/>
    <x v="0"/>
  </r>
  <r>
    <x v="67"/>
    <n v="2013"/>
    <d v="2013-11-14T00:00:00"/>
    <x v="3"/>
    <s v="LWF"/>
    <x v="0"/>
    <x v="1"/>
    <s v="Ohn Taw Gyi (South)"/>
    <m/>
    <n v="264"/>
    <m/>
    <m/>
    <m/>
    <m/>
    <m/>
    <m/>
    <m/>
    <m/>
    <m/>
    <n v="0"/>
    <n v="0"/>
    <n v="0"/>
    <n v="0"/>
    <n v="0"/>
    <n v="0"/>
    <n v="0"/>
    <n v="0"/>
    <n v="0"/>
    <n v="0"/>
    <n v="0"/>
    <s v="MMR012CMP116"/>
    <x v="0"/>
  </r>
  <r>
    <x v="68"/>
    <n v="2013"/>
    <d v="2013-11-13T00:00:00"/>
    <x v="0"/>
    <s v="UNHCR"/>
    <x v="0"/>
    <x v="5"/>
    <s v="Let Saung Kauk"/>
    <n v="48"/>
    <m/>
    <m/>
    <m/>
    <m/>
    <m/>
    <m/>
    <m/>
    <m/>
    <m/>
    <m/>
    <n v="0"/>
    <n v="0"/>
    <n v="0"/>
    <n v="0"/>
    <n v="0"/>
    <n v="0"/>
    <n v="0"/>
    <n v="0"/>
    <n v="0"/>
    <n v="0"/>
    <n v="0"/>
    <s v="MMR012CMP020"/>
    <x v="1"/>
  </r>
  <r>
    <x v="68"/>
    <n v="2013"/>
    <d v="2013-11-13T00:00:00"/>
    <x v="0"/>
    <s v="UNHCR"/>
    <x v="0"/>
    <x v="5"/>
    <s v="Nidin"/>
    <n v="187"/>
    <m/>
    <m/>
    <m/>
    <m/>
    <m/>
    <m/>
    <m/>
    <m/>
    <m/>
    <m/>
    <n v="0"/>
    <n v="0"/>
    <n v="0"/>
    <n v="0"/>
    <n v="0"/>
    <n v="0"/>
    <n v="0"/>
    <n v="0"/>
    <n v="0"/>
    <n v="0"/>
    <n v="0"/>
    <s v="MMR012CMP023"/>
    <x v="0"/>
  </r>
  <r>
    <x v="68"/>
    <n v="2013"/>
    <d v="2013-11-13T00:00:00"/>
    <x v="3"/>
    <s v="LWF"/>
    <x v="0"/>
    <x v="1"/>
    <s v="Ohn Taw Gyi (South)"/>
    <m/>
    <n v="200"/>
    <m/>
    <m/>
    <m/>
    <m/>
    <m/>
    <m/>
    <m/>
    <m/>
    <m/>
    <n v="0"/>
    <n v="0"/>
    <n v="0"/>
    <n v="0"/>
    <n v="0"/>
    <n v="0"/>
    <n v="0"/>
    <n v="0"/>
    <n v="0"/>
    <n v="0"/>
    <n v="0"/>
    <s v="MMR012CMP116"/>
    <x v="0"/>
  </r>
  <r>
    <x v="68"/>
    <n v="2013"/>
    <d v="2013-11-13T00:00:00"/>
    <x v="3"/>
    <s v="LWF"/>
    <x v="0"/>
    <x v="1"/>
    <s v="Ohn Taw Gyi (South)"/>
    <m/>
    <n v="103"/>
    <m/>
    <m/>
    <m/>
    <m/>
    <m/>
    <m/>
    <m/>
    <m/>
    <m/>
    <n v="0"/>
    <n v="0"/>
    <n v="0"/>
    <n v="0"/>
    <n v="0"/>
    <n v="0"/>
    <n v="0"/>
    <n v="0"/>
    <n v="0"/>
    <n v="0"/>
    <n v="0"/>
    <s v="MMR012CMP116"/>
    <x v="0"/>
  </r>
  <r>
    <x v="68"/>
    <n v="2013"/>
    <d v="2013-11-13T00:00:00"/>
    <x v="0"/>
    <s v="UNHCR"/>
    <x v="0"/>
    <x v="5"/>
    <s v="Shwe Hlaing"/>
    <n v="340"/>
    <m/>
    <m/>
    <m/>
    <m/>
    <m/>
    <m/>
    <m/>
    <m/>
    <m/>
    <m/>
    <n v="0"/>
    <n v="0"/>
    <n v="0"/>
    <n v="0"/>
    <n v="0"/>
    <n v="0"/>
    <n v="0"/>
    <n v="0"/>
    <n v="0"/>
    <n v="0"/>
    <n v="0"/>
    <s v="MMR012CMP029"/>
    <x v="1"/>
  </r>
  <r>
    <x v="69"/>
    <n v="2013"/>
    <d v="2013-11-12T00:00:00"/>
    <x v="0"/>
    <s v="UNHCR"/>
    <x v="0"/>
    <x v="5"/>
    <s v="Ah Lel Kyun"/>
    <n v="36"/>
    <m/>
    <m/>
    <n v="28"/>
    <n v="83"/>
    <n v="28"/>
    <n v="14"/>
    <n v="14"/>
    <n v="14"/>
    <m/>
    <n v="28"/>
    <n v="0"/>
    <n v="0"/>
    <n v="0"/>
    <n v="0"/>
    <n v="0"/>
    <n v="0"/>
    <n v="0"/>
    <n v="0"/>
    <n v="0"/>
    <n v="0"/>
    <n v="0"/>
    <s v="MMR012CMP025"/>
    <x v="1"/>
  </r>
  <r>
    <x v="69"/>
    <n v="2013"/>
    <d v="2013-11-12T00:00:00"/>
    <x v="3"/>
    <s v="LWF"/>
    <x v="0"/>
    <x v="1"/>
    <s v="Basare"/>
    <m/>
    <n v="395"/>
    <m/>
    <m/>
    <m/>
    <m/>
    <m/>
    <m/>
    <m/>
    <m/>
    <m/>
    <n v="0"/>
    <n v="0"/>
    <n v="0"/>
    <n v="0"/>
    <n v="0"/>
    <n v="0"/>
    <n v="0"/>
    <n v="0"/>
    <n v="0"/>
    <n v="0"/>
    <n v="0"/>
    <s v="MMR012CMP039"/>
    <x v="0"/>
  </r>
  <r>
    <x v="69"/>
    <n v="2013"/>
    <d v="2013-11-12T00:00:00"/>
    <x v="0"/>
    <s v="UNHCR"/>
    <x v="0"/>
    <x v="5"/>
    <s v="Khaung Htoke"/>
    <n v="220"/>
    <m/>
    <m/>
    <m/>
    <m/>
    <m/>
    <m/>
    <m/>
    <m/>
    <m/>
    <m/>
    <n v="0"/>
    <n v="0"/>
    <n v="0"/>
    <n v="0"/>
    <n v="0"/>
    <n v="0"/>
    <n v="0"/>
    <n v="0"/>
    <n v="0"/>
    <n v="0"/>
    <n v="0"/>
    <s v="MMR012CMP030"/>
    <x v="2"/>
  </r>
  <r>
    <x v="69"/>
    <n v="2013"/>
    <d v="2013-11-12T00:00:00"/>
    <x v="0"/>
    <s v="UNHCR"/>
    <x v="0"/>
    <x v="5"/>
    <s v="Taung Bwe"/>
    <n v="250"/>
    <m/>
    <m/>
    <m/>
    <m/>
    <m/>
    <m/>
    <m/>
    <m/>
    <m/>
    <m/>
    <n v="0"/>
    <n v="0"/>
    <n v="0"/>
    <n v="0"/>
    <n v="0"/>
    <n v="0"/>
    <n v="0"/>
    <n v="0"/>
    <n v="0"/>
    <n v="0"/>
    <n v="0"/>
    <s v="MMR012CMP021"/>
    <x v="1"/>
  </r>
  <r>
    <x v="70"/>
    <n v="2013"/>
    <d v="2013-10-31T00:00:00"/>
    <x v="0"/>
    <s v="UNHCR"/>
    <x v="0"/>
    <x v="5"/>
    <s v="Goke Pi Htaunt"/>
    <n v="280"/>
    <m/>
    <m/>
    <m/>
    <m/>
    <m/>
    <m/>
    <m/>
    <m/>
    <m/>
    <m/>
    <n v="0"/>
    <n v="0"/>
    <n v="0"/>
    <n v="0"/>
    <n v="0"/>
    <n v="0"/>
    <n v="0"/>
    <n v="0"/>
    <n v="0"/>
    <n v="0"/>
    <n v="0"/>
    <s v="MMR012CMP027"/>
    <x v="1"/>
  </r>
  <r>
    <x v="70"/>
    <n v="2013"/>
    <d v="2013-10-31T00:00:00"/>
    <x v="0"/>
    <s v="UNHCR"/>
    <x v="0"/>
    <x v="5"/>
    <s v="In Bar Yi"/>
    <n v="380"/>
    <m/>
    <m/>
    <m/>
    <m/>
    <m/>
    <m/>
    <m/>
    <m/>
    <m/>
    <m/>
    <n v="0"/>
    <n v="0"/>
    <n v="0"/>
    <n v="0"/>
    <n v="0"/>
    <n v="0"/>
    <n v="0"/>
    <n v="0"/>
    <n v="0"/>
    <n v="0"/>
    <n v="0"/>
    <s v="MMR012CMP026"/>
    <x v="1"/>
  </r>
  <r>
    <x v="71"/>
    <n v="2013"/>
    <d v="2013-10-28T00:00:00"/>
    <x v="0"/>
    <s v="UNHCR"/>
    <x v="0"/>
    <x v="5"/>
    <s v="Ah Pauk Wa "/>
    <n v="230"/>
    <m/>
    <m/>
    <m/>
    <m/>
    <m/>
    <m/>
    <m/>
    <m/>
    <m/>
    <m/>
    <n v="0"/>
    <n v="0"/>
    <n v="0"/>
    <n v="0"/>
    <n v="0"/>
    <n v="0"/>
    <n v="0"/>
    <n v="0"/>
    <n v="0"/>
    <n v="0"/>
    <n v="0"/>
    <s v="MMR012CMP024"/>
    <x v="1"/>
  </r>
  <r>
    <x v="71"/>
    <n v="2013"/>
    <d v="2013-10-28T00:00:00"/>
    <x v="0"/>
    <s v="UNHCR"/>
    <x v="0"/>
    <x v="5"/>
    <s v="Yun Nyar"/>
    <n v="300"/>
    <m/>
    <m/>
    <m/>
    <m/>
    <m/>
    <m/>
    <m/>
    <m/>
    <m/>
    <m/>
    <n v="0"/>
    <n v="0"/>
    <n v="0"/>
    <n v="0"/>
    <n v="0"/>
    <n v="0"/>
    <n v="0"/>
    <n v="0"/>
    <n v="0"/>
    <n v="0"/>
    <n v="0"/>
    <s v="MMR012CMP028"/>
    <x v="1"/>
  </r>
  <r>
    <x v="72"/>
    <n v="2013"/>
    <d v="2013-10-22T00:00:00"/>
    <x v="0"/>
    <s v="UNHCR"/>
    <x v="0"/>
    <x v="1"/>
    <s v="Set Yone Su"/>
    <m/>
    <m/>
    <m/>
    <m/>
    <m/>
    <m/>
    <m/>
    <n v="250"/>
    <m/>
    <m/>
    <m/>
    <n v="0"/>
    <n v="0"/>
    <n v="0"/>
    <n v="0"/>
    <n v="0"/>
    <n v="0"/>
    <n v="0"/>
    <n v="0"/>
    <n v="0"/>
    <n v="0"/>
    <n v="0"/>
    <s v="MMR012CMP056"/>
    <x v="2"/>
  </r>
  <r>
    <x v="73"/>
    <n v="2013"/>
    <d v="2013-10-18T00:00:00"/>
    <x v="3"/>
    <s v="LWF"/>
    <x v="0"/>
    <x v="1"/>
    <s v="Ohn Taw Gyi (South)"/>
    <m/>
    <n v="948"/>
    <m/>
    <m/>
    <m/>
    <m/>
    <m/>
    <m/>
    <m/>
    <m/>
    <m/>
    <n v="0"/>
    <n v="0"/>
    <n v="0"/>
    <n v="0"/>
    <n v="0"/>
    <n v="0"/>
    <n v="0"/>
    <n v="0"/>
    <n v="0"/>
    <n v="0"/>
    <n v="0"/>
    <s v="MMR012CMP116"/>
    <x v="0"/>
  </r>
  <r>
    <x v="74"/>
    <n v="2013"/>
    <d v="2013-10-17T00:00:00"/>
    <x v="0"/>
    <s v="UNHCR"/>
    <x v="0"/>
    <x v="1"/>
    <s v="Sat Roe Kya 1"/>
    <m/>
    <m/>
    <m/>
    <m/>
    <m/>
    <m/>
    <m/>
    <n v="631"/>
    <m/>
    <m/>
    <m/>
    <n v="0"/>
    <n v="0"/>
    <n v="0"/>
    <n v="0"/>
    <n v="0"/>
    <n v="0"/>
    <n v="0"/>
    <n v="0"/>
    <n v="0"/>
    <n v="0"/>
    <n v="0"/>
    <s v="MMR012CMP111"/>
    <x v="2"/>
  </r>
  <r>
    <x v="75"/>
    <n v="2013"/>
    <d v="2013-09-19T00:00:00"/>
    <x v="0"/>
    <s v="UNHCR"/>
    <x v="0"/>
    <x v="3"/>
    <s v="Ba Wan Chaung Wa Su"/>
    <m/>
    <m/>
    <m/>
    <n v="42"/>
    <m/>
    <n v="42"/>
    <n v="21"/>
    <n v="21"/>
    <n v="21"/>
    <m/>
    <n v="42"/>
    <n v="0"/>
    <n v="0"/>
    <n v="0"/>
    <n v="0"/>
    <n v="0"/>
    <n v="0"/>
    <n v="0"/>
    <n v="0"/>
    <n v="0"/>
    <n v="0"/>
    <n v="0"/>
    <s v="MMR012CMP015"/>
    <x v="2"/>
  </r>
  <r>
    <x v="76"/>
    <n v="2013"/>
    <d v="2013-09-18T00:00:00"/>
    <x v="0"/>
    <s v="UNHCR"/>
    <x v="0"/>
    <x v="3"/>
    <s v="Kyein Ni Pyin"/>
    <m/>
    <m/>
    <m/>
    <n v="2658"/>
    <n v="940"/>
    <n v="1880"/>
    <n v="940"/>
    <n v="1718"/>
    <n v="940"/>
    <m/>
    <n v="1880"/>
    <n v="0"/>
    <n v="0"/>
    <n v="0"/>
    <n v="0"/>
    <n v="0"/>
    <n v="0"/>
    <n v="0"/>
    <n v="0"/>
    <n v="0"/>
    <n v="0"/>
    <n v="0"/>
    <s v="MMR012CMP018"/>
    <x v="0"/>
  </r>
  <r>
    <x v="77"/>
    <n v="2013"/>
    <d v="2013-09-12T00:00:00"/>
    <x v="0"/>
    <s v="UNHCR"/>
    <x v="0"/>
    <x v="7"/>
    <s v="Thi Kyar"/>
    <m/>
    <m/>
    <m/>
    <n v="62"/>
    <m/>
    <n v="62"/>
    <n v="31"/>
    <n v="31"/>
    <n v="31"/>
    <m/>
    <n v="62"/>
    <n v="0"/>
    <n v="0"/>
    <n v="0"/>
    <n v="0"/>
    <n v="0"/>
    <n v="0"/>
    <n v="0"/>
    <n v="0"/>
    <n v="0"/>
    <n v="0"/>
    <n v="0"/>
    <s v="MMR012CMP117"/>
    <x v="2"/>
  </r>
  <r>
    <x v="78"/>
    <n v="2013"/>
    <d v="2013-08-27T00:00:00"/>
    <x v="0"/>
    <s v="UNHCR"/>
    <x v="0"/>
    <x v="3"/>
    <s v="Ah Nauk Ywe"/>
    <m/>
    <m/>
    <m/>
    <n v="1652"/>
    <n v="99"/>
    <n v="1652"/>
    <n v="826"/>
    <n v="826"/>
    <n v="826"/>
    <m/>
    <n v="1652"/>
    <n v="0"/>
    <n v="0"/>
    <n v="0"/>
    <n v="0"/>
    <n v="0"/>
    <n v="0"/>
    <n v="0"/>
    <n v="0"/>
    <n v="0"/>
    <n v="0"/>
    <n v="0"/>
    <s v="MMR012CMP016"/>
    <x v="0"/>
  </r>
  <r>
    <x v="79"/>
    <n v="2013"/>
    <d v="2013-08-13T00:00:00"/>
    <x v="0"/>
    <s v="UNHCR"/>
    <x v="0"/>
    <x v="3"/>
    <s v="Nget Chaung"/>
    <m/>
    <m/>
    <m/>
    <n v="0"/>
    <n v="203"/>
    <n v="0"/>
    <m/>
    <m/>
    <m/>
    <m/>
    <n v="448"/>
    <n v="0"/>
    <n v="0"/>
    <n v="0"/>
    <n v="0"/>
    <n v="0"/>
    <n v="0"/>
    <n v="0"/>
    <n v="0"/>
    <n v="0"/>
    <n v="0"/>
    <n v="0"/>
    <s v="MMR012CMP017"/>
    <x v="0"/>
  </r>
  <r>
    <x v="80"/>
    <n v="2013"/>
    <d v="2013-08-08T00:00:00"/>
    <x v="0"/>
    <s v="UNHCR"/>
    <x v="0"/>
    <x v="2"/>
    <s v="Kan Thar Htwat Wa"/>
    <m/>
    <n v="44"/>
    <m/>
    <n v="88"/>
    <n v="44"/>
    <n v="88"/>
    <n v="44"/>
    <n v="44"/>
    <n v="44"/>
    <m/>
    <n v="88"/>
    <n v="0"/>
    <n v="0"/>
    <n v="0"/>
    <n v="0"/>
    <n v="0"/>
    <n v="0"/>
    <n v="0"/>
    <n v="0"/>
    <n v="0"/>
    <n v="0"/>
    <n v="0"/>
    <s v="MMR012CMP013"/>
    <x v="0"/>
  </r>
  <r>
    <x v="80"/>
    <n v="2013"/>
    <d v="2013-08-08T00:00:00"/>
    <x v="0"/>
    <s v="UNHCR"/>
    <x v="0"/>
    <x v="2"/>
    <s v="Taung Paw "/>
    <m/>
    <n v="755"/>
    <m/>
    <n v="1510"/>
    <n v="755"/>
    <n v="1510"/>
    <n v="755"/>
    <n v="755"/>
    <n v="755"/>
    <m/>
    <n v="1510"/>
    <n v="0"/>
    <n v="0"/>
    <n v="0"/>
    <n v="0"/>
    <n v="0"/>
    <n v="0"/>
    <n v="0"/>
    <n v="0"/>
    <n v="0"/>
    <n v="0"/>
    <n v="0"/>
    <s v="MMR012CMP014"/>
    <x v="0"/>
  </r>
  <r>
    <x v="81"/>
    <n v="2013"/>
    <d v="2013-07-10T00:00:00"/>
    <x v="0"/>
    <s v="UNHCR"/>
    <x v="0"/>
    <x v="6"/>
    <s v="San Htoe Tan"/>
    <m/>
    <m/>
    <m/>
    <n v="240"/>
    <m/>
    <n v="240"/>
    <n v="120"/>
    <n v="120"/>
    <n v="120"/>
    <m/>
    <n v="240"/>
    <n v="0"/>
    <n v="0"/>
    <n v="0"/>
    <n v="0"/>
    <n v="0"/>
    <n v="0"/>
    <n v="0"/>
    <n v="0"/>
    <n v="0"/>
    <n v="0"/>
    <n v="0"/>
    <s v="MMR012CMP003"/>
    <x v="1"/>
  </r>
  <r>
    <x v="81"/>
    <n v="2013"/>
    <d v="2013-07-10T00:00:00"/>
    <x v="0"/>
    <s v="UNHCR"/>
    <x v="0"/>
    <x v="6"/>
    <s v="Tha Dar"/>
    <m/>
    <m/>
    <m/>
    <n v="428"/>
    <m/>
    <n v="428"/>
    <n v="214"/>
    <n v="214"/>
    <n v="214"/>
    <m/>
    <n v="428"/>
    <n v="0"/>
    <n v="0"/>
    <n v="0"/>
    <n v="0"/>
    <n v="0"/>
    <n v="0"/>
    <n v="0"/>
    <n v="0"/>
    <n v="0"/>
    <n v="0"/>
    <n v="0"/>
    <s v="MMR012CMP002"/>
    <x v="1"/>
  </r>
  <r>
    <x v="82"/>
    <n v="2013"/>
    <d v="2013-07-09T00:00:00"/>
    <x v="0"/>
    <s v="UNHCR"/>
    <x v="0"/>
    <x v="6"/>
    <s v="Aung Taing"/>
    <m/>
    <m/>
    <m/>
    <n v="290"/>
    <n v="1312"/>
    <n v="290"/>
    <n v="145"/>
    <n v="145"/>
    <n v="145"/>
    <m/>
    <n v="290"/>
    <n v="0"/>
    <n v="0"/>
    <n v="0"/>
    <n v="0"/>
    <n v="0"/>
    <n v="0"/>
    <n v="0"/>
    <n v="0"/>
    <n v="0"/>
    <n v="0"/>
    <n v="0"/>
    <s v="MMR012CMP006"/>
    <x v="1"/>
  </r>
  <r>
    <x v="82"/>
    <n v="2013"/>
    <d v="2013-07-09T00:00:00"/>
    <x v="0"/>
    <s v="UNHCR"/>
    <x v="0"/>
    <x v="6"/>
    <s v="Paik Thay"/>
    <m/>
    <m/>
    <m/>
    <n v="130"/>
    <n v="108"/>
    <n v="130"/>
    <n v="65"/>
    <n v="65"/>
    <n v="65"/>
    <m/>
    <n v="130"/>
    <n v="0"/>
    <n v="0"/>
    <n v="0"/>
    <n v="0"/>
    <n v="0"/>
    <n v="0"/>
    <n v="0"/>
    <n v="0"/>
    <n v="0"/>
    <n v="0"/>
    <n v="0"/>
    <s v="MMR012CMP001"/>
    <x v="1"/>
  </r>
  <r>
    <x v="82"/>
    <n v="2013"/>
    <d v="2013-07-09T00:00:00"/>
    <x v="0"/>
    <s v="UNHCR"/>
    <x v="0"/>
    <x v="6"/>
    <s v="Sam Ba Le"/>
    <m/>
    <m/>
    <m/>
    <n v="490"/>
    <m/>
    <n v="490"/>
    <n v="245"/>
    <n v="245"/>
    <n v="245"/>
    <m/>
    <n v="490"/>
    <n v="0"/>
    <n v="0"/>
    <n v="0"/>
    <n v="0"/>
    <n v="0"/>
    <n v="0"/>
    <n v="0"/>
    <n v="0"/>
    <n v="0"/>
    <n v="0"/>
    <n v="0"/>
    <s v="MMR012CMP008"/>
    <x v="1"/>
  </r>
  <r>
    <x v="82"/>
    <n v="2013"/>
    <d v="2013-07-09T00:00:00"/>
    <x v="0"/>
    <s v="UNHCR"/>
    <x v="0"/>
    <x v="6"/>
    <s v="Thay Kan"/>
    <m/>
    <n v="33"/>
    <m/>
    <n v="66"/>
    <n v="33"/>
    <n v="66"/>
    <n v="33"/>
    <n v="33"/>
    <n v="33"/>
    <m/>
    <n v="66"/>
    <n v="0"/>
    <n v="0"/>
    <n v="0"/>
    <n v="0"/>
    <n v="0"/>
    <n v="0"/>
    <n v="0"/>
    <n v="0"/>
    <n v="0"/>
    <n v="0"/>
    <n v="0"/>
    <s v="MMR012CMP007"/>
    <x v="4"/>
  </r>
  <r>
    <x v="82"/>
    <n v="2013"/>
    <d v="2013-07-09T00:00:00"/>
    <x v="0"/>
    <s v="UNHCR"/>
    <x v="0"/>
    <x v="6"/>
    <s v="Thay Kan"/>
    <m/>
    <m/>
    <m/>
    <m/>
    <m/>
    <m/>
    <m/>
    <m/>
    <m/>
    <m/>
    <m/>
    <n v="0"/>
    <n v="0"/>
    <n v="0"/>
    <n v="0"/>
    <n v="0"/>
    <n v="0"/>
    <n v="0"/>
    <n v="0"/>
    <n v="0"/>
    <n v="0"/>
    <n v="0"/>
    <s v="MMR012CMP007"/>
    <x v="4"/>
  </r>
  <r>
    <x v="83"/>
    <n v="2013"/>
    <d v="2013-07-06T00:00:00"/>
    <x v="0"/>
    <s v="UNHCR"/>
    <x v="0"/>
    <x v="7"/>
    <s v="Pa Rein"/>
    <m/>
    <m/>
    <m/>
    <n v="600"/>
    <n v="5"/>
    <n v="600"/>
    <n v="300"/>
    <n v="300"/>
    <n v="300"/>
    <m/>
    <n v="600"/>
    <n v="0"/>
    <n v="0"/>
    <n v="0"/>
    <n v="0"/>
    <n v="0"/>
    <n v="0"/>
    <n v="0"/>
    <n v="0"/>
    <n v="0"/>
    <n v="0"/>
    <n v="0"/>
    <s v="MMR012CMP009"/>
    <x v="1"/>
  </r>
  <r>
    <x v="83"/>
    <n v="2013"/>
    <d v="2013-07-06T00:00:00"/>
    <x v="0"/>
    <s v="UNHCR"/>
    <x v="0"/>
    <x v="6"/>
    <s v="Tha Yet Oak"/>
    <m/>
    <m/>
    <m/>
    <n v="458"/>
    <m/>
    <n v="458"/>
    <n v="229"/>
    <n v="229"/>
    <n v="229"/>
    <m/>
    <n v="458"/>
    <n v="0"/>
    <n v="0"/>
    <n v="0"/>
    <n v="0"/>
    <n v="0"/>
    <n v="0"/>
    <n v="0"/>
    <n v="0"/>
    <n v="0"/>
    <n v="0"/>
    <n v="0"/>
    <s v="MMR012CMP005"/>
    <x v="1"/>
  </r>
  <r>
    <x v="83"/>
    <n v="2013"/>
    <d v="2013-07-06T00:00:00"/>
    <x v="0"/>
    <s v="UNHCR"/>
    <x v="0"/>
    <x v="7"/>
    <s v="Yai Thei-Muslim"/>
    <m/>
    <m/>
    <m/>
    <n v="730"/>
    <m/>
    <n v="730"/>
    <n v="365"/>
    <n v="365"/>
    <n v="365"/>
    <m/>
    <n v="730"/>
    <n v="0"/>
    <n v="0"/>
    <n v="0"/>
    <n v="0"/>
    <n v="0"/>
    <n v="0"/>
    <n v="0"/>
    <n v="0"/>
    <n v="0"/>
    <n v="0"/>
    <n v="0"/>
    <s v="MMR012CMP010"/>
    <x v="1"/>
  </r>
  <r>
    <x v="84"/>
    <n v="2013"/>
    <d v="2013-07-01T00:00:00"/>
    <x v="0"/>
    <s v="UNHCR"/>
    <x v="0"/>
    <x v="5"/>
    <s v="Ah Pauk Wa "/>
    <m/>
    <m/>
    <m/>
    <n v="224"/>
    <n v="400"/>
    <n v="224"/>
    <n v="112"/>
    <n v="112"/>
    <n v="112"/>
    <m/>
    <n v="224"/>
    <n v="0"/>
    <n v="0"/>
    <n v="0"/>
    <n v="0"/>
    <n v="0"/>
    <n v="0"/>
    <n v="0"/>
    <n v="0"/>
    <n v="0"/>
    <n v="0"/>
    <n v="0"/>
    <s v="MMR012CMP024"/>
    <x v="1"/>
  </r>
  <r>
    <x v="84"/>
    <n v="2013"/>
    <d v="2013-07-01T00:00:00"/>
    <x v="0"/>
    <s v="UNHCR"/>
    <x v="0"/>
    <x v="5"/>
    <s v="Goke Pi Htaunt"/>
    <m/>
    <m/>
    <m/>
    <n v="232"/>
    <n v="220"/>
    <n v="232"/>
    <n v="116"/>
    <n v="116"/>
    <n v="116"/>
    <m/>
    <n v="232"/>
    <n v="0"/>
    <n v="0"/>
    <n v="0"/>
    <n v="0"/>
    <n v="0"/>
    <n v="0"/>
    <n v="0"/>
    <n v="0"/>
    <n v="0"/>
    <n v="0"/>
    <n v="0"/>
    <s v="MMR012CMP027"/>
    <x v="1"/>
  </r>
  <r>
    <x v="84"/>
    <n v="2013"/>
    <d v="2013-07-01T00:00:00"/>
    <x v="0"/>
    <s v="UNHCR"/>
    <x v="0"/>
    <x v="5"/>
    <s v="In Bar Yi"/>
    <m/>
    <m/>
    <m/>
    <n v="460"/>
    <n v="145"/>
    <n v="460"/>
    <n v="230"/>
    <n v="230"/>
    <n v="230"/>
    <m/>
    <n v="460"/>
    <n v="0"/>
    <n v="0"/>
    <n v="0"/>
    <n v="0"/>
    <n v="0"/>
    <n v="0"/>
    <n v="0"/>
    <n v="0"/>
    <n v="0"/>
    <n v="0"/>
    <n v="0"/>
    <s v="MMR012CMP026"/>
    <x v="1"/>
  </r>
  <r>
    <x v="84"/>
    <n v="2013"/>
    <d v="2013-07-01T00:00:00"/>
    <x v="0"/>
    <s v="UNHCR"/>
    <x v="0"/>
    <x v="5"/>
    <s v="Khaung Htoke"/>
    <m/>
    <m/>
    <m/>
    <n v="318"/>
    <n v="4"/>
    <n v="318"/>
    <n v="159"/>
    <n v="159"/>
    <n v="159"/>
    <m/>
    <n v="318"/>
    <n v="0"/>
    <n v="0"/>
    <n v="0"/>
    <n v="0"/>
    <n v="0"/>
    <n v="0"/>
    <n v="0"/>
    <n v="0"/>
    <n v="0"/>
    <n v="0"/>
    <n v="0"/>
    <s v="MMR012CMP030"/>
    <x v="2"/>
  </r>
  <r>
    <x v="84"/>
    <n v="2013"/>
    <d v="2013-07-01T00:00:00"/>
    <x v="9"/>
    <s v="UNHCR"/>
    <x v="0"/>
    <x v="5"/>
    <s v="Let Saung Kauk"/>
    <m/>
    <m/>
    <n v="60"/>
    <m/>
    <m/>
    <m/>
    <m/>
    <m/>
    <m/>
    <m/>
    <m/>
    <n v="0"/>
    <n v="0"/>
    <n v="0"/>
    <n v="0"/>
    <n v="0"/>
    <n v="0"/>
    <n v="0"/>
    <n v="0"/>
    <n v="0"/>
    <n v="0"/>
    <n v="0"/>
    <s v="MMR012CMP020"/>
    <x v="1"/>
  </r>
  <r>
    <x v="84"/>
    <n v="2013"/>
    <d v="2013-07-01T00:00:00"/>
    <x v="0"/>
    <s v="UNHCR"/>
    <x v="0"/>
    <x v="5"/>
    <s v="Let Saung Kauk"/>
    <m/>
    <m/>
    <m/>
    <n v="166"/>
    <n v="81"/>
    <n v="166"/>
    <n v="83"/>
    <n v="83"/>
    <n v="83"/>
    <m/>
    <n v="166"/>
    <n v="0"/>
    <n v="0"/>
    <n v="0"/>
    <n v="0"/>
    <n v="0"/>
    <n v="0"/>
    <n v="0"/>
    <n v="0"/>
    <n v="0"/>
    <n v="0"/>
    <n v="0"/>
    <s v="MMR012CMP020"/>
    <x v="1"/>
  </r>
  <r>
    <x v="84"/>
    <n v="2013"/>
    <d v="2013-07-01T00:00:00"/>
    <x v="0"/>
    <s v="UNHCR"/>
    <x v="0"/>
    <x v="5"/>
    <s v="Nidin"/>
    <m/>
    <m/>
    <m/>
    <n v="326"/>
    <n v="326"/>
    <n v="326"/>
    <n v="163"/>
    <n v="163"/>
    <n v="163"/>
    <m/>
    <n v="326"/>
    <n v="0"/>
    <n v="0"/>
    <n v="0"/>
    <n v="0"/>
    <n v="0"/>
    <n v="0"/>
    <n v="0"/>
    <n v="0"/>
    <n v="0"/>
    <n v="0"/>
    <n v="0"/>
    <s v="MMR012CMP023"/>
    <x v="0"/>
  </r>
  <r>
    <x v="84"/>
    <n v="2013"/>
    <d v="2013-07-01T00:00:00"/>
    <x v="0"/>
    <s v="UNHCR"/>
    <x v="0"/>
    <x v="5"/>
    <s v="Shwe Hlaing"/>
    <m/>
    <m/>
    <m/>
    <n v="290"/>
    <m/>
    <n v="290"/>
    <n v="145"/>
    <n v="145"/>
    <n v="145"/>
    <m/>
    <n v="290"/>
    <n v="0"/>
    <n v="0"/>
    <n v="0"/>
    <n v="0"/>
    <n v="0"/>
    <n v="0"/>
    <n v="0"/>
    <n v="0"/>
    <n v="0"/>
    <n v="0"/>
    <n v="0"/>
    <s v="MMR012CMP029"/>
    <x v="1"/>
  </r>
  <r>
    <x v="84"/>
    <n v="2013"/>
    <d v="2013-07-01T00:00:00"/>
    <x v="0"/>
    <s v="UNHCR"/>
    <x v="0"/>
    <x v="5"/>
    <s v="Taung Bwe"/>
    <m/>
    <m/>
    <m/>
    <n v="190"/>
    <m/>
    <n v="190"/>
    <n v="95"/>
    <n v="95"/>
    <n v="95"/>
    <m/>
    <n v="190"/>
    <n v="0"/>
    <n v="0"/>
    <n v="0"/>
    <n v="0"/>
    <n v="0"/>
    <n v="0"/>
    <n v="0"/>
    <n v="0"/>
    <n v="0"/>
    <n v="0"/>
    <n v="0"/>
    <s v="MMR012CMP021"/>
    <x v="1"/>
  </r>
  <r>
    <x v="84"/>
    <n v="2013"/>
    <d v="2013-07-01T00:00:00"/>
    <x v="0"/>
    <s v="UNHCR"/>
    <x v="0"/>
    <x v="5"/>
    <s v="Yun Nyar"/>
    <m/>
    <m/>
    <m/>
    <n v="216"/>
    <m/>
    <n v="216"/>
    <n v="108"/>
    <n v="108"/>
    <n v="108"/>
    <m/>
    <n v="216"/>
    <n v="0"/>
    <n v="0"/>
    <n v="0"/>
    <n v="0"/>
    <n v="0"/>
    <n v="0"/>
    <n v="0"/>
    <n v="0"/>
    <n v="0"/>
    <n v="0"/>
    <n v="0"/>
    <s v="MMR012CMP028"/>
    <x v="1"/>
  </r>
  <r>
    <x v="84"/>
    <n v="2013"/>
    <d v="2013-07-01T00:00:00"/>
    <x v="0"/>
    <s v="UNHCR"/>
    <x v="0"/>
    <x v="5"/>
    <s v="Yun Nyar"/>
    <m/>
    <m/>
    <m/>
    <m/>
    <m/>
    <m/>
    <m/>
    <m/>
    <m/>
    <m/>
    <m/>
    <n v="0"/>
    <n v="0"/>
    <n v="0"/>
    <n v="0"/>
    <n v="0"/>
    <n v="0"/>
    <n v="0"/>
    <n v="0"/>
    <n v="0"/>
    <n v="0"/>
    <n v="0"/>
    <s v="MMR012CMP028"/>
    <x v="1"/>
  </r>
  <r>
    <x v="85"/>
    <n v="2013"/>
    <d v="2013-06-26T00:00:00"/>
    <x v="10"/>
    <s v="Muslim Aid"/>
    <x v="0"/>
    <x v="1"/>
    <s v="Ohn Taw Gyi 1"/>
    <m/>
    <m/>
    <m/>
    <n v="273"/>
    <n v="273"/>
    <n v="273"/>
    <m/>
    <m/>
    <n v="273"/>
    <m/>
    <n v="273"/>
    <n v="0"/>
    <n v="0"/>
    <n v="0"/>
    <n v="0"/>
    <n v="0"/>
    <n v="0"/>
    <n v="0"/>
    <n v="0"/>
    <n v="0"/>
    <n v="0"/>
    <n v="0"/>
    <s v="MMR012CMP043"/>
    <x v="4"/>
  </r>
  <r>
    <x v="85"/>
    <n v="2013"/>
    <d v="2013-06-26T00:00:00"/>
    <x v="10"/>
    <s v="Muslim Aid"/>
    <x v="0"/>
    <x v="1"/>
    <s v="Set Yone Su"/>
    <m/>
    <m/>
    <m/>
    <n v="20"/>
    <n v="20"/>
    <n v="20"/>
    <m/>
    <m/>
    <n v="20"/>
    <m/>
    <n v="20"/>
    <n v="0"/>
    <n v="0"/>
    <n v="0"/>
    <n v="0"/>
    <n v="0"/>
    <n v="0"/>
    <n v="0"/>
    <n v="0"/>
    <n v="0"/>
    <n v="0"/>
    <n v="0"/>
    <s v="MMR012CMP056"/>
    <x v="2"/>
  </r>
  <r>
    <x v="85"/>
    <n v="2013"/>
    <d v="2013-06-26T00:00:00"/>
    <x v="10"/>
    <s v="Muslim Aid"/>
    <x v="0"/>
    <x v="1"/>
    <s v="Thae Chaung"/>
    <m/>
    <m/>
    <m/>
    <n v="2797"/>
    <n v="2797"/>
    <n v="2797"/>
    <m/>
    <m/>
    <n v="2797"/>
    <m/>
    <n v="2797"/>
    <n v="0"/>
    <n v="0"/>
    <n v="0"/>
    <n v="0"/>
    <n v="0"/>
    <n v="0"/>
    <n v="0"/>
    <n v="0"/>
    <n v="0"/>
    <n v="0"/>
    <n v="0"/>
    <s v="MMR012CMP046"/>
    <x v="0"/>
  </r>
  <r>
    <x v="86"/>
    <n v="2013"/>
    <d v="2013-05-29T00:00:00"/>
    <x v="6"/>
    <s v="Save the Children"/>
    <x v="0"/>
    <x v="3"/>
    <s v="Ah Nauk Ywe"/>
    <n v="773"/>
    <m/>
    <m/>
    <m/>
    <m/>
    <m/>
    <m/>
    <m/>
    <m/>
    <m/>
    <m/>
    <n v="0"/>
    <n v="0"/>
    <n v="0"/>
    <n v="0"/>
    <n v="0"/>
    <n v="0"/>
    <n v="0"/>
    <n v="0"/>
    <n v="0"/>
    <n v="0"/>
    <n v="0"/>
    <s v="MMR012CMP016"/>
    <x v="0"/>
  </r>
  <r>
    <x v="86"/>
    <n v="2013"/>
    <d v="2013-05-29T00:00:00"/>
    <x v="6"/>
    <s v="Save the Children"/>
    <x v="0"/>
    <x v="1"/>
    <s v="Bu May Ohn Taw"/>
    <n v="502"/>
    <m/>
    <m/>
    <m/>
    <m/>
    <m/>
    <m/>
    <m/>
    <m/>
    <m/>
    <m/>
    <n v="0"/>
    <n v="0"/>
    <n v="0"/>
    <n v="0"/>
    <n v="0"/>
    <n v="0"/>
    <n v="0"/>
    <n v="0"/>
    <n v="0"/>
    <n v="0"/>
    <n v="0"/>
    <s v="MMR012CMP051"/>
    <x v="4"/>
  </r>
  <r>
    <x v="86"/>
    <n v="2013"/>
    <d v="2013-05-29T00:00:00"/>
    <x v="6"/>
    <s v="Save the Children"/>
    <x v="0"/>
    <x v="1"/>
    <s v="Hmanzi Junction"/>
    <n v="203"/>
    <m/>
    <m/>
    <m/>
    <m/>
    <m/>
    <m/>
    <m/>
    <m/>
    <m/>
    <m/>
    <n v="0"/>
    <n v="0"/>
    <n v="0"/>
    <n v="0"/>
    <n v="0"/>
    <n v="0"/>
    <n v="0"/>
    <n v="0"/>
    <n v="0"/>
    <n v="0"/>
    <n v="0"/>
    <s v="MMR012CMP049"/>
    <x v="4"/>
  </r>
  <r>
    <x v="86"/>
    <n v="2013"/>
    <d v="2013-05-29T00:00:00"/>
    <x v="6"/>
    <s v="Save the Children"/>
    <x v="0"/>
    <x v="3"/>
    <s v="Nget Chaung"/>
    <n v="173"/>
    <m/>
    <m/>
    <m/>
    <m/>
    <m/>
    <m/>
    <m/>
    <m/>
    <m/>
    <m/>
    <n v="0"/>
    <n v="0"/>
    <n v="0"/>
    <n v="0"/>
    <n v="0"/>
    <n v="0"/>
    <n v="0"/>
    <n v="0"/>
    <n v="0"/>
    <n v="0"/>
    <n v="0"/>
    <s v="MMR012CMP017"/>
    <x v="0"/>
  </r>
  <r>
    <x v="86"/>
    <n v="2013"/>
    <d v="2013-05-29T00:00:00"/>
    <x v="0"/>
    <m/>
    <x v="0"/>
    <x v="7"/>
    <s v="Raw Ma Ni Sin Oe"/>
    <n v="0"/>
    <m/>
    <m/>
    <n v="82"/>
    <m/>
    <n v="82"/>
    <n v="41"/>
    <n v="41"/>
    <n v="10"/>
    <m/>
    <n v="20"/>
    <n v="0"/>
    <n v="0"/>
    <n v="0"/>
    <n v="0"/>
    <n v="0"/>
    <n v="0"/>
    <n v="0"/>
    <n v="0"/>
    <n v="0"/>
    <n v="0"/>
    <n v="0"/>
    <s v="MMR012CMP012"/>
    <x v="2"/>
  </r>
  <r>
    <x v="86"/>
    <n v="2013"/>
    <d v="2013-05-29T00:00:00"/>
    <x v="0"/>
    <s v="Solidarities International"/>
    <x v="0"/>
    <x v="1"/>
    <m/>
    <m/>
    <m/>
    <m/>
    <m/>
    <n v="1520"/>
    <m/>
    <m/>
    <m/>
    <m/>
    <m/>
    <m/>
    <n v="0"/>
    <n v="0"/>
    <n v="0"/>
    <n v="0"/>
    <n v="0"/>
    <n v="0"/>
    <n v="0"/>
    <n v="0"/>
    <n v="0"/>
    <n v="0"/>
    <n v="0"/>
    <s v=""/>
    <x v="3"/>
  </r>
  <r>
    <x v="87"/>
    <n v="2013"/>
    <d v="2013-05-28T00:00:00"/>
    <x v="0"/>
    <m/>
    <x v="0"/>
    <x v="1"/>
    <s v="Bu May Ohn Taw"/>
    <m/>
    <m/>
    <m/>
    <m/>
    <n v="1315"/>
    <m/>
    <m/>
    <m/>
    <m/>
    <m/>
    <m/>
    <n v="0"/>
    <n v="0"/>
    <n v="0"/>
    <n v="0"/>
    <n v="0"/>
    <n v="0"/>
    <n v="0"/>
    <n v="0"/>
    <n v="0"/>
    <n v="0"/>
    <n v="0"/>
    <s v="MMR012CMP051"/>
    <x v="4"/>
  </r>
  <r>
    <x v="87"/>
    <n v="2013"/>
    <d v="2013-05-28T00:00:00"/>
    <x v="0"/>
    <s v="UNHCR"/>
    <x v="0"/>
    <x v="1"/>
    <s v="Mingan"/>
    <m/>
    <m/>
    <m/>
    <m/>
    <n v="358"/>
    <m/>
    <m/>
    <m/>
    <m/>
    <m/>
    <m/>
    <n v="0"/>
    <n v="0"/>
    <n v="0"/>
    <n v="0"/>
    <n v="0"/>
    <n v="0"/>
    <n v="0"/>
    <n v="0"/>
    <n v="0"/>
    <n v="0"/>
    <n v="0"/>
    <s v="MMR012CMP054"/>
    <x v="4"/>
  </r>
  <r>
    <x v="88"/>
    <n v="2013"/>
    <d v="2013-05-27T00:00:00"/>
    <x v="0"/>
    <s v="UNHCR"/>
    <x v="0"/>
    <x v="1"/>
    <s v="Hmanzi Junction"/>
    <m/>
    <m/>
    <m/>
    <m/>
    <n v="246"/>
    <m/>
    <m/>
    <m/>
    <m/>
    <m/>
    <m/>
    <n v="0"/>
    <n v="0"/>
    <n v="0"/>
    <n v="0"/>
    <n v="0"/>
    <n v="0"/>
    <n v="0"/>
    <n v="0"/>
    <n v="0"/>
    <n v="0"/>
    <n v="0"/>
    <s v="MMR012CMP049"/>
    <x v="4"/>
  </r>
  <r>
    <x v="88"/>
    <n v="2013"/>
    <d v="2013-05-27T00:00:00"/>
    <x v="0"/>
    <m/>
    <x v="0"/>
    <x v="1"/>
    <s v="Khaung Doke Khar "/>
    <m/>
    <m/>
    <m/>
    <m/>
    <n v="86"/>
    <m/>
    <m/>
    <m/>
    <m/>
    <m/>
    <m/>
    <n v="0"/>
    <n v="0"/>
    <n v="0"/>
    <n v="0"/>
    <n v="0"/>
    <n v="0"/>
    <n v="0"/>
    <n v="0"/>
    <n v="0"/>
    <n v="0"/>
    <n v="0"/>
    <s v="MMR012CMP042"/>
    <x v="0"/>
  </r>
  <r>
    <x v="89"/>
    <n v="2013"/>
    <d v="2013-05-23T00:00:00"/>
    <x v="6"/>
    <s v="Save the Children"/>
    <x v="0"/>
    <x v="1"/>
    <s v="Thet Kae Pyin "/>
    <n v="4795"/>
    <m/>
    <m/>
    <m/>
    <m/>
    <m/>
    <m/>
    <m/>
    <m/>
    <m/>
    <m/>
    <n v="0"/>
    <n v="0"/>
    <n v="0"/>
    <n v="0"/>
    <n v="0"/>
    <n v="0"/>
    <n v="0"/>
    <n v="0"/>
    <n v="0"/>
    <n v="0"/>
    <n v="0"/>
    <s v="MMR012CMP048"/>
    <x v="0"/>
  </r>
  <r>
    <x v="90"/>
    <n v="2013"/>
    <d v="2013-05-22T00:00:00"/>
    <x v="6"/>
    <s v="Save the Children"/>
    <x v="0"/>
    <x v="3"/>
    <s v="Kyein Ni Pyin"/>
    <n v="903"/>
    <m/>
    <m/>
    <m/>
    <m/>
    <m/>
    <m/>
    <m/>
    <m/>
    <m/>
    <m/>
    <n v="0"/>
    <n v="0"/>
    <n v="0"/>
    <n v="0"/>
    <n v="0"/>
    <n v="0"/>
    <n v="0"/>
    <n v="0"/>
    <n v="0"/>
    <n v="0"/>
    <n v="0"/>
    <s v="MMR012CMP018"/>
    <x v="0"/>
  </r>
  <r>
    <x v="91"/>
    <n v="2013"/>
    <d v="2013-04-30T00:00:00"/>
    <x v="0"/>
    <m/>
    <x v="0"/>
    <x v="3"/>
    <m/>
    <m/>
    <m/>
    <m/>
    <m/>
    <m/>
    <n v="1"/>
    <m/>
    <m/>
    <m/>
    <m/>
    <m/>
    <n v="0"/>
    <n v="0"/>
    <n v="0"/>
    <n v="0"/>
    <n v="0"/>
    <n v="0"/>
    <n v="0"/>
    <n v="0"/>
    <n v="0"/>
    <n v="0"/>
    <n v="0"/>
    <s v=""/>
    <x v="3"/>
  </r>
  <r>
    <x v="92"/>
    <n v="2013"/>
    <d v="2013-04-29T00:00:00"/>
    <x v="0"/>
    <m/>
    <x v="0"/>
    <x v="4"/>
    <s v="Nyaung Pin Gyi"/>
    <n v="0"/>
    <n v="64"/>
    <m/>
    <n v="128"/>
    <n v="64"/>
    <n v="128"/>
    <n v="64"/>
    <n v="64"/>
    <n v="64"/>
    <m/>
    <n v="128"/>
    <n v="0"/>
    <n v="0"/>
    <n v="0"/>
    <n v="0"/>
    <n v="0"/>
    <n v="0"/>
    <n v="0"/>
    <n v="0"/>
    <n v="0"/>
    <n v="0"/>
    <n v="0"/>
    <s v="MMR012CMP031"/>
    <x v="1"/>
  </r>
  <r>
    <x v="92"/>
    <n v="2013"/>
    <d v="2013-04-29T00:00:00"/>
    <x v="0"/>
    <m/>
    <x v="0"/>
    <x v="4"/>
    <s v="Nyaung Pin Gyi"/>
    <n v="0"/>
    <m/>
    <n v="128"/>
    <n v="128"/>
    <n v="64"/>
    <n v="0"/>
    <m/>
    <m/>
    <m/>
    <m/>
    <m/>
    <n v="0"/>
    <n v="0"/>
    <n v="0"/>
    <n v="0"/>
    <n v="0"/>
    <n v="0"/>
    <n v="0"/>
    <n v="0"/>
    <n v="0"/>
    <n v="0"/>
    <n v="0"/>
    <s v="MMR012CMP031"/>
    <x v="1"/>
  </r>
  <r>
    <x v="93"/>
    <n v="2013"/>
    <d v="2013-04-26T00:00:00"/>
    <x v="6"/>
    <s v="Save the Children"/>
    <x v="0"/>
    <x v="3"/>
    <s v="Kyein Ni Pyin"/>
    <n v="1028"/>
    <m/>
    <m/>
    <m/>
    <m/>
    <m/>
    <m/>
    <m/>
    <m/>
    <m/>
    <m/>
    <n v="0"/>
    <n v="0"/>
    <n v="0"/>
    <n v="0"/>
    <n v="0"/>
    <n v="0"/>
    <n v="0"/>
    <n v="0"/>
    <n v="0"/>
    <n v="0"/>
    <n v="0"/>
    <s v="MMR012CMP018"/>
    <x v="0"/>
  </r>
  <r>
    <x v="94"/>
    <n v="2013"/>
    <d v="2013-04-24T00:00:00"/>
    <x v="6"/>
    <s v="Save the Children"/>
    <x v="0"/>
    <x v="3"/>
    <s v="Nget Chaung"/>
    <n v="1338"/>
    <m/>
    <m/>
    <m/>
    <m/>
    <m/>
    <m/>
    <m/>
    <m/>
    <m/>
    <m/>
    <n v="0"/>
    <n v="0"/>
    <n v="0"/>
    <n v="0"/>
    <n v="0"/>
    <n v="0"/>
    <n v="0"/>
    <n v="0"/>
    <n v="0"/>
    <n v="0"/>
    <n v="0"/>
    <s v="MMR012CMP017"/>
    <x v="0"/>
  </r>
  <r>
    <x v="95"/>
    <n v="2013"/>
    <d v="2013-04-12T00:00:00"/>
    <x v="0"/>
    <m/>
    <x v="0"/>
    <x v="1"/>
    <s v="Bu May Ohn Taw"/>
    <m/>
    <m/>
    <m/>
    <m/>
    <m/>
    <n v="54"/>
    <m/>
    <m/>
    <m/>
    <m/>
    <m/>
    <n v="0"/>
    <n v="0"/>
    <n v="0"/>
    <n v="0"/>
    <n v="0"/>
    <n v="0"/>
    <n v="0"/>
    <n v="0"/>
    <n v="0"/>
    <n v="0"/>
    <n v="0"/>
    <s v="MMR012CMP051"/>
    <x v="4"/>
  </r>
  <r>
    <x v="96"/>
    <n v="2013"/>
    <d v="2013-04-10T00:00:00"/>
    <x v="0"/>
    <m/>
    <x v="0"/>
    <x v="1"/>
    <s v="Bu May Ohn Taw"/>
    <m/>
    <m/>
    <m/>
    <m/>
    <m/>
    <n v="90"/>
    <m/>
    <m/>
    <m/>
    <m/>
    <m/>
    <n v="0"/>
    <n v="0"/>
    <n v="0"/>
    <n v="0"/>
    <n v="0"/>
    <n v="0"/>
    <n v="0"/>
    <n v="0"/>
    <n v="0"/>
    <n v="0"/>
    <n v="0"/>
    <s v="MMR012CMP051"/>
    <x v="4"/>
  </r>
  <r>
    <x v="97"/>
    <n v="2013"/>
    <d v="2013-04-09T00:00:00"/>
    <x v="0"/>
    <m/>
    <x v="0"/>
    <x v="1"/>
    <s v="Bu May Ohn Taw"/>
    <m/>
    <m/>
    <m/>
    <m/>
    <m/>
    <n v="90"/>
    <m/>
    <m/>
    <m/>
    <m/>
    <m/>
    <n v="0"/>
    <n v="0"/>
    <n v="0"/>
    <n v="0"/>
    <n v="0"/>
    <n v="0"/>
    <n v="0"/>
    <n v="0"/>
    <n v="0"/>
    <n v="0"/>
    <n v="0"/>
    <s v="MMR012CMP051"/>
    <x v="4"/>
  </r>
  <r>
    <x v="97"/>
    <n v="2013"/>
    <d v="2013-04-09T00:00:00"/>
    <x v="11"/>
    <s v="Solidarities International"/>
    <x v="0"/>
    <x v="1"/>
    <s v="Dar Pai"/>
    <n v="186"/>
    <m/>
    <m/>
    <m/>
    <m/>
    <m/>
    <m/>
    <m/>
    <m/>
    <m/>
    <m/>
    <n v="0"/>
    <n v="0"/>
    <n v="0"/>
    <n v="0"/>
    <n v="0"/>
    <n v="0"/>
    <n v="0"/>
    <n v="0"/>
    <n v="0"/>
    <n v="0"/>
    <n v="0"/>
    <s v="MMR012CMP041"/>
    <x v="0"/>
  </r>
  <r>
    <x v="98"/>
    <n v="2013"/>
    <d v="2013-04-05T00:00:00"/>
    <x v="0"/>
    <m/>
    <x v="0"/>
    <x v="1"/>
    <s v="Bu May Ohn Taw"/>
    <m/>
    <m/>
    <m/>
    <m/>
    <m/>
    <n v="90"/>
    <m/>
    <m/>
    <m/>
    <m/>
    <m/>
    <n v="0"/>
    <n v="0"/>
    <n v="0"/>
    <n v="0"/>
    <n v="0"/>
    <n v="0"/>
    <n v="0"/>
    <n v="0"/>
    <n v="0"/>
    <n v="0"/>
    <n v="0"/>
    <s v="MMR012CMP051"/>
    <x v="4"/>
  </r>
  <r>
    <x v="99"/>
    <n v="2013"/>
    <d v="2013-04-04T00:00:00"/>
    <x v="0"/>
    <m/>
    <x v="0"/>
    <x v="1"/>
    <s v="Bu May Ohn Taw"/>
    <m/>
    <m/>
    <m/>
    <m/>
    <m/>
    <n v="45"/>
    <m/>
    <m/>
    <m/>
    <m/>
    <m/>
    <n v="0"/>
    <n v="0"/>
    <n v="0"/>
    <n v="0"/>
    <n v="0"/>
    <n v="0"/>
    <n v="0"/>
    <n v="0"/>
    <n v="0"/>
    <n v="0"/>
    <n v="0"/>
    <s v="MMR012CMP051"/>
    <x v="4"/>
  </r>
  <r>
    <x v="100"/>
    <n v="2013"/>
    <d v="2013-04-03T00:00:00"/>
    <x v="0"/>
    <m/>
    <x v="0"/>
    <x v="1"/>
    <s v="Bu May Ohn Taw"/>
    <m/>
    <m/>
    <m/>
    <m/>
    <m/>
    <n v="45"/>
    <m/>
    <m/>
    <m/>
    <m/>
    <m/>
    <n v="0"/>
    <n v="0"/>
    <n v="0"/>
    <n v="0"/>
    <n v="0"/>
    <n v="0"/>
    <n v="0"/>
    <n v="0"/>
    <n v="0"/>
    <n v="0"/>
    <n v="0"/>
    <s v="MMR012CMP051"/>
    <x v="4"/>
  </r>
  <r>
    <x v="101"/>
    <n v="2013"/>
    <d v="2013-04-02T00:00:00"/>
    <x v="6"/>
    <s v="Save the Children"/>
    <x v="0"/>
    <x v="1"/>
    <s v="Thet Kae Pyin "/>
    <n v="3100"/>
    <m/>
    <m/>
    <m/>
    <m/>
    <m/>
    <m/>
    <m/>
    <m/>
    <m/>
    <m/>
    <n v="0"/>
    <n v="0"/>
    <n v="0"/>
    <n v="0"/>
    <n v="0"/>
    <n v="0"/>
    <n v="0"/>
    <n v="0"/>
    <n v="0"/>
    <n v="0"/>
    <n v="0"/>
    <s v="MMR012CMP048"/>
    <x v="0"/>
  </r>
  <r>
    <x v="102"/>
    <n v="2013"/>
    <d v="2013-03-14T00:00:00"/>
    <x v="0"/>
    <m/>
    <x v="0"/>
    <x v="4"/>
    <s v="Ah Nauk Pyin"/>
    <n v="0"/>
    <n v="68"/>
    <m/>
    <n v="136"/>
    <n v="68"/>
    <n v="136"/>
    <n v="68"/>
    <n v="68"/>
    <n v="68"/>
    <m/>
    <n v="136"/>
    <n v="0"/>
    <n v="0"/>
    <n v="0"/>
    <n v="0"/>
    <n v="0"/>
    <n v="0"/>
    <n v="0"/>
    <n v="0"/>
    <n v="0"/>
    <n v="0"/>
    <n v="0"/>
    <s v="MMR012CMP032"/>
    <x v="1"/>
  </r>
  <r>
    <x v="102"/>
    <n v="2013"/>
    <d v="2013-03-14T00:00:00"/>
    <x v="0"/>
    <m/>
    <x v="0"/>
    <x v="4"/>
    <s v="Ah Nauk Pyin"/>
    <n v="0"/>
    <m/>
    <n v="136"/>
    <n v="136"/>
    <n v="68"/>
    <n v="0"/>
    <m/>
    <m/>
    <m/>
    <m/>
    <m/>
    <n v="0"/>
    <n v="0"/>
    <n v="0"/>
    <n v="0"/>
    <n v="0"/>
    <n v="0"/>
    <n v="0"/>
    <n v="0"/>
    <n v="0"/>
    <n v="0"/>
    <n v="0"/>
    <s v="MMR012CMP032"/>
    <x v="1"/>
  </r>
  <r>
    <x v="102"/>
    <n v="2013"/>
    <d v="2013-03-14T00:00:00"/>
    <x v="0"/>
    <m/>
    <x v="0"/>
    <x v="8"/>
    <s v="Bomu Ywa"/>
    <n v="0"/>
    <n v="79"/>
    <m/>
    <n v="158"/>
    <n v="79"/>
    <n v="158"/>
    <n v="79"/>
    <n v="79"/>
    <n v="79"/>
    <m/>
    <n v="158"/>
    <n v="0"/>
    <n v="0"/>
    <n v="0"/>
    <n v="0"/>
    <n v="0"/>
    <n v="0"/>
    <n v="0"/>
    <n v="0"/>
    <n v="0"/>
    <n v="0"/>
    <n v="0"/>
    <s v="MMR012CMP084"/>
    <x v="0"/>
  </r>
  <r>
    <x v="102"/>
    <n v="2013"/>
    <d v="2013-03-14T00:00:00"/>
    <x v="0"/>
    <m/>
    <x v="0"/>
    <x v="8"/>
    <s v="Bomu Ywa"/>
    <n v="0"/>
    <m/>
    <n v="158"/>
    <n v="292"/>
    <n v="79"/>
    <n v="0"/>
    <m/>
    <m/>
    <m/>
    <m/>
    <m/>
    <n v="0"/>
    <n v="0"/>
    <n v="0"/>
    <n v="0"/>
    <n v="0"/>
    <n v="0"/>
    <n v="0"/>
    <n v="0"/>
    <n v="0"/>
    <n v="0"/>
    <n v="0"/>
    <s v="MMR012CMP084"/>
    <x v="0"/>
  </r>
  <r>
    <x v="102"/>
    <n v="2013"/>
    <d v="2013-03-14T00:00:00"/>
    <x v="5"/>
    <s v="DRC"/>
    <x v="0"/>
    <x v="1"/>
    <s v="Say Tha Mar Gyi"/>
    <n v="2907"/>
    <m/>
    <m/>
    <m/>
    <m/>
    <m/>
    <m/>
    <m/>
    <m/>
    <m/>
    <m/>
    <n v="0"/>
    <n v="0"/>
    <n v="0"/>
    <n v="0"/>
    <n v="0"/>
    <n v="0"/>
    <n v="0"/>
    <n v="0"/>
    <n v="0"/>
    <n v="0"/>
    <n v="0"/>
    <s v="MMR012CMP045"/>
    <x v="0"/>
  </r>
  <r>
    <x v="103"/>
    <n v="2013"/>
    <d v="2013-03-05T00:00:00"/>
    <x v="0"/>
    <m/>
    <x v="0"/>
    <x v="8"/>
    <s v="Myoma Myauk"/>
    <n v="0"/>
    <n v="0"/>
    <n v="0"/>
    <n v="34"/>
    <n v="0"/>
    <n v="0"/>
    <m/>
    <m/>
    <m/>
    <m/>
    <m/>
    <n v="0"/>
    <n v="0"/>
    <n v="0"/>
    <n v="0"/>
    <n v="0"/>
    <n v="0"/>
    <n v="0"/>
    <n v="0"/>
    <n v="0"/>
    <n v="0"/>
    <n v="0"/>
    <s v=""/>
    <x v="3"/>
  </r>
  <r>
    <x v="104"/>
    <n v="2013"/>
    <d v="2013-03-03T00:00:00"/>
    <x v="0"/>
    <m/>
    <x v="0"/>
    <x v="6"/>
    <s v="Thay Kan"/>
    <m/>
    <m/>
    <m/>
    <m/>
    <m/>
    <n v="33"/>
    <m/>
    <m/>
    <m/>
    <m/>
    <m/>
    <n v="0"/>
    <n v="0"/>
    <n v="0"/>
    <n v="0"/>
    <n v="0"/>
    <n v="0"/>
    <n v="0"/>
    <n v="0"/>
    <n v="0"/>
    <n v="0"/>
    <n v="0"/>
    <s v="MMR012CMP007"/>
    <x v="4"/>
  </r>
  <r>
    <x v="105"/>
    <n v="2013"/>
    <d v="2013-03-01T00:00:00"/>
    <x v="0"/>
    <m/>
    <x v="0"/>
    <x v="8"/>
    <s v="Thaung Paing Nyar"/>
    <n v="0"/>
    <n v="51"/>
    <m/>
    <n v="102"/>
    <n v="51"/>
    <n v="102"/>
    <n v="51"/>
    <n v="51"/>
    <n v="51"/>
    <m/>
    <n v="102"/>
    <n v="0"/>
    <n v="0"/>
    <n v="0"/>
    <n v="0"/>
    <n v="0"/>
    <n v="0"/>
    <n v="0"/>
    <n v="0"/>
    <n v="0"/>
    <n v="0"/>
    <n v="0"/>
    <s v="MMR012CMP086"/>
    <x v="0"/>
  </r>
  <r>
    <x v="105"/>
    <n v="2013"/>
    <d v="2013-03-01T00:00:00"/>
    <x v="0"/>
    <m/>
    <x v="0"/>
    <x v="8"/>
    <s v="Thaung Paing Nyar"/>
    <n v="0"/>
    <m/>
    <n v="102"/>
    <n v="156"/>
    <n v="51"/>
    <n v="0"/>
    <m/>
    <m/>
    <m/>
    <m/>
    <m/>
    <n v="0"/>
    <n v="0"/>
    <n v="0"/>
    <n v="0"/>
    <n v="0"/>
    <n v="0"/>
    <n v="0"/>
    <n v="0"/>
    <n v="0"/>
    <n v="0"/>
    <n v="0"/>
    <s v="MMR012CMP086"/>
    <x v="0"/>
  </r>
  <r>
    <x v="106"/>
    <n v="2013"/>
    <d v="2013-02-27T00:00:00"/>
    <x v="0"/>
    <m/>
    <x v="0"/>
    <x v="8"/>
    <s v="Bomu Ywa"/>
    <n v="0"/>
    <n v="50"/>
    <m/>
    <n v="100"/>
    <n v="50"/>
    <n v="100"/>
    <n v="50"/>
    <n v="50"/>
    <n v="50"/>
    <m/>
    <n v="100"/>
    <n v="0"/>
    <n v="0"/>
    <n v="0"/>
    <n v="0"/>
    <n v="0"/>
    <n v="0"/>
    <n v="0"/>
    <n v="0"/>
    <n v="0"/>
    <n v="0"/>
    <n v="0"/>
    <s v="MMR012CMP084"/>
    <x v="0"/>
  </r>
  <r>
    <x v="106"/>
    <n v="2013"/>
    <d v="2013-02-27T00:00:00"/>
    <x v="0"/>
    <m/>
    <x v="0"/>
    <x v="8"/>
    <s v="Bomu Ywa"/>
    <n v="0"/>
    <m/>
    <n v="100"/>
    <n v="171"/>
    <n v="50"/>
    <n v="0"/>
    <m/>
    <m/>
    <m/>
    <m/>
    <m/>
    <n v="0"/>
    <n v="0"/>
    <n v="0"/>
    <n v="0"/>
    <n v="0"/>
    <n v="0"/>
    <n v="0"/>
    <n v="0"/>
    <n v="0"/>
    <n v="0"/>
    <n v="0"/>
    <s v="MMR012CMP084"/>
    <x v="0"/>
  </r>
  <r>
    <x v="106"/>
    <n v="2013"/>
    <d v="2013-02-27T00:00:00"/>
    <x v="10"/>
    <m/>
    <x v="0"/>
    <x v="1"/>
    <s v="Ohn Taw Gyi 1"/>
    <n v="0"/>
    <n v="800"/>
    <m/>
    <n v="1600"/>
    <n v="800"/>
    <n v="1600"/>
    <n v="800"/>
    <n v="800"/>
    <n v="800"/>
    <m/>
    <n v="1600"/>
    <n v="0"/>
    <n v="0"/>
    <n v="0"/>
    <n v="0"/>
    <n v="0"/>
    <n v="0"/>
    <n v="0"/>
    <n v="0"/>
    <n v="0"/>
    <n v="0"/>
    <n v="0"/>
    <s v="MMR012CMP043"/>
    <x v="4"/>
  </r>
  <r>
    <x v="106"/>
    <n v="2013"/>
    <d v="2013-02-27T00:00:00"/>
    <x v="10"/>
    <m/>
    <x v="0"/>
    <x v="1"/>
    <s v="Ohn Taw Gyi 1"/>
    <n v="0"/>
    <m/>
    <m/>
    <m/>
    <m/>
    <m/>
    <m/>
    <m/>
    <m/>
    <m/>
    <m/>
    <n v="0"/>
    <n v="0"/>
    <n v="0"/>
    <n v="0"/>
    <n v="0"/>
    <n v="0"/>
    <n v="0"/>
    <n v="0"/>
    <n v="0"/>
    <n v="0"/>
    <n v="0"/>
    <s v="MMR012CMP043"/>
    <x v="4"/>
  </r>
  <r>
    <x v="106"/>
    <n v="2013"/>
    <d v="2013-02-27T00:00:00"/>
    <x v="10"/>
    <m/>
    <x v="0"/>
    <x v="1"/>
    <s v="Set Yone Su"/>
    <n v="0"/>
    <n v="200"/>
    <m/>
    <n v="400"/>
    <n v="200"/>
    <n v="400"/>
    <n v="200"/>
    <n v="200"/>
    <n v="200"/>
    <m/>
    <n v="400"/>
    <n v="0"/>
    <n v="0"/>
    <n v="0"/>
    <n v="0"/>
    <n v="0"/>
    <n v="0"/>
    <n v="0"/>
    <n v="0"/>
    <n v="0"/>
    <n v="0"/>
    <n v="0"/>
    <s v="MMR012CMP056"/>
    <x v="2"/>
  </r>
  <r>
    <x v="106"/>
    <n v="2013"/>
    <d v="2013-02-27T00:00:00"/>
    <x v="10"/>
    <m/>
    <x v="0"/>
    <x v="1"/>
    <s v="Set Yone Su"/>
    <n v="0"/>
    <m/>
    <m/>
    <m/>
    <m/>
    <m/>
    <m/>
    <m/>
    <m/>
    <m/>
    <m/>
    <n v="0"/>
    <n v="0"/>
    <n v="0"/>
    <n v="0"/>
    <n v="0"/>
    <n v="0"/>
    <n v="0"/>
    <n v="0"/>
    <n v="0"/>
    <n v="0"/>
    <n v="0"/>
    <s v="MMR012CMP056"/>
    <x v="2"/>
  </r>
  <r>
    <x v="107"/>
    <n v="2013"/>
    <d v="2013-02-22T00:00:00"/>
    <x v="12"/>
    <m/>
    <x v="0"/>
    <x v="3"/>
    <s v="Ba Wan Chaung Wa Su"/>
    <n v="23"/>
    <n v="0"/>
    <m/>
    <m/>
    <m/>
    <m/>
    <m/>
    <m/>
    <m/>
    <m/>
    <m/>
    <n v="0"/>
    <n v="0"/>
    <n v="0"/>
    <n v="0"/>
    <n v="0"/>
    <n v="0"/>
    <n v="0"/>
    <n v="0"/>
    <n v="0"/>
    <n v="0"/>
    <n v="0"/>
    <s v="MMR012CMP015"/>
    <x v="2"/>
  </r>
  <r>
    <x v="107"/>
    <n v="2013"/>
    <d v="2013-02-22T00:00:00"/>
    <x v="12"/>
    <m/>
    <x v="0"/>
    <x v="3"/>
    <s v="Nget Chaung"/>
    <n v="1306"/>
    <n v="0"/>
    <m/>
    <m/>
    <m/>
    <m/>
    <m/>
    <m/>
    <m/>
    <m/>
    <m/>
    <n v="0"/>
    <n v="0"/>
    <n v="0"/>
    <n v="0"/>
    <n v="0"/>
    <n v="0"/>
    <n v="0"/>
    <n v="0"/>
    <n v="0"/>
    <n v="0"/>
    <n v="0"/>
    <s v="MMR012CMP017"/>
    <x v="0"/>
  </r>
  <r>
    <x v="107"/>
    <n v="2013"/>
    <d v="2013-02-22T00:00:00"/>
    <x v="0"/>
    <m/>
    <x v="0"/>
    <x v="8"/>
    <s v="Nyaung Pin Hla"/>
    <n v="0"/>
    <n v="15"/>
    <m/>
    <n v="30"/>
    <n v="15"/>
    <n v="30"/>
    <n v="15"/>
    <n v="15"/>
    <n v="15"/>
    <m/>
    <n v="30"/>
    <n v="0"/>
    <n v="0"/>
    <n v="0"/>
    <n v="0"/>
    <n v="0"/>
    <n v="0"/>
    <n v="0"/>
    <n v="0"/>
    <n v="0"/>
    <n v="0"/>
    <n v="0"/>
    <s v="MMR012CMP082"/>
    <x v="0"/>
  </r>
  <r>
    <x v="107"/>
    <n v="2013"/>
    <d v="2013-02-22T00:00:00"/>
    <x v="0"/>
    <m/>
    <x v="0"/>
    <x v="8"/>
    <s v="Nyaung Pin Hla"/>
    <n v="0"/>
    <m/>
    <n v="30"/>
    <n v="52"/>
    <n v="15"/>
    <n v="0"/>
    <m/>
    <m/>
    <m/>
    <m/>
    <m/>
    <n v="0"/>
    <n v="0"/>
    <n v="0"/>
    <n v="0"/>
    <n v="0"/>
    <n v="0"/>
    <n v="0"/>
    <n v="0"/>
    <n v="0"/>
    <n v="0"/>
    <n v="0"/>
    <s v="MMR012CMP082"/>
    <x v="0"/>
  </r>
  <r>
    <x v="108"/>
    <n v="2013"/>
    <d v="2013-02-21T00:00:00"/>
    <x v="11"/>
    <s v="Solidarities International"/>
    <x v="0"/>
    <x v="1"/>
    <s v="Thae Chaung"/>
    <n v="1542"/>
    <m/>
    <m/>
    <m/>
    <m/>
    <m/>
    <m/>
    <m/>
    <m/>
    <m/>
    <m/>
    <n v="0"/>
    <n v="0"/>
    <n v="0"/>
    <n v="0"/>
    <n v="0"/>
    <n v="0"/>
    <n v="0"/>
    <n v="0"/>
    <n v="0"/>
    <n v="0"/>
    <n v="0"/>
    <s v="MMR012CMP046"/>
    <x v="0"/>
  </r>
  <r>
    <x v="109"/>
    <n v="2013"/>
    <d v="2013-02-15T00:00:00"/>
    <x v="12"/>
    <m/>
    <x v="0"/>
    <x v="6"/>
    <s v="Aung Taing"/>
    <n v="90"/>
    <m/>
    <m/>
    <m/>
    <m/>
    <m/>
    <m/>
    <m/>
    <m/>
    <m/>
    <m/>
    <n v="0"/>
    <n v="0"/>
    <n v="0"/>
    <n v="0"/>
    <n v="0"/>
    <n v="0"/>
    <n v="0"/>
    <n v="0"/>
    <n v="0"/>
    <n v="0"/>
    <n v="0"/>
    <s v="MMR012CMP006"/>
    <x v="1"/>
  </r>
  <r>
    <x v="109"/>
    <n v="2013"/>
    <d v="2013-02-15T00:00:00"/>
    <x v="12"/>
    <m/>
    <x v="0"/>
    <x v="7"/>
    <s v="Myat Buddha Mandine Monastery"/>
    <n v="35"/>
    <m/>
    <m/>
    <m/>
    <m/>
    <m/>
    <m/>
    <m/>
    <m/>
    <m/>
    <m/>
    <n v="0"/>
    <n v="0"/>
    <n v="0"/>
    <n v="0"/>
    <n v="0"/>
    <n v="0"/>
    <n v="0"/>
    <n v="0"/>
    <n v="0"/>
    <n v="0"/>
    <n v="0"/>
    <s v="MMR012CMP011"/>
    <x v="4"/>
  </r>
  <r>
    <x v="109"/>
    <n v="2013"/>
    <d v="2013-02-15T00:00:00"/>
    <x v="12"/>
    <m/>
    <x v="0"/>
    <x v="6"/>
    <s v="Nagara Pauktaw"/>
    <n v="230"/>
    <m/>
    <m/>
    <m/>
    <m/>
    <m/>
    <m/>
    <m/>
    <m/>
    <m/>
    <m/>
    <n v="0"/>
    <n v="0"/>
    <n v="0"/>
    <n v="0"/>
    <n v="0"/>
    <n v="0"/>
    <n v="0"/>
    <n v="0"/>
    <n v="0"/>
    <n v="0"/>
    <n v="0"/>
    <s v="MMR012CMP004"/>
    <x v="4"/>
  </r>
  <r>
    <x v="109"/>
    <n v="2013"/>
    <d v="2013-02-15T00:00:00"/>
    <x v="12"/>
    <m/>
    <x v="0"/>
    <x v="7"/>
    <s v="Pa Rein"/>
    <n v="245"/>
    <m/>
    <m/>
    <m/>
    <m/>
    <m/>
    <m/>
    <m/>
    <m/>
    <m/>
    <m/>
    <n v="0"/>
    <n v="0"/>
    <n v="0"/>
    <n v="0"/>
    <n v="0"/>
    <n v="0"/>
    <n v="0"/>
    <n v="0"/>
    <n v="0"/>
    <n v="0"/>
    <n v="0"/>
    <s v="MMR012CMP009"/>
    <x v="1"/>
  </r>
  <r>
    <x v="109"/>
    <n v="2013"/>
    <d v="2013-02-15T00:00:00"/>
    <x v="12"/>
    <m/>
    <x v="0"/>
    <x v="6"/>
    <s v="Paik Thay"/>
    <n v="20"/>
    <m/>
    <m/>
    <m/>
    <m/>
    <m/>
    <m/>
    <m/>
    <m/>
    <m/>
    <m/>
    <n v="0"/>
    <n v="0"/>
    <n v="0"/>
    <n v="0"/>
    <n v="0"/>
    <n v="0"/>
    <n v="0"/>
    <n v="0"/>
    <n v="0"/>
    <n v="0"/>
    <n v="0"/>
    <s v="MMR012CMP001"/>
    <x v="1"/>
  </r>
  <r>
    <x v="109"/>
    <n v="2013"/>
    <d v="2013-02-15T00:00:00"/>
    <x v="12"/>
    <m/>
    <x v="0"/>
    <x v="6"/>
    <s v="Sam Ba Le"/>
    <n v="230"/>
    <m/>
    <m/>
    <m/>
    <m/>
    <m/>
    <m/>
    <m/>
    <m/>
    <m/>
    <m/>
    <n v="0"/>
    <n v="0"/>
    <n v="0"/>
    <n v="0"/>
    <n v="0"/>
    <n v="0"/>
    <n v="0"/>
    <n v="0"/>
    <n v="0"/>
    <n v="0"/>
    <n v="0"/>
    <s v="MMR012CMP008"/>
    <x v="1"/>
  </r>
  <r>
    <x v="109"/>
    <n v="2013"/>
    <d v="2013-02-15T00:00:00"/>
    <x v="12"/>
    <m/>
    <x v="0"/>
    <x v="6"/>
    <s v="San Htoe Tan"/>
    <n v="90"/>
    <m/>
    <m/>
    <m/>
    <m/>
    <m/>
    <m/>
    <m/>
    <m/>
    <m/>
    <m/>
    <n v="0"/>
    <n v="0"/>
    <n v="0"/>
    <n v="0"/>
    <n v="0"/>
    <n v="0"/>
    <n v="0"/>
    <n v="0"/>
    <n v="0"/>
    <n v="0"/>
    <n v="0"/>
    <s v="MMR012CMP003"/>
    <x v="1"/>
  </r>
  <r>
    <x v="109"/>
    <n v="2013"/>
    <d v="2013-02-15T00:00:00"/>
    <x v="12"/>
    <m/>
    <x v="0"/>
    <x v="6"/>
    <s v="Tha Dar"/>
    <n v="205"/>
    <m/>
    <m/>
    <m/>
    <m/>
    <m/>
    <m/>
    <m/>
    <m/>
    <m/>
    <m/>
    <n v="0"/>
    <n v="0"/>
    <n v="0"/>
    <n v="0"/>
    <n v="0"/>
    <n v="0"/>
    <n v="0"/>
    <n v="0"/>
    <n v="0"/>
    <n v="0"/>
    <n v="0"/>
    <s v="MMR012CMP002"/>
    <x v="1"/>
  </r>
  <r>
    <x v="109"/>
    <n v="2013"/>
    <d v="2013-02-15T00:00:00"/>
    <x v="12"/>
    <m/>
    <x v="0"/>
    <x v="6"/>
    <s v="Thay Kan"/>
    <n v="35"/>
    <m/>
    <m/>
    <m/>
    <m/>
    <m/>
    <m/>
    <m/>
    <m/>
    <m/>
    <m/>
    <n v="0"/>
    <n v="0"/>
    <n v="0"/>
    <n v="0"/>
    <n v="0"/>
    <n v="0"/>
    <n v="0"/>
    <n v="0"/>
    <n v="0"/>
    <n v="0"/>
    <n v="0"/>
    <s v="MMR012CMP007"/>
    <x v="4"/>
  </r>
  <r>
    <x v="109"/>
    <n v="2013"/>
    <d v="2013-02-15T00:00:00"/>
    <x v="12"/>
    <m/>
    <x v="0"/>
    <x v="7"/>
    <s v="Yai Thei-Muslim"/>
    <n v="360"/>
    <m/>
    <m/>
    <m/>
    <m/>
    <m/>
    <m/>
    <m/>
    <m/>
    <m/>
    <m/>
    <n v="0"/>
    <n v="0"/>
    <n v="0"/>
    <n v="0"/>
    <n v="0"/>
    <n v="0"/>
    <n v="0"/>
    <n v="0"/>
    <n v="0"/>
    <n v="0"/>
    <n v="0"/>
    <s v="MMR012CMP010"/>
    <x v="1"/>
  </r>
  <r>
    <x v="110"/>
    <n v="2013"/>
    <d v="2013-02-14T00:00:00"/>
    <x v="0"/>
    <m/>
    <x v="0"/>
    <x v="8"/>
    <s v="Ywa thit Kay"/>
    <m/>
    <n v="20"/>
    <m/>
    <n v="40"/>
    <n v="20"/>
    <n v="40"/>
    <n v="20"/>
    <n v="20"/>
    <n v="20"/>
    <m/>
    <n v="40"/>
    <n v="0"/>
    <n v="0"/>
    <n v="0"/>
    <n v="0"/>
    <n v="0"/>
    <n v="0"/>
    <n v="0"/>
    <n v="0"/>
    <n v="0"/>
    <n v="0"/>
    <n v="0"/>
    <s v="MMR012CMP085"/>
    <x v="0"/>
  </r>
  <r>
    <x v="110"/>
    <n v="2013"/>
    <d v="2013-02-14T00:00:00"/>
    <x v="0"/>
    <m/>
    <x v="0"/>
    <x v="8"/>
    <s v="Ywa thit Kay"/>
    <m/>
    <m/>
    <n v="40"/>
    <n v="81"/>
    <n v="20"/>
    <m/>
    <m/>
    <m/>
    <m/>
    <m/>
    <m/>
    <n v="0"/>
    <n v="0"/>
    <n v="0"/>
    <n v="0"/>
    <n v="0"/>
    <n v="0"/>
    <n v="0"/>
    <n v="0"/>
    <n v="0"/>
    <n v="0"/>
    <n v="0"/>
    <s v="MMR012CMP085"/>
    <x v="0"/>
  </r>
  <r>
    <x v="111"/>
    <n v="2013"/>
    <d v="2013-02-08T00:00:00"/>
    <x v="12"/>
    <m/>
    <x v="0"/>
    <x v="0"/>
    <s v="Ka Nyin Taw"/>
    <n v="71"/>
    <m/>
    <m/>
    <m/>
    <m/>
    <m/>
    <m/>
    <m/>
    <m/>
    <m/>
    <m/>
    <n v="0"/>
    <n v="0"/>
    <n v="0"/>
    <n v="0"/>
    <n v="0"/>
    <n v="0"/>
    <n v="0"/>
    <n v="0"/>
    <n v="0"/>
    <n v="0"/>
    <n v="0"/>
    <s v="MMR012CMP036"/>
    <x v="0"/>
  </r>
  <r>
    <x v="111"/>
    <n v="2013"/>
    <d v="2013-02-08T00:00:00"/>
    <x v="12"/>
    <m/>
    <x v="0"/>
    <x v="2"/>
    <s v="Kan Thar Htwat Wa"/>
    <n v="45"/>
    <m/>
    <m/>
    <m/>
    <m/>
    <m/>
    <m/>
    <m/>
    <m/>
    <m/>
    <m/>
    <n v="0"/>
    <n v="0"/>
    <n v="0"/>
    <n v="0"/>
    <n v="0"/>
    <n v="0"/>
    <n v="0"/>
    <n v="0"/>
    <n v="0"/>
    <n v="0"/>
    <n v="0"/>
    <s v="MMR012CMP013"/>
    <x v="0"/>
  </r>
  <r>
    <x v="111"/>
    <n v="2013"/>
    <d v="2013-02-08T00:00:00"/>
    <x v="12"/>
    <m/>
    <x v="0"/>
    <x v="0"/>
    <s v="Kyauk Ta Lone"/>
    <n v="418"/>
    <m/>
    <m/>
    <m/>
    <m/>
    <m/>
    <m/>
    <m/>
    <m/>
    <m/>
    <m/>
    <n v="0"/>
    <n v="0"/>
    <n v="0"/>
    <n v="0"/>
    <n v="0"/>
    <n v="0"/>
    <n v="0"/>
    <n v="0"/>
    <n v="0"/>
    <n v="0"/>
    <n v="0"/>
    <s v="MMR012CMP035"/>
    <x v="0"/>
  </r>
  <r>
    <x v="111"/>
    <n v="2013"/>
    <d v="2013-02-08T00:00:00"/>
    <x v="12"/>
    <m/>
    <x v="0"/>
    <x v="9"/>
    <s v="Ramree Town"/>
    <n v="24"/>
    <m/>
    <m/>
    <m/>
    <m/>
    <m/>
    <m/>
    <m/>
    <m/>
    <m/>
    <m/>
    <n v="0"/>
    <n v="0"/>
    <n v="0"/>
    <n v="0"/>
    <n v="0"/>
    <n v="0"/>
    <n v="0"/>
    <n v="0"/>
    <n v="0"/>
    <n v="0"/>
    <n v="0"/>
    <s v="MMR012CMP038"/>
    <x v="0"/>
  </r>
  <r>
    <x v="111"/>
    <n v="2013"/>
    <d v="2013-02-08T00:00:00"/>
    <x v="12"/>
    <m/>
    <x v="0"/>
    <x v="9"/>
    <s v="Ramree Ward 6"/>
    <n v="97"/>
    <m/>
    <m/>
    <m/>
    <m/>
    <m/>
    <m/>
    <m/>
    <m/>
    <m/>
    <m/>
    <n v="0"/>
    <n v="0"/>
    <n v="0"/>
    <n v="0"/>
    <n v="0"/>
    <n v="0"/>
    <n v="0"/>
    <n v="0"/>
    <n v="0"/>
    <n v="0"/>
    <n v="0"/>
    <s v="MMR012CMP037"/>
    <x v="0"/>
  </r>
  <r>
    <x v="111"/>
    <n v="2013"/>
    <d v="2013-02-08T00:00:00"/>
    <x v="12"/>
    <m/>
    <x v="0"/>
    <x v="2"/>
    <s v="Taung Paw "/>
    <n v="705"/>
    <m/>
    <m/>
    <m/>
    <m/>
    <m/>
    <m/>
    <m/>
    <m/>
    <m/>
    <m/>
    <n v="0"/>
    <n v="0"/>
    <n v="0"/>
    <n v="0"/>
    <n v="0"/>
    <n v="0"/>
    <n v="0"/>
    <n v="0"/>
    <n v="0"/>
    <n v="0"/>
    <n v="0"/>
    <s v="MMR012CMP014"/>
    <x v="0"/>
  </r>
  <r>
    <x v="112"/>
    <n v="2013"/>
    <d v="2013-02-01T00:00:00"/>
    <x v="6"/>
    <s v="Save the Children"/>
    <x v="0"/>
    <x v="3"/>
    <s v="Ah Nauk Ywe"/>
    <n v="803"/>
    <m/>
    <m/>
    <m/>
    <m/>
    <m/>
    <m/>
    <m/>
    <m/>
    <m/>
    <m/>
    <n v="0"/>
    <n v="0"/>
    <n v="0"/>
    <n v="0"/>
    <n v="0"/>
    <n v="0"/>
    <n v="0"/>
    <n v="0"/>
    <n v="0"/>
    <n v="0"/>
    <n v="0"/>
    <s v="MMR012CMP016"/>
    <x v="0"/>
  </r>
  <r>
    <x v="112"/>
    <n v="2013"/>
    <d v="2013-02-01T00:00:00"/>
    <x v="6"/>
    <s v="Save the Children"/>
    <x v="0"/>
    <x v="3"/>
    <s v="Kyein Ni Pyin"/>
    <n v="858"/>
    <m/>
    <m/>
    <m/>
    <m/>
    <m/>
    <m/>
    <m/>
    <m/>
    <m/>
    <m/>
    <n v="0"/>
    <n v="0"/>
    <n v="0"/>
    <n v="0"/>
    <n v="0"/>
    <n v="0"/>
    <n v="0"/>
    <n v="0"/>
    <n v="0"/>
    <n v="0"/>
    <n v="0"/>
    <s v="MMR012CMP018"/>
    <x v="0"/>
  </r>
  <r>
    <x v="113"/>
    <n v="2013"/>
    <d v="2013-01-30T00:00:00"/>
    <x v="6"/>
    <s v="Save the Children"/>
    <x v="0"/>
    <x v="3"/>
    <s v="Sin Tet Maw"/>
    <n v="810"/>
    <m/>
    <m/>
    <m/>
    <m/>
    <m/>
    <m/>
    <m/>
    <m/>
    <m/>
    <m/>
    <n v="0"/>
    <n v="0"/>
    <n v="0"/>
    <n v="0"/>
    <n v="0"/>
    <n v="0"/>
    <n v="0"/>
    <n v="0"/>
    <n v="0"/>
    <n v="0"/>
    <n v="0"/>
    <s v="MMR012CMP019"/>
    <x v="0"/>
  </r>
  <r>
    <x v="114"/>
    <n v="2013"/>
    <d v="2013-01-24T00:00:00"/>
    <x v="6"/>
    <s v="Save the Children"/>
    <x v="0"/>
    <x v="1"/>
    <s v="Thet Kae Pyin "/>
    <n v="3100"/>
    <m/>
    <m/>
    <m/>
    <m/>
    <m/>
    <m/>
    <m/>
    <m/>
    <m/>
    <m/>
    <n v="0"/>
    <n v="0"/>
    <n v="0"/>
    <n v="0"/>
    <n v="0"/>
    <n v="0"/>
    <n v="0"/>
    <n v="0"/>
    <n v="0"/>
    <n v="0"/>
    <n v="0"/>
    <s v="MMR012CMP048"/>
    <x v="0"/>
  </r>
  <r>
    <x v="115"/>
    <n v="2013"/>
    <d v="2013-01-21T00:00:00"/>
    <x v="13"/>
    <s v="UNHCR"/>
    <x v="0"/>
    <x v="1"/>
    <s v="Ohn Taw Gyi 3"/>
    <m/>
    <m/>
    <m/>
    <m/>
    <m/>
    <n v="38"/>
    <m/>
    <m/>
    <m/>
    <m/>
    <m/>
    <n v="0"/>
    <n v="0"/>
    <n v="0"/>
    <n v="0"/>
    <n v="0"/>
    <n v="0"/>
    <n v="0"/>
    <n v="0"/>
    <n v="0"/>
    <n v="0"/>
    <n v="0"/>
    <s v="MMR012CMP090"/>
    <x v="4"/>
  </r>
  <r>
    <x v="116"/>
    <n v="2013"/>
    <d v="2013-01-18T00:00:00"/>
    <x v="0"/>
    <m/>
    <x v="0"/>
    <x v="8"/>
    <s v="Du Than Dar"/>
    <m/>
    <n v="63"/>
    <m/>
    <n v="126"/>
    <n v="63"/>
    <n v="126"/>
    <n v="63"/>
    <n v="63"/>
    <n v="63"/>
    <m/>
    <n v="126"/>
    <n v="0"/>
    <n v="0"/>
    <n v="0"/>
    <n v="0"/>
    <n v="0"/>
    <n v="0"/>
    <n v="0"/>
    <n v="0"/>
    <n v="0"/>
    <n v="0"/>
    <n v="0"/>
    <s v="MMR012CMP088"/>
    <x v="0"/>
  </r>
  <r>
    <x v="116"/>
    <n v="2013"/>
    <d v="2013-01-18T00:00:00"/>
    <x v="0"/>
    <m/>
    <x v="0"/>
    <x v="8"/>
    <s v="Du Than Dar"/>
    <m/>
    <m/>
    <n v="63"/>
    <n v="126"/>
    <n v="63"/>
    <n v="0"/>
    <m/>
    <m/>
    <m/>
    <m/>
    <m/>
    <n v="0"/>
    <n v="0"/>
    <n v="0"/>
    <n v="0"/>
    <n v="0"/>
    <n v="0"/>
    <n v="0"/>
    <n v="0"/>
    <n v="0"/>
    <n v="0"/>
    <n v="0"/>
    <s v="MMR012CMP088"/>
    <x v="0"/>
  </r>
  <r>
    <x v="116"/>
    <n v="2013"/>
    <d v="2013-01-18T00:00:00"/>
    <x v="13"/>
    <s v="UNHCR"/>
    <x v="0"/>
    <x v="1"/>
    <s v="Ohn Taw Gyi 3"/>
    <m/>
    <m/>
    <m/>
    <m/>
    <m/>
    <n v="50"/>
    <m/>
    <m/>
    <m/>
    <m/>
    <m/>
    <n v="0"/>
    <n v="0"/>
    <n v="0"/>
    <n v="0"/>
    <n v="0"/>
    <n v="0"/>
    <n v="0"/>
    <n v="0"/>
    <n v="0"/>
    <n v="0"/>
    <n v="0"/>
    <s v="MMR012CMP090"/>
    <x v="4"/>
  </r>
  <r>
    <x v="117"/>
    <n v="2013"/>
    <d v="2013-01-17T00:00:00"/>
    <x v="13"/>
    <s v="UNHCR"/>
    <x v="0"/>
    <x v="1"/>
    <s v="Ohn Taw Gyi 3"/>
    <m/>
    <m/>
    <m/>
    <m/>
    <m/>
    <n v="50"/>
    <m/>
    <m/>
    <m/>
    <m/>
    <m/>
    <n v="0"/>
    <n v="0"/>
    <n v="0"/>
    <n v="0"/>
    <n v="0"/>
    <n v="0"/>
    <n v="0"/>
    <n v="0"/>
    <n v="0"/>
    <n v="0"/>
    <n v="0"/>
    <s v="MMR012CMP090"/>
    <x v="4"/>
  </r>
  <r>
    <x v="118"/>
    <n v="2013"/>
    <d v="2013-01-10T00:00:00"/>
    <x v="0"/>
    <m/>
    <x v="0"/>
    <x v="8"/>
    <s v="Lamber Gone Nah"/>
    <m/>
    <n v="56"/>
    <m/>
    <n v="112"/>
    <n v="56"/>
    <n v="112"/>
    <n v="56"/>
    <n v="56"/>
    <n v="56"/>
    <m/>
    <n v="112"/>
    <n v="0"/>
    <n v="0"/>
    <n v="0"/>
    <n v="0"/>
    <n v="0"/>
    <n v="0"/>
    <n v="0"/>
    <n v="0"/>
    <n v="0"/>
    <n v="0"/>
    <n v="0"/>
    <s v="MMR012CMP087"/>
    <x v="4"/>
  </r>
  <r>
    <x v="118"/>
    <n v="2013"/>
    <d v="2013-01-10T00:00:00"/>
    <x v="0"/>
    <m/>
    <x v="0"/>
    <x v="8"/>
    <s v="Lamber Gone Nah"/>
    <m/>
    <m/>
    <n v="112"/>
    <n v="112"/>
    <n v="56"/>
    <n v="0"/>
    <m/>
    <m/>
    <m/>
    <m/>
    <m/>
    <n v="0"/>
    <n v="0"/>
    <n v="0"/>
    <n v="0"/>
    <n v="0"/>
    <n v="0"/>
    <n v="0"/>
    <n v="0"/>
    <n v="0"/>
    <n v="0"/>
    <n v="0"/>
    <s v="MMR012CMP087"/>
    <x v="4"/>
  </r>
  <r>
    <x v="118"/>
    <n v="2013"/>
    <d v="2013-01-10T00:00:00"/>
    <x v="13"/>
    <s v="UNHCR"/>
    <x v="0"/>
    <x v="1"/>
    <s v="Ohn Taw Gyi 3"/>
    <m/>
    <m/>
    <m/>
    <m/>
    <m/>
    <n v="45"/>
    <m/>
    <m/>
    <m/>
    <m/>
    <m/>
    <n v="0"/>
    <n v="0"/>
    <n v="0"/>
    <n v="0"/>
    <n v="0"/>
    <n v="0"/>
    <n v="0"/>
    <n v="0"/>
    <n v="0"/>
    <n v="0"/>
    <n v="0"/>
    <s v="MMR012CMP090"/>
    <x v="4"/>
  </r>
  <r>
    <x v="119"/>
    <n v="2013"/>
    <d v="2013-01-09T00:00:00"/>
    <x v="13"/>
    <s v="UNHCR"/>
    <x v="0"/>
    <x v="1"/>
    <s v="Ohn Taw Gyi 3"/>
    <m/>
    <m/>
    <m/>
    <m/>
    <m/>
    <n v="50"/>
    <m/>
    <m/>
    <m/>
    <m/>
    <m/>
    <n v="0"/>
    <n v="0"/>
    <n v="0"/>
    <n v="0"/>
    <n v="0"/>
    <n v="0"/>
    <n v="0"/>
    <n v="0"/>
    <n v="0"/>
    <n v="0"/>
    <n v="0"/>
    <s v="MMR012CMP090"/>
    <x v="4"/>
  </r>
  <r>
    <x v="120"/>
    <n v="2013"/>
    <d v="2013-01-07T00:00:00"/>
    <x v="0"/>
    <m/>
    <x v="0"/>
    <x v="4"/>
    <s v="Ah Htet Nan Yar"/>
    <m/>
    <n v="228"/>
    <m/>
    <n v="456"/>
    <n v="228"/>
    <n v="456"/>
    <n v="228"/>
    <n v="228"/>
    <n v="228"/>
    <m/>
    <n v="456"/>
    <n v="0"/>
    <n v="0"/>
    <n v="0"/>
    <n v="0"/>
    <n v="0"/>
    <n v="0"/>
    <n v="0"/>
    <n v="0"/>
    <n v="0"/>
    <n v="0"/>
    <n v="0"/>
    <s v="MMR012CMP034"/>
    <x v="0"/>
  </r>
  <r>
    <x v="120"/>
    <n v="2013"/>
    <d v="2013-01-07T00:00:00"/>
    <x v="0"/>
    <m/>
    <x v="0"/>
    <x v="4"/>
    <s v="Ah Htet Nan Yar"/>
    <m/>
    <m/>
    <n v="228"/>
    <n v="443"/>
    <n v="228"/>
    <n v="0"/>
    <m/>
    <m/>
    <m/>
    <m/>
    <m/>
    <n v="0"/>
    <n v="0"/>
    <n v="0"/>
    <n v="0"/>
    <n v="0"/>
    <n v="0"/>
    <n v="0"/>
    <n v="0"/>
    <n v="0"/>
    <n v="0"/>
    <n v="0"/>
    <s v="MMR012CMP034"/>
    <x v="0"/>
  </r>
  <r>
    <x v="120"/>
    <n v="2013"/>
    <d v="2013-01-07T00:00:00"/>
    <x v="0"/>
    <m/>
    <x v="0"/>
    <x v="8"/>
    <s v="Myoma Myauk"/>
    <m/>
    <n v="93"/>
    <m/>
    <n v="186"/>
    <n v="93"/>
    <n v="186"/>
    <n v="93"/>
    <n v="93"/>
    <n v="93"/>
    <m/>
    <n v="186"/>
    <n v="0"/>
    <n v="0"/>
    <n v="0"/>
    <n v="0"/>
    <n v="0"/>
    <n v="0"/>
    <n v="0"/>
    <n v="0"/>
    <n v="0"/>
    <n v="0"/>
    <n v="0"/>
    <s v=""/>
    <x v="3"/>
  </r>
  <r>
    <x v="120"/>
    <n v="2013"/>
    <d v="2013-01-07T00:00:00"/>
    <x v="0"/>
    <m/>
    <x v="0"/>
    <x v="8"/>
    <s v="Myoma Myauk"/>
    <m/>
    <m/>
    <n v="186"/>
    <n v="186"/>
    <n v="93"/>
    <n v="0"/>
    <m/>
    <m/>
    <m/>
    <m/>
    <m/>
    <n v="0"/>
    <n v="0"/>
    <n v="0"/>
    <n v="0"/>
    <n v="0"/>
    <n v="0"/>
    <n v="0"/>
    <n v="0"/>
    <n v="0"/>
    <n v="0"/>
    <n v="0"/>
    <s v=""/>
    <x v="3"/>
  </r>
  <r>
    <x v="121"/>
    <n v="2013"/>
    <d v="2013-01-01T00:00:00"/>
    <x v="7"/>
    <s v="CDN"/>
    <x v="0"/>
    <x v="1"/>
    <s v="Basare"/>
    <n v="20"/>
    <m/>
    <m/>
    <m/>
    <m/>
    <m/>
    <m/>
    <m/>
    <m/>
    <m/>
    <m/>
    <n v="0"/>
    <n v="0"/>
    <n v="0"/>
    <n v="0"/>
    <n v="0"/>
    <n v="0"/>
    <n v="0"/>
    <n v="0"/>
    <n v="0"/>
    <n v="0"/>
    <n v="0"/>
    <s v="MMR012CMP039"/>
    <x v="0"/>
  </r>
  <r>
    <x v="121"/>
    <n v="2013"/>
    <d v="2013-01-01T00:00:00"/>
    <x v="11"/>
    <s v="Solidarities International"/>
    <x v="0"/>
    <x v="1"/>
    <s v="Baw Du Pha"/>
    <n v="4390"/>
    <m/>
    <m/>
    <m/>
    <m/>
    <m/>
    <m/>
    <m/>
    <m/>
    <m/>
    <m/>
    <n v="0"/>
    <n v="0"/>
    <n v="0"/>
    <n v="0"/>
    <n v="0"/>
    <n v="0"/>
    <n v="0"/>
    <n v="0"/>
    <n v="0"/>
    <n v="0"/>
    <n v="0"/>
    <s v="MMR012CMP040"/>
    <x v="4"/>
  </r>
  <r>
    <x v="121"/>
    <n v="2013"/>
    <d v="2013-01-01T00:00:00"/>
    <x v="11"/>
    <s v="Solidarities International"/>
    <x v="0"/>
    <x v="1"/>
    <s v="Dar Pai"/>
    <n v="3758"/>
    <m/>
    <m/>
    <m/>
    <m/>
    <m/>
    <m/>
    <m/>
    <m/>
    <m/>
    <m/>
    <n v="0"/>
    <n v="0"/>
    <n v="0"/>
    <n v="0"/>
    <n v="0"/>
    <n v="0"/>
    <n v="0"/>
    <n v="0"/>
    <n v="0"/>
    <n v="0"/>
    <n v="0"/>
    <s v="MMR012CMP041"/>
    <x v="0"/>
  </r>
  <r>
    <x v="121"/>
    <n v="2013"/>
    <d v="2013-01-01T00:00:00"/>
    <x v="7"/>
    <s v="CDN"/>
    <x v="0"/>
    <x v="1"/>
    <s v="Khaung Doke Khar "/>
    <n v="722"/>
    <m/>
    <m/>
    <m/>
    <m/>
    <m/>
    <m/>
    <m/>
    <m/>
    <m/>
    <m/>
    <n v="0"/>
    <n v="0"/>
    <n v="0"/>
    <n v="0"/>
    <n v="0"/>
    <n v="0"/>
    <n v="0"/>
    <n v="0"/>
    <n v="0"/>
    <n v="0"/>
    <n v="0"/>
    <s v="MMR012CMP042"/>
    <x v="0"/>
  </r>
  <r>
    <x v="121"/>
    <n v="2013"/>
    <d v="2013-01-01T00:00:00"/>
    <x v="14"/>
    <s v="ABCD"/>
    <x v="0"/>
    <x v="1"/>
    <s v="Mingan"/>
    <n v="80"/>
    <m/>
    <m/>
    <m/>
    <m/>
    <m/>
    <m/>
    <m/>
    <m/>
    <m/>
    <m/>
    <n v="0"/>
    <n v="0"/>
    <n v="0"/>
    <n v="0"/>
    <n v="0"/>
    <n v="0"/>
    <n v="0"/>
    <n v="0"/>
    <n v="0"/>
    <n v="0"/>
    <n v="0"/>
    <s v="MMR012CMP054"/>
    <x v="4"/>
  </r>
  <r>
    <x v="121"/>
    <n v="2013"/>
    <d v="2013-01-01T00:00:00"/>
    <x v="14"/>
    <s v="ABCD"/>
    <x v="0"/>
    <x v="6"/>
    <s v="Myat Buddha Mandine Monastery"/>
    <n v="50"/>
    <m/>
    <m/>
    <m/>
    <m/>
    <m/>
    <m/>
    <m/>
    <m/>
    <m/>
    <m/>
    <n v="0"/>
    <n v="0"/>
    <n v="0"/>
    <n v="0"/>
    <n v="0"/>
    <n v="0"/>
    <n v="0"/>
    <n v="0"/>
    <n v="0"/>
    <n v="0"/>
    <n v="0"/>
    <s v="MMR012CMP011"/>
    <x v="4"/>
  </r>
  <r>
    <x v="121"/>
    <n v="2013"/>
    <d v="2013-01-01T00:00:00"/>
    <x v="14"/>
    <s v="ABCD"/>
    <x v="0"/>
    <x v="1"/>
    <s v="Set Yone Su"/>
    <n v="220"/>
    <m/>
    <m/>
    <m/>
    <m/>
    <m/>
    <m/>
    <m/>
    <m/>
    <m/>
    <m/>
    <n v="0"/>
    <n v="0"/>
    <n v="0"/>
    <n v="0"/>
    <n v="0"/>
    <n v="0"/>
    <n v="0"/>
    <n v="0"/>
    <n v="0"/>
    <n v="0"/>
    <n v="0"/>
    <s v="MMR012CMP056"/>
    <x v="2"/>
  </r>
  <r>
    <x v="121"/>
    <n v="2013"/>
    <d v="2013-01-01T00:00:00"/>
    <x v="11"/>
    <s v="Solidarities International"/>
    <x v="0"/>
    <x v="1"/>
    <s v="Set Yone Su"/>
    <n v="220"/>
    <m/>
    <m/>
    <m/>
    <m/>
    <m/>
    <m/>
    <m/>
    <m/>
    <m/>
    <m/>
    <n v="0"/>
    <n v="0"/>
    <n v="0"/>
    <n v="0"/>
    <n v="0"/>
    <n v="0"/>
    <n v="0"/>
    <n v="0"/>
    <n v="0"/>
    <n v="0"/>
    <n v="0"/>
    <s v="MMR012CMP056"/>
    <x v="2"/>
  </r>
  <r>
    <x v="121"/>
    <n v="2013"/>
    <d v="2013-01-01T00:00:00"/>
    <x v="11"/>
    <s v="Solidarities International"/>
    <x v="0"/>
    <x v="1"/>
    <s v="Thae Chaung"/>
    <n v="2939"/>
    <m/>
    <m/>
    <m/>
    <m/>
    <m/>
    <m/>
    <m/>
    <m/>
    <m/>
    <m/>
    <n v="0"/>
    <n v="0"/>
    <n v="0"/>
    <n v="0"/>
    <n v="0"/>
    <n v="0"/>
    <n v="0"/>
    <n v="0"/>
    <n v="0"/>
    <n v="0"/>
    <n v="0"/>
    <s v="MMR012CMP046"/>
    <x v="0"/>
  </r>
  <r>
    <x v="122"/>
    <n v="2012"/>
    <d v="2012-12-24T00:00:00"/>
    <x v="0"/>
    <m/>
    <x v="0"/>
    <x v="3"/>
    <s v="Ah Nauk Ywe"/>
    <m/>
    <m/>
    <m/>
    <m/>
    <n v="758"/>
    <m/>
    <m/>
    <m/>
    <m/>
    <m/>
    <m/>
    <n v="0"/>
    <n v="0"/>
    <n v="0"/>
    <n v="0"/>
    <n v="0"/>
    <n v="0"/>
    <n v="0"/>
    <n v="0"/>
    <n v="0"/>
    <n v="0"/>
    <n v="0"/>
    <s v="MMR012CMP016"/>
    <x v="0"/>
  </r>
  <r>
    <x v="122"/>
    <n v="2012"/>
    <d v="2012-12-24T00:00:00"/>
    <x v="0"/>
    <m/>
    <x v="0"/>
    <x v="3"/>
    <s v="Nget Chaung"/>
    <m/>
    <m/>
    <m/>
    <m/>
    <n v="1306"/>
    <m/>
    <m/>
    <m/>
    <m/>
    <m/>
    <m/>
    <n v="0"/>
    <n v="0"/>
    <n v="0"/>
    <n v="0"/>
    <n v="0"/>
    <n v="0"/>
    <n v="0"/>
    <n v="0"/>
    <n v="0"/>
    <n v="0"/>
    <n v="0"/>
    <s v="MMR012CMP017"/>
    <x v="0"/>
  </r>
  <r>
    <x v="122"/>
    <n v="2012"/>
    <d v="2012-12-24T00:00:00"/>
    <x v="0"/>
    <m/>
    <x v="0"/>
    <x v="3"/>
    <s v="Sin Tet Maw"/>
    <m/>
    <m/>
    <m/>
    <m/>
    <n v="796"/>
    <m/>
    <m/>
    <m/>
    <m/>
    <m/>
    <m/>
    <n v="0"/>
    <n v="0"/>
    <n v="0"/>
    <n v="0"/>
    <n v="0"/>
    <n v="0"/>
    <n v="0"/>
    <n v="0"/>
    <n v="0"/>
    <n v="0"/>
    <n v="0"/>
    <s v="MMR012CMP019"/>
    <x v="0"/>
  </r>
  <r>
    <x v="123"/>
    <n v="2012"/>
    <d v="2012-12-23T00:00:00"/>
    <x v="0"/>
    <m/>
    <x v="0"/>
    <x v="8"/>
    <m/>
    <m/>
    <m/>
    <n v="3000"/>
    <m/>
    <m/>
    <m/>
    <m/>
    <m/>
    <m/>
    <m/>
    <m/>
    <n v="0"/>
    <n v="0"/>
    <n v="0"/>
    <n v="0"/>
    <n v="0"/>
    <n v="0"/>
    <n v="0"/>
    <n v="0"/>
    <n v="0"/>
    <n v="0"/>
    <n v="0"/>
    <s v=""/>
    <x v="3"/>
  </r>
  <r>
    <x v="123"/>
    <n v="2012"/>
    <d v="2012-12-23T00:00:00"/>
    <x v="0"/>
    <m/>
    <x v="0"/>
    <x v="8"/>
    <m/>
    <m/>
    <m/>
    <m/>
    <m/>
    <n v="1180"/>
    <m/>
    <m/>
    <m/>
    <m/>
    <m/>
    <m/>
    <n v="0"/>
    <n v="0"/>
    <n v="0"/>
    <n v="0"/>
    <n v="0"/>
    <n v="0"/>
    <n v="0"/>
    <n v="0"/>
    <n v="0"/>
    <n v="0"/>
    <n v="0"/>
    <s v=""/>
    <x v="3"/>
  </r>
  <r>
    <x v="124"/>
    <n v="2012"/>
    <d v="2012-12-18T00:00:00"/>
    <x v="0"/>
    <m/>
    <x v="0"/>
    <x v="5"/>
    <s v="Nidin"/>
    <m/>
    <m/>
    <m/>
    <n v="160"/>
    <n v="80"/>
    <n v="160"/>
    <n v="80"/>
    <n v="80"/>
    <m/>
    <m/>
    <m/>
    <n v="0"/>
    <n v="0"/>
    <n v="0"/>
    <n v="0"/>
    <n v="0"/>
    <n v="0"/>
    <n v="0"/>
    <n v="0"/>
    <n v="0"/>
    <n v="0"/>
    <n v="0"/>
    <s v="MMR012CMP023"/>
    <x v="0"/>
  </r>
  <r>
    <x v="124"/>
    <n v="2012"/>
    <d v="2012-12-18T00:00:00"/>
    <x v="0"/>
    <m/>
    <x v="0"/>
    <x v="5"/>
    <s v="Taung Bwe"/>
    <m/>
    <m/>
    <m/>
    <n v="174"/>
    <m/>
    <n v="174"/>
    <m/>
    <m/>
    <m/>
    <m/>
    <m/>
    <n v="0"/>
    <n v="0"/>
    <n v="0"/>
    <n v="0"/>
    <n v="0"/>
    <n v="0"/>
    <n v="0"/>
    <n v="0"/>
    <n v="0"/>
    <n v="0"/>
    <n v="0"/>
    <s v="MMR012CMP021"/>
    <x v="1"/>
  </r>
  <r>
    <x v="125"/>
    <n v="2012"/>
    <d v="2012-12-17T00:00:00"/>
    <x v="0"/>
    <m/>
    <x v="0"/>
    <x v="2"/>
    <s v="Taung Paw "/>
    <m/>
    <m/>
    <m/>
    <n v="632"/>
    <m/>
    <n v="632"/>
    <m/>
    <m/>
    <m/>
    <m/>
    <m/>
    <n v="0"/>
    <n v="0"/>
    <n v="0"/>
    <n v="0"/>
    <n v="0"/>
    <n v="0"/>
    <n v="0"/>
    <n v="0"/>
    <n v="0"/>
    <n v="0"/>
    <n v="0"/>
    <s v="MMR012CMP014"/>
    <x v="0"/>
  </r>
  <r>
    <x v="125"/>
    <n v="2012"/>
    <d v="2012-12-17T00:00:00"/>
    <x v="0"/>
    <m/>
    <x v="0"/>
    <x v="6"/>
    <s v="Tha Dar"/>
    <m/>
    <m/>
    <m/>
    <n v="406"/>
    <m/>
    <m/>
    <m/>
    <m/>
    <m/>
    <m/>
    <m/>
    <n v="0"/>
    <n v="0"/>
    <n v="0"/>
    <n v="0"/>
    <n v="0"/>
    <n v="0"/>
    <n v="0"/>
    <n v="0"/>
    <n v="0"/>
    <n v="0"/>
    <n v="0"/>
    <s v="MMR012CMP002"/>
    <x v="1"/>
  </r>
  <r>
    <x v="126"/>
    <n v="2012"/>
    <d v="2012-12-16T00:00:00"/>
    <x v="13"/>
    <s v="UNHCR"/>
    <x v="0"/>
    <x v="1"/>
    <s v="Hmanzi Junction"/>
    <m/>
    <m/>
    <m/>
    <m/>
    <m/>
    <n v="49"/>
    <m/>
    <m/>
    <m/>
    <m/>
    <m/>
    <n v="0"/>
    <n v="0"/>
    <n v="0"/>
    <n v="0"/>
    <n v="0"/>
    <n v="0"/>
    <n v="0"/>
    <n v="0"/>
    <n v="0"/>
    <n v="0"/>
    <n v="0"/>
    <s v="MMR012CMP049"/>
    <x v="4"/>
  </r>
  <r>
    <x v="126"/>
    <n v="2012"/>
    <d v="2012-12-16T00:00:00"/>
    <x v="13"/>
    <s v="UNHCR"/>
    <x v="0"/>
    <x v="1"/>
    <s v="Hmanzi Junction"/>
    <m/>
    <m/>
    <m/>
    <m/>
    <m/>
    <n v="11"/>
    <m/>
    <m/>
    <m/>
    <m/>
    <m/>
    <n v="0"/>
    <n v="0"/>
    <n v="0"/>
    <n v="0"/>
    <n v="0"/>
    <n v="0"/>
    <n v="0"/>
    <n v="0"/>
    <n v="0"/>
    <n v="0"/>
    <n v="0"/>
    <s v="MMR012CMP049"/>
    <x v="4"/>
  </r>
  <r>
    <x v="127"/>
    <n v="2012"/>
    <d v="2012-12-15T00:00:00"/>
    <x v="0"/>
    <m/>
    <x v="0"/>
    <x v="6"/>
    <s v="Aung Taing"/>
    <m/>
    <m/>
    <m/>
    <n v="172"/>
    <m/>
    <m/>
    <m/>
    <m/>
    <m/>
    <m/>
    <m/>
    <n v="0"/>
    <n v="0"/>
    <n v="0"/>
    <n v="0"/>
    <n v="0"/>
    <n v="0"/>
    <n v="0"/>
    <n v="0"/>
    <n v="0"/>
    <n v="0"/>
    <n v="0"/>
    <s v="MMR012CMP006"/>
    <x v="1"/>
  </r>
  <r>
    <x v="127"/>
    <n v="2012"/>
    <d v="2012-12-15T00:00:00"/>
    <x v="0"/>
    <m/>
    <x v="0"/>
    <x v="6"/>
    <s v="Nagara Pauktaw"/>
    <m/>
    <m/>
    <m/>
    <m/>
    <m/>
    <n v="156"/>
    <m/>
    <m/>
    <m/>
    <m/>
    <m/>
    <n v="0"/>
    <n v="0"/>
    <n v="0"/>
    <n v="0"/>
    <n v="0"/>
    <n v="0"/>
    <n v="0"/>
    <n v="0"/>
    <n v="0"/>
    <n v="0"/>
    <n v="0"/>
    <s v="MMR012CMP004"/>
    <x v="4"/>
  </r>
  <r>
    <x v="127"/>
    <n v="2012"/>
    <d v="2012-12-15T00:00:00"/>
    <x v="0"/>
    <m/>
    <x v="0"/>
    <x v="7"/>
    <s v="Pa Rein"/>
    <m/>
    <m/>
    <m/>
    <n v="240"/>
    <m/>
    <m/>
    <m/>
    <m/>
    <m/>
    <m/>
    <m/>
    <n v="0"/>
    <n v="0"/>
    <n v="0"/>
    <n v="0"/>
    <n v="0"/>
    <n v="0"/>
    <n v="0"/>
    <n v="0"/>
    <n v="0"/>
    <n v="0"/>
    <n v="0"/>
    <s v="MMR012CMP009"/>
    <x v="1"/>
  </r>
  <r>
    <x v="127"/>
    <n v="2012"/>
    <d v="2012-12-15T00:00:00"/>
    <x v="0"/>
    <m/>
    <x v="0"/>
    <x v="6"/>
    <s v="Sam Ba Le"/>
    <m/>
    <m/>
    <m/>
    <n v="200"/>
    <m/>
    <m/>
    <m/>
    <m/>
    <m/>
    <m/>
    <m/>
    <n v="0"/>
    <n v="0"/>
    <n v="0"/>
    <n v="0"/>
    <n v="0"/>
    <n v="0"/>
    <n v="0"/>
    <n v="0"/>
    <n v="0"/>
    <n v="0"/>
    <n v="0"/>
    <s v="MMR012CMP008"/>
    <x v="1"/>
  </r>
  <r>
    <x v="127"/>
    <n v="2012"/>
    <d v="2012-12-15T00:00:00"/>
    <x v="0"/>
    <m/>
    <x v="0"/>
    <x v="6"/>
    <s v="San Htoe Tan"/>
    <m/>
    <m/>
    <m/>
    <m/>
    <m/>
    <m/>
    <n v="86"/>
    <m/>
    <m/>
    <m/>
    <m/>
    <n v="0"/>
    <n v="0"/>
    <n v="0"/>
    <n v="0"/>
    <n v="0"/>
    <n v="0"/>
    <n v="0"/>
    <n v="0"/>
    <n v="0"/>
    <n v="0"/>
    <n v="0"/>
    <s v="MMR012CMP003"/>
    <x v="1"/>
  </r>
  <r>
    <x v="127"/>
    <n v="2012"/>
    <d v="2012-12-15T00:00:00"/>
    <x v="0"/>
    <m/>
    <x v="0"/>
    <x v="6"/>
    <s v="Tha Dar"/>
    <m/>
    <m/>
    <m/>
    <m/>
    <m/>
    <n v="406"/>
    <m/>
    <m/>
    <m/>
    <m/>
    <m/>
    <n v="0"/>
    <n v="0"/>
    <n v="0"/>
    <n v="0"/>
    <n v="0"/>
    <n v="0"/>
    <n v="0"/>
    <n v="0"/>
    <n v="0"/>
    <n v="0"/>
    <n v="0"/>
    <s v="MMR012CMP002"/>
    <x v="1"/>
  </r>
  <r>
    <x v="128"/>
    <n v="2012"/>
    <d v="2012-12-14T00:00:00"/>
    <x v="13"/>
    <s v="UNHCR"/>
    <x v="0"/>
    <x v="1"/>
    <s v="Hmanzi Junction"/>
    <m/>
    <m/>
    <m/>
    <m/>
    <m/>
    <n v="55"/>
    <m/>
    <m/>
    <m/>
    <m/>
    <m/>
    <n v="0"/>
    <n v="0"/>
    <n v="0"/>
    <n v="0"/>
    <n v="0"/>
    <n v="0"/>
    <n v="0"/>
    <n v="0"/>
    <n v="0"/>
    <n v="0"/>
    <n v="0"/>
    <s v="MMR012CMP049"/>
    <x v="4"/>
  </r>
  <r>
    <x v="129"/>
    <n v="2012"/>
    <d v="2012-12-13T00:00:00"/>
    <x v="0"/>
    <m/>
    <x v="0"/>
    <x v="5"/>
    <s v="Ah Lel Kyun"/>
    <m/>
    <m/>
    <m/>
    <n v="180"/>
    <m/>
    <n v="180"/>
    <n v="90"/>
    <m/>
    <m/>
    <m/>
    <m/>
    <n v="0"/>
    <n v="0"/>
    <n v="0"/>
    <n v="0"/>
    <n v="0"/>
    <n v="0"/>
    <n v="0"/>
    <n v="0"/>
    <n v="0"/>
    <n v="0"/>
    <n v="0"/>
    <s v="MMR012CMP025"/>
    <x v="1"/>
  </r>
  <r>
    <x v="129"/>
    <n v="2012"/>
    <d v="2012-12-13T00:00:00"/>
    <x v="0"/>
    <m/>
    <x v="0"/>
    <x v="5"/>
    <s v="Ah Pauk Wa "/>
    <m/>
    <m/>
    <m/>
    <m/>
    <m/>
    <m/>
    <m/>
    <n v="90"/>
    <m/>
    <m/>
    <m/>
    <n v="0"/>
    <n v="0"/>
    <n v="0"/>
    <n v="0"/>
    <n v="0"/>
    <n v="0"/>
    <n v="0"/>
    <n v="0"/>
    <n v="0"/>
    <n v="0"/>
    <n v="0"/>
    <s v="MMR012CMP024"/>
    <x v="1"/>
  </r>
  <r>
    <x v="129"/>
    <n v="2012"/>
    <d v="2012-12-13T00:00:00"/>
    <x v="0"/>
    <m/>
    <x v="0"/>
    <x v="1"/>
    <s v="Basare"/>
    <m/>
    <m/>
    <n v="302"/>
    <m/>
    <m/>
    <m/>
    <m/>
    <m/>
    <m/>
    <m/>
    <m/>
    <n v="0"/>
    <n v="0"/>
    <n v="0"/>
    <n v="0"/>
    <n v="0"/>
    <n v="0"/>
    <n v="0"/>
    <n v="0"/>
    <n v="0"/>
    <n v="0"/>
    <n v="0"/>
    <s v="MMR012CMP039"/>
    <x v="0"/>
  </r>
  <r>
    <x v="129"/>
    <n v="2012"/>
    <d v="2012-12-13T00:00:00"/>
    <x v="0"/>
    <m/>
    <x v="0"/>
    <x v="1"/>
    <s v="Baw Du Pha"/>
    <m/>
    <m/>
    <n v="2142"/>
    <m/>
    <m/>
    <m/>
    <m/>
    <m/>
    <m/>
    <m/>
    <m/>
    <n v="0"/>
    <n v="0"/>
    <n v="0"/>
    <n v="0"/>
    <n v="0"/>
    <n v="0"/>
    <n v="0"/>
    <n v="0"/>
    <n v="0"/>
    <n v="0"/>
    <n v="0"/>
    <s v="MMR012CMP040"/>
    <x v="4"/>
  </r>
  <r>
    <x v="129"/>
    <n v="2012"/>
    <d v="2012-12-13T00:00:00"/>
    <x v="0"/>
    <m/>
    <x v="0"/>
    <x v="1"/>
    <s v="Dar Pai"/>
    <m/>
    <m/>
    <n v="1707"/>
    <m/>
    <m/>
    <m/>
    <m/>
    <m/>
    <m/>
    <m/>
    <m/>
    <n v="0"/>
    <n v="0"/>
    <n v="0"/>
    <n v="0"/>
    <n v="0"/>
    <n v="0"/>
    <n v="0"/>
    <n v="0"/>
    <n v="0"/>
    <n v="0"/>
    <n v="0"/>
    <s v="MMR012CMP041"/>
    <x v="0"/>
  </r>
  <r>
    <x v="129"/>
    <n v="2012"/>
    <d v="2012-12-13T00:00:00"/>
    <x v="0"/>
    <m/>
    <x v="0"/>
    <x v="5"/>
    <s v="Goke Pi Htaunt"/>
    <m/>
    <m/>
    <m/>
    <n v="232"/>
    <m/>
    <n v="232"/>
    <n v="105"/>
    <n v="116"/>
    <m/>
    <m/>
    <m/>
    <n v="0"/>
    <n v="0"/>
    <n v="0"/>
    <n v="0"/>
    <n v="0"/>
    <n v="0"/>
    <n v="0"/>
    <n v="0"/>
    <n v="0"/>
    <n v="0"/>
    <n v="0"/>
    <s v="MMR012CMP027"/>
    <x v="1"/>
  </r>
  <r>
    <x v="129"/>
    <n v="2012"/>
    <d v="2012-12-13T00:00:00"/>
    <x v="0"/>
    <m/>
    <x v="0"/>
    <x v="5"/>
    <s v="In Bar Yi"/>
    <m/>
    <m/>
    <m/>
    <n v="460"/>
    <m/>
    <n v="460"/>
    <n v="145"/>
    <m/>
    <m/>
    <m/>
    <m/>
    <n v="0"/>
    <n v="0"/>
    <n v="0"/>
    <n v="0"/>
    <n v="0"/>
    <n v="0"/>
    <n v="0"/>
    <n v="0"/>
    <n v="0"/>
    <n v="0"/>
    <n v="0"/>
    <s v="MMR012CMP026"/>
    <x v="1"/>
  </r>
  <r>
    <x v="129"/>
    <n v="2012"/>
    <d v="2012-12-13T00:00:00"/>
    <x v="0"/>
    <m/>
    <x v="0"/>
    <x v="1"/>
    <s v="Khaung Doke Khar "/>
    <m/>
    <m/>
    <n v="310"/>
    <m/>
    <m/>
    <m/>
    <m/>
    <m/>
    <m/>
    <m/>
    <m/>
    <n v="0"/>
    <n v="0"/>
    <n v="0"/>
    <n v="0"/>
    <n v="0"/>
    <n v="0"/>
    <n v="0"/>
    <n v="0"/>
    <n v="0"/>
    <n v="0"/>
    <n v="0"/>
    <s v="MMR012CMP042"/>
    <x v="0"/>
  </r>
  <r>
    <x v="129"/>
    <n v="2012"/>
    <d v="2012-12-13T00:00:00"/>
    <x v="0"/>
    <m/>
    <x v="0"/>
    <x v="5"/>
    <s v="Let Saung Kauk"/>
    <m/>
    <m/>
    <m/>
    <n v="36"/>
    <m/>
    <n v="36"/>
    <n v="18"/>
    <n v="18"/>
    <m/>
    <m/>
    <m/>
    <n v="0"/>
    <n v="0"/>
    <n v="0"/>
    <n v="0"/>
    <n v="0"/>
    <n v="0"/>
    <n v="0"/>
    <n v="0"/>
    <n v="0"/>
    <n v="0"/>
    <n v="0"/>
    <s v="MMR012CMP020"/>
    <x v="1"/>
  </r>
  <r>
    <x v="129"/>
    <n v="2012"/>
    <d v="2012-12-13T00:00:00"/>
    <x v="0"/>
    <m/>
    <x v="0"/>
    <x v="1"/>
    <s v="Ohn Taw Gyi 1"/>
    <m/>
    <m/>
    <n v="65"/>
    <m/>
    <m/>
    <m/>
    <m/>
    <m/>
    <m/>
    <m/>
    <m/>
    <n v="0"/>
    <n v="0"/>
    <n v="0"/>
    <n v="0"/>
    <n v="0"/>
    <n v="0"/>
    <n v="0"/>
    <n v="0"/>
    <n v="0"/>
    <n v="0"/>
    <n v="0"/>
    <s v="MMR012CMP043"/>
    <x v="4"/>
  </r>
  <r>
    <x v="129"/>
    <n v="2012"/>
    <d v="2012-12-13T00:00:00"/>
    <x v="0"/>
    <m/>
    <x v="0"/>
    <x v="6"/>
    <s v="Paik Thay"/>
    <m/>
    <m/>
    <m/>
    <n v="38"/>
    <m/>
    <n v="38"/>
    <n v="19"/>
    <m/>
    <m/>
    <m/>
    <m/>
    <n v="0"/>
    <n v="0"/>
    <n v="0"/>
    <n v="0"/>
    <n v="0"/>
    <n v="0"/>
    <n v="0"/>
    <n v="0"/>
    <n v="0"/>
    <n v="0"/>
    <n v="0"/>
    <s v="MMR012CMP001"/>
    <x v="1"/>
  </r>
  <r>
    <x v="129"/>
    <n v="2012"/>
    <d v="2012-12-13T00:00:00"/>
    <x v="0"/>
    <m/>
    <x v="0"/>
    <x v="1"/>
    <s v="Phwe Yar Kone"/>
    <m/>
    <m/>
    <n v="374"/>
    <m/>
    <m/>
    <m/>
    <m/>
    <m/>
    <m/>
    <m/>
    <m/>
    <n v="0"/>
    <n v="0"/>
    <n v="0"/>
    <n v="0"/>
    <n v="0"/>
    <n v="0"/>
    <n v="0"/>
    <n v="0"/>
    <n v="0"/>
    <n v="0"/>
    <n v="0"/>
    <s v="MMR012CMP044"/>
    <x v="4"/>
  </r>
  <r>
    <x v="129"/>
    <n v="2012"/>
    <d v="2012-12-13T00:00:00"/>
    <x v="0"/>
    <m/>
    <x v="0"/>
    <x v="1"/>
    <s v="Say Tha Mar Gyi"/>
    <m/>
    <m/>
    <n v="1460"/>
    <m/>
    <m/>
    <m/>
    <m/>
    <m/>
    <m/>
    <m/>
    <m/>
    <n v="0"/>
    <n v="0"/>
    <n v="0"/>
    <n v="0"/>
    <n v="0"/>
    <n v="0"/>
    <n v="0"/>
    <n v="0"/>
    <n v="0"/>
    <n v="0"/>
    <n v="0"/>
    <s v="MMR012CMP045"/>
    <x v="0"/>
  </r>
  <r>
    <x v="129"/>
    <n v="2012"/>
    <d v="2012-12-13T00:00:00"/>
    <x v="0"/>
    <m/>
    <x v="0"/>
    <x v="5"/>
    <s v="Shwe Hlaing"/>
    <m/>
    <m/>
    <m/>
    <n v="290"/>
    <m/>
    <m/>
    <m/>
    <m/>
    <m/>
    <m/>
    <m/>
    <n v="0"/>
    <n v="0"/>
    <n v="0"/>
    <n v="0"/>
    <n v="0"/>
    <n v="0"/>
    <n v="0"/>
    <n v="0"/>
    <n v="0"/>
    <n v="0"/>
    <n v="0"/>
    <s v="MMR012CMP029"/>
    <x v="1"/>
  </r>
  <r>
    <x v="129"/>
    <n v="2012"/>
    <d v="2012-12-13T00:00:00"/>
    <x v="0"/>
    <m/>
    <x v="0"/>
    <x v="5"/>
    <s v="Taung Bwe"/>
    <m/>
    <m/>
    <m/>
    <m/>
    <m/>
    <m/>
    <n v="87"/>
    <m/>
    <m/>
    <m/>
    <m/>
    <n v="0"/>
    <n v="0"/>
    <n v="0"/>
    <n v="0"/>
    <n v="0"/>
    <n v="0"/>
    <n v="0"/>
    <n v="0"/>
    <n v="0"/>
    <n v="0"/>
    <n v="0"/>
    <s v="MMR012CMP021"/>
    <x v="1"/>
  </r>
  <r>
    <x v="129"/>
    <n v="2012"/>
    <d v="2012-12-13T00:00:00"/>
    <x v="0"/>
    <m/>
    <x v="0"/>
    <x v="6"/>
    <s v="Tha Dar"/>
    <m/>
    <m/>
    <m/>
    <m/>
    <m/>
    <m/>
    <n v="203"/>
    <m/>
    <m/>
    <m/>
    <m/>
    <n v="0"/>
    <n v="0"/>
    <n v="0"/>
    <n v="0"/>
    <n v="0"/>
    <n v="0"/>
    <n v="0"/>
    <n v="0"/>
    <n v="0"/>
    <n v="0"/>
    <n v="0"/>
    <s v="MMR012CMP002"/>
    <x v="1"/>
  </r>
  <r>
    <x v="129"/>
    <n v="2012"/>
    <d v="2012-12-13T00:00:00"/>
    <x v="0"/>
    <m/>
    <x v="0"/>
    <x v="1"/>
    <s v="Thae Chaung"/>
    <m/>
    <m/>
    <n v="2813"/>
    <m/>
    <m/>
    <m/>
    <m/>
    <m/>
    <m/>
    <m/>
    <m/>
    <n v="0"/>
    <n v="0"/>
    <n v="0"/>
    <n v="0"/>
    <n v="0"/>
    <n v="0"/>
    <n v="0"/>
    <n v="0"/>
    <n v="0"/>
    <n v="0"/>
    <n v="0"/>
    <s v="MMR012CMP046"/>
    <x v="0"/>
  </r>
  <r>
    <x v="129"/>
    <n v="2012"/>
    <d v="2012-12-13T00:00:00"/>
    <x v="0"/>
    <m/>
    <x v="0"/>
    <x v="1"/>
    <s v="Thet Kae Pyin "/>
    <m/>
    <m/>
    <n v="1900"/>
    <m/>
    <m/>
    <m/>
    <m/>
    <m/>
    <m/>
    <m/>
    <m/>
    <n v="0"/>
    <n v="0"/>
    <n v="0"/>
    <n v="0"/>
    <n v="0"/>
    <n v="0"/>
    <n v="0"/>
    <n v="0"/>
    <n v="0"/>
    <n v="0"/>
    <n v="0"/>
    <s v="MMR012CMP048"/>
    <x v="0"/>
  </r>
  <r>
    <x v="129"/>
    <n v="2012"/>
    <d v="2012-12-13T00:00:00"/>
    <x v="0"/>
    <m/>
    <x v="0"/>
    <x v="5"/>
    <s v="Yun Nyar"/>
    <m/>
    <m/>
    <m/>
    <n v="214"/>
    <m/>
    <n v="214"/>
    <n v="107"/>
    <n v="107"/>
    <m/>
    <m/>
    <m/>
    <n v="0"/>
    <n v="0"/>
    <n v="0"/>
    <n v="0"/>
    <n v="0"/>
    <n v="0"/>
    <n v="0"/>
    <n v="0"/>
    <n v="0"/>
    <n v="0"/>
    <n v="0"/>
    <s v="MMR012CMP028"/>
    <x v="1"/>
  </r>
  <r>
    <x v="130"/>
    <n v="2012"/>
    <d v="2012-12-12T00:00:00"/>
    <x v="13"/>
    <s v="UNHCR"/>
    <x v="0"/>
    <x v="1"/>
    <s v="Hmanzi Junction"/>
    <m/>
    <m/>
    <m/>
    <m/>
    <m/>
    <n v="50"/>
    <m/>
    <m/>
    <m/>
    <m/>
    <m/>
    <n v="0"/>
    <n v="0"/>
    <n v="0"/>
    <n v="0"/>
    <n v="0"/>
    <n v="0"/>
    <n v="0"/>
    <n v="0"/>
    <n v="0"/>
    <n v="0"/>
    <n v="0"/>
    <s v="MMR012CMP049"/>
    <x v="4"/>
  </r>
  <r>
    <x v="130"/>
    <n v="2012"/>
    <d v="2012-12-12T00:00:00"/>
    <x v="0"/>
    <m/>
    <x v="0"/>
    <x v="1"/>
    <s v="Ma Gyi Myaing"/>
    <m/>
    <m/>
    <n v="85"/>
    <m/>
    <m/>
    <m/>
    <m/>
    <m/>
    <m/>
    <m/>
    <m/>
    <n v="0"/>
    <n v="0"/>
    <n v="0"/>
    <n v="0"/>
    <n v="0"/>
    <n v="0"/>
    <n v="0"/>
    <n v="0"/>
    <n v="0"/>
    <n v="0"/>
    <n v="0"/>
    <s v="MMR012CMP053"/>
    <x v="4"/>
  </r>
  <r>
    <x v="130"/>
    <n v="2012"/>
    <d v="2012-12-12T00:00:00"/>
    <x v="0"/>
    <m/>
    <x v="0"/>
    <x v="1"/>
    <s v="Mingan"/>
    <m/>
    <m/>
    <n v="53"/>
    <m/>
    <m/>
    <m/>
    <m/>
    <m/>
    <m/>
    <m/>
    <m/>
    <n v="0"/>
    <n v="0"/>
    <n v="0"/>
    <n v="0"/>
    <n v="0"/>
    <n v="0"/>
    <n v="0"/>
    <n v="0"/>
    <n v="0"/>
    <n v="0"/>
    <n v="0"/>
    <s v="MMR012CMP054"/>
    <x v="4"/>
  </r>
  <r>
    <x v="130"/>
    <n v="2012"/>
    <d v="2012-12-12T00:00:00"/>
    <x v="0"/>
    <m/>
    <x v="0"/>
    <x v="1"/>
    <s v="Set Yone Su"/>
    <m/>
    <m/>
    <n v="195"/>
    <m/>
    <m/>
    <m/>
    <m/>
    <m/>
    <m/>
    <m/>
    <m/>
    <n v="0"/>
    <n v="0"/>
    <n v="0"/>
    <n v="0"/>
    <n v="0"/>
    <n v="0"/>
    <n v="0"/>
    <n v="0"/>
    <n v="0"/>
    <n v="0"/>
    <n v="0"/>
    <s v="MMR012CMP056"/>
    <x v="2"/>
  </r>
  <r>
    <x v="131"/>
    <n v="2012"/>
    <d v="2012-12-10T00:00:00"/>
    <x v="0"/>
    <m/>
    <x v="0"/>
    <x v="0"/>
    <s v="Ka Nyin Taw"/>
    <m/>
    <m/>
    <m/>
    <n v="170"/>
    <n v="85"/>
    <n v="170"/>
    <n v="85"/>
    <m/>
    <m/>
    <m/>
    <m/>
    <n v="0"/>
    <n v="0"/>
    <n v="0"/>
    <n v="0"/>
    <n v="0"/>
    <n v="0"/>
    <n v="0"/>
    <n v="0"/>
    <n v="0"/>
    <n v="0"/>
    <n v="0"/>
    <s v="MMR012CMP036"/>
    <x v="0"/>
  </r>
  <r>
    <x v="131"/>
    <n v="2012"/>
    <d v="2012-12-10T00:00:00"/>
    <x v="0"/>
    <m/>
    <x v="0"/>
    <x v="0"/>
    <s v="Kyauk Ta Lone"/>
    <m/>
    <m/>
    <m/>
    <n v="826"/>
    <n v="213"/>
    <n v="826"/>
    <n v="413"/>
    <m/>
    <m/>
    <m/>
    <m/>
    <n v="0"/>
    <n v="0"/>
    <n v="0"/>
    <n v="0"/>
    <n v="0"/>
    <n v="0"/>
    <n v="0"/>
    <n v="0"/>
    <n v="0"/>
    <n v="0"/>
    <n v="0"/>
    <s v="MMR012CMP035"/>
    <x v="0"/>
  </r>
  <r>
    <x v="132"/>
    <n v="2012"/>
    <d v="2012-12-05T00:00:00"/>
    <x v="13"/>
    <s v="UNHCR"/>
    <x v="0"/>
    <x v="1"/>
    <s v="Hmanzi Junction"/>
    <m/>
    <m/>
    <m/>
    <m/>
    <m/>
    <n v="50"/>
    <m/>
    <m/>
    <m/>
    <m/>
    <m/>
    <n v="0"/>
    <n v="0"/>
    <n v="0"/>
    <n v="0"/>
    <n v="0"/>
    <n v="0"/>
    <n v="0"/>
    <n v="0"/>
    <n v="0"/>
    <n v="0"/>
    <n v="0"/>
    <s v="MMR012CMP049"/>
    <x v="4"/>
  </r>
  <r>
    <x v="133"/>
    <n v="2012"/>
    <d v="2012-12-03T00:00:00"/>
    <x v="13"/>
    <s v="UNHCR"/>
    <x v="0"/>
    <x v="1"/>
    <s v="Thet Kae Pyin "/>
    <m/>
    <m/>
    <m/>
    <m/>
    <m/>
    <n v="92"/>
    <m/>
    <m/>
    <m/>
    <m/>
    <m/>
    <n v="0"/>
    <n v="0"/>
    <n v="0"/>
    <n v="0"/>
    <n v="0"/>
    <n v="0"/>
    <n v="0"/>
    <n v="0"/>
    <n v="0"/>
    <n v="0"/>
    <n v="0"/>
    <s v="MMR012CMP048"/>
    <x v="0"/>
  </r>
  <r>
    <x v="134"/>
    <n v="2012"/>
    <d v="2012-11-30T00:00:00"/>
    <x v="0"/>
    <m/>
    <x v="0"/>
    <x v="6"/>
    <s v="Aung Taing"/>
    <m/>
    <m/>
    <m/>
    <m/>
    <m/>
    <n v="172"/>
    <n v="46"/>
    <m/>
    <m/>
    <m/>
    <m/>
    <n v="0"/>
    <n v="0"/>
    <n v="0"/>
    <n v="0"/>
    <n v="0"/>
    <n v="0"/>
    <n v="0"/>
    <n v="0"/>
    <n v="0"/>
    <n v="0"/>
    <n v="0"/>
    <s v="MMR012CMP006"/>
    <x v="1"/>
  </r>
  <r>
    <x v="134"/>
    <n v="2012"/>
    <d v="2012-11-30T00:00:00"/>
    <x v="0"/>
    <m/>
    <x v="0"/>
    <x v="1"/>
    <s v="Bu May Ohn Taw"/>
    <m/>
    <m/>
    <m/>
    <m/>
    <n v="130"/>
    <m/>
    <m/>
    <m/>
    <m/>
    <m/>
    <m/>
    <n v="0"/>
    <n v="0"/>
    <n v="0"/>
    <n v="0"/>
    <n v="0"/>
    <n v="0"/>
    <n v="0"/>
    <n v="0"/>
    <n v="0"/>
    <n v="0"/>
    <n v="0"/>
    <s v="MMR012CMP051"/>
    <x v="4"/>
  </r>
  <r>
    <x v="134"/>
    <n v="2012"/>
    <d v="2012-11-30T00:00:00"/>
    <x v="0"/>
    <m/>
    <x v="0"/>
    <x v="1"/>
    <s v="Bu May Ohn Taw"/>
    <m/>
    <m/>
    <m/>
    <m/>
    <n v="314"/>
    <m/>
    <m/>
    <m/>
    <m/>
    <m/>
    <m/>
    <n v="0"/>
    <n v="0"/>
    <n v="0"/>
    <n v="0"/>
    <n v="0"/>
    <n v="0"/>
    <n v="0"/>
    <n v="0"/>
    <n v="0"/>
    <n v="0"/>
    <n v="0"/>
    <s v="MMR012CMP051"/>
    <x v="4"/>
  </r>
  <r>
    <x v="134"/>
    <n v="2012"/>
    <d v="2012-11-30T00:00:00"/>
    <x v="0"/>
    <m/>
    <x v="0"/>
    <x v="2"/>
    <s v="Kan Thar Htwat Wa"/>
    <m/>
    <m/>
    <m/>
    <n v="88"/>
    <n v="44"/>
    <n v="88"/>
    <n v="44"/>
    <n v="44"/>
    <m/>
    <m/>
    <m/>
    <n v="0"/>
    <n v="0"/>
    <n v="0"/>
    <n v="0"/>
    <n v="0"/>
    <n v="0"/>
    <n v="0"/>
    <n v="0"/>
    <n v="0"/>
    <n v="0"/>
    <n v="0"/>
    <s v="MMR012CMP013"/>
    <x v="0"/>
  </r>
  <r>
    <x v="134"/>
    <n v="2012"/>
    <d v="2012-11-30T00:00:00"/>
    <x v="0"/>
    <m/>
    <x v="0"/>
    <x v="1"/>
    <s v="Pa Lin Pyin Ywar Thit"/>
    <m/>
    <m/>
    <m/>
    <m/>
    <n v="822"/>
    <m/>
    <m/>
    <m/>
    <m/>
    <m/>
    <m/>
    <n v="0"/>
    <n v="0"/>
    <n v="0"/>
    <n v="0"/>
    <n v="0"/>
    <n v="0"/>
    <n v="0"/>
    <n v="0"/>
    <n v="0"/>
    <n v="0"/>
    <n v="0"/>
    <s v="MMR012CMP050"/>
    <x v="4"/>
  </r>
  <r>
    <x v="134"/>
    <n v="2012"/>
    <d v="2012-11-30T00:00:00"/>
    <x v="0"/>
    <m/>
    <x v="0"/>
    <x v="2"/>
    <s v="Taung Paw "/>
    <m/>
    <m/>
    <m/>
    <m/>
    <m/>
    <m/>
    <m/>
    <n v="705"/>
    <m/>
    <m/>
    <m/>
    <n v="0"/>
    <n v="0"/>
    <n v="0"/>
    <n v="0"/>
    <n v="0"/>
    <n v="0"/>
    <n v="0"/>
    <n v="0"/>
    <n v="0"/>
    <n v="0"/>
    <n v="0"/>
    <s v="MMR012CMP014"/>
    <x v="0"/>
  </r>
  <r>
    <x v="134"/>
    <n v="2012"/>
    <d v="2012-11-30T00:00:00"/>
    <x v="13"/>
    <s v="UNHCR"/>
    <x v="0"/>
    <x v="1"/>
    <s v="Thet Kae Pyin "/>
    <m/>
    <m/>
    <m/>
    <m/>
    <m/>
    <n v="100"/>
    <m/>
    <m/>
    <m/>
    <m/>
    <m/>
    <n v="0"/>
    <n v="0"/>
    <n v="0"/>
    <n v="0"/>
    <n v="0"/>
    <n v="0"/>
    <n v="0"/>
    <n v="0"/>
    <n v="0"/>
    <n v="0"/>
    <n v="0"/>
    <s v="MMR012CMP048"/>
    <x v="0"/>
  </r>
  <r>
    <x v="135"/>
    <n v="2012"/>
    <d v="2012-11-21T00:00:00"/>
    <x v="0"/>
    <m/>
    <x v="0"/>
    <x v="6"/>
    <s v="Nagara Pauktaw"/>
    <m/>
    <m/>
    <m/>
    <m/>
    <n v="129"/>
    <m/>
    <m/>
    <m/>
    <m/>
    <m/>
    <m/>
    <n v="0"/>
    <n v="0"/>
    <n v="0"/>
    <n v="0"/>
    <n v="0"/>
    <n v="0"/>
    <n v="0"/>
    <n v="0"/>
    <n v="0"/>
    <n v="0"/>
    <n v="0"/>
    <s v="MMR012CMP004"/>
    <x v="4"/>
  </r>
  <r>
    <x v="135"/>
    <n v="2012"/>
    <d v="2012-11-21T00:00:00"/>
    <x v="0"/>
    <m/>
    <x v="0"/>
    <x v="7"/>
    <s v="Pa Rein"/>
    <m/>
    <m/>
    <m/>
    <m/>
    <n v="140"/>
    <m/>
    <m/>
    <m/>
    <m/>
    <m/>
    <m/>
    <n v="0"/>
    <n v="0"/>
    <n v="0"/>
    <n v="0"/>
    <n v="0"/>
    <n v="0"/>
    <n v="0"/>
    <n v="0"/>
    <n v="0"/>
    <n v="0"/>
    <n v="0"/>
    <s v="MMR012CMP009"/>
    <x v="1"/>
  </r>
  <r>
    <x v="135"/>
    <n v="2012"/>
    <d v="2012-11-21T00:00:00"/>
    <x v="0"/>
    <m/>
    <x v="0"/>
    <x v="6"/>
    <s v="Sam Ba Le"/>
    <m/>
    <m/>
    <m/>
    <n v="27"/>
    <n v="2"/>
    <m/>
    <m/>
    <m/>
    <m/>
    <m/>
    <m/>
    <n v="0"/>
    <n v="0"/>
    <n v="0"/>
    <n v="0"/>
    <n v="0"/>
    <n v="0"/>
    <n v="0"/>
    <n v="0"/>
    <n v="0"/>
    <n v="0"/>
    <n v="0"/>
    <s v="MMR012CMP008"/>
    <x v="1"/>
  </r>
  <r>
    <x v="135"/>
    <n v="2012"/>
    <d v="2012-11-21T00:00:00"/>
    <x v="0"/>
    <m/>
    <x v="0"/>
    <x v="6"/>
    <s v="San Htoe Tan"/>
    <m/>
    <m/>
    <m/>
    <n v="172"/>
    <n v="10"/>
    <n v="172"/>
    <m/>
    <m/>
    <m/>
    <m/>
    <m/>
    <n v="0"/>
    <n v="0"/>
    <n v="0"/>
    <n v="0"/>
    <n v="0"/>
    <n v="0"/>
    <n v="0"/>
    <n v="0"/>
    <n v="0"/>
    <n v="0"/>
    <n v="0"/>
    <s v="MMR012CMP003"/>
    <x v="1"/>
  </r>
  <r>
    <x v="135"/>
    <n v="2012"/>
    <d v="2012-11-21T00:00:00"/>
    <x v="0"/>
    <m/>
    <x v="0"/>
    <x v="6"/>
    <s v="Tha Dar"/>
    <m/>
    <m/>
    <m/>
    <m/>
    <n v="145"/>
    <m/>
    <m/>
    <m/>
    <m/>
    <m/>
    <m/>
    <n v="0"/>
    <n v="0"/>
    <n v="0"/>
    <n v="0"/>
    <n v="0"/>
    <n v="0"/>
    <n v="0"/>
    <n v="0"/>
    <n v="0"/>
    <n v="0"/>
    <n v="0"/>
    <s v="MMR012CMP002"/>
    <x v="1"/>
  </r>
  <r>
    <x v="135"/>
    <n v="2012"/>
    <d v="2012-11-21T00:00:00"/>
    <x v="0"/>
    <m/>
    <x v="0"/>
    <x v="7"/>
    <s v="Yai Thei-Muslim"/>
    <m/>
    <m/>
    <m/>
    <m/>
    <n v="83"/>
    <m/>
    <m/>
    <m/>
    <m/>
    <m/>
    <m/>
    <n v="0"/>
    <n v="0"/>
    <n v="0"/>
    <n v="0"/>
    <n v="0"/>
    <n v="0"/>
    <n v="0"/>
    <n v="0"/>
    <n v="0"/>
    <n v="0"/>
    <n v="0"/>
    <s v="MMR012CMP010"/>
    <x v="1"/>
  </r>
  <r>
    <x v="136"/>
    <n v="2012"/>
    <d v="2012-11-19T00:00:00"/>
    <x v="0"/>
    <m/>
    <x v="0"/>
    <x v="3"/>
    <s v="Ah Nauk Ywe"/>
    <m/>
    <m/>
    <m/>
    <m/>
    <n v="458"/>
    <n v="148"/>
    <m/>
    <m/>
    <m/>
    <m/>
    <m/>
    <n v="0"/>
    <n v="0"/>
    <n v="0"/>
    <n v="0"/>
    <n v="0"/>
    <n v="0"/>
    <n v="0"/>
    <n v="0"/>
    <n v="0"/>
    <n v="0"/>
    <n v="0"/>
    <s v="MMR012CMP016"/>
    <x v="0"/>
  </r>
  <r>
    <x v="136"/>
    <n v="2012"/>
    <d v="2012-11-19T00:00:00"/>
    <x v="0"/>
    <m/>
    <x v="0"/>
    <x v="3"/>
    <s v="Kyein Ni Pyin"/>
    <m/>
    <m/>
    <m/>
    <n v="769"/>
    <n v="369"/>
    <n v="1538"/>
    <n v="769"/>
    <m/>
    <m/>
    <m/>
    <m/>
    <n v="0"/>
    <n v="0"/>
    <n v="0"/>
    <n v="0"/>
    <n v="0"/>
    <n v="0"/>
    <n v="0"/>
    <n v="0"/>
    <n v="0"/>
    <n v="0"/>
    <n v="0"/>
    <s v="MMR012CMP018"/>
    <x v="0"/>
  </r>
  <r>
    <x v="136"/>
    <n v="2012"/>
    <d v="2012-11-19T00:00:00"/>
    <x v="0"/>
    <m/>
    <x v="0"/>
    <x v="3"/>
    <s v="Nget Chaung"/>
    <m/>
    <m/>
    <m/>
    <n v="1306"/>
    <n v="506"/>
    <n v="1306"/>
    <n v="1306"/>
    <m/>
    <m/>
    <m/>
    <m/>
    <n v="0"/>
    <n v="0"/>
    <n v="0"/>
    <n v="0"/>
    <n v="0"/>
    <n v="0"/>
    <n v="0"/>
    <n v="0"/>
    <n v="0"/>
    <n v="0"/>
    <n v="0"/>
    <s v="MMR012CMP017"/>
    <x v="0"/>
  </r>
  <r>
    <x v="136"/>
    <n v="2012"/>
    <d v="2012-11-19T00:00:00"/>
    <x v="0"/>
    <m/>
    <x v="0"/>
    <x v="9"/>
    <s v="Ramree Town"/>
    <m/>
    <m/>
    <m/>
    <n v="26"/>
    <n v="13"/>
    <n v="26"/>
    <n v="13"/>
    <m/>
    <m/>
    <m/>
    <m/>
    <n v="0"/>
    <n v="0"/>
    <n v="0"/>
    <n v="0"/>
    <n v="0"/>
    <n v="0"/>
    <n v="0"/>
    <n v="0"/>
    <n v="0"/>
    <n v="0"/>
    <n v="0"/>
    <s v="MMR012CMP038"/>
    <x v="0"/>
  </r>
  <r>
    <x v="136"/>
    <n v="2012"/>
    <d v="2012-11-19T00:00:00"/>
    <x v="0"/>
    <m/>
    <x v="0"/>
    <x v="9"/>
    <s v="Ramree Ward 6"/>
    <m/>
    <m/>
    <m/>
    <n v="194"/>
    <n v="97"/>
    <n v="194"/>
    <n v="97"/>
    <m/>
    <m/>
    <m/>
    <m/>
    <n v="0"/>
    <n v="0"/>
    <n v="0"/>
    <n v="0"/>
    <n v="0"/>
    <n v="0"/>
    <n v="0"/>
    <n v="0"/>
    <n v="0"/>
    <n v="0"/>
    <n v="0"/>
    <s v="MMR012CMP037"/>
    <x v="0"/>
  </r>
  <r>
    <x v="136"/>
    <n v="2012"/>
    <d v="2012-11-19T00:00:00"/>
    <x v="0"/>
    <m/>
    <x v="0"/>
    <x v="3"/>
    <s v="Sin Tet Maw"/>
    <m/>
    <m/>
    <m/>
    <m/>
    <n v="362"/>
    <m/>
    <m/>
    <m/>
    <m/>
    <m/>
    <m/>
    <n v="0"/>
    <n v="0"/>
    <n v="0"/>
    <n v="0"/>
    <n v="0"/>
    <n v="0"/>
    <n v="0"/>
    <n v="0"/>
    <n v="0"/>
    <n v="0"/>
    <n v="0"/>
    <s v="MMR012CMP019"/>
    <x v="0"/>
  </r>
  <r>
    <x v="137"/>
    <n v="2012"/>
    <d v="2012-11-03T00:00:00"/>
    <x v="0"/>
    <m/>
    <x v="0"/>
    <x v="3"/>
    <s v="Sin Tet Maw"/>
    <m/>
    <m/>
    <m/>
    <n v="862"/>
    <n v="500"/>
    <n v="862"/>
    <n v="862"/>
    <m/>
    <m/>
    <m/>
    <m/>
    <n v="0"/>
    <n v="0"/>
    <n v="0"/>
    <n v="0"/>
    <n v="0"/>
    <n v="0"/>
    <n v="0"/>
    <n v="0"/>
    <n v="0"/>
    <n v="0"/>
    <n v="0"/>
    <s v="MMR012CMP019"/>
    <x v="0"/>
  </r>
  <r>
    <x v="138"/>
    <n v="2012"/>
    <d v="2012-11-02T00:00:00"/>
    <x v="0"/>
    <m/>
    <x v="0"/>
    <x v="5"/>
    <s v="Ah Lel Kyun"/>
    <m/>
    <m/>
    <m/>
    <m/>
    <n v="85"/>
    <m/>
    <m/>
    <m/>
    <m/>
    <m/>
    <m/>
    <n v="0"/>
    <n v="0"/>
    <n v="0"/>
    <n v="0"/>
    <n v="0"/>
    <n v="0"/>
    <n v="0"/>
    <n v="0"/>
    <n v="0"/>
    <n v="0"/>
    <n v="0"/>
    <s v="MMR012CMP025"/>
    <x v="1"/>
  </r>
  <r>
    <x v="139"/>
    <n v="2012"/>
    <d v="2012-11-01T00:00:00"/>
    <x v="0"/>
    <m/>
    <x v="0"/>
    <x v="2"/>
    <s v="Taung Paw "/>
    <m/>
    <m/>
    <m/>
    <m/>
    <n v="146"/>
    <m/>
    <n v="146"/>
    <m/>
    <m/>
    <m/>
    <m/>
    <n v="0"/>
    <n v="0"/>
    <n v="0"/>
    <n v="0"/>
    <n v="0"/>
    <n v="0"/>
    <n v="0"/>
    <n v="0"/>
    <n v="0"/>
    <n v="0"/>
    <n v="0"/>
    <s v="MMR012CMP014"/>
    <x v="0"/>
  </r>
  <r>
    <x v="140"/>
    <n v="2012"/>
    <d v="2012-10-31T00:00:00"/>
    <x v="0"/>
    <m/>
    <x v="0"/>
    <x v="6"/>
    <s v="Aung Taing"/>
    <m/>
    <m/>
    <m/>
    <m/>
    <n v="40"/>
    <m/>
    <m/>
    <m/>
    <m/>
    <m/>
    <m/>
    <n v="0"/>
    <n v="0"/>
    <n v="0"/>
    <n v="0"/>
    <n v="0"/>
    <n v="0"/>
    <n v="0"/>
    <n v="0"/>
    <n v="0"/>
    <n v="0"/>
    <n v="0"/>
    <s v="MMR012CMP006"/>
    <x v="1"/>
  </r>
  <r>
    <x v="140"/>
    <n v="2012"/>
    <d v="2012-10-31T00:00:00"/>
    <x v="0"/>
    <m/>
    <x v="0"/>
    <x v="6"/>
    <s v="Nagara Pauktaw"/>
    <m/>
    <m/>
    <m/>
    <m/>
    <n v="100"/>
    <m/>
    <m/>
    <m/>
    <m/>
    <m/>
    <m/>
    <n v="0"/>
    <n v="0"/>
    <n v="0"/>
    <n v="0"/>
    <n v="0"/>
    <n v="0"/>
    <n v="0"/>
    <n v="0"/>
    <n v="0"/>
    <n v="0"/>
    <n v="0"/>
    <s v="MMR012CMP004"/>
    <x v="4"/>
  </r>
  <r>
    <x v="140"/>
    <n v="2012"/>
    <d v="2012-10-31T00:00:00"/>
    <x v="0"/>
    <m/>
    <x v="0"/>
    <x v="7"/>
    <s v="Pa Rein"/>
    <m/>
    <m/>
    <m/>
    <m/>
    <n v="100"/>
    <m/>
    <m/>
    <m/>
    <m/>
    <m/>
    <m/>
    <n v="0"/>
    <n v="0"/>
    <n v="0"/>
    <n v="0"/>
    <n v="0"/>
    <n v="0"/>
    <n v="0"/>
    <n v="0"/>
    <n v="0"/>
    <n v="0"/>
    <n v="0"/>
    <s v="MMR012CMP009"/>
    <x v="1"/>
  </r>
  <r>
    <x v="141"/>
    <n v="2012"/>
    <d v="2012-10-07T00:00:00"/>
    <x v="0"/>
    <m/>
    <x v="0"/>
    <x v="5"/>
    <s v="Ah Pauk Wa "/>
    <m/>
    <m/>
    <m/>
    <m/>
    <n v="90"/>
    <m/>
    <m/>
    <m/>
    <m/>
    <m/>
    <m/>
    <n v="0"/>
    <n v="0"/>
    <n v="0"/>
    <n v="0"/>
    <n v="0"/>
    <n v="0"/>
    <n v="0"/>
    <n v="0"/>
    <n v="0"/>
    <n v="0"/>
    <n v="0"/>
    <s v="MMR012CMP024"/>
    <x v="1"/>
  </r>
  <r>
    <x v="141"/>
    <n v="2012"/>
    <d v="2012-10-07T00:00:00"/>
    <x v="0"/>
    <m/>
    <x v="0"/>
    <x v="5"/>
    <s v="San Gar Taung"/>
    <m/>
    <m/>
    <m/>
    <m/>
    <n v="97"/>
    <m/>
    <m/>
    <m/>
    <m/>
    <m/>
    <m/>
    <n v="0"/>
    <n v="0"/>
    <n v="0"/>
    <n v="0"/>
    <n v="0"/>
    <n v="0"/>
    <n v="0"/>
    <n v="0"/>
    <n v="0"/>
    <n v="0"/>
    <n v="0"/>
    <s v=""/>
    <x v="3"/>
  </r>
  <r>
    <x v="142"/>
    <n v="2012"/>
    <d v="2012-10-06T00:00:00"/>
    <x v="0"/>
    <m/>
    <x v="0"/>
    <x v="1"/>
    <s v="Thet Kay Pyin School"/>
    <m/>
    <m/>
    <m/>
    <m/>
    <n v="100"/>
    <m/>
    <m/>
    <m/>
    <m/>
    <m/>
    <m/>
    <n v="0"/>
    <n v="0"/>
    <n v="0"/>
    <n v="0"/>
    <n v="0"/>
    <n v="0"/>
    <n v="0"/>
    <n v="0"/>
    <n v="0"/>
    <n v="0"/>
    <n v="0"/>
    <s v=""/>
    <x v="3"/>
  </r>
  <r>
    <x v="143"/>
    <n v="2012"/>
    <d v="2012-09-07T00:00:00"/>
    <x v="0"/>
    <m/>
    <x v="0"/>
    <x v="1"/>
    <s v="Baw Du Pha"/>
    <m/>
    <m/>
    <m/>
    <m/>
    <n v="55"/>
    <m/>
    <m/>
    <m/>
    <m/>
    <m/>
    <m/>
    <n v="0"/>
    <n v="0"/>
    <n v="0"/>
    <n v="0"/>
    <n v="0"/>
    <n v="0"/>
    <n v="0"/>
    <n v="0"/>
    <n v="0"/>
    <n v="0"/>
    <n v="0"/>
    <s v="MMR012CMP040"/>
    <x v="4"/>
  </r>
  <r>
    <x v="144"/>
    <n v="2012"/>
    <d v="2012-09-05T00:00:00"/>
    <x v="0"/>
    <m/>
    <x v="0"/>
    <x v="1"/>
    <s v="Baw Du Pha"/>
    <m/>
    <m/>
    <m/>
    <m/>
    <m/>
    <n v="65"/>
    <m/>
    <m/>
    <m/>
    <m/>
    <m/>
    <n v="0"/>
    <n v="0"/>
    <n v="0"/>
    <n v="0"/>
    <n v="0"/>
    <n v="0"/>
    <n v="0"/>
    <n v="0"/>
    <n v="0"/>
    <n v="0"/>
    <n v="0"/>
    <s v="MMR012CMP040"/>
    <x v="4"/>
  </r>
  <r>
    <x v="145"/>
    <n v="2012"/>
    <d v="2012-09-01T00:00:00"/>
    <x v="13"/>
    <s v="UNHCR"/>
    <x v="0"/>
    <x v="1"/>
    <s v="Ohn Taw Gyi 1"/>
    <m/>
    <m/>
    <m/>
    <m/>
    <m/>
    <n v="60"/>
    <m/>
    <m/>
    <m/>
    <m/>
    <m/>
    <n v="0"/>
    <n v="0"/>
    <n v="0"/>
    <n v="0"/>
    <n v="0"/>
    <n v="0"/>
    <n v="0"/>
    <n v="0"/>
    <n v="0"/>
    <n v="0"/>
    <n v="0"/>
    <s v="MMR012CMP043"/>
    <x v="4"/>
  </r>
  <r>
    <x v="146"/>
    <n v="2012"/>
    <d v="2012-08-25T00:00:00"/>
    <x v="0"/>
    <m/>
    <x v="0"/>
    <x v="5"/>
    <s v="Goke Pi Htaunt"/>
    <m/>
    <m/>
    <m/>
    <m/>
    <n v="114"/>
    <m/>
    <m/>
    <m/>
    <m/>
    <m/>
    <m/>
    <n v="0"/>
    <n v="0"/>
    <n v="0"/>
    <n v="0"/>
    <n v="0"/>
    <n v="0"/>
    <n v="0"/>
    <n v="0"/>
    <n v="0"/>
    <n v="0"/>
    <n v="0"/>
    <s v="MMR012CMP027"/>
    <x v="1"/>
  </r>
  <r>
    <x v="146"/>
    <n v="2012"/>
    <d v="2012-08-25T00:00:00"/>
    <x v="0"/>
    <m/>
    <x v="0"/>
    <x v="5"/>
    <s v="In Bar Yi"/>
    <m/>
    <m/>
    <m/>
    <m/>
    <n v="230"/>
    <m/>
    <m/>
    <n v="230"/>
    <m/>
    <m/>
    <m/>
    <n v="0"/>
    <n v="0"/>
    <n v="0"/>
    <n v="0"/>
    <n v="0"/>
    <n v="0"/>
    <n v="0"/>
    <n v="0"/>
    <n v="0"/>
    <n v="0"/>
    <n v="0"/>
    <s v="MMR012CMP026"/>
    <x v="1"/>
  </r>
  <r>
    <x v="146"/>
    <n v="2012"/>
    <d v="2012-08-25T00:00:00"/>
    <x v="0"/>
    <m/>
    <x v="0"/>
    <x v="5"/>
    <s v="Shwe Hlaing"/>
    <m/>
    <m/>
    <m/>
    <m/>
    <n v="144"/>
    <n v="290"/>
    <n v="40"/>
    <m/>
    <m/>
    <m/>
    <m/>
    <n v="0"/>
    <n v="0"/>
    <n v="0"/>
    <n v="0"/>
    <n v="0"/>
    <n v="0"/>
    <n v="0"/>
    <n v="0"/>
    <n v="0"/>
    <n v="0"/>
    <n v="0"/>
    <s v="MMR012CMP029"/>
    <x v="1"/>
  </r>
  <r>
    <x v="146"/>
    <n v="2012"/>
    <d v="2012-08-25T00:00:00"/>
    <x v="0"/>
    <m/>
    <x v="0"/>
    <x v="5"/>
    <s v="Yun Nyar"/>
    <m/>
    <m/>
    <m/>
    <m/>
    <n v="107"/>
    <m/>
    <m/>
    <m/>
    <m/>
    <m/>
    <m/>
    <n v="0"/>
    <n v="0"/>
    <n v="0"/>
    <n v="0"/>
    <n v="0"/>
    <n v="0"/>
    <n v="0"/>
    <n v="0"/>
    <n v="0"/>
    <n v="0"/>
    <n v="0"/>
    <s v="MMR012CMP028"/>
    <x v="1"/>
  </r>
  <r>
    <x v="147"/>
    <n v="2012"/>
    <d v="2012-08-23T00:00:00"/>
    <x v="0"/>
    <m/>
    <x v="0"/>
    <x v="1"/>
    <s v="Dar Pai"/>
    <m/>
    <m/>
    <m/>
    <m/>
    <n v="805"/>
    <m/>
    <m/>
    <m/>
    <m/>
    <m/>
    <m/>
    <n v="0"/>
    <n v="0"/>
    <n v="0"/>
    <n v="0"/>
    <n v="0"/>
    <n v="0"/>
    <n v="0"/>
    <n v="0"/>
    <n v="0"/>
    <n v="0"/>
    <n v="0"/>
    <s v="MMR012CMP041"/>
    <x v="0"/>
  </r>
  <r>
    <x v="148"/>
    <n v="2012"/>
    <d v="2012-08-05T00:00:00"/>
    <x v="0"/>
    <m/>
    <x v="0"/>
    <x v="1"/>
    <s v="Thet Kae Pyin "/>
    <m/>
    <m/>
    <m/>
    <m/>
    <n v="98"/>
    <m/>
    <m/>
    <m/>
    <m/>
    <m/>
    <m/>
    <n v="0"/>
    <n v="0"/>
    <n v="0"/>
    <n v="0"/>
    <n v="0"/>
    <n v="0"/>
    <n v="0"/>
    <n v="0"/>
    <n v="0"/>
    <n v="0"/>
    <n v="0"/>
    <s v="MMR012CMP048"/>
    <x v="0"/>
  </r>
  <r>
    <x v="149"/>
    <n v="2012"/>
    <d v="2012-07-30T00:00:00"/>
    <x v="0"/>
    <m/>
    <x v="0"/>
    <x v="1"/>
    <s v="Say Tha Mar Gyi"/>
    <m/>
    <m/>
    <m/>
    <m/>
    <n v="461"/>
    <m/>
    <m/>
    <m/>
    <m/>
    <m/>
    <m/>
    <n v="0"/>
    <n v="0"/>
    <n v="0"/>
    <n v="0"/>
    <n v="0"/>
    <n v="0"/>
    <n v="0"/>
    <n v="0"/>
    <n v="0"/>
    <n v="0"/>
    <n v="0"/>
    <s v="MMR012CMP045"/>
    <x v="0"/>
  </r>
  <r>
    <x v="149"/>
    <n v="2012"/>
    <d v="2012-07-30T00:00:00"/>
    <x v="0"/>
    <m/>
    <x v="0"/>
    <x v="1"/>
    <s v="Thet Kae Pyin "/>
    <m/>
    <m/>
    <m/>
    <m/>
    <n v="11"/>
    <m/>
    <m/>
    <m/>
    <m/>
    <m/>
    <m/>
    <n v="0"/>
    <n v="0"/>
    <n v="0"/>
    <n v="0"/>
    <n v="0"/>
    <n v="0"/>
    <n v="0"/>
    <n v="0"/>
    <n v="0"/>
    <n v="0"/>
    <n v="0"/>
    <s v="MMR012CMP048"/>
    <x v="0"/>
  </r>
  <r>
    <x v="150"/>
    <n v="2012"/>
    <d v="2012-07-29T00:00:00"/>
    <x v="0"/>
    <m/>
    <x v="0"/>
    <x v="1"/>
    <s v="Khaung Doke Khar "/>
    <m/>
    <m/>
    <m/>
    <m/>
    <n v="22"/>
    <m/>
    <m/>
    <m/>
    <m/>
    <m/>
    <m/>
    <n v="0"/>
    <n v="0"/>
    <n v="0"/>
    <n v="0"/>
    <n v="0"/>
    <n v="0"/>
    <n v="0"/>
    <n v="0"/>
    <n v="0"/>
    <n v="0"/>
    <n v="0"/>
    <s v="MMR012CMP042"/>
    <x v="0"/>
  </r>
  <r>
    <x v="150"/>
    <n v="2012"/>
    <d v="2012-07-29T00:00:00"/>
    <x v="0"/>
    <m/>
    <x v="0"/>
    <x v="1"/>
    <s v="Say Tha Mar Gyi"/>
    <m/>
    <m/>
    <m/>
    <m/>
    <n v="456"/>
    <m/>
    <m/>
    <m/>
    <m/>
    <m/>
    <m/>
    <n v="0"/>
    <n v="0"/>
    <n v="0"/>
    <n v="0"/>
    <n v="0"/>
    <n v="0"/>
    <n v="0"/>
    <n v="0"/>
    <n v="0"/>
    <n v="0"/>
    <n v="0"/>
    <s v="MMR012CMP045"/>
    <x v="0"/>
  </r>
  <r>
    <x v="151"/>
    <n v="2012"/>
    <d v="2012-07-21T00:00:00"/>
    <x v="0"/>
    <m/>
    <x v="0"/>
    <x v="1"/>
    <s v="Say Tha Mar Gyi"/>
    <m/>
    <m/>
    <m/>
    <m/>
    <n v="117"/>
    <m/>
    <m/>
    <m/>
    <m/>
    <m/>
    <m/>
    <n v="0"/>
    <n v="0"/>
    <n v="0"/>
    <n v="0"/>
    <n v="0"/>
    <n v="0"/>
    <n v="0"/>
    <n v="0"/>
    <n v="0"/>
    <n v="0"/>
    <n v="0"/>
    <s v="MMR012CMP045"/>
    <x v="0"/>
  </r>
  <r>
    <x v="152"/>
    <n v="2012"/>
    <d v="2012-07-20T00:00:00"/>
    <x v="0"/>
    <m/>
    <x v="0"/>
    <x v="1"/>
    <s v="Basare"/>
    <m/>
    <m/>
    <m/>
    <m/>
    <n v="383"/>
    <m/>
    <m/>
    <m/>
    <m/>
    <m/>
    <m/>
    <n v="0"/>
    <n v="0"/>
    <n v="0"/>
    <n v="0"/>
    <n v="0"/>
    <n v="0"/>
    <n v="0"/>
    <n v="0"/>
    <n v="0"/>
    <n v="0"/>
    <n v="0"/>
    <s v="MMR012CMP039"/>
    <x v="0"/>
  </r>
  <r>
    <x v="153"/>
    <n v="2012"/>
    <d v="2012-07-19T00:00:00"/>
    <x v="0"/>
    <m/>
    <x v="0"/>
    <x v="1"/>
    <s v="Thet Kae Pyin "/>
    <m/>
    <m/>
    <m/>
    <m/>
    <n v="572"/>
    <m/>
    <m/>
    <m/>
    <m/>
    <m/>
    <m/>
    <n v="0"/>
    <n v="0"/>
    <n v="0"/>
    <n v="0"/>
    <n v="0"/>
    <n v="0"/>
    <n v="0"/>
    <n v="0"/>
    <n v="0"/>
    <n v="0"/>
    <n v="0"/>
    <s v="MMR012CMP048"/>
    <x v="0"/>
  </r>
  <r>
    <x v="154"/>
    <n v="2012"/>
    <d v="2012-07-18T00:00:00"/>
    <x v="0"/>
    <m/>
    <x v="0"/>
    <x v="1"/>
    <s v="Baw Du Pha"/>
    <m/>
    <m/>
    <m/>
    <m/>
    <n v="248"/>
    <m/>
    <m/>
    <m/>
    <m/>
    <m/>
    <m/>
    <n v="0"/>
    <n v="0"/>
    <n v="0"/>
    <n v="0"/>
    <n v="0"/>
    <n v="0"/>
    <n v="0"/>
    <n v="0"/>
    <n v="0"/>
    <n v="0"/>
    <n v="0"/>
    <s v="MMR012CMP040"/>
    <x v="4"/>
  </r>
  <r>
    <x v="154"/>
    <n v="2012"/>
    <d v="2012-07-18T00:00:00"/>
    <x v="0"/>
    <m/>
    <x v="0"/>
    <x v="1"/>
    <s v="Khaung Doke Khar "/>
    <m/>
    <m/>
    <m/>
    <m/>
    <n v="121"/>
    <m/>
    <m/>
    <m/>
    <m/>
    <m/>
    <m/>
    <n v="0"/>
    <n v="0"/>
    <n v="0"/>
    <n v="0"/>
    <n v="0"/>
    <n v="0"/>
    <n v="0"/>
    <n v="0"/>
    <n v="0"/>
    <n v="0"/>
    <n v="0"/>
    <s v="MMR012CMP042"/>
    <x v="0"/>
  </r>
  <r>
    <x v="155"/>
    <n v="2012"/>
    <d v="2012-07-17T00:00:00"/>
    <x v="0"/>
    <m/>
    <x v="0"/>
    <x v="1"/>
    <s v="Baw Du Pha"/>
    <m/>
    <m/>
    <m/>
    <m/>
    <n v="630"/>
    <m/>
    <m/>
    <m/>
    <m/>
    <m/>
    <m/>
    <n v="0"/>
    <n v="0"/>
    <n v="0"/>
    <n v="0"/>
    <n v="0"/>
    <n v="0"/>
    <n v="0"/>
    <n v="0"/>
    <n v="0"/>
    <n v="0"/>
    <n v="0"/>
    <s v="MMR012CMP040"/>
    <x v="4"/>
  </r>
  <r>
    <x v="156"/>
    <n v="2012"/>
    <d v="2012-07-16T00:00:00"/>
    <x v="0"/>
    <m/>
    <x v="0"/>
    <x v="1"/>
    <s v="Baw Du Pha"/>
    <m/>
    <m/>
    <m/>
    <m/>
    <n v="120"/>
    <m/>
    <m/>
    <m/>
    <m/>
    <m/>
    <m/>
    <n v="0"/>
    <n v="0"/>
    <n v="0"/>
    <n v="0"/>
    <n v="0"/>
    <n v="0"/>
    <n v="0"/>
    <n v="0"/>
    <n v="0"/>
    <n v="0"/>
    <n v="0"/>
    <s v="MMR012CMP040"/>
    <x v="4"/>
  </r>
  <r>
    <x v="157"/>
    <n v="2012"/>
    <d v="2012-07-15T00:00:00"/>
    <x v="0"/>
    <m/>
    <x v="0"/>
    <x v="1"/>
    <s v="Baw Du Pha"/>
    <m/>
    <m/>
    <m/>
    <m/>
    <n v="150"/>
    <m/>
    <m/>
    <m/>
    <m/>
    <m/>
    <m/>
    <n v="0"/>
    <n v="0"/>
    <n v="0"/>
    <n v="0"/>
    <n v="0"/>
    <n v="0"/>
    <n v="0"/>
    <n v="0"/>
    <n v="0"/>
    <n v="0"/>
    <n v="0"/>
    <s v="MMR012CMP040"/>
    <x v="4"/>
  </r>
  <r>
    <x v="157"/>
    <n v="2012"/>
    <d v="2012-07-15T00:00:00"/>
    <x v="0"/>
    <m/>
    <x v="0"/>
    <x v="1"/>
    <s v="Thet Kae Pyin "/>
    <m/>
    <m/>
    <m/>
    <m/>
    <n v="200"/>
    <m/>
    <m/>
    <m/>
    <m/>
    <m/>
    <m/>
    <n v="0"/>
    <n v="0"/>
    <n v="0"/>
    <n v="0"/>
    <n v="0"/>
    <n v="0"/>
    <n v="0"/>
    <n v="0"/>
    <n v="0"/>
    <n v="0"/>
    <n v="0"/>
    <s v="MMR012CMP048"/>
    <x v="0"/>
  </r>
  <r>
    <x v="158"/>
    <n v="2012"/>
    <d v="2012-07-12T00:00:00"/>
    <x v="0"/>
    <m/>
    <x v="0"/>
    <x v="1"/>
    <s v="Khaymarmandine"/>
    <m/>
    <m/>
    <m/>
    <m/>
    <n v="4"/>
    <m/>
    <m/>
    <m/>
    <m/>
    <m/>
    <m/>
    <n v="0"/>
    <n v="0"/>
    <n v="0"/>
    <n v="0"/>
    <n v="0"/>
    <n v="0"/>
    <n v="0"/>
    <n v="0"/>
    <n v="0"/>
    <n v="0"/>
    <n v="0"/>
    <s v=""/>
    <x v="3"/>
  </r>
  <r>
    <x v="159"/>
    <n v="2012"/>
    <d v="2012-07-11T00:00:00"/>
    <x v="0"/>
    <m/>
    <x v="0"/>
    <x v="1"/>
    <s v="MinnGanHighSchool"/>
    <m/>
    <m/>
    <m/>
    <m/>
    <n v="492"/>
    <m/>
    <m/>
    <m/>
    <m/>
    <m/>
    <m/>
    <n v="0"/>
    <n v="0"/>
    <n v="0"/>
    <n v="0"/>
    <n v="0"/>
    <n v="0"/>
    <n v="0"/>
    <n v="0"/>
    <n v="0"/>
    <n v="0"/>
    <n v="0"/>
    <s v=""/>
    <x v="3"/>
  </r>
  <r>
    <x v="160"/>
    <n v="2012"/>
    <d v="2012-07-10T00:00:00"/>
    <x v="0"/>
    <m/>
    <x v="0"/>
    <x v="1"/>
    <s v="DamaYeikThar"/>
    <m/>
    <m/>
    <m/>
    <m/>
    <n v="32"/>
    <m/>
    <m/>
    <m/>
    <m/>
    <m/>
    <m/>
    <n v="0"/>
    <n v="0"/>
    <n v="0"/>
    <n v="0"/>
    <n v="0"/>
    <n v="0"/>
    <n v="0"/>
    <n v="0"/>
    <n v="0"/>
    <n v="0"/>
    <n v="0"/>
    <s v=""/>
    <x v="3"/>
  </r>
  <r>
    <x v="160"/>
    <n v="2012"/>
    <d v="2012-07-10T00:00:00"/>
    <x v="0"/>
    <m/>
    <x v="0"/>
    <x v="1"/>
    <s v="MyaTheinTan"/>
    <m/>
    <m/>
    <m/>
    <m/>
    <n v="5"/>
    <m/>
    <m/>
    <m/>
    <m/>
    <m/>
    <m/>
    <n v="0"/>
    <n v="0"/>
    <n v="0"/>
    <n v="0"/>
    <n v="0"/>
    <n v="0"/>
    <n v="0"/>
    <n v="0"/>
    <n v="0"/>
    <n v="0"/>
    <n v="0"/>
    <s v=""/>
    <x v="3"/>
  </r>
  <r>
    <x v="160"/>
    <n v="2012"/>
    <d v="2012-07-10T00:00:00"/>
    <x v="0"/>
    <m/>
    <x v="0"/>
    <x v="1"/>
    <s v="OhnTaPin"/>
    <m/>
    <m/>
    <m/>
    <m/>
    <n v="16"/>
    <m/>
    <m/>
    <m/>
    <m/>
    <m/>
    <m/>
    <n v="0"/>
    <n v="0"/>
    <n v="0"/>
    <n v="0"/>
    <n v="0"/>
    <n v="0"/>
    <n v="0"/>
    <n v="0"/>
    <n v="0"/>
    <n v="0"/>
    <n v="0"/>
    <s v=""/>
    <x v="3"/>
  </r>
  <r>
    <x v="160"/>
    <n v="2012"/>
    <d v="2012-07-10T00:00:00"/>
    <x v="0"/>
    <m/>
    <x v="0"/>
    <x v="1"/>
    <s v="Tayzindayama"/>
    <m/>
    <m/>
    <m/>
    <m/>
    <n v="11"/>
    <m/>
    <m/>
    <m/>
    <m/>
    <m/>
    <m/>
    <n v="0"/>
    <n v="0"/>
    <n v="0"/>
    <n v="0"/>
    <n v="0"/>
    <n v="0"/>
    <n v="0"/>
    <n v="0"/>
    <n v="0"/>
    <n v="0"/>
    <n v="0"/>
    <s v=""/>
    <x v="3"/>
  </r>
  <r>
    <x v="160"/>
    <n v="2012"/>
    <d v="2012-07-10T00:00:00"/>
    <x v="0"/>
    <m/>
    <x v="0"/>
    <x v="1"/>
    <s v="Weikzar Thaikdi Monastery"/>
    <m/>
    <m/>
    <m/>
    <m/>
    <n v="20"/>
    <m/>
    <m/>
    <m/>
    <m/>
    <m/>
    <m/>
    <n v="0"/>
    <n v="0"/>
    <n v="0"/>
    <n v="0"/>
    <n v="0"/>
    <n v="0"/>
    <n v="0"/>
    <n v="0"/>
    <n v="0"/>
    <n v="0"/>
    <n v="0"/>
    <s v="MMR012CMP075"/>
    <x v="4"/>
  </r>
  <r>
    <x v="160"/>
    <n v="2012"/>
    <d v="2012-07-10T00:00:00"/>
    <x v="0"/>
    <m/>
    <x v="0"/>
    <x v="1"/>
    <s v="YadaNarMinDaing"/>
    <m/>
    <m/>
    <m/>
    <m/>
    <n v="2"/>
    <m/>
    <m/>
    <m/>
    <m/>
    <m/>
    <m/>
    <n v="0"/>
    <n v="0"/>
    <n v="0"/>
    <n v="0"/>
    <n v="0"/>
    <n v="0"/>
    <n v="0"/>
    <n v="0"/>
    <n v="0"/>
    <n v="0"/>
    <n v="0"/>
    <s v=""/>
    <x v="3"/>
  </r>
  <r>
    <x v="161"/>
    <n v="2012"/>
    <d v="2012-07-09T00:00:00"/>
    <x v="0"/>
    <m/>
    <x v="0"/>
    <x v="1"/>
    <s v="Bamgalar A Wa Kune"/>
    <m/>
    <m/>
    <m/>
    <m/>
    <n v="5"/>
    <m/>
    <m/>
    <m/>
    <m/>
    <m/>
    <m/>
    <n v="0"/>
    <n v="0"/>
    <n v="0"/>
    <n v="0"/>
    <n v="0"/>
    <n v="0"/>
    <n v="0"/>
    <n v="0"/>
    <n v="0"/>
    <n v="0"/>
    <n v="0"/>
    <s v=""/>
    <x v="3"/>
  </r>
  <r>
    <x v="161"/>
    <n v="2012"/>
    <d v="2012-07-09T00:00:00"/>
    <x v="0"/>
    <m/>
    <x v="0"/>
    <x v="1"/>
    <s v="Dama Yar Ma"/>
    <m/>
    <m/>
    <m/>
    <m/>
    <n v="10"/>
    <m/>
    <m/>
    <m/>
    <m/>
    <m/>
    <m/>
    <n v="0"/>
    <n v="0"/>
    <n v="0"/>
    <n v="0"/>
    <n v="0"/>
    <n v="0"/>
    <n v="0"/>
    <n v="0"/>
    <n v="0"/>
    <n v="0"/>
    <n v="0"/>
    <s v=""/>
    <x v="3"/>
  </r>
  <r>
    <x v="161"/>
    <n v="2012"/>
    <d v="2012-07-09T00:00:00"/>
    <x v="0"/>
    <m/>
    <x v="0"/>
    <x v="1"/>
    <s v="Ka Yu Chaung"/>
    <m/>
    <m/>
    <m/>
    <m/>
    <n v="26"/>
    <m/>
    <m/>
    <m/>
    <m/>
    <m/>
    <m/>
    <n v="0"/>
    <n v="0"/>
    <n v="0"/>
    <n v="0"/>
    <n v="0"/>
    <n v="0"/>
    <n v="0"/>
    <n v="0"/>
    <n v="0"/>
    <n v="0"/>
    <n v="0"/>
    <s v=""/>
    <x v="3"/>
  </r>
  <r>
    <x v="161"/>
    <n v="2012"/>
    <d v="2012-07-09T00:00:00"/>
    <x v="0"/>
    <m/>
    <x v="0"/>
    <x v="1"/>
    <s v="Kha Maung Taw"/>
    <m/>
    <m/>
    <m/>
    <m/>
    <n v="12"/>
    <m/>
    <m/>
    <m/>
    <m/>
    <m/>
    <m/>
    <n v="0"/>
    <n v="0"/>
    <n v="0"/>
    <n v="0"/>
    <n v="0"/>
    <n v="0"/>
    <n v="0"/>
    <n v="0"/>
    <n v="0"/>
    <n v="0"/>
    <n v="0"/>
    <s v=""/>
    <x v="3"/>
  </r>
  <r>
    <x v="161"/>
    <n v="2012"/>
    <d v="2012-07-09T00:00:00"/>
    <x v="0"/>
    <m/>
    <x v="0"/>
    <x v="1"/>
    <s v="KyaungGyiLan"/>
    <m/>
    <m/>
    <m/>
    <m/>
    <n v="23"/>
    <m/>
    <m/>
    <m/>
    <m/>
    <m/>
    <m/>
    <n v="0"/>
    <n v="0"/>
    <n v="0"/>
    <n v="0"/>
    <n v="0"/>
    <n v="0"/>
    <n v="0"/>
    <n v="0"/>
    <n v="0"/>
    <n v="0"/>
    <n v="0"/>
    <s v=""/>
    <x v="3"/>
  </r>
  <r>
    <x v="161"/>
    <n v="2012"/>
    <d v="2012-07-09T00:00:00"/>
    <x v="0"/>
    <m/>
    <x v="0"/>
    <x v="1"/>
    <s v="MaYarMaGyi-old"/>
    <m/>
    <m/>
    <m/>
    <m/>
    <n v="36"/>
    <m/>
    <m/>
    <m/>
    <m/>
    <m/>
    <m/>
    <n v="0"/>
    <n v="0"/>
    <n v="0"/>
    <n v="0"/>
    <n v="0"/>
    <n v="0"/>
    <n v="0"/>
    <n v="0"/>
    <n v="0"/>
    <n v="0"/>
    <n v="0"/>
    <s v=""/>
    <x v="3"/>
  </r>
  <r>
    <x v="161"/>
    <n v="2012"/>
    <d v="2012-07-09T00:00:00"/>
    <x v="0"/>
    <m/>
    <x v="0"/>
    <x v="1"/>
    <s v="PyinNyarLinkarya"/>
    <m/>
    <m/>
    <m/>
    <m/>
    <n v="33"/>
    <m/>
    <m/>
    <m/>
    <m/>
    <m/>
    <m/>
    <n v="0"/>
    <n v="0"/>
    <n v="0"/>
    <n v="0"/>
    <n v="0"/>
    <n v="0"/>
    <n v="0"/>
    <n v="0"/>
    <n v="0"/>
    <n v="0"/>
    <n v="0"/>
    <s v=""/>
    <x v="3"/>
  </r>
  <r>
    <x v="161"/>
    <n v="2012"/>
    <d v="2012-07-09T00:00:00"/>
    <x v="0"/>
    <m/>
    <x v="0"/>
    <x v="1"/>
    <s v="Shwe Pyar"/>
    <m/>
    <m/>
    <m/>
    <m/>
    <n v="3"/>
    <m/>
    <m/>
    <m/>
    <m/>
    <m/>
    <m/>
    <n v="0"/>
    <n v="0"/>
    <n v="0"/>
    <n v="0"/>
    <n v="0"/>
    <n v="0"/>
    <n v="0"/>
    <n v="0"/>
    <n v="0"/>
    <n v="0"/>
    <n v="0"/>
    <s v=""/>
    <x v="3"/>
  </r>
  <r>
    <x v="161"/>
    <n v="2012"/>
    <d v="2012-07-09T00:00:00"/>
    <x v="0"/>
    <m/>
    <x v="0"/>
    <x v="1"/>
    <s v="Theit Di Kar Yone Monastery"/>
    <m/>
    <m/>
    <m/>
    <m/>
    <n v="27"/>
    <m/>
    <m/>
    <m/>
    <m/>
    <m/>
    <m/>
    <n v="0"/>
    <n v="0"/>
    <n v="0"/>
    <n v="0"/>
    <n v="0"/>
    <n v="0"/>
    <n v="0"/>
    <n v="0"/>
    <n v="0"/>
    <n v="0"/>
    <n v="0"/>
    <s v="MMR012CMP067"/>
    <x v="4"/>
  </r>
  <r>
    <x v="161"/>
    <n v="2012"/>
    <d v="2012-07-09T00:00:00"/>
    <x v="0"/>
    <m/>
    <x v="0"/>
    <x v="1"/>
    <s v="Uwa Ya Ma"/>
    <m/>
    <m/>
    <m/>
    <m/>
    <n v="19"/>
    <m/>
    <m/>
    <m/>
    <m/>
    <m/>
    <m/>
    <n v="0"/>
    <n v="0"/>
    <n v="0"/>
    <n v="0"/>
    <n v="0"/>
    <n v="0"/>
    <n v="0"/>
    <n v="0"/>
    <n v="0"/>
    <n v="0"/>
    <n v="0"/>
    <s v=""/>
    <x v="3"/>
  </r>
  <r>
    <x v="162"/>
    <n v="2012"/>
    <d v="2012-07-07T00:00:00"/>
    <x v="0"/>
    <m/>
    <x v="0"/>
    <x v="1"/>
    <s v="Kyar Yoke"/>
    <m/>
    <m/>
    <m/>
    <m/>
    <n v="33"/>
    <m/>
    <m/>
    <m/>
    <m/>
    <m/>
    <m/>
    <n v="0"/>
    <n v="0"/>
    <n v="0"/>
    <n v="0"/>
    <n v="0"/>
    <n v="0"/>
    <n v="0"/>
    <n v="0"/>
    <n v="0"/>
    <n v="0"/>
    <n v="0"/>
    <s v=""/>
    <x v="3"/>
  </r>
  <r>
    <x v="162"/>
    <n v="2012"/>
    <d v="2012-07-07T00:00:00"/>
    <x v="0"/>
    <m/>
    <x v="0"/>
    <x v="1"/>
    <s v="Layaungwin Monastery"/>
    <m/>
    <m/>
    <m/>
    <m/>
    <n v="9"/>
    <m/>
    <m/>
    <m/>
    <m/>
    <m/>
    <m/>
    <n v="0"/>
    <n v="0"/>
    <n v="0"/>
    <n v="0"/>
    <n v="0"/>
    <n v="0"/>
    <n v="0"/>
    <n v="0"/>
    <n v="0"/>
    <n v="0"/>
    <n v="0"/>
    <s v="MMR012CMP062"/>
    <x v="4"/>
  </r>
  <r>
    <x v="162"/>
    <n v="2012"/>
    <d v="2012-07-07T00:00:00"/>
    <x v="0"/>
    <m/>
    <x v="0"/>
    <x v="1"/>
    <s v="Shwe Zay Ti Monastery"/>
    <m/>
    <m/>
    <m/>
    <m/>
    <n v="201"/>
    <m/>
    <m/>
    <m/>
    <m/>
    <m/>
    <m/>
    <n v="0"/>
    <n v="0"/>
    <n v="0"/>
    <n v="0"/>
    <n v="0"/>
    <n v="0"/>
    <n v="0"/>
    <n v="0"/>
    <n v="0"/>
    <n v="0"/>
    <n v="0"/>
    <s v="MMR012CMP065"/>
    <x v="4"/>
  </r>
  <r>
    <x v="162"/>
    <n v="2012"/>
    <d v="2012-07-07T00:00:00"/>
    <x v="0"/>
    <m/>
    <x v="0"/>
    <x v="1"/>
    <s v="Ya Tayar Monastery"/>
    <m/>
    <m/>
    <m/>
    <m/>
    <n v="52"/>
    <m/>
    <m/>
    <m/>
    <m/>
    <m/>
    <m/>
    <n v="0"/>
    <n v="0"/>
    <n v="0"/>
    <n v="0"/>
    <n v="0"/>
    <n v="0"/>
    <n v="0"/>
    <n v="0"/>
    <n v="0"/>
    <n v="0"/>
    <n v="0"/>
    <s v="MMR012CMP074"/>
    <x v="4"/>
  </r>
  <r>
    <x v="163"/>
    <n v="2012"/>
    <d v="2012-07-05T00:00:00"/>
    <x v="0"/>
    <m/>
    <x v="0"/>
    <x v="1"/>
    <s v="Ar Thaw Ka Yone Monastery"/>
    <m/>
    <m/>
    <m/>
    <m/>
    <n v="43"/>
    <m/>
    <m/>
    <m/>
    <m/>
    <m/>
    <m/>
    <n v="0"/>
    <n v="0"/>
    <n v="0"/>
    <n v="0"/>
    <n v="0"/>
    <n v="0"/>
    <n v="0"/>
    <n v="0"/>
    <n v="0"/>
    <n v="0"/>
    <n v="0"/>
    <s v="MMR012CMP069"/>
    <x v="4"/>
  </r>
  <r>
    <x v="163"/>
    <n v="2012"/>
    <d v="2012-07-05T00:00:00"/>
    <x v="0"/>
    <m/>
    <x v="0"/>
    <x v="1"/>
    <s v="Boke Daw Maw"/>
    <m/>
    <m/>
    <m/>
    <m/>
    <n v="171"/>
    <m/>
    <m/>
    <m/>
    <m/>
    <m/>
    <m/>
    <n v="0"/>
    <n v="0"/>
    <n v="0"/>
    <n v="0"/>
    <n v="0"/>
    <n v="0"/>
    <n v="0"/>
    <n v="0"/>
    <n v="0"/>
    <n v="0"/>
    <n v="0"/>
    <s v=""/>
    <x v="3"/>
  </r>
  <r>
    <x v="163"/>
    <n v="2012"/>
    <d v="2012-07-05T00:00:00"/>
    <x v="0"/>
    <m/>
    <x v="0"/>
    <x v="1"/>
    <s v="Dar Pai"/>
    <m/>
    <m/>
    <m/>
    <m/>
    <n v="18"/>
    <m/>
    <m/>
    <m/>
    <m/>
    <m/>
    <m/>
    <n v="0"/>
    <n v="0"/>
    <n v="0"/>
    <n v="0"/>
    <n v="0"/>
    <n v="0"/>
    <n v="0"/>
    <n v="0"/>
    <n v="0"/>
    <n v="0"/>
    <n v="0"/>
    <s v="MMR012CMP041"/>
    <x v="0"/>
  </r>
  <r>
    <x v="163"/>
    <n v="2012"/>
    <d v="2012-07-05T00:00:00"/>
    <x v="0"/>
    <m/>
    <x v="0"/>
    <x v="1"/>
    <s v="Gyit Bak Monastery"/>
    <m/>
    <m/>
    <m/>
    <m/>
    <n v="36"/>
    <m/>
    <m/>
    <m/>
    <m/>
    <m/>
    <m/>
    <n v="0"/>
    <n v="0"/>
    <n v="0"/>
    <n v="0"/>
    <n v="0"/>
    <n v="0"/>
    <n v="0"/>
    <n v="0"/>
    <n v="0"/>
    <n v="0"/>
    <n v="0"/>
    <s v="MMR012CMP073"/>
    <x v="4"/>
  </r>
  <r>
    <x v="163"/>
    <n v="2012"/>
    <d v="2012-07-05T00:00:00"/>
    <x v="0"/>
    <m/>
    <x v="0"/>
    <x v="1"/>
    <s v="Gyit Chay Monastery"/>
    <m/>
    <m/>
    <m/>
    <m/>
    <n v="69"/>
    <m/>
    <m/>
    <m/>
    <m/>
    <m/>
    <m/>
    <n v="0"/>
    <n v="0"/>
    <n v="0"/>
    <n v="0"/>
    <n v="0"/>
    <n v="0"/>
    <n v="0"/>
    <n v="0"/>
    <n v="0"/>
    <n v="0"/>
    <n v="0"/>
    <s v="MMR012CMP061"/>
    <x v="4"/>
  </r>
  <r>
    <x v="163"/>
    <n v="2012"/>
    <d v="2012-07-05T00:00:00"/>
    <x v="0"/>
    <m/>
    <x v="0"/>
    <x v="1"/>
    <s v="Khaung Doke Khar "/>
    <m/>
    <m/>
    <m/>
    <m/>
    <n v="132"/>
    <m/>
    <m/>
    <m/>
    <m/>
    <m/>
    <m/>
    <n v="0"/>
    <n v="0"/>
    <n v="0"/>
    <n v="0"/>
    <n v="0"/>
    <n v="0"/>
    <n v="0"/>
    <n v="0"/>
    <n v="0"/>
    <n v="0"/>
    <n v="0"/>
    <s v="MMR012CMP042"/>
    <x v="0"/>
  </r>
  <r>
    <x v="163"/>
    <n v="2012"/>
    <d v="2012-07-05T00:00:00"/>
    <x v="0"/>
    <m/>
    <x v="0"/>
    <x v="1"/>
    <s v="Su Taung Pyae Monastery"/>
    <m/>
    <m/>
    <m/>
    <m/>
    <n v="280"/>
    <m/>
    <m/>
    <m/>
    <m/>
    <m/>
    <m/>
    <n v="0"/>
    <n v="0"/>
    <n v="0"/>
    <n v="0"/>
    <n v="0"/>
    <n v="0"/>
    <n v="0"/>
    <n v="0"/>
    <n v="0"/>
    <n v="0"/>
    <n v="0"/>
    <s v="MMR012CMP066"/>
    <x v="4"/>
  </r>
  <r>
    <x v="164"/>
    <n v="2012"/>
    <d v="2012-06-30T00:00:00"/>
    <x v="0"/>
    <m/>
    <x v="0"/>
    <x v="1"/>
    <s v="Danyawaddy Baw Lone Kwin"/>
    <m/>
    <m/>
    <m/>
    <m/>
    <n v="103"/>
    <m/>
    <m/>
    <m/>
    <m/>
    <m/>
    <m/>
    <n v="0"/>
    <n v="0"/>
    <n v="0"/>
    <n v="0"/>
    <n v="0"/>
    <n v="0"/>
    <n v="0"/>
    <n v="0"/>
    <n v="0"/>
    <n v="0"/>
    <n v="0"/>
    <s v="MMR012CMP055"/>
    <x v="4"/>
  </r>
  <r>
    <x v="164"/>
    <n v="2012"/>
    <d v="2012-06-30T00:00:00"/>
    <x v="0"/>
    <m/>
    <x v="0"/>
    <x v="1"/>
    <s v="Khaung Laung"/>
    <m/>
    <m/>
    <m/>
    <m/>
    <n v="36"/>
    <m/>
    <m/>
    <m/>
    <m/>
    <m/>
    <m/>
    <n v="0"/>
    <n v="0"/>
    <n v="0"/>
    <n v="0"/>
    <n v="0"/>
    <n v="0"/>
    <n v="0"/>
    <n v="0"/>
    <n v="0"/>
    <n v="0"/>
    <n v="0"/>
    <s v=""/>
    <x v="3"/>
  </r>
  <r>
    <x v="164"/>
    <n v="2012"/>
    <d v="2012-06-30T00:00:00"/>
    <x v="0"/>
    <m/>
    <x v="0"/>
    <x v="1"/>
    <s v="Nyar Ni Kar Ya Ma"/>
    <m/>
    <m/>
    <m/>
    <m/>
    <n v="36"/>
    <m/>
    <m/>
    <m/>
    <m/>
    <m/>
    <m/>
    <n v="0"/>
    <n v="0"/>
    <n v="0"/>
    <n v="0"/>
    <n v="0"/>
    <n v="0"/>
    <n v="0"/>
    <n v="0"/>
    <n v="0"/>
    <n v="0"/>
    <n v="0"/>
    <s v=""/>
    <x v="3"/>
  </r>
  <r>
    <x v="164"/>
    <n v="2012"/>
    <d v="2012-06-30T00:00:00"/>
    <x v="0"/>
    <m/>
    <x v="0"/>
    <x v="1"/>
    <s v="Pyin Nyar Mandine Monastery"/>
    <m/>
    <m/>
    <m/>
    <m/>
    <n v="9"/>
    <m/>
    <m/>
    <m/>
    <m/>
    <m/>
    <m/>
    <n v="0"/>
    <n v="0"/>
    <n v="0"/>
    <n v="0"/>
    <n v="0"/>
    <n v="0"/>
    <n v="0"/>
    <n v="0"/>
    <n v="0"/>
    <n v="0"/>
    <n v="0"/>
    <s v="MMR012CMP064"/>
    <x v="4"/>
  </r>
  <r>
    <x v="164"/>
    <n v="2012"/>
    <d v="2012-06-30T00:00:00"/>
    <x v="0"/>
    <m/>
    <x v="0"/>
    <x v="1"/>
    <s v="TanTan"/>
    <m/>
    <m/>
    <m/>
    <m/>
    <n v="20"/>
    <m/>
    <m/>
    <m/>
    <m/>
    <m/>
    <m/>
    <n v="0"/>
    <n v="0"/>
    <n v="0"/>
    <n v="0"/>
    <n v="0"/>
    <n v="0"/>
    <n v="0"/>
    <n v="0"/>
    <n v="0"/>
    <n v="0"/>
    <n v="0"/>
    <s v=""/>
    <x v="3"/>
  </r>
  <r>
    <x v="164"/>
    <n v="2012"/>
    <d v="2012-06-30T00:00:00"/>
    <x v="0"/>
    <m/>
    <x v="0"/>
    <x v="1"/>
    <s v="Tha Ma Da ZTK"/>
    <m/>
    <m/>
    <m/>
    <m/>
    <n v="35"/>
    <m/>
    <m/>
    <m/>
    <m/>
    <m/>
    <m/>
    <n v="0"/>
    <n v="0"/>
    <n v="0"/>
    <n v="0"/>
    <n v="0"/>
    <n v="0"/>
    <n v="0"/>
    <n v="0"/>
    <n v="0"/>
    <n v="0"/>
    <n v="0"/>
    <s v=""/>
    <x v="3"/>
  </r>
  <r>
    <x v="165"/>
    <n v="2012"/>
    <d v="2012-06-29T00:00:00"/>
    <x v="0"/>
    <m/>
    <x v="0"/>
    <x v="1"/>
    <s v="Dak Kaung Monastery"/>
    <m/>
    <m/>
    <m/>
    <m/>
    <n v="66"/>
    <m/>
    <m/>
    <m/>
    <m/>
    <m/>
    <m/>
    <n v="0"/>
    <n v="0"/>
    <n v="0"/>
    <n v="0"/>
    <n v="0"/>
    <n v="0"/>
    <n v="0"/>
    <n v="0"/>
    <n v="0"/>
    <n v="0"/>
    <n v="0"/>
    <s v="MMR012CMP059"/>
    <x v="4"/>
  </r>
  <r>
    <x v="165"/>
    <n v="2012"/>
    <d v="2012-06-29T00:00:00"/>
    <x v="0"/>
    <m/>
    <x v="0"/>
    <x v="1"/>
    <s v="Mahar Zay Ya Theik"/>
    <m/>
    <m/>
    <m/>
    <m/>
    <n v="37"/>
    <m/>
    <m/>
    <m/>
    <m/>
    <m/>
    <m/>
    <n v="0"/>
    <n v="0"/>
    <n v="0"/>
    <n v="0"/>
    <n v="0"/>
    <n v="0"/>
    <n v="0"/>
    <n v="0"/>
    <n v="0"/>
    <n v="0"/>
    <n v="0"/>
    <s v=""/>
    <x v="3"/>
  </r>
  <r>
    <x v="165"/>
    <n v="2012"/>
    <d v="2012-06-29T00:00:00"/>
    <x v="0"/>
    <m/>
    <x v="0"/>
    <x v="1"/>
    <s v="Myo Ma Monastery"/>
    <m/>
    <m/>
    <m/>
    <m/>
    <n v="66"/>
    <m/>
    <m/>
    <m/>
    <m/>
    <m/>
    <m/>
    <n v="0"/>
    <n v="0"/>
    <n v="0"/>
    <n v="0"/>
    <n v="0"/>
    <n v="0"/>
    <n v="0"/>
    <n v="0"/>
    <n v="0"/>
    <n v="0"/>
    <n v="0"/>
    <s v="MMR012CMP063"/>
    <x v="4"/>
  </r>
  <r>
    <x v="165"/>
    <n v="2012"/>
    <d v="2012-06-29T00:00:00"/>
    <x v="0"/>
    <m/>
    <x v="0"/>
    <x v="1"/>
    <s v="Sin Ku Lann Monastery"/>
    <m/>
    <m/>
    <m/>
    <m/>
    <n v="62"/>
    <m/>
    <m/>
    <m/>
    <m/>
    <m/>
    <m/>
    <n v="0"/>
    <n v="0"/>
    <n v="0"/>
    <n v="0"/>
    <n v="0"/>
    <n v="0"/>
    <n v="0"/>
    <n v="0"/>
    <n v="0"/>
    <n v="0"/>
    <n v="0"/>
    <s v="MMR012CMP068"/>
    <x v="4"/>
  </r>
  <r>
    <x v="165"/>
    <n v="2012"/>
    <d v="2012-06-29T00:00:00"/>
    <x v="0"/>
    <m/>
    <x v="0"/>
    <x v="1"/>
    <s v="Thet Kae Pyin "/>
    <m/>
    <m/>
    <m/>
    <m/>
    <n v="200"/>
    <m/>
    <m/>
    <m/>
    <m/>
    <m/>
    <m/>
    <n v="0"/>
    <n v="0"/>
    <n v="0"/>
    <n v="0"/>
    <n v="0"/>
    <n v="0"/>
    <n v="0"/>
    <n v="0"/>
    <n v="0"/>
    <n v="0"/>
    <n v="0"/>
    <s v="MMR012CMP048"/>
    <x v="0"/>
  </r>
  <r>
    <x v="166"/>
    <n v="2012"/>
    <d v="2012-06-28T00:00:00"/>
    <x v="0"/>
    <m/>
    <x v="0"/>
    <x v="1"/>
    <s v="Da Ma Set Kyar"/>
    <m/>
    <m/>
    <m/>
    <m/>
    <n v="52"/>
    <m/>
    <m/>
    <m/>
    <m/>
    <m/>
    <m/>
    <n v="0"/>
    <n v="0"/>
    <n v="0"/>
    <n v="0"/>
    <n v="0"/>
    <n v="0"/>
    <n v="0"/>
    <n v="0"/>
    <n v="0"/>
    <n v="0"/>
    <n v="0"/>
    <s v=""/>
    <x v="3"/>
  </r>
  <r>
    <x v="166"/>
    <n v="2012"/>
    <d v="2012-06-28T00:00:00"/>
    <x v="0"/>
    <m/>
    <x v="0"/>
    <x v="1"/>
    <s v="Dar Pai"/>
    <m/>
    <m/>
    <m/>
    <m/>
    <n v="300"/>
    <m/>
    <m/>
    <m/>
    <m/>
    <m/>
    <m/>
    <n v="0"/>
    <n v="0"/>
    <n v="0"/>
    <n v="0"/>
    <n v="0"/>
    <n v="0"/>
    <n v="0"/>
    <n v="0"/>
    <n v="0"/>
    <n v="0"/>
    <n v="0"/>
    <s v="MMR012CMP041"/>
    <x v="0"/>
  </r>
  <r>
    <x v="166"/>
    <n v="2012"/>
    <d v="2012-06-28T00:00:00"/>
    <x v="0"/>
    <m/>
    <x v="0"/>
    <x v="1"/>
    <s v="Kaw Nyar Na"/>
    <m/>
    <m/>
    <m/>
    <m/>
    <n v="9"/>
    <m/>
    <m/>
    <m/>
    <m/>
    <m/>
    <m/>
    <n v="0"/>
    <n v="0"/>
    <n v="0"/>
    <n v="0"/>
    <n v="0"/>
    <n v="0"/>
    <n v="0"/>
    <n v="0"/>
    <n v="0"/>
    <n v="0"/>
    <n v="0"/>
    <s v=""/>
    <x v="3"/>
  </r>
  <r>
    <x v="166"/>
    <n v="2012"/>
    <d v="2012-06-28T00:00:00"/>
    <x v="0"/>
    <m/>
    <x v="0"/>
    <x v="1"/>
    <s v="Phyin Nyar Ag Myay"/>
    <m/>
    <m/>
    <m/>
    <m/>
    <n v="11"/>
    <m/>
    <m/>
    <m/>
    <m/>
    <m/>
    <m/>
    <n v="0"/>
    <n v="0"/>
    <n v="0"/>
    <n v="0"/>
    <n v="0"/>
    <n v="0"/>
    <n v="0"/>
    <n v="0"/>
    <n v="0"/>
    <n v="0"/>
    <n v="0"/>
    <s v=""/>
    <x v="3"/>
  </r>
  <r>
    <x v="166"/>
    <n v="2012"/>
    <d v="2012-06-28T00:00:00"/>
    <x v="0"/>
    <m/>
    <x v="0"/>
    <x v="1"/>
    <s v="Sit Kae Taw Min"/>
    <m/>
    <m/>
    <m/>
    <m/>
    <n v="89"/>
    <m/>
    <m/>
    <m/>
    <m/>
    <m/>
    <m/>
    <n v="0"/>
    <n v="0"/>
    <n v="0"/>
    <n v="0"/>
    <n v="0"/>
    <n v="0"/>
    <n v="0"/>
    <n v="0"/>
    <n v="0"/>
    <n v="0"/>
    <n v="0"/>
    <s v=""/>
    <x v="3"/>
  </r>
  <r>
    <x v="167"/>
    <n v="2012"/>
    <d v="2012-06-27T00:00:00"/>
    <x v="0"/>
    <m/>
    <x v="0"/>
    <x v="1"/>
    <s v="Ma Ni Yadanar Monastery"/>
    <m/>
    <m/>
    <m/>
    <m/>
    <n v="120"/>
    <m/>
    <m/>
    <m/>
    <m/>
    <m/>
    <m/>
    <n v="0"/>
    <n v="0"/>
    <n v="0"/>
    <n v="0"/>
    <n v="0"/>
    <n v="0"/>
    <n v="0"/>
    <n v="0"/>
    <n v="0"/>
    <n v="0"/>
    <n v="0"/>
    <s v="MMR012CMP072"/>
    <x v="4"/>
  </r>
  <r>
    <x v="167"/>
    <n v="2012"/>
    <d v="2012-06-27T00:00:00"/>
    <x v="0"/>
    <m/>
    <x v="0"/>
    <x v="1"/>
    <s v="MahaKuthaLa"/>
    <m/>
    <m/>
    <m/>
    <m/>
    <n v="11"/>
    <m/>
    <m/>
    <m/>
    <m/>
    <m/>
    <m/>
    <n v="0"/>
    <n v="0"/>
    <n v="0"/>
    <n v="0"/>
    <n v="0"/>
    <n v="0"/>
    <n v="0"/>
    <n v="0"/>
    <n v="0"/>
    <n v="0"/>
    <n v="0"/>
    <s v=""/>
    <x v="3"/>
  </r>
  <r>
    <x v="167"/>
    <n v="2012"/>
    <d v="2012-06-27T00:00:00"/>
    <x v="0"/>
    <m/>
    <x v="0"/>
    <x v="1"/>
    <s v="U Ye Kyaw Thu"/>
    <m/>
    <m/>
    <m/>
    <m/>
    <n v="200"/>
    <m/>
    <m/>
    <m/>
    <m/>
    <m/>
    <m/>
    <n v="0"/>
    <n v="0"/>
    <n v="0"/>
    <n v="0"/>
    <n v="0"/>
    <n v="0"/>
    <n v="0"/>
    <n v="0"/>
    <n v="0"/>
    <n v="0"/>
    <n v="0"/>
    <s v=""/>
    <x v="3"/>
  </r>
</pivotCacheRecords>
</file>

<file path=xl/pivotCache/pivotCacheRecords7.xml><?xml version="1.0" encoding="utf-8"?>
<pivotCacheRecords xmlns="http://schemas.openxmlformats.org/spreadsheetml/2006/main" xmlns:r="http://schemas.openxmlformats.org/officeDocument/2006/relationships" count="118">
  <r>
    <x v="0"/>
    <x v="0"/>
    <s v="MMR012"/>
    <s v="Sittwe"/>
    <s v="MMR012D001"/>
    <x v="0"/>
    <s v="MMR012001"/>
    <s v="Thin Pone Tan"/>
    <s v="MMR012001002"/>
    <s v="Thin Pone Tan"/>
    <n v="196129"/>
    <x v="0"/>
    <x v="0"/>
    <n v="92.836860999999999"/>
    <n v="20.226865"/>
    <m/>
    <n v="7"/>
    <n v="27"/>
    <n v="3.8571428571428572"/>
    <s v="Accessible by All"/>
    <s v="IDP"/>
    <x v="0"/>
    <m/>
    <m/>
    <x v="0"/>
    <s v="Buddhist"/>
    <x v="0"/>
    <x v="0"/>
    <x v="0"/>
    <s v="Camp/Community Leader"/>
    <s v="Estimate"/>
    <d v="2014-08-21T00:00:00"/>
    <m/>
    <x v="0"/>
    <n v="0"/>
  </r>
  <r>
    <x v="0"/>
    <x v="0"/>
    <s v="MMR012"/>
    <s v="Kyaukpyu"/>
    <s v="MMR012D003"/>
    <x v="1"/>
    <s v="MMR012013"/>
    <s v="Kha Maung Chi Taing"/>
    <s v="MMR012013020"/>
    <m/>
    <m/>
    <x v="1"/>
    <x v="1"/>
    <n v="93.865170000000006"/>
    <n v="19.091054"/>
    <m/>
    <n v="18"/>
    <n v="77"/>
    <n v="4.2777777777777777"/>
    <s v="Accessible by All"/>
    <s v="IDP"/>
    <x v="1"/>
    <m/>
    <m/>
    <x v="0"/>
    <s v="Buddhist"/>
    <x v="0"/>
    <x v="0"/>
    <x v="0"/>
    <s v="Camp/Community Leader"/>
    <s v="Estimate"/>
    <d v="2015-04-03T00:00:00"/>
    <s v="Urban"/>
    <x v="0"/>
    <n v="0"/>
  </r>
  <r>
    <x v="0"/>
    <x v="0"/>
    <s v="MMR012"/>
    <s v="Sittwe"/>
    <s v="MMR012D001"/>
    <x v="2"/>
    <s v="MMR012006"/>
    <s v="Urban"/>
    <s v="MMR012006701"/>
    <s v="Kan Thar Htwet Wa Ward"/>
    <s v="MMR012006701502"/>
    <x v="2"/>
    <x v="2"/>
    <n v="93.373951000000005"/>
    <n v="20.041981"/>
    <m/>
    <n v="42"/>
    <n v="204"/>
    <n v="4.8292682926829267"/>
    <s v="Accessible by All"/>
    <s v="IDP"/>
    <x v="2"/>
    <m/>
    <m/>
    <x v="0"/>
    <s v="Buddhist"/>
    <x v="0"/>
    <x v="0"/>
    <x v="1"/>
    <s v="Individual Household"/>
    <s v="Household Headcount Survey"/>
    <d v="2016-02-15T00:00:00"/>
    <m/>
    <x v="1"/>
    <n v="1"/>
  </r>
  <r>
    <x v="0"/>
    <x v="0"/>
    <s v="MMR012"/>
    <s v="Kyaukpyu"/>
    <s v="MMR012D003"/>
    <x v="3"/>
    <s v="MMR012011"/>
    <s v="Taung Yin"/>
    <s v="MMR012011002"/>
    <s v="Ka Nyin Taw"/>
    <n v="198469"/>
    <x v="3"/>
    <x v="3"/>
    <n v="93.552452000000002"/>
    <n v="19.421102000000001"/>
    <m/>
    <n v="65"/>
    <n v="327"/>
    <n v="5.0307692307692307"/>
    <s v="Accessible by All"/>
    <s v="IDP"/>
    <x v="2"/>
    <m/>
    <m/>
    <x v="0"/>
    <s v="Buddhist"/>
    <x v="0"/>
    <x v="0"/>
    <x v="0"/>
    <s v="Camp/Community Leader"/>
    <s v="Estimate"/>
    <d v="2015-04-03T00:00:00"/>
    <m/>
    <x v="0"/>
    <n v="0.86153846153846159"/>
  </r>
  <r>
    <x v="0"/>
    <x v="0"/>
    <s v="MMR012"/>
    <s v="Sittwe"/>
    <s v="MMR012D001"/>
    <x v="0"/>
    <s v="MMR012001"/>
    <s v="Khaung Doke Kar"/>
    <s v="MMR012001025"/>
    <s v="Baw Du Hpa"/>
    <n v="196192"/>
    <x v="4"/>
    <x v="4"/>
    <n v="92.804803000000007"/>
    <n v="20.182987000000001"/>
    <m/>
    <n v="41"/>
    <n v="226"/>
    <n v="5.5121951219512191"/>
    <s v="Accessible by All"/>
    <s v="IDP"/>
    <x v="0"/>
    <m/>
    <m/>
    <x v="1"/>
    <s v="Muslim"/>
    <x v="1"/>
    <x v="0"/>
    <x v="0"/>
    <s v="Camp/Community Leader"/>
    <s v="Estimate"/>
    <d v="2014-08-21T00:00:00"/>
    <m/>
    <x v="0"/>
    <n v="0"/>
  </r>
  <r>
    <x v="0"/>
    <x v="0"/>
    <s v="MMR012"/>
    <s v="Sittwe"/>
    <s v="MMR012D001"/>
    <x v="0"/>
    <s v="MMR012001"/>
    <s v="Bu May"/>
    <s v="MMR012001027"/>
    <s v="Dar Paing Ywar Thit"/>
    <n v="196206"/>
    <x v="5"/>
    <x v="5"/>
    <n v="92.830074999999994"/>
    <n v="20.167421999999998"/>
    <m/>
    <n v="518"/>
    <n v="2951"/>
    <n v="5.6969111969111967"/>
    <s v="Accessible by All"/>
    <s v="IDP"/>
    <x v="0"/>
    <m/>
    <m/>
    <x v="1"/>
    <s v="Muslim"/>
    <x v="1"/>
    <x v="0"/>
    <x v="0"/>
    <s v="Camp/Community Leader"/>
    <s v="Estimate"/>
    <d v="2014-08-21T00:00:00"/>
    <m/>
    <x v="0"/>
    <n v="0"/>
  </r>
  <r>
    <x v="0"/>
    <x v="0"/>
    <s v="MMR012"/>
    <s v="Sittwe"/>
    <s v="MMR012D001"/>
    <x v="0"/>
    <s v="MMR012001"/>
    <s v="Bu May"/>
    <s v="MMR012001027"/>
    <s v="Kha War De Ywar Haung"/>
    <n v="196186"/>
    <x v="6"/>
    <x v="6"/>
    <n v="92.842230000000001"/>
    <n v="20.181742"/>
    <m/>
    <n v="496"/>
    <n v="2942"/>
    <n v="5.931451612903226"/>
    <s v="Accessible by All"/>
    <s v="IDP"/>
    <x v="0"/>
    <m/>
    <m/>
    <x v="1"/>
    <s v="Muslim"/>
    <x v="1"/>
    <x v="0"/>
    <x v="0"/>
    <s v="Camp/Community Leader"/>
    <s v="Estimate"/>
    <d v="2014-08-21T00:00:00"/>
    <m/>
    <x v="0"/>
    <n v="0"/>
  </r>
  <r>
    <x v="0"/>
    <x v="0"/>
    <s v="MMR012"/>
    <s v="Sittwe"/>
    <s v="MMR012D001"/>
    <x v="0"/>
    <s v="MMR012001"/>
    <s v="San Pya Ward"/>
    <s v="MMR012002701"/>
    <m/>
    <s v="MMR012002701501"/>
    <x v="7"/>
    <x v="7"/>
    <n v="92.875814000000005"/>
    <n v="20.128488999999998"/>
    <m/>
    <n v="397"/>
    <n v="2104"/>
    <n v="5.1612090680100753"/>
    <s v="Accessible by All"/>
    <s v="IDP"/>
    <x v="2"/>
    <m/>
    <m/>
    <x v="1"/>
    <s v="Muslim"/>
    <x v="1"/>
    <x v="1"/>
    <x v="2"/>
    <s v="Individual Household"/>
    <s v="Household Headcount Survey"/>
    <d v="2016-04-11T00:00:00"/>
    <s v="Increase 55 people in April as  LWF HH Survey completed and verified during March 2016. and this is fresh data from completed HH Survey, and updated monthly birth and death record.   "/>
    <x v="2"/>
    <n v="1"/>
  </r>
  <r>
    <x v="0"/>
    <x v="0"/>
    <s v="MMR012"/>
    <s v="Sittwe"/>
    <s v="MMR012D001"/>
    <x v="0"/>
    <s v="MMR012001"/>
    <s v="Khaung Doke Kar"/>
    <s v="MMR012001025"/>
    <s v="Baw Du Hpa"/>
    <n v="196192"/>
    <x v="8"/>
    <x v="8"/>
    <n v="92.813028000000003"/>
    <n v="20.179417000000001"/>
    <m/>
    <n v="997"/>
    <n v="4851"/>
    <n v="4.8655967903711135"/>
    <s v="Accessible by All"/>
    <s v="IDP"/>
    <x v="2"/>
    <m/>
    <m/>
    <x v="1"/>
    <s v="Muslim"/>
    <x v="1"/>
    <x v="1"/>
    <x v="3"/>
    <s v="Individual Household"/>
    <s v="Household Headcount Survey"/>
    <d v="2015-03-24T00:00:00"/>
    <m/>
    <x v="3"/>
    <n v="1"/>
  </r>
  <r>
    <x v="0"/>
    <x v="0"/>
    <s v="MMR012"/>
    <s v="Sittwe"/>
    <s v="MMR012D001"/>
    <x v="0"/>
    <s v="MMR012001"/>
    <s v="Khaung Doke Kar"/>
    <s v="MMR012001025"/>
    <s v="Baw Du Hpa"/>
    <n v="196192"/>
    <x v="9"/>
    <x v="9"/>
    <n v="92.807552000000001"/>
    <n v="20.181405999999999"/>
    <m/>
    <n v="1297"/>
    <n v="6917"/>
    <n v="5.3330763299922896"/>
    <s v="Accessible by All"/>
    <s v="IDP"/>
    <x v="2"/>
    <m/>
    <m/>
    <x v="1"/>
    <s v="Muslim"/>
    <x v="1"/>
    <x v="1"/>
    <x v="3"/>
    <s v="Individual Household"/>
    <s v="Household Headcount Survey"/>
    <d v="2015-03-25T00:00:00"/>
    <m/>
    <x v="3"/>
    <n v="1"/>
  </r>
  <r>
    <x v="0"/>
    <x v="0"/>
    <s v="MMR012"/>
    <s v="Sittwe"/>
    <s v="MMR012D001"/>
    <x v="0"/>
    <s v="MMR012001"/>
    <s v="Bu May"/>
    <s v="MMR012001027"/>
    <s v="Dar Paing Ywar Thit"/>
    <n v="196206"/>
    <x v="10"/>
    <x v="10"/>
    <n v="92.827427"/>
    <n v="20.16846"/>
    <m/>
    <n v="1397"/>
    <n v="8189"/>
    <n v="5.8618468146027203"/>
    <s v="Accessible by All"/>
    <s v="IDP"/>
    <x v="2"/>
    <m/>
    <m/>
    <x v="1"/>
    <s v="Muslim"/>
    <x v="1"/>
    <x v="1"/>
    <x v="3"/>
    <s v="Individual Household"/>
    <s v="Household Headcount Survey"/>
    <d v="2015-03-19T00:00:00"/>
    <m/>
    <x v="3"/>
    <n v="1"/>
  </r>
  <r>
    <x v="0"/>
    <x v="0"/>
    <s v="MMR012"/>
    <s v="Sittwe"/>
    <s v="MMR012D001"/>
    <x v="0"/>
    <s v="MMR012001"/>
    <s v="Khaung Doke Kar"/>
    <s v="MMR012001025"/>
    <s v="Khaung Doke Kar"/>
    <n v="196191"/>
    <x v="11"/>
    <x v="11"/>
    <n v="92.823166999999998"/>
    <n v="20.181778000000001"/>
    <m/>
    <n v="799"/>
    <n v="4285"/>
    <n v="5.4411027568922306"/>
    <s v="Accessible by All"/>
    <s v="IDP"/>
    <x v="2"/>
    <m/>
    <m/>
    <x v="1"/>
    <s v="Muslim"/>
    <x v="1"/>
    <x v="1"/>
    <x v="2"/>
    <s v="Individual Household"/>
    <s v="Household Headcount Survey"/>
    <d v="2016-04-11T00:00:00"/>
    <s v="Decreased 69 people in April-  As LWF HH Survey completed and verified during March 2016. and this is fresh data from completed HH Survey, and updated monthly birth and death record.   "/>
    <x v="2"/>
    <n v="1"/>
  </r>
  <r>
    <x v="0"/>
    <x v="0"/>
    <s v="MMR012"/>
    <s v="Sittwe"/>
    <s v="MMR012D001"/>
    <x v="0"/>
    <s v="MMR012001"/>
    <s v="Bu May"/>
    <s v="MMR012001027"/>
    <s v="Bu May"/>
    <n v="196200"/>
    <x v="12"/>
    <x v="12"/>
    <n v="92.831000000000003"/>
    <n v="20.185917"/>
    <m/>
    <n v="624"/>
    <n v="3352"/>
    <n v="5.3717948717948714"/>
    <s v="Accessible by All"/>
    <s v="IDP"/>
    <x v="2"/>
    <m/>
    <m/>
    <x v="1"/>
    <s v="Muslim"/>
    <x v="1"/>
    <x v="1"/>
    <x v="4"/>
    <s v="Individual Household"/>
    <s v="Household Headcount Survey"/>
    <d v="2015-06-08T00:00:00"/>
    <m/>
    <x v="4"/>
    <n v="1"/>
  </r>
  <r>
    <x v="0"/>
    <x v="0"/>
    <s v="MMR012"/>
    <s v="Sittwe"/>
    <s v="MMR012D001"/>
    <x v="0"/>
    <s v="MMR012001"/>
    <s v="Say Tha Mar"/>
    <s v="MMR012001010"/>
    <s v="Ohn Taw Shey"/>
    <n v="196158"/>
    <x v="13"/>
    <x v="13"/>
    <n v="92.774193999999994"/>
    <n v="20.206778"/>
    <m/>
    <n v="649"/>
    <n v="3389"/>
    <n v="5.221879815100154"/>
    <s v="Accessible by All"/>
    <s v="IDP"/>
    <x v="2"/>
    <m/>
    <m/>
    <x v="1"/>
    <s v="Muslim"/>
    <x v="1"/>
    <x v="1"/>
    <x v="3"/>
    <s v="Individual Household"/>
    <s v="Household Headcount Survey"/>
    <d v="2015-03-17T00:00:00"/>
    <m/>
    <x v="3"/>
    <n v="0.98613251155624038"/>
  </r>
  <r>
    <x v="0"/>
    <x v="0"/>
    <s v="MMR012"/>
    <s v="Sittwe"/>
    <s v="MMR012D001"/>
    <x v="0"/>
    <s v="MMR012001"/>
    <s v="Khaung Doke Kar"/>
    <s v="MMR012001025"/>
    <s v="Baw Du Hpa"/>
    <n v="196192"/>
    <x v="14"/>
    <x v="14"/>
    <n v="92.798880999999994"/>
    <n v="20.18994"/>
    <m/>
    <n v="2629"/>
    <n v="13655"/>
    <n v="5.1939901103081016"/>
    <s v="Accessible by All"/>
    <s v="IDP"/>
    <x v="2"/>
    <m/>
    <m/>
    <x v="1"/>
    <s v="Muslim"/>
    <x v="1"/>
    <x v="1"/>
    <x v="3"/>
    <s v="Individual Household"/>
    <s v="Household Headcount Survey"/>
    <d v="2015-04-07T00:00:00"/>
    <s v="Former OTG 1  - 115 shelters inland side, OTG 3, OTG 6, BDP (60)"/>
    <x v="3"/>
    <n v="1"/>
  </r>
  <r>
    <x v="0"/>
    <x v="0"/>
    <s v="MMR012"/>
    <s v="Sittwe"/>
    <s v="MMR012D001"/>
    <x v="0"/>
    <s v="MMR012001"/>
    <s v="Khaung Doke Kar"/>
    <s v="MMR012001025"/>
    <s v="Baw Du Hpa"/>
    <n v="196192"/>
    <x v="15"/>
    <x v="15"/>
    <n v="92.802295999999998"/>
    <n v="20.185092000000001"/>
    <m/>
    <n v="2245"/>
    <n v="11731"/>
    <n v="5.2180115916183683"/>
    <s v="Accessible by All"/>
    <s v="IDP"/>
    <x v="2"/>
    <m/>
    <m/>
    <x v="1"/>
    <s v="Muslim"/>
    <x v="1"/>
    <x v="1"/>
    <x v="2"/>
    <s v="Individual Household"/>
    <s v="Household Headcount Survey"/>
    <d v="2016-04-11T00:00:00"/>
    <s v="Decreased 2 households 494 people in April because some IDPs family move to outside and host community of non IDPs go back to original place. "/>
    <x v="2"/>
    <n v="1"/>
  </r>
  <r>
    <x v="0"/>
    <x v="0"/>
    <s v="MMR012"/>
    <s v="Sittwe"/>
    <s v="MMR012D001"/>
    <x v="0"/>
    <s v="MMR012001"/>
    <s v="Say Tha Mar"/>
    <s v="MMR012001010"/>
    <s v="Say Tha Mar Gyi"/>
    <n v="196154"/>
    <x v="16"/>
    <x v="16"/>
    <n v="92.792479999999998"/>
    <n v="20.202525000000001"/>
    <m/>
    <n v="2436"/>
    <n v="12178"/>
    <n v="4.9991789819376029"/>
    <s v="Accessible by All"/>
    <s v="IDP"/>
    <x v="2"/>
    <m/>
    <m/>
    <x v="1"/>
    <s v="Muslim"/>
    <x v="1"/>
    <x v="1"/>
    <x v="3"/>
    <s v="Individual Household"/>
    <s v="Household Headcount Survey"/>
    <d v="2015-04-08T00:00:00"/>
    <s v="Merged with Phwe Yar Kone"/>
    <x v="3"/>
    <n v="1"/>
  </r>
  <r>
    <x v="0"/>
    <x v="0"/>
    <s v="MMR012"/>
    <s v="Sittwe"/>
    <s v="MMR012D001"/>
    <x v="0"/>
    <s v="MMR012001"/>
    <s v="Bu May"/>
    <s v="MMR012001027"/>
    <s v="Kha War De Ywar Haung"/>
    <n v="196186"/>
    <x v="17"/>
    <x v="17"/>
    <n v="92.831879000000001"/>
    <n v="20.179939999999998"/>
    <m/>
    <n v="984"/>
    <n v="5656"/>
    <n v="5.7479674796747968"/>
    <s v="Accessible by All"/>
    <s v="IDP"/>
    <x v="2"/>
    <m/>
    <m/>
    <x v="1"/>
    <s v="Muslim"/>
    <x v="1"/>
    <x v="1"/>
    <x v="4"/>
    <s v="Individual Household"/>
    <s v="Household Headcount Survey"/>
    <d v="2015-06-16T00:00:00"/>
    <m/>
    <x v="4"/>
    <n v="1"/>
  </r>
  <r>
    <x v="0"/>
    <x v="0"/>
    <s v="MMR012"/>
    <s v="Sittwe"/>
    <s v="MMR012D001"/>
    <x v="0"/>
    <s v="MMR012001"/>
    <s v="Bu May"/>
    <s v="MMR012001027"/>
    <s v="Thea Chaung Ku Lar"/>
    <n v="196211"/>
    <x v="18"/>
    <x v="18"/>
    <n v="92.839416999999997"/>
    <n v="20.1585"/>
    <m/>
    <n v="2145"/>
    <n v="11703"/>
    <n v="5.4372960372960373"/>
    <s v="Accessible by All"/>
    <s v="IDP"/>
    <x v="1"/>
    <m/>
    <m/>
    <x v="1"/>
    <s v="Muslim"/>
    <x v="1"/>
    <x v="1"/>
    <x v="2"/>
    <s v="Individual Household"/>
    <s v="Household Headcount Survey"/>
    <d v="2016-04-11T00:00:00"/>
    <s v="Increased 40 people in April as updated monthly birth and death record and  fresh data from HH Survey, completed during March is going process under verification  . "/>
    <x v="2"/>
    <n v="0"/>
  </r>
  <r>
    <x v="0"/>
    <x v="0"/>
    <s v="MMR012"/>
    <s v="Sittwe"/>
    <s v="MMR012D001"/>
    <x v="4"/>
    <s v="MMR012008"/>
    <s v="Koe Tan Kauk"/>
    <s v="MMR012008031"/>
    <s v="Chein Khar Li (Ku Lar)"/>
    <n v="197651"/>
    <x v="19"/>
    <x v="19"/>
    <n v="92.660360999999995"/>
    <n v="20.408453000000002"/>
    <m/>
    <n v="217"/>
    <n v="1297"/>
    <n v="5.8853211009174311"/>
    <s v="Accessible by All"/>
    <s v="IDP"/>
    <x v="2"/>
    <m/>
    <m/>
    <x v="1"/>
    <s v="Muslim"/>
    <x v="1"/>
    <x v="0"/>
    <x v="0"/>
    <s v="Camp/Community Leader"/>
    <s v="Estimate"/>
    <d v="2016-02-15T00:00:00"/>
    <m/>
    <x v="0"/>
    <n v="0.88479262672811065"/>
  </r>
  <r>
    <x v="0"/>
    <x v="0"/>
    <s v="MMR012"/>
    <s v="Sittwe"/>
    <s v="MMR012D001"/>
    <x v="4"/>
    <s v="MMR012008"/>
    <s v="Koe Tan Kauk"/>
    <s v="MMR012008031"/>
    <s v="Koe Tan Kauk Ywar Ma"/>
    <n v="197652"/>
    <x v="20"/>
    <x v="20"/>
    <n v="92.639589000000001"/>
    <n v="20.447261000000001"/>
    <m/>
    <n v="193"/>
    <n v="961"/>
    <n v="4.624365482233503"/>
    <s v="Accessible by All"/>
    <s v="IDP"/>
    <x v="2"/>
    <m/>
    <m/>
    <x v="1"/>
    <s v="Muslim"/>
    <x v="1"/>
    <x v="0"/>
    <x v="0"/>
    <s v="Camp/Community Leader"/>
    <s v="Estimate"/>
    <d v="2016-02-15T00:00:00"/>
    <m/>
    <x v="0"/>
    <n v="1"/>
  </r>
  <r>
    <x v="0"/>
    <x v="0"/>
    <s v="MMR012"/>
    <s v="Sittwe"/>
    <s v="MMR012D001"/>
    <x v="4"/>
    <s v="MMR012008"/>
    <s v="Chut Pyin"/>
    <s v="MMR012008006"/>
    <s v="Chut Pyin"/>
    <n v="197590"/>
    <x v="21"/>
    <x v="21"/>
    <n v="92.640022000000002"/>
    <n v="20.569219"/>
    <m/>
    <n v="251"/>
    <n v="1308"/>
    <n v="4.9240000000000004"/>
    <s v="Accessible by All"/>
    <s v="IDP"/>
    <x v="1"/>
    <m/>
    <m/>
    <x v="1"/>
    <s v="Muslim"/>
    <x v="1"/>
    <x v="0"/>
    <x v="0"/>
    <s v="Camp/Community Leader"/>
    <s v="Estimate"/>
    <d v="2016-02-15T00:00:00"/>
    <m/>
    <x v="0"/>
    <n v="0"/>
  </r>
  <r>
    <x v="0"/>
    <x v="0"/>
    <s v="MMR012"/>
    <s v="Kyaukpyu"/>
    <s v="MMR012D003"/>
    <x v="1"/>
    <s v="MMR012013"/>
    <s v="Kha Maung Chi Taing"/>
    <s v="MMR012013020"/>
    <m/>
    <m/>
    <x v="22"/>
    <x v="22"/>
    <n v="93.857592999999994"/>
    <n v="19.088283000000001"/>
    <m/>
    <n v="57"/>
    <n v="187"/>
    <n v="3.1166666666666667"/>
    <s v="Accessible by All"/>
    <s v="IDP"/>
    <x v="2"/>
    <m/>
    <m/>
    <x v="1"/>
    <s v="Muslim"/>
    <x v="1"/>
    <x v="0"/>
    <x v="0"/>
    <s v="Camp/Community Leader"/>
    <s v="Estimate"/>
    <d v="2016-04-11T00:00:00"/>
    <s v="Urban- Decreased 3 households in April because they  left to Yangon."/>
    <x v="0"/>
    <n v="1"/>
  </r>
  <r>
    <x v="0"/>
    <x v="0"/>
    <s v="MMR012"/>
    <s v="Sittwe"/>
    <s v="MMR012D001"/>
    <x v="5"/>
    <s v="MMR012007"/>
    <s v="Pein Hne Chaung"/>
    <s v="MMR012007049"/>
    <s v="Kyauk Pyin Seik"/>
    <n v="197537"/>
    <x v="23"/>
    <x v="23"/>
    <n v="92.985095000000001"/>
    <n v="20.108101999999999"/>
    <m/>
    <n v="1228"/>
    <n v="4357"/>
    <n v="3.7019064124783361"/>
    <s v="Accessible by All"/>
    <s v="IDP"/>
    <x v="2"/>
    <m/>
    <m/>
    <x v="1"/>
    <s v="Muslim"/>
    <x v="1"/>
    <x v="1"/>
    <x v="2"/>
    <s v="Individual Household"/>
    <s v="Household Headcount Survey"/>
    <d v="2016-04-11T00:00:00"/>
    <s v="Increased 74 households and 139 people in April- As LWF: HH Survey completed and verified during March 2016. and this is fresh data from completed HH Survey, and updated monthly birth and death record.   "/>
    <x v="2"/>
    <n v="0.62540716612377845"/>
  </r>
  <r>
    <x v="0"/>
    <x v="0"/>
    <s v="MMR012"/>
    <s v="Sittwe"/>
    <s v="MMR012D001"/>
    <x v="2"/>
    <s v="MMR012006"/>
    <s v="Ah Ngu"/>
    <s v="MMR012006001"/>
    <s v="Pyin Taw Che"/>
    <n v="217973"/>
    <x v="24"/>
    <x v="24"/>
    <n v="93.370037999999994"/>
    <n v="20.037655000000001"/>
    <m/>
    <n v="682"/>
    <n v="2718"/>
    <n v="4.043413173652695"/>
    <s v="Accessible by All"/>
    <s v="IDP"/>
    <x v="2"/>
    <m/>
    <m/>
    <x v="1"/>
    <s v="Muslim"/>
    <x v="1"/>
    <x v="0"/>
    <x v="1"/>
    <s v="Individual Household"/>
    <s v="Household Headcount Survey"/>
    <d v="2016-04-11T00:00:00"/>
    <s v="Increased 4 people in April because of new born."/>
    <x v="1"/>
    <n v="1"/>
  </r>
  <r>
    <x v="0"/>
    <x v="0"/>
    <s v="MMR012"/>
    <s v="Maungdaw"/>
    <s v="MMR012D002"/>
    <x v="6"/>
    <s v="MMR012009"/>
    <s v="Myo Ma (North) Ward"/>
    <s v="MMR012009701"/>
    <m/>
    <s v="MMR012009701503"/>
    <x v="25"/>
    <x v="25"/>
    <n v="92.365793999999994"/>
    <n v="20.819958"/>
    <m/>
    <n v="16"/>
    <n v="110"/>
    <n v="6.875"/>
    <s v="Accessible by All"/>
    <s v="IDP"/>
    <x v="1"/>
    <m/>
    <m/>
    <x v="1"/>
    <s v="Muslim"/>
    <x v="1"/>
    <x v="0"/>
    <x v="0"/>
    <s v="Camp/Community Leader"/>
    <s v="Estimate"/>
    <d v="2013-10-01T00:00:00"/>
    <m/>
    <x v="0"/>
    <n v="0"/>
  </r>
  <r>
    <x v="0"/>
    <x v="0"/>
    <s v="MMR012"/>
    <s v="Maungdaw"/>
    <s v="MMR012D002"/>
    <x v="6"/>
    <s v="MMR012009"/>
    <s v="Than Dar"/>
    <s v="MMR012009075"/>
    <s v="Myo Thu Gyi (Yar Zar Bi)"/>
    <n v="197988"/>
    <x v="26"/>
    <x v="26"/>
    <n v="92.443427999999997"/>
    <n v="20.714846999999999"/>
    <m/>
    <n v="48"/>
    <n v="291"/>
    <n v="6.020833333333333"/>
    <s v="Accessible by All"/>
    <s v="IDP"/>
    <x v="1"/>
    <m/>
    <m/>
    <x v="1"/>
    <s v="Muslim"/>
    <x v="1"/>
    <x v="0"/>
    <x v="0"/>
    <s v="Camp/Community Leader"/>
    <s v="Estimate"/>
    <d v="2016-04-11T00:00:00"/>
    <s v="Increased 2 people in April because of new born"/>
    <x v="0"/>
    <n v="0"/>
  </r>
  <r>
    <x v="0"/>
    <x v="0"/>
    <s v="MMR016"/>
    <s v="Maungdaw"/>
    <s v="MMR012D002"/>
    <x v="6"/>
    <s v="MMR012009"/>
    <s v="Zaw Ma Tet"/>
    <s v="MMR012009078"/>
    <s v="Hin Thar Ya"/>
    <n v="198049"/>
    <x v="27"/>
    <x v="27"/>
    <n v="92.435378"/>
    <n v="20.713882999999999"/>
    <m/>
    <n v="59"/>
    <n v="338"/>
    <n v="5.7288135593220337"/>
    <s v="Accessible by All"/>
    <s v="IDP"/>
    <x v="1"/>
    <m/>
    <m/>
    <x v="1"/>
    <s v="Muslim"/>
    <x v="1"/>
    <x v="0"/>
    <x v="0"/>
    <s v="Camp/Community Leader"/>
    <s v="Estimate"/>
    <d v="2013-10-01T00:00:00"/>
    <m/>
    <x v="0"/>
    <n v="0"/>
  </r>
  <r>
    <x v="0"/>
    <x v="0"/>
    <s v="MMR012"/>
    <s v="Maungdaw"/>
    <s v="MMR012D002"/>
    <x v="6"/>
    <s v="MMR012009"/>
    <s v="Myo Ma (North) Ward"/>
    <s v="MMR012009701"/>
    <m/>
    <s v="MMR012009701503"/>
    <x v="28"/>
    <x v="28"/>
    <n v="92.362932999999998"/>
    <n v="20.827044000000001"/>
    <m/>
    <n v="20"/>
    <n v="102"/>
    <n v="5.0999999999999996"/>
    <s v="Accessible by All"/>
    <s v="IDP"/>
    <x v="1"/>
    <m/>
    <m/>
    <x v="1"/>
    <s v="Muslim"/>
    <x v="1"/>
    <x v="0"/>
    <x v="0"/>
    <s v="Camp/Community Leader"/>
    <s v="Estimate"/>
    <d v="2015-01-14T00:00:00"/>
    <m/>
    <x v="0"/>
    <n v="0"/>
  </r>
  <r>
    <x v="0"/>
    <x v="0"/>
    <s v="MMR012"/>
    <s v="Maungdaw"/>
    <s v="MMR012D002"/>
    <x v="6"/>
    <s v="MMR012009"/>
    <s v="Urban"/>
    <s v="MMR012009701"/>
    <m/>
    <m/>
    <x v="29"/>
    <x v="29"/>
    <n v="92.362196999999995"/>
    <n v="20.824777999999998"/>
    <m/>
    <n v="6"/>
    <n v="37"/>
    <n v="6.166666666666667"/>
    <s v="Accessible by All"/>
    <s v="IDP"/>
    <x v="1"/>
    <m/>
    <m/>
    <x v="1"/>
    <s v="Muslim"/>
    <x v="1"/>
    <x v="0"/>
    <x v="0"/>
    <s v="Camp/Community Leader"/>
    <s v="Estimate"/>
    <d v="2013-10-01T00:00:00"/>
    <s v="Ward Name not available"/>
    <x v="0"/>
    <n v="0"/>
  </r>
  <r>
    <x v="0"/>
    <x v="0"/>
    <s v="MMR012"/>
    <s v="Maungdaw"/>
    <s v="MMR012D002"/>
    <x v="6"/>
    <s v="MMR012009"/>
    <s v="Laung Don"/>
    <s v="MMR012009025"/>
    <s v="Laung Done Zay Di Pyin"/>
    <n v="197868"/>
    <x v="30"/>
    <x v="30"/>
    <n v="92.338031000000001"/>
    <n v="21.066663999999999"/>
    <m/>
    <n v="8"/>
    <n v="58"/>
    <n v="7.375"/>
    <s v="Accessible by All"/>
    <s v="IDP"/>
    <x v="1"/>
    <m/>
    <m/>
    <x v="1"/>
    <s v="Muslim"/>
    <x v="1"/>
    <x v="0"/>
    <x v="0"/>
    <s v="Camp/Community Leader"/>
    <s v="Estimate"/>
    <d v="2016-04-11T00:00:00"/>
    <s v="Decreased 1 people in April because of dealth/departure"/>
    <x v="0"/>
    <n v="0"/>
  </r>
  <r>
    <x v="0"/>
    <x v="0"/>
    <s v="MMR012"/>
    <s v="Maungdaw"/>
    <s v="MMR012D002"/>
    <x v="6"/>
    <s v="MMR012009"/>
    <s v="Myo Thu Gyi"/>
    <s v="MMR012009063"/>
    <s v="Ywar Haung"/>
    <n v="197990"/>
    <x v="31"/>
    <x v="31"/>
    <n v="92.401293999999993"/>
    <n v="20.824517"/>
    <m/>
    <n v="5"/>
    <n v="35"/>
    <n v="7"/>
    <s v="Accessible by All"/>
    <s v="IDP"/>
    <x v="1"/>
    <m/>
    <m/>
    <x v="1"/>
    <s v="Muslim"/>
    <x v="1"/>
    <x v="0"/>
    <x v="0"/>
    <s v="Camp/Community Leader"/>
    <s v="Estimate"/>
    <d v="2013-10-01T00:00:00"/>
    <m/>
    <x v="0"/>
    <n v="0"/>
  </r>
  <r>
    <x v="0"/>
    <x v="0"/>
    <s v="MMR012"/>
    <s v="Maungdaw"/>
    <s v="MMR012D002"/>
    <x v="6"/>
    <s v="MMR012009"/>
    <s v="Myo Thu Gyi"/>
    <s v="MMR012009063"/>
    <m/>
    <m/>
    <x v="32"/>
    <x v="32"/>
    <n v="92.416683000000006"/>
    <n v="20.833831"/>
    <m/>
    <n v="52"/>
    <n v="377"/>
    <n v="7.5384615384615383"/>
    <s v="Accessible by All"/>
    <s v="IDP"/>
    <x v="1"/>
    <m/>
    <m/>
    <x v="1"/>
    <s v="Muslim"/>
    <x v="1"/>
    <x v="0"/>
    <x v="0"/>
    <s v="Camp/Community Leader"/>
    <s v="Estimate"/>
    <d v="2016-04-11T00:00:00"/>
    <s v="Decreased 15 people in April because of dealth/departure"/>
    <x v="0"/>
    <n v="0"/>
  </r>
  <r>
    <x v="0"/>
    <x v="0"/>
    <s v="MMR012"/>
    <s v="Maungdaw"/>
    <s v="MMR012D002"/>
    <x v="6"/>
    <s v="MMR012009"/>
    <s v="Ywar Thit Kay Ward"/>
    <s v="MMR012009701"/>
    <m/>
    <s v="MMR012009701505"/>
    <x v="33"/>
    <x v="33"/>
    <n v="92.367852999999997"/>
    <n v="20.825306000000001"/>
    <m/>
    <n v="5"/>
    <n v="30"/>
    <n v="7.6"/>
    <s v="Accessible by All"/>
    <s v="IDP"/>
    <x v="1"/>
    <m/>
    <m/>
    <x v="1"/>
    <s v="Muslim"/>
    <x v="1"/>
    <x v="0"/>
    <x v="0"/>
    <s v="Camp/Community Leader"/>
    <s v="Estimate"/>
    <d v="2016-04-11T00:00:00"/>
    <s v="Decreased 8 people in April because of dealth/departure"/>
    <x v="0"/>
    <n v="0"/>
  </r>
  <r>
    <x v="0"/>
    <x v="0"/>
    <s v="MMR012"/>
    <s v="Sittwe"/>
    <s v="MMR012D001"/>
    <x v="7"/>
    <s v="MMR012004"/>
    <s v="Wa Kin"/>
    <s v="MMR012004028"/>
    <s v="Ni Din"/>
    <n v="196829"/>
    <x v="34"/>
    <x v="34"/>
    <n v="92.965980999999999"/>
    <n v="20.865687000000001"/>
    <m/>
    <n v="85"/>
    <n v="546"/>
    <n v="6.8"/>
    <s v="Accessible by All"/>
    <s v="IDP"/>
    <x v="1"/>
    <s v="Yes"/>
    <m/>
    <x v="1"/>
    <s v="Muslim"/>
    <x v="1"/>
    <x v="0"/>
    <x v="0"/>
    <s v="Camp/Community Leader"/>
    <s v="Household survey"/>
    <d v="2016-04-11T00:00:00"/>
    <s v="Increased 15 people in April as the update of protection."/>
    <x v="0"/>
    <n v="0.84705882352941175"/>
  </r>
  <r>
    <x v="0"/>
    <x v="0"/>
    <s v="MMR012"/>
    <s v="Kyaukpyu"/>
    <s v="MMR012D003"/>
    <x v="3"/>
    <s v="MMR012011"/>
    <s v="Gone Chein"/>
    <s v="MMR012011006"/>
    <s v="Say Poke Kay"/>
    <n v="198486"/>
    <x v="35"/>
    <x v="35"/>
    <n v="93.512326000000002"/>
    <n v="19.424576999999999"/>
    <m/>
    <n v="427"/>
    <n v="1274"/>
    <n v="2.9836065573770494"/>
    <s v="Accessible by All"/>
    <s v="IDP"/>
    <x v="2"/>
    <m/>
    <m/>
    <x v="1"/>
    <s v="Muslim"/>
    <x v="1"/>
    <x v="0"/>
    <x v="0"/>
    <s v="Camp/Community Leader"/>
    <s v="Estimate"/>
    <d v="2015-04-03T00:00:00"/>
    <m/>
    <x v="0"/>
    <n v="0.99297423887587821"/>
  </r>
  <r>
    <x v="0"/>
    <x v="0"/>
    <s v="MMR012"/>
    <s v="Sittwe"/>
    <s v="MMR012D001"/>
    <x v="5"/>
    <s v="MMR012007"/>
    <s v="Sin Tet Maw"/>
    <s v="MMR012007051"/>
    <s v="Sin Tet Maw (Ku Lar)"/>
    <n v="197548"/>
    <x v="36"/>
    <x v="36"/>
    <n v="92.993758999999997"/>
    <n v="20.064226000000001"/>
    <m/>
    <n v="794"/>
    <n v="2668"/>
    <n v="3.7519500780031203"/>
    <s v="Accessible by All"/>
    <s v="IDP"/>
    <x v="2"/>
    <m/>
    <m/>
    <x v="2"/>
    <s v="Muslim"/>
    <x v="2"/>
    <x v="1"/>
    <x v="3"/>
    <s v="Individual Household"/>
    <s v="Household Headcount Survey"/>
    <d v="2015-07-27T00:00:00"/>
    <m/>
    <x v="3"/>
    <n v="1"/>
  </r>
  <r>
    <x v="0"/>
    <x v="0"/>
    <s v="MMR012"/>
    <s v="Sittwe"/>
    <s v="MMR012D001"/>
    <x v="5"/>
    <s v="MMR012007"/>
    <s v="Pon Nar Gyi"/>
    <s v="MMR012007012"/>
    <s v="Cha Eik"/>
    <s v="197414"/>
    <x v="37"/>
    <x v="37"/>
    <n v="93.154551999999995"/>
    <n v="20.073437999999999"/>
    <m/>
    <n v="857"/>
    <n v="3344"/>
    <n v="4.7418321588725201"/>
    <s v="Accessible by All"/>
    <s v="IDP"/>
    <x v="2"/>
    <m/>
    <m/>
    <x v="1"/>
    <s v="Muslim"/>
    <x v="1"/>
    <x v="1"/>
    <x v="2"/>
    <m/>
    <s v="Household Headcount Survey"/>
    <d v="2016-04-11T00:00:00"/>
    <s v="Increase 69 households and 130 people in April - As LWF Updated monthly birth and death record and  fresh data from HH Survey, completed during March is going process under verification  . "/>
    <x v="2"/>
    <n v="1"/>
  </r>
  <r>
    <x v="0"/>
    <x v="0"/>
    <s v="MMR012"/>
    <s v="Sittwe"/>
    <s v="MMR012D001"/>
    <x v="5"/>
    <s v="MMR012007"/>
    <s v="Pein Hne Chaung"/>
    <s v="MMR012007049"/>
    <s v="Kyein Ni Pyin"/>
    <s v="197533"/>
    <x v="38"/>
    <x v="38"/>
    <n v="93.010368999999997"/>
    <n v="20.090183"/>
    <m/>
    <n v="1152"/>
    <n v="5060"/>
    <n v="4.8249227600411899"/>
    <s v="Accessible by All"/>
    <m/>
    <x v="2"/>
    <m/>
    <m/>
    <x v="1"/>
    <s v="Muslim"/>
    <x v="1"/>
    <x v="1"/>
    <x v="3"/>
    <m/>
    <s v="Household Headcount Survey"/>
    <d v="2016-04-11T00:00:00"/>
    <s v="House hold 360 and estimate  1980 People returned to Individual house  was added in the camp because they are still  under camp management."/>
    <x v="3"/>
    <n v="0.84027777777777779"/>
  </r>
  <r>
    <x v="1"/>
    <x v="0"/>
    <s v="MMR012"/>
    <s v="Sittwe"/>
    <s v="MMR012D001"/>
    <x v="0"/>
    <s v="MMR012001"/>
    <s v="Urban"/>
    <s v="MMR012001701"/>
    <s v="Sut Yoe Kya Ward"/>
    <s v="MMR012001701531"/>
    <x v="39"/>
    <x v="39"/>
    <n v="92.887277999999995"/>
    <n v="20.151471999999998"/>
    <m/>
    <n v="249"/>
    <n v="1282"/>
    <n v="5.1485943775100402"/>
    <s v="Accessible by All"/>
    <m/>
    <x v="3"/>
    <m/>
    <m/>
    <x v="0"/>
    <s v="Buddhist"/>
    <x v="0"/>
    <x v="2"/>
    <x v="5"/>
    <s v="Individual Household"/>
    <s v="Household Headcount Survey"/>
    <d v="2016-03-18T00:00:00"/>
    <s v="Relocated to Individual Housing (Jan 2016)"/>
    <x v="5"/>
    <n v="1"/>
  </r>
  <r>
    <x v="1"/>
    <x v="0"/>
    <s v="MMR012"/>
    <s v="Sittwe"/>
    <s v="MMR012D001"/>
    <x v="0"/>
    <s v="MMR012001"/>
    <s v="Urban"/>
    <s v="MMR012001701"/>
    <s v="Sut Yoe Kya Ward"/>
    <s v="MMR012001701531"/>
    <x v="40"/>
    <x v="40"/>
    <n v="92.887277999999995"/>
    <n v="20.151471999999998"/>
    <m/>
    <n v="418"/>
    <n v="2200"/>
    <n v="5.2631578947368425"/>
    <s v="Accessible by All"/>
    <m/>
    <x v="3"/>
    <m/>
    <m/>
    <x v="0"/>
    <s v="Buddhist"/>
    <x v="0"/>
    <x v="2"/>
    <x v="5"/>
    <s v="Individual Household"/>
    <s v="Household Headcount Survey"/>
    <d v="2016-03-18T00:00:00"/>
    <s v="Relocated to Individual Housing (Jan 2016)"/>
    <x v="5"/>
    <n v="1"/>
  </r>
  <r>
    <x v="1"/>
    <x v="0"/>
    <s v="MMR012"/>
    <s v="Sittwe"/>
    <s v="MMR012D001"/>
    <x v="0"/>
    <s v="MMR012001"/>
    <s v="Set Yon Su Ward"/>
    <s v="MMR012001701"/>
    <m/>
    <s v="MMR012001701526"/>
    <x v="41"/>
    <x v="41"/>
    <n v="92.880319999999998"/>
    <n v="20.148584"/>
    <m/>
    <n v="72"/>
    <n v="462"/>
    <n v="6.416666666666667"/>
    <s v="Accessible by All"/>
    <m/>
    <x v="3"/>
    <m/>
    <m/>
    <x v="3"/>
    <s v="Buddhist"/>
    <x v="3"/>
    <x v="2"/>
    <x v="5"/>
    <s v="Individual Household"/>
    <s v="Household Headcount Survey"/>
    <d v="2016-03-18T00:00:00"/>
    <s v="Relocated to Individual Housing (Jan 2016)"/>
    <x v="5"/>
    <n v="1"/>
  </r>
  <r>
    <x v="1"/>
    <x v="0"/>
    <s v="MMR012"/>
    <s v="Sittwe"/>
    <s v="MMR012D001"/>
    <x v="0"/>
    <s v="MMR012001"/>
    <s v="Set Yon Su Ward"/>
    <s v="MMR012001701"/>
    <m/>
    <s v="MMR012001701526"/>
    <x v="42"/>
    <x v="42"/>
    <n v="92.879138999999995"/>
    <n v="20.155805999999998"/>
    <m/>
    <n v="151"/>
    <n v="654"/>
    <n v="4.2384105960264904"/>
    <s v="Accessible by All"/>
    <m/>
    <x v="3"/>
    <m/>
    <m/>
    <x v="0"/>
    <s v="Buddhist"/>
    <x v="0"/>
    <x v="2"/>
    <x v="5"/>
    <s v="Individual Household"/>
    <s v="Household Headcount Survey"/>
    <d v="2016-04-11T00:00:00"/>
    <s v="Relocated to Individual Housing (Jan 2016). -Increased 14 peopple in April as the Updated monthly birth and death record from LWF"/>
    <x v="5"/>
    <n v="1"/>
  </r>
  <r>
    <x v="1"/>
    <x v="0"/>
    <s v="MMR012"/>
    <s v="Sittwe"/>
    <s v="MMR012D001"/>
    <x v="8"/>
    <s v="MMR012003"/>
    <s v="Sin Oe"/>
    <s v="MMR012003006"/>
    <s v="Raw Ma Ni"/>
    <n v="196441"/>
    <x v="43"/>
    <x v="43"/>
    <n v="93.239519999999999"/>
    <n v="20.61692"/>
    <m/>
    <n v="10"/>
    <n v="64"/>
    <n v="6.4"/>
    <s v="Accessible by All"/>
    <m/>
    <x v="3"/>
    <s v="No"/>
    <m/>
    <x v="3"/>
    <s v="Buddhist"/>
    <x v="3"/>
    <x v="2"/>
    <x v="5"/>
    <s v="Camp/Community Leader"/>
    <s v="Estimate"/>
    <d v="2016-03-18T00:00:00"/>
    <s v="Relocated to Individual Housing (Jan 2016)"/>
    <x v="5"/>
    <n v="1"/>
  </r>
  <r>
    <x v="1"/>
    <x v="0"/>
    <s v="MMR012"/>
    <s v="Sittwe"/>
    <s v="MMR012D001"/>
    <x v="8"/>
    <s v="MMR012003"/>
    <s v="Oke Kar Kyaw"/>
    <s v="MMR012003024"/>
    <s v="Thi Kyar"/>
    <n v="196501"/>
    <x v="44"/>
    <x v="44"/>
    <n v="93.246863000000005"/>
    <n v="20.495086000000001"/>
    <m/>
    <n v="31"/>
    <n v="131"/>
    <n v="4.225806451612903"/>
    <s v="Accessible by All"/>
    <m/>
    <x v="3"/>
    <s v="No"/>
    <m/>
    <x v="0"/>
    <s v="Buddhist"/>
    <x v="0"/>
    <x v="2"/>
    <x v="5"/>
    <s v="Camp/Community Leader"/>
    <s v="Estimate"/>
    <d v="2016-03-18T00:00:00"/>
    <s v="Relocated to Individual Housing (Jan 2016)"/>
    <x v="5"/>
    <n v="1"/>
  </r>
  <r>
    <x v="1"/>
    <x v="0"/>
    <s v="MMR012"/>
    <s v="Sittwe"/>
    <s v="MMR012D001"/>
    <x v="5"/>
    <s v="MMR012007"/>
    <s v="Urban"/>
    <s v="MMR012007701"/>
    <s v="Ba Wan Chaung Wa Su Ward"/>
    <s v="MMR012007701504"/>
    <x v="45"/>
    <x v="45"/>
    <n v="93.067891000000003"/>
    <n v="20.173468"/>
    <m/>
    <n v="21"/>
    <n v="122"/>
    <n v="5.8095238095238093"/>
    <s v="Accessible by All"/>
    <m/>
    <x v="3"/>
    <m/>
    <m/>
    <x v="0"/>
    <s v="Buddhist"/>
    <x v="0"/>
    <x v="2"/>
    <x v="5"/>
    <s v="Individual Household"/>
    <s v="Household Headcount Survey"/>
    <d v="2016-03-18T00:00:00"/>
    <s v="Relocated in Individual Housing (Jan 2016)"/>
    <x v="5"/>
    <n v="1"/>
  </r>
  <r>
    <x v="1"/>
    <x v="0"/>
    <s v="MMR012"/>
    <s v="Sittwe"/>
    <s v="MMR012D001"/>
    <x v="5"/>
    <s v="MMR012007"/>
    <s v="Pon Nar Gyi"/>
    <s v="MMR012007012"/>
    <s v="Cha Eik"/>
    <s v="197414"/>
    <x v="37"/>
    <x v="37"/>
    <n v="93.154551999999995"/>
    <n v="20.073437999999999"/>
    <m/>
    <n v="891"/>
    <n v="4170"/>
    <n v="4.7418321588725201"/>
    <s v="Accessible by All"/>
    <m/>
    <x v="3"/>
    <m/>
    <m/>
    <x v="1"/>
    <s v="Muslim"/>
    <x v="1"/>
    <x v="2"/>
    <x v="5"/>
    <s v="Individual Household"/>
    <s v="Household Headcount Survey"/>
    <d v="2016-04-11T00:00:00"/>
    <s v="891 HH and 4170 population relocated to Individual Housing- update of April- ( Increased 116 households and decreased 93 people in April as  LWF: Updated monthly birth and death record and  fresh data from HH Survey, completed during March is going process under verification)"/>
    <x v="5"/>
    <n v="1"/>
  </r>
  <r>
    <x v="1"/>
    <x v="0"/>
    <s v="MMR012"/>
    <s v="Sittwe"/>
    <s v="MMR012D001"/>
    <x v="7"/>
    <s v="MMR012004"/>
    <s v="Khaung Toke"/>
    <s v="MMR012004030"/>
    <s v="Khaung Toke (Ku Lar)"/>
    <n v="196838"/>
    <x v="46"/>
    <x v="46"/>
    <n v="93.006497999999993"/>
    <n v="20.886997999999998"/>
    <m/>
    <n v="97"/>
    <n v="557"/>
    <n v="5.9381443298969074"/>
    <s v="Accessible by All"/>
    <m/>
    <x v="3"/>
    <s v="Yes"/>
    <m/>
    <x v="1"/>
    <s v="Muslim"/>
    <x v="1"/>
    <x v="2"/>
    <x v="5"/>
    <s v="Camp/Community Leader"/>
    <s v="Household survey"/>
    <d v="2016-03-18T00:00:00"/>
    <s v="Relocated to Individual Housing (Jan 2016)"/>
    <x v="5"/>
    <n v="0.82474226804123707"/>
  </r>
  <r>
    <x v="2"/>
    <x v="0"/>
    <s v="MMR012"/>
    <s v="Sittwe"/>
    <s v="MMR012D001"/>
    <x v="9"/>
    <s v="MMR012005"/>
    <s v="Na Yan"/>
    <s v="MMR012005010"/>
    <s v="Sat Yon Maw (Ku Lar)"/>
    <n v="197023"/>
    <x v="47"/>
    <x v="47"/>
    <n v="93.314695"/>
    <n v="20.409645000000001"/>
    <m/>
    <n v="17"/>
    <n v="72"/>
    <n v="4"/>
    <s v="Accessible by All"/>
    <m/>
    <x v="3"/>
    <s v="No"/>
    <m/>
    <x v="0"/>
    <s v="Buddhist"/>
    <x v="0"/>
    <x v="2"/>
    <x v="5"/>
    <s v="Camp/Community Leader"/>
    <s v="Estimate"/>
    <d v="2016-03-18T00:00:00"/>
    <s v="Returned in Individual Housing (Jan 2016)"/>
    <x v="5"/>
    <n v="1"/>
  </r>
  <r>
    <x v="2"/>
    <x v="0"/>
    <s v="MMR012"/>
    <s v="Sittwe"/>
    <s v="MMR012D001"/>
    <x v="7"/>
    <s v="MMR012004"/>
    <s v="Ah Pauk Wa"/>
    <s v="MMR012004064"/>
    <s v="Ah Pauk Wa"/>
    <n v="196946"/>
    <x v="48"/>
    <x v="48"/>
    <n v="92.961841000000007"/>
    <n v="20.720213000000001"/>
    <m/>
    <n v="92"/>
    <n v="559"/>
    <n v="6.0760869565217392"/>
    <s v="Accessible by All"/>
    <m/>
    <x v="3"/>
    <s v="Yes"/>
    <m/>
    <x v="1"/>
    <s v="Muslim"/>
    <x v="1"/>
    <x v="2"/>
    <x v="5"/>
    <s v="Camp/Community Leader"/>
    <s v="Household survey"/>
    <d v="2016-03-18T00:00:00"/>
    <s v="Returned in Individual Housing (Jan 2016)"/>
    <x v="5"/>
    <n v="1"/>
  </r>
  <r>
    <x v="2"/>
    <x v="0"/>
    <s v="MMR012"/>
    <s v="Sittwe"/>
    <s v="MMR012D001"/>
    <x v="4"/>
    <s v="MMR012008"/>
    <s v="Ah Nauk Pyin"/>
    <s v="MMR012008072"/>
    <s v="Ah Nauk Pyin"/>
    <n v="197763"/>
    <x v="49"/>
    <x v="49"/>
    <n v="92.781294000000003"/>
    <n v="20.399269"/>
    <m/>
    <n v="32"/>
    <n v="157"/>
    <n v="5.21875"/>
    <s v="Accessible by All"/>
    <m/>
    <x v="3"/>
    <m/>
    <m/>
    <x v="1"/>
    <s v="Muslim"/>
    <x v="1"/>
    <x v="2"/>
    <x v="5"/>
    <s v="Camp/Community Leader"/>
    <s v="Estimate"/>
    <d v="2016-03-18T00:00:00"/>
    <s v="Returned in Individual Housing (Jan 2016)"/>
    <x v="5"/>
    <n v="1"/>
  </r>
  <r>
    <x v="2"/>
    <x v="0"/>
    <s v="MMR012"/>
    <s v="Sittwe"/>
    <s v="MMR012D001"/>
    <x v="4"/>
    <s v="MMR012008"/>
    <s v="Nyaung Pin Gyi"/>
    <s v="MMR012008082"/>
    <s v="Nyaung Pin Gyi (Ku Lar)"/>
    <n v="197780"/>
    <x v="50"/>
    <x v="50"/>
    <n v="92.785706000000005"/>
    <n v="20.335864000000001"/>
    <m/>
    <n v="54"/>
    <n v="332"/>
    <n v="6.2857142857142856"/>
    <s v="Accessible by All"/>
    <m/>
    <x v="3"/>
    <m/>
    <m/>
    <x v="1"/>
    <s v="Muslim"/>
    <x v="1"/>
    <x v="2"/>
    <x v="5"/>
    <s v="Camp/Community Leader"/>
    <s v="Estimate"/>
    <d v="2016-03-18T00:00:00"/>
    <s v="Returned in Individual Housing (Jan 2016)"/>
    <x v="5"/>
    <n v="1"/>
  </r>
  <r>
    <x v="2"/>
    <x v="0"/>
    <s v="MMR012"/>
    <s v="Sittwe"/>
    <s v="MMR012D001"/>
    <x v="8"/>
    <s v="MMR012003"/>
    <s v="Pu Rein"/>
    <s v="MMR012003004"/>
    <s v="Pu Rein"/>
    <n v="196428"/>
    <x v="51"/>
    <x v="51"/>
    <n v="93.245551000000006"/>
    <n v="20.576577"/>
    <m/>
    <n v="204"/>
    <n v="1265"/>
    <n v="5.5245098039215685"/>
    <s v="Accessible by All"/>
    <m/>
    <x v="3"/>
    <s v="Yes"/>
    <m/>
    <x v="1"/>
    <s v="Muslim"/>
    <x v="1"/>
    <x v="2"/>
    <x v="5"/>
    <s v="Camp/Community Leader"/>
    <s v="Household survey"/>
    <d v="2016-03-18T00:00:00"/>
    <s v="Returned in Individual Housing (Jan 2016)"/>
    <x v="5"/>
    <n v="1"/>
  </r>
  <r>
    <x v="2"/>
    <x v="0"/>
    <s v="MMR012"/>
    <s v="Sittwe"/>
    <s v="MMR012D001"/>
    <x v="8"/>
    <s v="MMR012003"/>
    <s v="Yin Thei"/>
    <s v="MMR012003026"/>
    <s v="Yin Thei"/>
    <n v="196507"/>
    <x v="52"/>
    <x v="52"/>
    <n v="93.217039999999997"/>
    <n v="20.501757999999999"/>
    <m/>
    <n v="365"/>
    <n v="2366"/>
    <n v="6.4821917808219176"/>
    <s v="Accessible by All"/>
    <m/>
    <x v="3"/>
    <s v="Yes"/>
    <m/>
    <x v="1"/>
    <s v="Muslim"/>
    <x v="1"/>
    <x v="2"/>
    <x v="5"/>
    <s v="Camp/Community Leader"/>
    <s v="Household survey"/>
    <d v="2016-03-18T00:00:00"/>
    <s v="Returned in Individual Housing (Jan 2016)"/>
    <x v="5"/>
    <n v="1"/>
  </r>
  <r>
    <x v="2"/>
    <x v="0"/>
    <s v="MMR012"/>
    <s v="Sittwe"/>
    <s v="MMR012D001"/>
    <x v="9"/>
    <s v="MMR012005"/>
    <s v="Sa Par Htar"/>
    <s v="MMR012005032"/>
    <s v="Aung Taing"/>
    <n v="197150"/>
    <x v="53"/>
    <x v="53"/>
    <n v="93.299485000000004"/>
    <n v="20.480898"/>
    <m/>
    <n v="86"/>
    <n v="444"/>
    <n v="5.7674418604651159"/>
    <s v="Accessible by All"/>
    <m/>
    <x v="3"/>
    <s v="Yes"/>
    <m/>
    <x v="1"/>
    <s v="Muslim"/>
    <x v="1"/>
    <x v="2"/>
    <x v="5"/>
    <s v="Camp/Community Leader"/>
    <s v="Household survey"/>
    <d v="2016-03-18T00:00:00"/>
    <s v="Returned in Individual Housing (Jan 2016)"/>
    <x v="5"/>
    <n v="1"/>
  </r>
  <r>
    <x v="2"/>
    <x v="0"/>
    <s v="MMR012"/>
    <s v="Sittwe"/>
    <s v="MMR012D001"/>
    <x v="9"/>
    <s v="MMR012005"/>
    <s v="Kin Seik"/>
    <s v="MMR012005001"/>
    <s v="Kin Seik"/>
    <n v="196984"/>
    <x v="54"/>
    <x v="54"/>
    <n v="93.271642"/>
    <n v="20.377523"/>
    <m/>
    <n v="19"/>
    <n v="142"/>
    <n v="7.4736842105263159"/>
    <s v="Accessible by All"/>
    <m/>
    <x v="3"/>
    <s v="Yes"/>
    <m/>
    <x v="1"/>
    <s v="Muslim"/>
    <x v="1"/>
    <x v="2"/>
    <x v="5"/>
    <s v="Camp/Community Leader"/>
    <s v="Estimate"/>
    <d v="2016-03-18T00:00:00"/>
    <s v="Returned in Individual Housing (Jan 2016)"/>
    <x v="5"/>
    <n v="1"/>
  </r>
  <r>
    <x v="2"/>
    <x v="0"/>
    <s v="MMR012"/>
    <s v="Sittwe"/>
    <s v="MMR012D001"/>
    <x v="9"/>
    <s v="MMR012005"/>
    <s v="San Bar Lay"/>
    <s v="MMR012005009"/>
    <s v="Zi War"/>
    <n v="197025"/>
    <x v="55"/>
    <x v="55"/>
    <n v="93.313627999999994"/>
    <n v="20.407971"/>
    <m/>
    <n v="225"/>
    <n v="1377"/>
    <n v="5.8577777777777778"/>
    <s v="Accessible by All"/>
    <m/>
    <x v="3"/>
    <s v="Yes"/>
    <m/>
    <x v="1"/>
    <s v="Muslim"/>
    <x v="1"/>
    <x v="2"/>
    <x v="5"/>
    <s v="Camp/Community Leader"/>
    <s v="Household survey"/>
    <d v="2016-03-18T00:00:00"/>
    <s v="Returned in Individual Housing (Jan 2016)"/>
    <x v="5"/>
    <n v="1"/>
  </r>
  <r>
    <x v="2"/>
    <x v="0"/>
    <s v="MMR012"/>
    <s v="Sittwe"/>
    <s v="MMR012D001"/>
    <x v="9"/>
    <s v="MMR012005"/>
    <s v="Chaik Taung"/>
    <s v="MMR012005003"/>
    <s v="San Htoe Tan"/>
    <n v="196995"/>
    <x v="56"/>
    <x v="56"/>
    <n v="93.249669999999995"/>
    <n v="20.39902"/>
    <m/>
    <n v="86"/>
    <n v="476"/>
    <n v="6.058139534883721"/>
    <s v="Accessible by All"/>
    <m/>
    <x v="3"/>
    <s v="Yes"/>
    <m/>
    <x v="1"/>
    <s v="Muslim"/>
    <x v="1"/>
    <x v="2"/>
    <x v="5"/>
    <s v="Camp/Community Leader"/>
    <s v="Household survey"/>
    <d v="2016-03-18T00:00:00"/>
    <s v="Returned in Individual Housing (Jan 2016)"/>
    <x v="5"/>
    <n v="1"/>
  </r>
  <r>
    <x v="2"/>
    <x v="0"/>
    <s v="MMR012"/>
    <s v="Sittwe"/>
    <s v="MMR012D001"/>
    <x v="9"/>
    <s v="MMR012005"/>
    <s v="Kin Seik"/>
    <s v="MMR012005001"/>
    <s v="Thar Dar"/>
    <n v="196997"/>
    <x v="57"/>
    <x v="57"/>
    <n v="93.257272"/>
    <n v="20.392137999999999"/>
    <m/>
    <n v="203"/>
    <n v="1420"/>
    <n v="5.3529411764705879"/>
    <s v="Accessible by All"/>
    <m/>
    <x v="3"/>
    <s v="Yes"/>
    <m/>
    <x v="1"/>
    <s v="Muslim"/>
    <x v="1"/>
    <x v="2"/>
    <x v="5"/>
    <s v="Camp/Community Leader"/>
    <s v="Household survey"/>
    <d v="2016-03-18T00:00:00"/>
    <s v="Returned in Individual Housing (Jan 2016)"/>
    <x v="5"/>
    <n v="1"/>
  </r>
  <r>
    <x v="2"/>
    <x v="0"/>
    <s v="MMR012"/>
    <s v="Sittwe"/>
    <s v="MMR012D001"/>
    <x v="9"/>
    <s v="MMR012005"/>
    <s v="Tha Yet Oke"/>
    <s v="MMR012005017"/>
    <s v="Tha Yet Oke"/>
    <n v="197062"/>
    <x v="58"/>
    <x v="58"/>
    <n v="93.258573999999996"/>
    <n v="20.587142"/>
    <m/>
    <n v="275"/>
    <n v="1707"/>
    <n v="5.9527272727272731"/>
    <s v="Accessible by All"/>
    <m/>
    <x v="3"/>
    <s v="Yes"/>
    <m/>
    <x v="1"/>
    <s v="Muslim"/>
    <x v="1"/>
    <x v="2"/>
    <x v="5"/>
    <s v="Camp/Community Leader"/>
    <s v="Household survey"/>
    <d v="2016-03-18T00:00:00"/>
    <s v="Returned in Individual Housing (Jan 2016)"/>
    <x v="5"/>
    <n v="1"/>
  </r>
  <r>
    <x v="2"/>
    <x v="0"/>
    <s v="MMR012"/>
    <s v="Sittwe"/>
    <s v="MMR012D001"/>
    <x v="7"/>
    <s v="MMR012004"/>
    <s v="Ya Da Nar Pon"/>
    <s v="MMR012004019"/>
    <s v="Ah Lel"/>
    <n v="196786"/>
    <x v="59"/>
    <x v="59"/>
    <n v="93.003204999999994"/>
    <n v="20.921424999999999"/>
    <m/>
    <n v="24"/>
    <n v="140"/>
    <n v="6.0869565217391308"/>
    <s v="Accessible by All"/>
    <m/>
    <x v="3"/>
    <s v="Yes"/>
    <m/>
    <x v="1"/>
    <s v="Muslim"/>
    <x v="1"/>
    <x v="2"/>
    <x v="5"/>
    <s v="Camp/Community Leader"/>
    <s v="Estimate"/>
    <d v="2016-03-18T00:00:00"/>
    <s v="Returned in Individual Housing (Jan 2016)"/>
    <x v="5"/>
    <n v="1"/>
  </r>
  <r>
    <x v="2"/>
    <x v="0"/>
    <s v="MMR012"/>
    <s v="Sittwe"/>
    <s v="MMR012D001"/>
    <x v="7"/>
    <s v="MMR012004"/>
    <s v="Ah Lel Kyun"/>
    <s v="MMR012004031"/>
    <s v="Ah Lel Kyun Ku Lar"/>
    <n v="196842"/>
    <x v="60"/>
    <x v="60"/>
    <n v="93.014349999999993"/>
    <n v="20.896740000000001"/>
    <m/>
    <n v="14"/>
    <n v="84"/>
    <n v="6"/>
    <s v="Accessible by All"/>
    <m/>
    <x v="3"/>
    <s v="Yes"/>
    <m/>
    <x v="1"/>
    <s v="Muslim"/>
    <x v="1"/>
    <x v="2"/>
    <x v="5"/>
    <s v="Camp/Community Leader"/>
    <s v="Estimate"/>
    <d v="2016-03-18T00:00:00"/>
    <s v="Returned in Individual Housing (Jan 2016)"/>
    <x v="5"/>
    <n v="1"/>
  </r>
  <r>
    <x v="2"/>
    <x v="0"/>
    <s v="MMR012"/>
    <s v="Sittwe"/>
    <s v="MMR012D001"/>
    <x v="7"/>
    <s v="MMR012004"/>
    <s v="Goke Pi Htaunt"/>
    <s v="MMR012004074"/>
    <s v="Goke Pi Htaunt (Ku Lar)"/>
    <n v="196972"/>
    <x v="61"/>
    <x v="61"/>
    <n v="93.014089999999996"/>
    <n v="20.713259999999998"/>
    <m/>
    <n v="116"/>
    <n v="802"/>
    <n v="6.8879310344827589"/>
    <s v="Accessible by All"/>
    <m/>
    <x v="3"/>
    <s v="Yes"/>
    <m/>
    <x v="1"/>
    <s v="Muslim"/>
    <x v="1"/>
    <x v="2"/>
    <x v="5"/>
    <s v="Camp/Community Leader"/>
    <s v="Household survey"/>
    <d v="2016-03-18T00:00:00"/>
    <s v="Returned in Individual Housing (Jan 2016)"/>
    <x v="5"/>
    <n v="0.68965517241379315"/>
  </r>
  <r>
    <x v="2"/>
    <x v="0"/>
    <s v="MMR012"/>
    <s v="Sittwe"/>
    <s v="MMR012D001"/>
    <x v="7"/>
    <s v="MMR012004"/>
    <s v="Doke Kan Chaung"/>
    <s v="MMR012004063"/>
    <s v="In Bar Yi"/>
    <n v="196945"/>
    <x v="62"/>
    <x v="62"/>
    <n v="93.009900000000002"/>
    <n v="20.696819999999999"/>
    <m/>
    <n v="236"/>
    <n v="1524"/>
    <n v="6.4576271186440675"/>
    <s v="Accessible by All"/>
    <m/>
    <x v="3"/>
    <s v="Yes"/>
    <m/>
    <x v="1"/>
    <s v="Muslim"/>
    <x v="1"/>
    <x v="2"/>
    <x v="5"/>
    <s v="Camp/Community Leader"/>
    <s v="Household survey"/>
    <d v="2016-03-18T00:00:00"/>
    <s v="Returned in Individual Housing (Jan 2016)"/>
    <x v="5"/>
    <n v="0.98305084745762716"/>
  </r>
  <r>
    <x v="2"/>
    <x v="0"/>
    <s v="MMR012"/>
    <s v="Sittwe"/>
    <s v="MMR012D001"/>
    <x v="7"/>
    <s v="MMR012004"/>
    <s v="Hpa Yar Paung"/>
    <s v="MMR012004046"/>
    <s v="Taung Pauk"/>
    <n v="196873"/>
    <x v="63"/>
    <x v="63"/>
    <n v="92.982675999999998"/>
    <n v="20.805734000000001"/>
    <m/>
    <n v="18"/>
    <n v="157"/>
    <n v="8.7222222222222214"/>
    <s v="Accessible by All"/>
    <m/>
    <x v="3"/>
    <s v="Yes"/>
    <m/>
    <x v="1"/>
    <s v="Muslim"/>
    <x v="1"/>
    <x v="2"/>
    <x v="5"/>
    <s v="Camp/Community Leader"/>
    <s v="Estimate"/>
    <d v="2016-03-18T00:00:00"/>
    <s v="Returned in Individual Housing (Jan 2016)"/>
    <x v="5"/>
    <n v="1"/>
  </r>
  <r>
    <x v="2"/>
    <x v="0"/>
    <s v="MMR012"/>
    <s v="Sittwe"/>
    <s v="MMR012D001"/>
    <x v="7"/>
    <s v="MMR012004"/>
    <s v="Sin Oe Chaing"/>
    <s v="MMR012004069"/>
    <s v="Shwe Hlaing Ku Lar"/>
    <n v="196868"/>
    <x v="64"/>
    <x v="64"/>
    <n v="92.987399999999994"/>
    <n v="20.78332"/>
    <m/>
    <n v="144"/>
    <n v="1006"/>
    <n v="7.1388888888888893"/>
    <s v="Accessible by All"/>
    <m/>
    <x v="3"/>
    <s v="Yes"/>
    <m/>
    <x v="1"/>
    <s v="Muslim"/>
    <x v="1"/>
    <x v="2"/>
    <x v="5"/>
    <s v="Camp/Community Leader"/>
    <s v="Household survey"/>
    <d v="2016-03-18T00:00:00"/>
    <s v="Returned in Individual Housing (Jan 2016)"/>
    <x v="5"/>
    <n v="1"/>
  </r>
  <r>
    <x v="2"/>
    <x v="0"/>
    <s v="MMR012"/>
    <s v="Sittwe"/>
    <s v="MMR012D001"/>
    <x v="7"/>
    <s v="MMR012004"/>
    <s v="Ya Da Nar Pon"/>
    <s v="MMR012004019"/>
    <s v="Ku Lar Taung Bway"/>
    <n v="196789"/>
    <x v="65"/>
    <x v="65"/>
    <n v="93.000815000000003"/>
    <n v="20.929649000000001"/>
    <m/>
    <n v="63"/>
    <n v="414"/>
    <n v="6.67741935483871"/>
    <s v="Accessible by All"/>
    <m/>
    <x v="3"/>
    <s v="Yes"/>
    <m/>
    <x v="1"/>
    <s v="Muslim"/>
    <x v="1"/>
    <x v="2"/>
    <x v="5"/>
    <s v="Camp/Community Leader"/>
    <s v="Estimate"/>
    <d v="2016-03-18T00:00:00"/>
    <s v="Returned in Individual Housing (Jan 2016)"/>
    <x v="5"/>
    <n v="1"/>
  </r>
  <r>
    <x v="2"/>
    <x v="0"/>
    <s v="MMR012"/>
    <s v="Sittwe"/>
    <s v="MMR012D001"/>
    <x v="7"/>
    <s v="MMR012004"/>
    <s v="Ah Pauk Wa"/>
    <s v="MMR012004064"/>
    <s v="Yun Nyar"/>
    <n v="196952"/>
    <x v="66"/>
    <x v="66"/>
    <n v="92.969350000000006"/>
    <n v="20.727589999999999"/>
    <m/>
    <n v="112"/>
    <n v="738"/>
    <n v="6.5625"/>
    <s v="Accessible by All"/>
    <m/>
    <x v="3"/>
    <s v="Yes"/>
    <m/>
    <x v="1"/>
    <s v="Muslim"/>
    <x v="1"/>
    <x v="2"/>
    <x v="5"/>
    <s v="Camp/Community Leader"/>
    <s v="Household survey"/>
    <d v="2016-03-18T00:00:00"/>
    <s v="Returned in Individual Housing (Jan 2016)"/>
    <x v="5"/>
    <n v="1"/>
  </r>
  <r>
    <x v="3"/>
    <x v="0"/>
    <s v="MMR012"/>
    <s v="Maungdaw"/>
    <s v="MMR012D002"/>
    <x v="6"/>
    <s v="MMR012009"/>
    <s v="Ba Gone Nar"/>
    <s v="MMR012009066"/>
    <s v="Baw Di Kone(No standard name yet"/>
    <n v="217897"/>
    <x v="67"/>
    <x v="67"/>
    <n v="92.416263999999998"/>
    <n v="20.796128"/>
    <m/>
    <m/>
    <m/>
    <n v="0"/>
    <s v="Accessible by All"/>
    <s v="IDP"/>
    <x v="2"/>
    <m/>
    <m/>
    <x v="1"/>
    <m/>
    <x v="4"/>
    <x v="2"/>
    <x v="6"/>
    <s v="Camp/Community Leader"/>
    <s v="Estimate"/>
    <d v="2013-09-03T00:00:00"/>
    <m/>
    <x v="6"/>
    <n v="0"/>
  </r>
  <r>
    <x v="3"/>
    <x v="0"/>
    <s v="MMR013"/>
    <s v="Maungdaw"/>
    <s v="MMR012D002"/>
    <x v="6"/>
    <s v="MMR012009"/>
    <s v="Urban"/>
    <s v="MMR012009701"/>
    <m/>
    <m/>
    <x v="68"/>
    <x v="68"/>
    <n v="92.365618999999995"/>
    <n v="20.820316999999999"/>
    <m/>
    <m/>
    <m/>
    <n v="0"/>
    <s v="Accessible by All"/>
    <s v="IDP"/>
    <x v="2"/>
    <m/>
    <m/>
    <x v="1"/>
    <m/>
    <x v="4"/>
    <x v="2"/>
    <x v="6"/>
    <s v="Camp/Community Leader"/>
    <s v="Estimate"/>
    <d v="2013-10-01T00:00:00"/>
    <m/>
    <x v="6"/>
    <n v="0"/>
  </r>
  <r>
    <x v="3"/>
    <x v="0"/>
    <s v="MMR012"/>
    <s v="Maungdaw"/>
    <s v="MMR012D002"/>
    <x v="6"/>
    <s v="MMR012009"/>
    <s v="Ba Gone Nar"/>
    <s v="MMR012009066"/>
    <s v="Kan Thar Yar(No standard name yet)"/>
    <n v="217895"/>
    <x v="69"/>
    <x v="69"/>
    <n v="92.423364000000007"/>
    <n v="20.801544"/>
    <m/>
    <m/>
    <m/>
    <n v="0"/>
    <s v="Accessible by All"/>
    <s v="IDP"/>
    <x v="2"/>
    <m/>
    <m/>
    <x v="1"/>
    <m/>
    <x v="4"/>
    <x v="2"/>
    <x v="6"/>
    <s v="Camp/Community Leader"/>
    <s v="Estimate"/>
    <d v="2013-09-03T00:00:00"/>
    <m/>
    <x v="6"/>
    <n v="0"/>
  </r>
  <r>
    <x v="3"/>
    <x v="0"/>
    <s v="MMR012"/>
    <s v="Maungdaw"/>
    <s v="MMR012D002"/>
    <x v="6"/>
    <s v="MMR012009"/>
    <s v="(Du) Chee Yar Tan"/>
    <s v="MMR012009069"/>
    <s v="King Chaung(No standard name yet)"/>
    <n v="217898"/>
    <x v="70"/>
    <x v="70"/>
    <n v="92.424138999999997"/>
    <n v="20.762730999999999"/>
    <m/>
    <m/>
    <m/>
    <n v="0"/>
    <s v="Accessible by All"/>
    <s v="IDP"/>
    <x v="2"/>
    <m/>
    <m/>
    <x v="1"/>
    <m/>
    <x v="4"/>
    <x v="2"/>
    <x v="6"/>
    <s v="Camp/Community Leader"/>
    <s v="Estimate"/>
    <d v="2013-09-03T00:00:00"/>
    <m/>
    <x v="6"/>
    <n v="0"/>
  </r>
  <r>
    <x v="3"/>
    <x v="0"/>
    <s v="MMR012"/>
    <s v="Maungdaw"/>
    <s v="MMR012D002"/>
    <x v="6"/>
    <s v="MMR012009"/>
    <s v="NA"/>
    <s v="NA"/>
    <s v="NA"/>
    <s v="NA"/>
    <x v="71"/>
    <x v="71"/>
    <s v="NA"/>
    <s v="NA"/>
    <m/>
    <m/>
    <m/>
    <n v="0"/>
    <s v="Accessible by All"/>
    <s v="IDP"/>
    <x v="2"/>
    <m/>
    <m/>
    <x v="1"/>
    <m/>
    <x v="4"/>
    <x v="2"/>
    <x v="6"/>
    <s v="Camp/Community Leader"/>
    <s v="Estimate"/>
    <d v="2013-09-03T00:00:00"/>
    <m/>
    <x v="6"/>
    <n v="0"/>
  </r>
  <r>
    <x v="3"/>
    <x v="0"/>
    <s v="MMR012"/>
    <s v="Maungdaw"/>
    <s v="MMR012D002"/>
    <x v="6"/>
    <s v="MMR012009"/>
    <s v="NA"/>
    <s v="NA"/>
    <s v="NA"/>
    <s v="NA"/>
    <x v="72"/>
    <x v="72"/>
    <s v="NA"/>
    <s v="NA"/>
    <m/>
    <m/>
    <m/>
    <n v="0"/>
    <s v="Accessible by All"/>
    <s v="IDP"/>
    <x v="2"/>
    <m/>
    <m/>
    <x v="1"/>
    <m/>
    <x v="4"/>
    <x v="2"/>
    <x v="6"/>
    <s v="Camp/Community Leader"/>
    <s v="Estimate"/>
    <d v="2013-09-03T00:00:00"/>
    <m/>
    <x v="6"/>
    <n v="0"/>
  </r>
  <r>
    <x v="3"/>
    <x v="0"/>
    <s v="MMR012"/>
    <s v="Maungdaw"/>
    <s v="MMR012D002"/>
    <x v="6"/>
    <s v="MMR012009"/>
    <s v="Tha Yae Kone Tan"/>
    <s v="MMR012009080"/>
    <s v="Tha Ray Kon Baung"/>
    <n v="198016"/>
    <x v="73"/>
    <x v="73"/>
    <n v="92.429599999999994"/>
    <n v="20.729866999999999"/>
    <m/>
    <m/>
    <m/>
    <n v="0"/>
    <s v="Accessible by All"/>
    <s v="IDP"/>
    <x v="2"/>
    <m/>
    <m/>
    <x v="1"/>
    <m/>
    <x v="4"/>
    <x v="2"/>
    <x v="6"/>
    <s v="Camp/Community Leader"/>
    <s v="Estimate"/>
    <d v="2013-09-03T00:00:00"/>
    <m/>
    <x v="6"/>
    <n v="0"/>
  </r>
  <r>
    <x v="3"/>
    <x v="0"/>
    <s v="MMR014"/>
    <s v="Maungdaw"/>
    <s v="MMR012D002"/>
    <x v="6"/>
    <s v="MMR012009"/>
    <s v="Urban"/>
    <s v="MMR012009701"/>
    <m/>
    <m/>
    <x v="74"/>
    <x v="74"/>
    <n v="92.367536000000001"/>
    <n v="20.825500000000002"/>
    <m/>
    <m/>
    <m/>
    <n v="0"/>
    <s v="Accessible by All"/>
    <s v="IDP"/>
    <x v="2"/>
    <m/>
    <m/>
    <x v="1"/>
    <m/>
    <x v="4"/>
    <x v="2"/>
    <x v="6"/>
    <s v="Camp/Community Leader"/>
    <s v="Estimate"/>
    <d v="2013-10-01T00:00:00"/>
    <m/>
    <x v="6"/>
    <n v="0"/>
  </r>
  <r>
    <x v="3"/>
    <x v="0"/>
    <s v="MMR012"/>
    <s v="Maungdaw"/>
    <s v="MMR012D002"/>
    <x v="6"/>
    <s v="MMR012009"/>
    <s v="Zaw Ma Tet"/>
    <s v="MMR012009078"/>
    <s v="Hin Thar Ya"/>
    <n v="198049"/>
    <x v="75"/>
    <x v="75"/>
    <n v="92.435074999999998"/>
    <n v="20.714532999999999"/>
    <m/>
    <m/>
    <m/>
    <n v="0"/>
    <s v="Accessible by All"/>
    <s v="IDP"/>
    <x v="1"/>
    <m/>
    <m/>
    <x v="1"/>
    <m/>
    <x v="4"/>
    <x v="2"/>
    <x v="6"/>
    <s v="Camp/Community Leader"/>
    <s v="Estimate"/>
    <d v="2013-09-03T00:00:00"/>
    <m/>
    <x v="6"/>
    <n v="0"/>
  </r>
  <r>
    <x v="3"/>
    <x v="0"/>
    <s v="MMR012"/>
    <s v="Maungdaw"/>
    <s v="MMR012D002"/>
    <x v="6"/>
    <s v="MMR012009"/>
    <s v="Zaw Ma Tet"/>
    <s v="MMR012009078"/>
    <s v="Zaw Ma Tet"/>
    <n v="198045"/>
    <x v="76"/>
    <x v="76"/>
    <n v="92.426885999999996"/>
    <n v="20.717331000000001"/>
    <m/>
    <m/>
    <m/>
    <n v="0"/>
    <s v="Accessible by All"/>
    <s v="IDP"/>
    <x v="1"/>
    <m/>
    <m/>
    <x v="1"/>
    <m/>
    <x v="4"/>
    <x v="2"/>
    <x v="6"/>
    <s v="Camp/Community Leader"/>
    <s v="Estimate"/>
    <d v="2013-09-03T00:00:00"/>
    <m/>
    <x v="6"/>
    <n v="0"/>
  </r>
  <r>
    <x v="3"/>
    <x v="0"/>
    <s v="MMR015"/>
    <s v="Maungdaw"/>
    <s v="MMR012D002"/>
    <x v="6"/>
    <s v="MMR012009"/>
    <s v="Urban"/>
    <s v="MMR012009701"/>
    <m/>
    <m/>
    <x v="77"/>
    <x v="77"/>
    <n v="92.367932999999994"/>
    <n v="20.825417000000002"/>
    <m/>
    <m/>
    <m/>
    <n v="0"/>
    <s v="Accessible by All"/>
    <s v="IDP"/>
    <x v="1"/>
    <m/>
    <m/>
    <x v="1"/>
    <m/>
    <x v="4"/>
    <x v="2"/>
    <x v="6"/>
    <s v="Camp/Community Leader"/>
    <s v="Estimate"/>
    <d v="2013-10-01T00:00:00"/>
    <m/>
    <x v="6"/>
    <n v="0"/>
  </r>
  <r>
    <x v="3"/>
    <x v="0"/>
    <s v="MMR012"/>
    <m/>
    <m/>
    <x v="9"/>
    <s v="MMR012005"/>
    <s v="Shwe Ta Mar"/>
    <s v="MMR012005018"/>
    <s v="Na Ga Yar Pyin"/>
    <n v="197063"/>
    <x v="78"/>
    <x v="78"/>
    <n v="93.258476000000002"/>
    <n v="20.554084"/>
    <m/>
    <m/>
    <m/>
    <n v="0"/>
    <s v="Accessible by All"/>
    <s v="IDP"/>
    <x v="1"/>
    <m/>
    <m/>
    <x v="1"/>
    <m/>
    <x v="4"/>
    <x v="2"/>
    <x v="6"/>
    <s v="Camp/Community Leader"/>
    <s v="Estimate"/>
    <d v="2013-09-03T00:00:00"/>
    <m/>
    <x v="6"/>
    <n v="0"/>
  </r>
  <r>
    <x v="3"/>
    <x v="0"/>
    <s v="MMR012"/>
    <m/>
    <m/>
    <x v="9"/>
    <s v="MMR012005"/>
    <s v="San Bar Lay"/>
    <s v="MMR012005009"/>
    <s v="Thay Kan"/>
    <n v="197021"/>
    <x v="79"/>
    <x v="79"/>
    <n v="93.321956999999998"/>
    <n v="20.403735999999999"/>
    <m/>
    <m/>
    <m/>
    <n v="0"/>
    <s v="Accessible by All"/>
    <s v="IDP"/>
    <x v="1"/>
    <m/>
    <m/>
    <x v="1"/>
    <m/>
    <x v="4"/>
    <x v="2"/>
    <x v="6"/>
    <s v="Camp/Community Leader"/>
    <s v="Estimate"/>
    <d v="2013-09-03T00:00:00"/>
    <m/>
    <x v="6"/>
    <n v="0"/>
  </r>
  <r>
    <x v="3"/>
    <x v="0"/>
    <s v="MMR012"/>
    <s v="Sittwe"/>
    <s v="MMR012D001"/>
    <x v="8"/>
    <s v="MMR012003"/>
    <s v="Urban"/>
    <s v="MMR012003701"/>
    <m/>
    <m/>
    <x v="80"/>
    <x v="80"/>
    <n v="93.187995999999998"/>
    <n v="20.589569000000001"/>
    <s v="0"/>
    <m/>
    <m/>
    <n v="0"/>
    <s v="Accessible by All"/>
    <s v="IDP"/>
    <x v="4"/>
    <m/>
    <m/>
    <x v="1"/>
    <m/>
    <x v="4"/>
    <x v="2"/>
    <x v="6"/>
    <s v="Camp/Community Leader"/>
    <s v="Estimate"/>
    <d v="2013-10-01T00:00:00"/>
    <s v="Ward Name not available"/>
    <x v="6"/>
    <n v="0"/>
  </r>
  <r>
    <x v="3"/>
    <x v="0"/>
    <s v="MMR012"/>
    <s v="Sittwe"/>
    <s v="MMR012D001"/>
    <x v="5"/>
    <s v="MMR012007"/>
    <s v="Sin Tet Maw"/>
    <s v="MMR012007051"/>
    <s v="Sin Tet Maw (Ku Lar)"/>
    <n v="197548"/>
    <x v="81"/>
    <x v="81"/>
    <n v="92.993758999999997"/>
    <n v="20.064226000000001"/>
    <m/>
    <m/>
    <m/>
    <n v="0"/>
    <s v="Accessible by All"/>
    <s v="IDP"/>
    <x v="1"/>
    <m/>
    <m/>
    <x v="1"/>
    <m/>
    <x v="4"/>
    <x v="2"/>
    <x v="6"/>
    <s v="Camp/Community Leader"/>
    <s v="Estimate"/>
    <d v="2016-03-18T00:00:00"/>
    <s v="No Reliable figures available"/>
    <x v="6"/>
    <n v="0"/>
  </r>
  <r>
    <x v="3"/>
    <x v="0"/>
    <s v="MMR012"/>
    <s v="Sittwe"/>
    <s v="MMR012D001"/>
    <x v="0"/>
    <s v="MMR012001"/>
    <s v="Ywar Gyi (North) Ward"/>
    <s v="MMR012001701"/>
    <m/>
    <s v="MMR012001701515"/>
    <x v="82"/>
    <x v="82"/>
    <n v="92.895899999999997"/>
    <n v="20.1538"/>
    <m/>
    <m/>
    <m/>
    <n v="0"/>
    <s v="Accessible by All"/>
    <s v="IDP"/>
    <x v="4"/>
    <m/>
    <m/>
    <x v="1"/>
    <m/>
    <x v="4"/>
    <x v="2"/>
    <x v="6"/>
    <s v="Camp/Community Leader"/>
    <s v="Estimate"/>
    <d v="2013-09-03T00:00:00"/>
    <m/>
    <x v="6"/>
    <n v="0"/>
  </r>
  <r>
    <x v="3"/>
    <x v="0"/>
    <s v="MMR012"/>
    <s v="Sittwe"/>
    <s v="MMR012D001"/>
    <x v="0"/>
    <s v="MMR012001"/>
    <s v="Kyaung Tet Lan Ward"/>
    <s v="MMR012001701"/>
    <m/>
    <s v="MMR012001701519"/>
    <x v="83"/>
    <x v="83"/>
    <n v="92.894568000000007"/>
    <n v="20.145585000000001"/>
    <m/>
    <m/>
    <m/>
    <n v="0"/>
    <s v="Accessible by All"/>
    <s v="IDP"/>
    <x v="4"/>
    <m/>
    <m/>
    <x v="1"/>
    <m/>
    <x v="4"/>
    <x v="2"/>
    <x v="6"/>
    <s v="Camp/Community Leader"/>
    <s v="Estimate"/>
    <d v="2013-09-03T00:00:00"/>
    <m/>
    <x v="6"/>
    <n v="0"/>
  </r>
  <r>
    <x v="3"/>
    <x v="0"/>
    <s v="MMR012"/>
    <s v="Sittwe"/>
    <s v="MMR012D001"/>
    <x v="0"/>
    <s v="MMR012001"/>
    <s v="Bauk Thee Su Ward"/>
    <s v="MMR012001701"/>
    <m/>
    <s v="MMR012001701518"/>
    <x v="84"/>
    <x v="84"/>
    <n v="92.898398"/>
    <n v="20.152559"/>
    <m/>
    <m/>
    <m/>
    <n v="0"/>
    <s v="Accessible by All"/>
    <s v="IDP"/>
    <x v="4"/>
    <m/>
    <m/>
    <x v="1"/>
    <m/>
    <x v="4"/>
    <x v="2"/>
    <x v="6"/>
    <s v="Camp/Community Leader"/>
    <s v="Estimate"/>
    <d v="2013-09-03T00:00:00"/>
    <m/>
    <x v="6"/>
    <n v="0"/>
  </r>
  <r>
    <x v="3"/>
    <x v="0"/>
    <s v="MMR012"/>
    <s v="Sittwe"/>
    <s v="MMR012D001"/>
    <x v="0"/>
    <s v="MMR012001"/>
    <s v="Kyaung Tet Lan Ward"/>
    <s v="MMR012001701"/>
    <m/>
    <s v="MMR012001701519"/>
    <x v="85"/>
    <x v="85"/>
    <n v="92.895600000000002"/>
    <n v="20.146916999999998"/>
    <m/>
    <m/>
    <m/>
    <n v="0"/>
    <s v="Accessible by All"/>
    <s v="IDP"/>
    <x v="4"/>
    <m/>
    <m/>
    <x v="1"/>
    <m/>
    <x v="4"/>
    <x v="2"/>
    <x v="6"/>
    <s v="Camp/Community Leader"/>
    <s v="Estimate"/>
    <d v="2013-09-03T00:00:00"/>
    <m/>
    <x v="6"/>
    <n v="0"/>
  </r>
  <r>
    <x v="3"/>
    <x v="0"/>
    <s v="MMR012"/>
    <s v="Sittwe"/>
    <s v="MMR012D001"/>
    <x v="0"/>
    <s v="MMR012001"/>
    <s v="Ywar Gyi (North) Ward"/>
    <s v="MMR012001701"/>
    <m/>
    <s v="MMR012001701515"/>
    <x v="86"/>
    <x v="86"/>
    <n v="92.896409000000006"/>
    <n v="20.153753999999999"/>
    <m/>
    <m/>
    <m/>
    <n v="0"/>
    <s v="Accessible by All"/>
    <s v="IDP"/>
    <x v="4"/>
    <m/>
    <m/>
    <x v="1"/>
    <m/>
    <x v="4"/>
    <x v="2"/>
    <x v="6"/>
    <s v="Camp/Community Leader"/>
    <s v="Estimate"/>
    <d v="2013-09-03T00:00:00"/>
    <m/>
    <x v="6"/>
    <n v="0"/>
  </r>
  <r>
    <x v="3"/>
    <x v="0"/>
    <s v="MMR012"/>
    <s v="Sittwe"/>
    <s v="MMR012D001"/>
    <x v="0"/>
    <s v="MMR012001"/>
    <s v="Ywar Gyi (South) Ward"/>
    <s v="MMR012001701"/>
    <m/>
    <s v="MMR012001701516"/>
    <x v="87"/>
    <x v="87"/>
    <n v="92.894450000000006"/>
    <n v="20.147099999999998"/>
    <m/>
    <m/>
    <m/>
    <n v="0"/>
    <s v="Accessible by All"/>
    <s v="IDP"/>
    <x v="4"/>
    <m/>
    <m/>
    <x v="1"/>
    <m/>
    <x v="4"/>
    <x v="2"/>
    <x v="6"/>
    <s v="Camp/Community Leader"/>
    <s v="Estimate"/>
    <d v="2013-09-03T00:00:00"/>
    <m/>
    <x v="6"/>
    <n v="0"/>
  </r>
  <r>
    <x v="3"/>
    <x v="0"/>
    <s v="MMR012"/>
    <s v="Sittwe"/>
    <s v="MMR012D001"/>
    <x v="0"/>
    <s v="MMR012001"/>
    <s v="Sin Ku Lan Ward"/>
    <s v="MMR012001701"/>
    <m/>
    <s v="MMR012001701512"/>
    <x v="88"/>
    <x v="88"/>
    <n v="92.896006"/>
    <n v="20.154330999999999"/>
    <m/>
    <m/>
    <m/>
    <n v="0"/>
    <s v="Accessible by All"/>
    <s v="IDP"/>
    <x v="4"/>
    <m/>
    <m/>
    <x v="1"/>
    <m/>
    <x v="4"/>
    <x v="2"/>
    <x v="6"/>
    <s v="Camp/Community Leader"/>
    <s v="Estimate"/>
    <d v="2013-09-03T00:00:00"/>
    <m/>
    <x v="6"/>
    <n v="0"/>
  </r>
  <r>
    <x v="3"/>
    <x v="0"/>
    <s v="MMR012"/>
    <s v="Sittwe"/>
    <s v="MMR012D001"/>
    <x v="0"/>
    <s v="MMR012001"/>
    <m/>
    <m/>
    <m/>
    <m/>
    <x v="89"/>
    <x v="89"/>
    <n v="92.893904000000006"/>
    <n v="20.146673"/>
    <m/>
    <m/>
    <m/>
    <n v="0"/>
    <s v="Accessible by All"/>
    <s v="IDP"/>
    <x v="4"/>
    <m/>
    <m/>
    <x v="1"/>
    <m/>
    <x v="4"/>
    <x v="2"/>
    <x v="6"/>
    <s v="Camp/Community Leader"/>
    <s v="Estimate"/>
    <d v="2013-09-03T00:00:00"/>
    <m/>
    <x v="6"/>
    <n v="0"/>
  </r>
  <r>
    <x v="3"/>
    <x v="0"/>
    <s v="MMR012"/>
    <s v="Sittwe"/>
    <s v="MMR012D001"/>
    <x v="0"/>
    <s v="MMR012001"/>
    <s v=" Bauk Thee Su Ward"/>
    <s v="MMR012001701"/>
    <m/>
    <s v="MMR012001701518"/>
    <x v="90"/>
    <x v="90"/>
    <n v="92.897783000000004"/>
    <n v="20.151050000000001"/>
    <m/>
    <m/>
    <m/>
    <n v="0"/>
    <s v="Accessible by All"/>
    <s v="IDP"/>
    <x v="4"/>
    <m/>
    <m/>
    <x v="1"/>
    <m/>
    <x v="4"/>
    <x v="2"/>
    <x v="6"/>
    <s v="Camp/Community Leader"/>
    <s v="Estimate"/>
    <d v="2013-09-03T00:00:00"/>
    <m/>
    <x v="6"/>
    <n v="0"/>
  </r>
  <r>
    <x v="3"/>
    <x v="0"/>
    <s v="MMR012"/>
    <s v="Sittwe"/>
    <s v="MMR012D001"/>
    <x v="0"/>
    <s v="MMR012001"/>
    <s v="Baung Dut Ward"/>
    <s v="MMR012001701"/>
    <m/>
    <s v="MMR012001701517"/>
    <x v="91"/>
    <x v="91"/>
    <n v="92.896944000000005"/>
    <n v="20.150891999999999"/>
    <m/>
    <m/>
    <m/>
    <n v="0"/>
    <s v="Accessible by All"/>
    <s v="IDP"/>
    <x v="4"/>
    <m/>
    <m/>
    <x v="1"/>
    <m/>
    <x v="4"/>
    <x v="2"/>
    <x v="6"/>
    <s v="Camp/Community Leader"/>
    <s v="Estimate"/>
    <d v="2013-09-03T00:00:00"/>
    <m/>
    <x v="6"/>
    <n v="0"/>
  </r>
  <r>
    <x v="3"/>
    <x v="0"/>
    <s v="MMR012"/>
    <s v="Sittwe"/>
    <s v="MMR012D001"/>
    <x v="0"/>
    <s v="MMR012001"/>
    <s v="Ywar Gyi (North) Ward"/>
    <s v="MMR012001701"/>
    <m/>
    <s v="MMR012001701515"/>
    <x v="92"/>
    <x v="92"/>
    <n v="92.894499999999994"/>
    <n v="20.1462"/>
    <m/>
    <m/>
    <m/>
    <n v="0"/>
    <s v="Accessible by All"/>
    <s v="IDP"/>
    <x v="4"/>
    <m/>
    <m/>
    <x v="1"/>
    <m/>
    <x v="4"/>
    <x v="2"/>
    <x v="6"/>
    <s v="Camp/Community Leader"/>
    <s v="Estimate"/>
    <d v="2013-09-03T00:00:00"/>
    <m/>
    <x v="6"/>
    <n v="0"/>
  </r>
  <r>
    <x v="3"/>
    <x v="0"/>
    <s v="MMR012"/>
    <s v="Sittwe"/>
    <s v="MMR012D001"/>
    <x v="0"/>
    <s v="MMR012001"/>
    <s v="Sin Ku Lan Ward"/>
    <s v="MMR012001701"/>
    <m/>
    <s v="MMR012001701512"/>
    <x v="93"/>
    <x v="93"/>
    <n v="92.897932999999995"/>
    <n v="20.155850000000001"/>
    <m/>
    <m/>
    <m/>
    <n v="0"/>
    <s v="Accessible by All"/>
    <s v="IDP"/>
    <x v="4"/>
    <m/>
    <m/>
    <x v="1"/>
    <m/>
    <x v="4"/>
    <x v="2"/>
    <x v="6"/>
    <s v="Camp/Community Leader"/>
    <s v="Estimate"/>
    <d v="2013-09-03T00:00:00"/>
    <m/>
    <x v="6"/>
    <n v="0"/>
  </r>
  <r>
    <x v="3"/>
    <x v="0"/>
    <s v="MMR012"/>
    <s v="Sittwe"/>
    <s v="MMR012D001"/>
    <x v="0"/>
    <s v="MMR012001"/>
    <s v="Pyi Taw Thar Ward"/>
    <s v="MMR012001701"/>
    <m/>
    <s v="MMR012001701520"/>
    <x v="94"/>
    <x v="94"/>
    <n v="92.888949999999994"/>
    <n v="20.125032999999998"/>
    <m/>
    <m/>
    <m/>
    <n v="0"/>
    <s v="Accessible by All"/>
    <s v="IDP"/>
    <x v="4"/>
    <m/>
    <m/>
    <x v="1"/>
    <m/>
    <x v="4"/>
    <x v="2"/>
    <x v="6"/>
    <s v="Camp/Community Leader"/>
    <s v="Estimate"/>
    <d v="2013-09-03T00:00:00"/>
    <m/>
    <x v="6"/>
    <n v="0"/>
  </r>
  <r>
    <x v="3"/>
    <x v="0"/>
    <s v="MMR012"/>
    <s v="Sittwe"/>
    <s v="MMR012D001"/>
    <x v="0"/>
    <s v="MMR012001"/>
    <s v="Ywar Gyi (South) Ward"/>
    <s v="MMR012001701"/>
    <m/>
    <s v="MMR012001701516"/>
    <x v="95"/>
    <x v="95"/>
    <n v="92.892431999999999"/>
    <n v="20.146041"/>
    <m/>
    <m/>
    <m/>
    <n v="0"/>
    <s v="Accessible by All"/>
    <s v="IDP"/>
    <x v="4"/>
    <m/>
    <m/>
    <x v="1"/>
    <m/>
    <x v="4"/>
    <x v="2"/>
    <x v="6"/>
    <s v="Camp/Community Leader"/>
    <s v="Estimate"/>
    <d v="2013-09-03T00:00:00"/>
    <m/>
    <x v="6"/>
    <n v="0"/>
  </r>
  <r>
    <x v="3"/>
    <x v="0"/>
    <s v="MMR012"/>
    <s v="Sittwe"/>
    <s v="MMR012D001"/>
    <x v="0"/>
    <s v="MMR012001"/>
    <s v="Ywar Gyi (North) Ward"/>
    <s v="MMR012001701"/>
    <m/>
    <s v="MMR012001701515"/>
    <x v="96"/>
    <x v="96"/>
    <n v="92.896417999999997"/>
    <n v="20.152895000000001"/>
    <m/>
    <m/>
    <m/>
    <n v="0"/>
    <s v="Accessible by All"/>
    <s v="IDP"/>
    <x v="4"/>
    <m/>
    <m/>
    <x v="1"/>
    <m/>
    <x v="4"/>
    <x v="2"/>
    <x v="6"/>
    <s v="Camp/Community Leader"/>
    <s v="Estimate"/>
    <d v="2013-09-03T00:00:00"/>
    <m/>
    <x v="6"/>
    <n v="0"/>
  </r>
  <r>
    <x v="3"/>
    <x v="0"/>
    <s v="MMR012"/>
    <s v="Sittwe"/>
    <s v="MMR012D001"/>
    <x v="0"/>
    <s v="MMR012001"/>
    <s v="Sin Ku Lan Ward"/>
    <s v="MMR012001701"/>
    <m/>
    <s v="MMR012001701512"/>
    <x v="97"/>
    <x v="97"/>
    <n v="92.896533000000005"/>
    <n v="20.15465"/>
    <m/>
    <m/>
    <m/>
    <n v="0"/>
    <s v="Accessible by All"/>
    <s v="IDP"/>
    <x v="4"/>
    <m/>
    <m/>
    <x v="1"/>
    <m/>
    <x v="4"/>
    <x v="2"/>
    <x v="6"/>
    <s v="Camp/Community Leader"/>
    <s v="Estimate"/>
    <d v="2013-09-03T00:00:00"/>
    <m/>
    <x v="6"/>
    <n v="0"/>
  </r>
  <r>
    <x v="3"/>
    <x v="0"/>
    <s v="MMR012"/>
    <s v="Sittwe"/>
    <s v="MMR012D001"/>
    <x v="0"/>
    <s v="MMR012001"/>
    <s v="Ywar Gyi (South) Ward"/>
    <s v="MMR012001701"/>
    <m/>
    <s v="MMR012001701516"/>
    <x v="98"/>
    <x v="98"/>
    <n v="92.893332999999998"/>
    <n v="20.146117"/>
    <m/>
    <m/>
    <m/>
    <n v="0"/>
    <s v="Accessible by All"/>
    <s v="IDP"/>
    <x v="4"/>
    <m/>
    <m/>
    <x v="1"/>
    <m/>
    <x v="4"/>
    <x v="2"/>
    <x v="6"/>
    <s v="Camp/Community Leader"/>
    <s v="Estimate"/>
    <d v="2013-09-03T00:00:00"/>
    <m/>
    <x v="6"/>
    <n v="0"/>
  </r>
  <r>
    <x v="3"/>
    <x v="0"/>
    <s v="MMR012"/>
    <s v="Sittwe"/>
    <s v="MMR012D001"/>
    <x v="0"/>
    <s v="MMR012001"/>
    <s v="Khaung Doke Kar"/>
    <s v="MMR012001025"/>
    <s v="Baw Du Hpa"/>
    <n v="196192"/>
    <x v="99"/>
    <x v="99"/>
    <n v="92.807418999999996"/>
    <n v="20.181238"/>
    <m/>
    <m/>
    <m/>
    <n v="0"/>
    <s v="Accessible by All"/>
    <s v="IDP"/>
    <x v="2"/>
    <m/>
    <m/>
    <x v="1"/>
    <m/>
    <x v="4"/>
    <x v="2"/>
    <x v="6"/>
    <s v="Camp/Community Leader"/>
    <s v="Estimate"/>
    <d v="2013-10-01T00:00:00"/>
    <m/>
    <x v="6"/>
    <n v="0"/>
  </r>
  <r>
    <x v="3"/>
    <x v="0"/>
    <s v="MMR012"/>
    <s v="Sittwe"/>
    <s v="MMR012D001"/>
    <x v="0"/>
    <s v="MMR012001"/>
    <s v="Baw Lone Kwin Ward"/>
    <s v="MMR012001701"/>
    <m/>
    <s v="MMR012001701528"/>
    <x v="100"/>
    <x v="100"/>
    <n v="92.889384000000007"/>
    <n v="20.135473999999999"/>
    <m/>
    <m/>
    <m/>
    <n v="0"/>
    <s v="Accessible by All"/>
    <s v="IDP"/>
    <x v="2"/>
    <m/>
    <m/>
    <x v="1"/>
    <m/>
    <x v="4"/>
    <x v="2"/>
    <x v="6"/>
    <s v="Camp/Community Leader"/>
    <s v="Estimate"/>
    <d v="2013-09-03T00:00:00"/>
    <m/>
    <x v="6"/>
    <n v="0"/>
  </r>
  <r>
    <x v="3"/>
    <x v="0"/>
    <s v="MMR012"/>
    <s v="Sittwe"/>
    <s v="MMR012D001"/>
    <x v="0"/>
    <s v="MMR012001"/>
    <s v="Ywar Gyi (North) Ward"/>
    <s v="MMR012001701"/>
    <m/>
    <s v="MMR012001701515"/>
    <x v="101"/>
    <x v="101"/>
    <n v="92.897177999999997"/>
    <n v="20.153129"/>
    <m/>
    <m/>
    <m/>
    <n v="0"/>
    <s v="Accessible by All"/>
    <s v="IDP"/>
    <x v="2"/>
    <m/>
    <m/>
    <x v="1"/>
    <m/>
    <x v="4"/>
    <x v="2"/>
    <x v="6"/>
    <s v="Camp/Community Leader"/>
    <s v="Estimate"/>
    <d v="2013-09-03T00:00:00"/>
    <m/>
    <x v="6"/>
    <n v="0"/>
  </r>
  <r>
    <x v="3"/>
    <x v="0"/>
    <s v="MMR012"/>
    <s v="Sittwe"/>
    <s v="MMR012D001"/>
    <x v="0"/>
    <s v="MMR012001"/>
    <s v="Khaung Doke Kar"/>
    <s v="MMR012001025"/>
    <m/>
    <m/>
    <x v="102"/>
    <x v="102"/>
    <n v="92.816638999999995"/>
    <n v="20.180194"/>
    <m/>
    <m/>
    <m/>
    <n v="0"/>
    <s v="Accessible by All"/>
    <s v="IDP"/>
    <x v="2"/>
    <m/>
    <m/>
    <x v="1"/>
    <m/>
    <x v="4"/>
    <x v="2"/>
    <x v="6"/>
    <s v="Camp/Community Leader"/>
    <s v="Estimate"/>
    <d v="2013-10-01T00:00:00"/>
    <m/>
    <x v="6"/>
    <n v="0"/>
  </r>
  <r>
    <x v="3"/>
    <x v="0"/>
    <s v="MMR012"/>
    <s v="Sittwe"/>
    <s v="MMR012D001"/>
    <x v="0"/>
    <s v="MMR012001"/>
    <s v="Bu May"/>
    <s v="MMR012001027"/>
    <s v="Hman Zi"/>
    <n v="196207"/>
    <x v="103"/>
    <x v="103"/>
    <n v="92.826407000000003"/>
    <n v="20.175169"/>
    <m/>
    <m/>
    <m/>
    <n v="0"/>
    <s v="Accessible by All"/>
    <s v="IDP"/>
    <x v="2"/>
    <m/>
    <m/>
    <x v="1"/>
    <m/>
    <x v="4"/>
    <x v="2"/>
    <x v="6"/>
    <s v="Camp/Community Leader"/>
    <s v="Estimate"/>
    <d v="2013-09-03T00:00:00"/>
    <m/>
    <x v="6"/>
    <n v="0"/>
  </r>
  <r>
    <x v="3"/>
    <x v="0"/>
    <s v="MMR012"/>
    <s v="Sittwe"/>
    <s v="MMR012D001"/>
    <x v="0"/>
    <s v="MMR012001"/>
    <s v="Ye New Su Ward"/>
    <s v="MMR012001701"/>
    <m/>
    <s v="MMR012001701523"/>
    <x v="104"/>
    <x v="104"/>
    <n v="92.886889999999994"/>
    <n v="20.132694999999998"/>
    <m/>
    <m/>
    <m/>
    <n v="0"/>
    <s v="Accessible by All"/>
    <s v="IDP"/>
    <x v="2"/>
    <m/>
    <m/>
    <x v="1"/>
    <m/>
    <x v="4"/>
    <x v="2"/>
    <x v="6"/>
    <s v="Camp/Community Leader"/>
    <s v="Estimate"/>
    <d v="2013-09-03T00:00:00"/>
    <m/>
    <x v="6"/>
    <n v="0"/>
  </r>
  <r>
    <x v="3"/>
    <x v="0"/>
    <s v="MMR012"/>
    <s v="Sittwe"/>
    <s v="MMR012D001"/>
    <x v="0"/>
    <s v="MMR012001"/>
    <s v="Min Gan Ward"/>
    <s v="MMR012001701"/>
    <m/>
    <s v="MMR012001701532"/>
    <x v="105"/>
    <x v="105"/>
    <n v="92.860598999999993"/>
    <n v="20.154343000000001"/>
    <m/>
    <m/>
    <m/>
    <n v="0"/>
    <s v="Accessible by All"/>
    <s v="IDP"/>
    <x v="2"/>
    <m/>
    <m/>
    <x v="1"/>
    <m/>
    <x v="4"/>
    <x v="2"/>
    <x v="6"/>
    <s v="Camp/Community Leader"/>
    <s v="Estimate"/>
    <d v="2013-09-03T00:00:00"/>
    <m/>
    <x v="6"/>
    <n v="0"/>
  </r>
  <r>
    <x v="3"/>
    <x v="0"/>
    <s v="MMR012"/>
    <s v="Sittwe"/>
    <s v="MMR012D001"/>
    <x v="0"/>
    <s v="MMR012001"/>
    <s v="Khaung Doke Kar"/>
    <s v="MMR012001025"/>
    <s v="Baw Du Hpa"/>
    <n v="196192"/>
    <x v="106"/>
    <x v="106"/>
    <n v="92.798676999999998"/>
    <n v="20.187750999999999"/>
    <m/>
    <m/>
    <m/>
    <n v="0"/>
    <s v="Accessible by All"/>
    <s v="IDP"/>
    <x v="2"/>
    <m/>
    <m/>
    <x v="1"/>
    <m/>
    <x v="4"/>
    <x v="2"/>
    <x v="6"/>
    <s v="Camp/Community Leader"/>
    <s v="Estimate"/>
    <d v="2013-10-01T00:00:00"/>
    <m/>
    <x v="6"/>
    <n v="0"/>
  </r>
  <r>
    <x v="3"/>
    <x v="0"/>
    <s v="MMR012"/>
    <s v="Sittwe"/>
    <s v="MMR012D001"/>
    <x v="0"/>
    <s v="MMR012001"/>
    <s v="Khaung Doke Kar"/>
    <s v="MMR012001025"/>
    <s v="Baw Du Hpa"/>
    <n v="196192"/>
    <x v="107"/>
    <x v="107"/>
    <n v="92.800693999999993"/>
    <n v="20.190055999999998"/>
    <m/>
    <m/>
    <m/>
    <n v="0"/>
    <s v="Accessible by All"/>
    <s v="IDP"/>
    <x v="2"/>
    <m/>
    <m/>
    <x v="1"/>
    <m/>
    <x v="4"/>
    <x v="2"/>
    <x v="6"/>
    <s v="Camp/Community Leader"/>
    <s v="Estimate"/>
    <d v="2013-10-01T00:00:00"/>
    <m/>
    <x v="6"/>
    <n v="0"/>
  </r>
  <r>
    <x v="3"/>
    <x v="0"/>
    <s v="MMR012"/>
    <s v="Sittwe"/>
    <s v="MMR012D001"/>
    <x v="0"/>
    <s v="MMR012001"/>
    <s v="Khaung Doke Kar"/>
    <s v="MMR012001025"/>
    <s v="Baw Du Hpa"/>
    <n v="196192"/>
    <x v="108"/>
    <x v="108"/>
    <n v="92.800528"/>
    <n v="20.185583000000001"/>
    <m/>
    <m/>
    <m/>
    <n v="0"/>
    <s v="Accessible by All"/>
    <s v="IDP"/>
    <x v="2"/>
    <m/>
    <m/>
    <x v="1"/>
    <m/>
    <x v="4"/>
    <x v="2"/>
    <x v="6"/>
    <s v="Camp/Community Leader"/>
    <s v="Estimate"/>
    <d v="2013-10-01T00:00:00"/>
    <s v="This HH and Total population is for Both camps Ohn Taw Gyi 4 and 5 because information is only possible to get combine information for 2 camps."/>
    <x v="6"/>
    <n v="0"/>
  </r>
  <r>
    <x v="3"/>
    <x v="0"/>
    <s v="MMR012"/>
    <s v="Sittwe"/>
    <s v="MMR012D001"/>
    <x v="0"/>
    <s v="MMR012001"/>
    <s v="Khaung Doke Kar"/>
    <s v="MMR012001025"/>
    <s v="Baw Du Hpa"/>
    <n v="196192"/>
    <x v="109"/>
    <x v="109"/>
    <n v="92.799861000000007"/>
    <n v="20.185193999999999"/>
    <m/>
    <m/>
    <m/>
    <n v="0"/>
    <s v="Accessible by All"/>
    <s v="IDP"/>
    <x v="2"/>
    <m/>
    <m/>
    <x v="1"/>
    <m/>
    <x v="4"/>
    <x v="2"/>
    <x v="6"/>
    <s v="Camp/Community Leader"/>
    <s v="Estimate"/>
    <d v="2013-10-01T00:00:00"/>
    <m/>
    <x v="6"/>
    <n v="0"/>
  </r>
  <r>
    <x v="3"/>
    <x v="0"/>
    <s v="MMR012"/>
    <s v="Sittwe"/>
    <s v="MMR012D001"/>
    <x v="0"/>
    <s v="MMR012001"/>
    <s v="Aung Daing"/>
    <s v="MMR012001005"/>
    <s v="Hpwe Ywar Kone"/>
    <n v="196157"/>
    <x v="110"/>
    <x v="110"/>
    <n v="92.788177000000005"/>
    <n v="20.207284999999999"/>
    <m/>
    <m/>
    <m/>
    <n v="0"/>
    <s v="Accessible by All"/>
    <s v="IDP"/>
    <x v="2"/>
    <m/>
    <m/>
    <x v="1"/>
    <m/>
    <x v="4"/>
    <x v="2"/>
    <x v="6"/>
    <s v="Camp/Community Leader"/>
    <s v="Estimate"/>
    <d v="2013-10-01T00:00:00"/>
    <m/>
    <x v="6"/>
    <n v="0"/>
  </r>
  <r>
    <x v="3"/>
    <x v="0"/>
    <s v="MMR012"/>
    <s v="Sittwe"/>
    <s v="MMR012D001"/>
    <x v="0"/>
    <s v="MMR012001"/>
    <s v="Bu May"/>
    <s v="MMR012001027"/>
    <s v="Thea Chaung Let Tha Mar Kone"/>
    <n v="196209"/>
    <x v="111"/>
    <x v="111"/>
    <n v="92.847966999999997"/>
    <n v="20.147107999999999"/>
    <m/>
    <m/>
    <m/>
    <n v="0"/>
    <s v="Accessible by All"/>
    <s v="IDP"/>
    <x v="1"/>
    <m/>
    <m/>
    <x v="1"/>
    <m/>
    <x v="4"/>
    <x v="2"/>
    <x v="6"/>
    <s v="Camp/Community Leader"/>
    <s v="Estimate"/>
    <d v="2013-09-03T00:00:00"/>
    <m/>
    <x v="6"/>
    <n v="0"/>
  </r>
  <r>
    <x v="3"/>
    <x v="0"/>
    <s v="MMR012"/>
    <s v="Sittwe"/>
    <s v="MMR012D001"/>
    <x v="0"/>
    <s v="MMR012001"/>
    <s v="Bu May"/>
    <s v="MMR012001027"/>
    <s v="Tin Bi"/>
    <n v="196216"/>
    <x v="112"/>
    <x v="112"/>
    <n v="92.848348000000001"/>
    <n v="20.133385000000001"/>
    <m/>
    <m/>
    <m/>
    <n v="0"/>
    <s v="Accessible by All"/>
    <s v="IDP"/>
    <x v="1"/>
    <m/>
    <m/>
    <x v="1"/>
    <m/>
    <x v="4"/>
    <x v="2"/>
    <x v="6"/>
    <s v="Camp/Community Leader"/>
    <s v="Estimate"/>
    <d v="2013-09-03T00:00:00"/>
    <m/>
    <x v="6"/>
    <n v="0"/>
  </r>
  <r>
    <x v="3"/>
    <x v="0"/>
    <s v="MMR012"/>
    <s v="Sittwe"/>
    <s v="MMR012D001"/>
    <x v="0"/>
    <s v="MMR012001"/>
    <s v="Say Tha Mar"/>
    <s v="MMR012001010"/>
    <s v="Say Tha Mar Gyi"/>
    <n v="196154"/>
    <x v="113"/>
    <x v="113"/>
    <n v="92.792958999999996"/>
    <n v="20.205295"/>
    <m/>
    <m/>
    <m/>
    <n v="0"/>
    <s v="Accessible by All"/>
    <s v="IDP"/>
    <x v="1"/>
    <m/>
    <m/>
    <x v="1"/>
    <m/>
    <x v="4"/>
    <x v="2"/>
    <x v="6"/>
    <s v="Camp/Community Leader"/>
    <s v="Estimate"/>
    <d v="2013-09-03T00:00:00"/>
    <m/>
    <x v="6"/>
    <n v="0"/>
  </r>
  <r>
    <x v="3"/>
    <x v="0"/>
    <s v="MMR012"/>
    <s v="Sittwe"/>
    <s v="MMR012D001"/>
    <x v="0"/>
    <s v="MMR012001"/>
    <s v="Urban"/>
    <s v="MMR012001701"/>
    <s v="Sut Yoe Kya Ward"/>
    <s v="MMR012001701531"/>
    <x v="114"/>
    <x v="114"/>
    <n v="92.887277999999995"/>
    <n v="20.151471999999998"/>
    <m/>
    <m/>
    <m/>
    <n v="0"/>
    <s v="Accessible by All"/>
    <s v="IDP"/>
    <x v="1"/>
    <m/>
    <m/>
    <x v="1"/>
    <m/>
    <x v="4"/>
    <x v="2"/>
    <x v="6"/>
    <s v="Camp/Community Leader"/>
    <s v="Estimate"/>
    <d v="2013-10-01T00:00:00"/>
    <m/>
    <x v="6"/>
    <n v="0"/>
  </r>
  <r>
    <x v="3"/>
    <x v="0"/>
    <s v="MMR012"/>
    <s v="Sittwe"/>
    <s v="MMR012D001"/>
    <x v="0"/>
    <s v="MMR012001"/>
    <s v="Bu May"/>
    <s v="MMR012001027"/>
    <s v="Thea Chaung Ku Lar"/>
    <n v="196211"/>
    <x v="115"/>
    <x v="115"/>
    <n v="92.837576999999996"/>
    <n v="20.156842000000001"/>
    <m/>
    <m/>
    <m/>
    <n v="0"/>
    <s v="Accessible by All"/>
    <s v="IDP"/>
    <x v="1"/>
    <m/>
    <m/>
    <x v="1"/>
    <m/>
    <x v="4"/>
    <x v="2"/>
    <x v="6"/>
    <s v="Camp/Community Leader"/>
    <s v="Estimate"/>
    <d v="2013-11-01T00:00:00"/>
    <s v="Counted within Thae Chaung"/>
    <x v="6"/>
    <n v="0"/>
  </r>
  <r>
    <x v="3"/>
    <x v="0"/>
    <s v="MMR012"/>
    <s v="Sittwe"/>
    <s v="MMR012D001"/>
    <x v="0"/>
    <s v="MMR012001"/>
    <s v="Bu May"/>
    <s v="MMR012001027"/>
    <s v="Thea Chaung Ku Lar"/>
    <n v="196211"/>
    <x v="116"/>
    <x v="116"/>
    <n v="92.839166000000006"/>
    <n v="20.157311"/>
    <m/>
    <m/>
    <m/>
    <m/>
    <s v="Accessible by All"/>
    <s v="IDP"/>
    <x v="0"/>
    <m/>
    <m/>
    <x v="1"/>
    <m/>
    <x v="5"/>
    <x v="2"/>
    <x v="5"/>
    <m/>
    <m/>
    <d v="2015-10-01T00:00:00"/>
    <s v="LWF reported Thea Chaung Camp and Thea Chaung host families as a combine one (Thea Chaung)"/>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4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1" firstHeaderRow="1" firstDataRow="1" firstDataCol="2" rowPageCount="2" colPageCount="1"/>
  <pivotFields count="36">
    <pivotField axis="axisPage" compact="0" outline="0" multipleItemSelectionAllowed="1" showAll="0" defaultSubtotal="0">
      <items count="4">
        <item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3"/>
        <item x="7"/>
        <item x="6"/>
        <item x="9"/>
        <item x="8"/>
        <item x="2"/>
        <item x="5"/>
        <item x="1"/>
        <item x="4"/>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7">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extLst>
        <ext xmlns:x14="http://schemas.microsoft.com/office/spreadsheetml/2009/9/main" uri="{2946ED86-A175-432a-8AC1-64E0C546D7DE}">
          <x14:pivotField fillDownLabels="1"/>
        </ext>
      </extLst>
    </pivotField>
  </pivotFields>
  <rowFields count="2">
    <field x="5"/>
    <field x="11"/>
  </rowFields>
  <rowItems count="117">
    <i>
      <x/>
      <x v="35"/>
    </i>
    <i r="1">
      <x v="44"/>
    </i>
    <i>
      <x v="1"/>
      <x v="1"/>
    </i>
    <i r="1">
      <x v="2"/>
    </i>
    <i r="1">
      <x v="5"/>
    </i>
    <i r="1">
      <x v="28"/>
    </i>
    <i r="1">
      <x v="34"/>
    </i>
    <i r="1">
      <x v="40"/>
    </i>
    <i r="1">
      <x v="48"/>
    </i>
    <i r="1">
      <x v="59"/>
    </i>
    <i r="1">
      <x v="86"/>
    </i>
    <i r="1">
      <x v="93"/>
    </i>
    <i r="1">
      <x v="113"/>
    </i>
    <i>
      <x v="2"/>
      <x v="6"/>
    </i>
    <i r="1">
      <x v="11"/>
    </i>
    <i r="1">
      <x v="16"/>
    </i>
    <i r="1">
      <x v="17"/>
    </i>
    <i r="1">
      <x v="27"/>
    </i>
    <i r="1">
      <x v="33"/>
    </i>
    <i r="1">
      <x v="37"/>
    </i>
    <i r="1">
      <x v="41"/>
    </i>
    <i r="1">
      <x v="43"/>
    </i>
    <i r="1">
      <x v="46"/>
    </i>
    <i r="1">
      <x v="52"/>
    </i>
    <i r="1">
      <x v="56"/>
    </i>
    <i r="1">
      <x v="61"/>
    </i>
    <i r="1">
      <x v="91"/>
    </i>
    <i r="1">
      <x v="96"/>
    </i>
    <i r="1">
      <x v="102"/>
    </i>
    <i r="1">
      <x v="109"/>
    </i>
    <i r="1">
      <x v="114"/>
    </i>
    <i r="1">
      <x v="115"/>
    </i>
    <i r="1">
      <x v="116"/>
    </i>
    <i>
      <x v="3"/>
      <x v="8"/>
    </i>
    <i r="1">
      <x v="57"/>
    </i>
    <i r="1">
      <x v="71"/>
    </i>
    <i r="1">
      <x v="77"/>
    </i>
    <i r="1">
      <x v="78"/>
    </i>
    <i r="1">
      <x v="83"/>
    </i>
    <i r="1">
      <x v="95"/>
    </i>
    <i r="1">
      <x v="97"/>
    </i>
    <i r="1">
      <x v="103"/>
    </i>
    <i>
      <x v="4"/>
      <x v="54"/>
    </i>
    <i r="1">
      <x v="70"/>
    </i>
    <i r="1">
      <x v="76"/>
    </i>
    <i r="1">
      <x v="107"/>
    </i>
    <i r="1">
      <x v="112"/>
    </i>
    <i>
      <x v="5"/>
      <x v="36"/>
    </i>
    <i r="1">
      <x v="94"/>
    </i>
    <i>
      <x v="6"/>
      <x v="4"/>
    </i>
    <i r="1">
      <x v="9"/>
    </i>
    <i r="1">
      <x v="45"/>
    </i>
    <i r="1">
      <x v="58"/>
    </i>
    <i r="1">
      <x v="89"/>
    </i>
    <i r="1">
      <x v="90"/>
    </i>
    <i>
      <x v="7"/>
      <x v="74"/>
    </i>
    <i r="1">
      <x v="75"/>
    </i>
    <i>
      <x v="8"/>
      <x/>
    </i>
    <i r="1">
      <x v="3"/>
    </i>
    <i r="1">
      <x v="20"/>
    </i>
    <i r="1">
      <x v="42"/>
    </i>
    <i r="1">
      <x v="60"/>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2"/>
    </i>
    <i r="1">
      <x v="63"/>
    </i>
    <i r="1">
      <x v="64"/>
    </i>
    <i r="1">
      <x v="65"/>
    </i>
    <i r="1">
      <x v="66"/>
    </i>
    <i r="1">
      <x v="67"/>
    </i>
    <i r="1">
      <x v="68"/>
    </i>
    <i r="1">
      <x v="69"/>
    </i>
    <i r="1">
      <x v="72"/>
    </i>
    <i r="1">
      <x v="73"/>
    </i>
    <i r="1">
      <x v="79"/>
    </i>
    <i r="1">
      <x v="80"/>
    </i>
    <i r="1">
      <x v="81"/>
    </i>
    <i r="1">
      <x v="82"/>
    </i>
    <i r="1">
      <x v="84"/>
    </i>
    <i r="1">
      <x v="85"/>
    </i>
    <i r="1">
      <x v="87"/>
    </i>
    <i r="1">
      <x v="88"/>
    </i>
    <i r="1">
      <x v="92"/>
    </i>
    <i r="1">
      <x v="98"/>
    </i>
    <i r="1">
      <x v="99"/>
    </i>
    <i r="1">
      <x v="100"/>
    </i>
    <i r="1">
      <x v="101"/>
    </i>
    <i r="1">
      <x v="104"/>
    </i>
    <i r="1">
      <x v="105"/>
    </i>
    <i r="1">
      <x v="106"/>
    </i>
    <i r="1">
      <x v="108"/>
    </i>
    <i r="1">
      <x v="110"/>
    </i>
    <i r="1">
      <x v="111"/>
    </i>
  </rowItems>
  <colItems count="1">
    <i/>
  </colItems>
  <pageFields count="2">
    <pageField fld="0" hier="-1"/>
    <pageField fld="35"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1" cacheId="4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6:D32" firstHeaderRow="0" firstDataRow="1" firstDataCol="1" rowPageCount="1" colPageCount="1"/>
  <pivotFields count="36">
    <pivotField axis="axisRow" multipleItemSelectionAllowed="1" showAll="0">
      <items count="5">
        <item x="3"/>
        <item x="0"/>
        <item x="1"/>
        <item x="2"/>
        <item t="default"/>
      </items>
    </pivotField>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items count="11">
        <item x="3"/>
        <item x="7"/>
        <item x="6"/>
        <item x="9"/>
        <item x="8"/>
        <item x="5"/>
        <item x="1"/>
        <item x="4"/>
        <item x="0"/>
        <item x="2"/>
        <item t="default"/>
      </items>
    </pivotField>
    <pivotField showAll="0" defaultSubtotal="0"/>
    <pivotField showAll="0" defaultSubtotal="0"/>
    <pivotField showAll="0" defaultSubtotal="0"/>
    <pivotField showAll="0" defaultSubtotal="0"/>
    <pivotField showAll="0" defaultSubtotal="0"/>
    <pivotField dataField="1" subtotalTop="0"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0"/>
    <field x="5"/>
  </rowFields>
  <rowItems count="26">
    <i>
      <x/>
    </i>
    <i r="1">
      <x v="2"/>
    </i>
    <i r="1">
      <x v="3"/>
    </i>
    <i r="1">
      <x v="4"/>
    </i>
    <i r="1">
      <x v="5"/>
    </i>
    <i r="1">
      <x v="8"/>
    </i>
    <i>
      <x v="1"/>
    </i>
    <i r="1">
      <x/>
    </i>
    <i r="1">
      <x v="1"/>
    </i>
    <i r="1">
      <x v="2"/>
    </i>
    <i r="1">
      <x v="5"/>
    </i>
    <i r="1">
      <x v="6"/>
    </i>
    <i r="1">
      <x v="7"/>
    </i>
    <i r="1">
      <x v="8"/>
    </i>
    <i r="1">
      <x v="9"/>
    </i>
    <i>
      <x v="2"/>
    </i>
    <i r="1">
      <x v="1"/>
    </i>
    <i r="1">
      <x v="4"/>
    </i>
    <i r="1">
      <x v="5"/>
    </i>
    <i r="1">
      <x v="8"/>
    </i>
    <i>
      <x v="3"/>
    </i>
    <i r="1">
      <x v="1"/>
    </i>
    <i r="1">
      <x v="3"/>
    </i>
    <i r="1">
      <x v="4"/>
    </i>
    <i r="1">
      <x v="7"/>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870">
      <pivotArea type="all" dataOnly="0" outline="0" fieldPosition="0"/>
    </format>
    <format dxfId="869">
      <pivotArea field="1" type="button" dataOnly="0" labelOnly="1" outline="0" axis="axisPage" fieldPosition="0"/>
    </format>
    <format dxfId="868">
      <pivotArea dataOnly="0" labelOnly="1" outline="0" fieldPosition="0">
        <references count="1">
          <reference field="1" count="0"/>
        </references>
      </pivotArea>
    </format>
    <format dxfId="867">
      <pivotArea type="all" dataOnly="0" outline="0" fieldPosition="0"/>
    </format>
    <format dxfId="866">
      <pivotArea field="1" type="button" dataOnly="0" labelOnly="1" outline="0" axis="axisPage" fieldPosition="0"/>
    </format>
    <format dxfId="865">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4:D99" firstHeaderRow="1" firstDataRow="3" firstDataCol="1" rowPageCount="2" colPageCount="1"/>
  <pivotFields count="36">
    <pivotField axis="axisPage" multipleItemSelectionAllowed="1" showAll="0">
      <items count="5">
        <item h="1" x="3"/>
        <item x="0"/>
        <item h="1" x="1"/>
        <item h="1" x="2"/>
        <item t="default"/>
      </items>
    </pivotField>
    <pivotField showAll="0"/>
    <pivotField showAll="0"/>
    <pivotField showAll="0"/>
    <pivotField showAll="0"/>
    <pivotField axis="axisRow" showAll="0">
      <items count="11">
        <item h="1" x="3"/>
        <item x="7"/>
        <item h="1" x="6"/>
        <item x="9"/>
        <item x="8"/>
        <item h="1" x="5"/>
        <item h="1" x="1"/>
        <item h="1" x="4"/>
        <item h="1" x="0"/>
        <item h="1" x="2"/>
        <item t="default"/>
      </items>
    </pivotField>
    <pivotField showAll="0"/>
    <pivotField showAll="0"/>
    <pivotField showAll="0"/>
    <pivotField showAll="0"/>
    <pivotField showAll="0"/>
    <pivotField axis="axisRow" showAll="0" sortType="ascending">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5">
        <item x="2"/>
        <item x="1"/>
        <item x="0"/>
        <item x="4"/>
        <item x="3"/>
      </items>
    </pivotField>
    <pivotField showAll="0" defaultSubtotal="0"/>
    <pivotField showAll="0"/>
    <pivotField axis="axisCol" showAll="0">
      <items count="5">
        <item x="3"/>
        <item x="0"/>
        <item x="1"/>
        <item x="2"/>
        <item t="default"/>
      </items>
    </pivotField>
    <pivotField showAl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4">
        <item x="0"/>
        <item n="Zone 1"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3">
    <i>
      <x v="1"/>
    </i>
    <i r="1">
      <x v="57"/>
    </i>
    <i t="grand">
      <x/>
    </i>
  </rowItems>
  <colFields count="2">
    <field x="24"/>
    <field x="21"/>
  </colFields>
  <colItems count="3">
    <i>
      <x v="2"/>
      <x v="1"/>
    </i>
    <i t="default">
      <x v="2"/>
    </i>
    <i t="grand">
      <x/>
    </i>
  </colItems>
  <pageFields count="2">
    <pageField fld="0" hier="-1"/>
    <pageField fld="35" hier="-1"/>
  </pageFields>
  <dataFields count="1">
    <dataField name="Sum of Total" fld="17" baseField="11" baseItem="1" numFmtId="3"/>
  </dataFields>
  <formats count="5">
    <format dxfId="875">
      <pivotArea field="0" type="button" dataOnly="0" labelOnly="1" outline="0" axis="axisPage" fieldPosition="0"/>
    </format>
    <format dxfId="874">
      <pivotArea dataOnly="0" labelOnly="1" outline="0" fieldPosition="0">
        <references count="1">
          <reference field="0" count="0"/>
        </references>
      </pivotArea>
    </format>
    <format dxfId="873">
      <pivotArea field="35" type="button" dataOnly="0" labelOnly="1" outline="0" axis="axisPage" fieldPosition="1"/>
    </format>
    <format dxfId="872">
      <pivotArea dataOnly="0" labelOnly="1" outline="0" fieldPosition="0">
        <references count="1">
          <reference field="35" count="0"/>
        </references>
      </pivotArea>
    </format>
    <format dxfId="871">
      <pivotArea type="all" dataOnly="0" outline="0" fieldPosition="0"/>
    </format>
  </formats>
  <chartFormats count="3">
    <chartFormat chart="10" format="15" series="1">
      <pivotArea type="data" outline="0" fieldPosition="0">
        <references count="3">
          <reference field="4294967294" count="1" selected="0">
            <x v="0"/>
          </reference>
          <reference field="21" count="1" selected="0">
            <x v="1"/>
          </reference>
          <reference field="24" count="1" selected="0">
            <x v="0"/>
          </reference>
        </references>
      </pivotArea>
    </chartFormat>
    <chartFormat chart="10" format="16" series="1">
      <pivotArea type="data" outline="0" fieldPosition="0">
        <references count="3">
          <reference field="4294967294" count="1" selected="0">
            <x v="0"/>
          </reference>
          <reference field="21" count="1" selected="0">
            <x v="1"/>
          </reference>
          <reference field="24" count="1" selected="0">
            <x v="1"/>
          </reference>
        </references>
      </pivotArea>
    </chartFormat>
    <chartFormat chart="10"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4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8:N19" firstHeaderRow="1" firstDataRow="1" firstDataCol="1" rowPageCount="1" colPageCount="1"/>
  <pivotFields count="36">
    <pivotField multipleItemSelectionAllowed="1" showAll="0"/>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sortType="descending">
      <items count="11">
        <item x="3"/>
        <item x="7"/>
        <item x="6"/>
        <item x="9"/>
        <item x="8"/>
        <item x="5"/>
        <item x="1"/>
        <item x="4"/>
        <item x="0"/>
        <item x="2"/>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5"/>
  </rowFields>
  <rowItems count="11">
    <i>
      <x v="8"/>
    </i>
    <i>
      <x v="5"/>
    </i>
    <i>
      <x v="1"/>
    </i>
    <i>
      <x v="3"/>
    </i>
    <i>
      <x v="7"/>
    </i>
    <i>
      <x v="4"/>
    </i>
    <i>
      <x v="9"/>
    </i>
    <i>
      <x/>
    </i>
    <i>
      <x v="2"/>
    </i>
    <i>
      <x v="6"/>
    </i>
    <i t="grand">
      <x/>
    </i>
  </rowItems>
  <colItems count="1">
    <i/>
  </colItems>
  <pageFields count="1">
    <pageField fld="1" hier="-1"/>
  </pageFields>
  <dataFields count="1">
    <dataField name="Population" fld="17" baseField="5" baseItem="22"/>
  </dataFields>
  <formats count="7">
    <format dxfId="882">
      <pivotArea type="all" dataOnly="0" outline="0" fieldPosition="0"/>
    </format>
    <format dxfId="881">
      <pivotArea field="1" type="button" dataOnly="0" labelOnly="1" outline="0" axis="axisPage" fieldPosition="0"/>
    </format>
    <format dxfId="880">
      <pivotArea dataOnly="0" labelOnly="1" outline="0" fieldPosition="0">
        <references count="1">
          <reference field="1" count="1">
            <x v="0"/>
          </reference>
        </references>
      </pivotArea>
    </format>
    <format dxfId="879">
      <pivotArea field="5" type="button" dataOnly="0" labelOnly="1" outline="0" axis="axisRow" fieldPosition="0"/>
    </format>
    <format dxfId="878">
      <pivotArea dataOnly="0" labelOnly="1" outline="0" fieldPosition="0">
        <references count="1">
          <reference field="4294967294" count="1">
            <x v="0"/>
          </reference>
        </references>
      </pivotArea>
    </format>
    <format dxfId="877">
      <pivotArea grandRow="1" outline="0" collapsedLevelsAreSubtotals="1" fieldPosition="0"/>
    </format>
    <format dxfId="87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8" cacheId="43"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3:K161" firstHeaderRow="1" firstDataRow="3" firstDataCol="2"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multipleItemSelectionAllowed="1" showAll="0">
      <items count="11">
        <item x="3"/>
        <item x="7"/>
        <item x="6"/>
        <item x="9"/>
        <item x="8"/>
        <item x="5"/>
        <item x="1"/>
        <item x="4"/>
        <item x="0"/>
        <item x="2"/>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5">
        <item x="2"/>
        <item x="1"/>
        <item x="0"/>
        <item x="4"/>
        <item x="3"/>
      </items>
    </pivotField>
    <pivotField compact="0" outline="0" showAll="0" defaultSubtotal="0"/>
    <pivotField compact="0" outline="0" showAll="0"/>
    <pivotField axis="axisCol" compact="0" outline="0" showAll="0">
      <items count="5">
        <item x="3"/>
        <item x="0"/>
        <item x="1"/>
        <item x="2"/>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4">
        <item n="Priority Camps" h="1" sd="0" x="68"/>
        <item n="Zone 1" h="1" sd="0" x="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6">
    <i>
      <x/>
      <x v="113"/>
    </i>
    <i r="1">
      <x v="43"/>
    </i>
    <i t="default">
      <x/>
    </i>
    <i>
      <x v="2"/>
      <x v="110"/>
    </i>
    <i r="1">
      <x v="99"/>
    </i>
    <i r="1">
      <x v="59"/>
    </i>
    <i r="1">
      <x v="115"/>
    </i>
    <i r="1">
      <x v="114"/>
    </i>
    <i r="1">
      <x v="16"/>
    </i>
    <i r="1">
      <x v="27"/>
    </i>
    <i r="1">
      <x v="33"/>
    </i>
    <i r="1">
      <x v="116"/>
    </i>
    <i t="default">
      <x v="2"/>
    </i>
    <i>
      <x v="6"/>
      <x v="72"/>
    </i>
    <i r="1">
      <x v="73"/>
    </i>
    <i t="default">
      <x v="6"/>
    </i>
    <i>
      <x v="7"/>
      <x v="41"/>
    </i>
    <i r="1">
      <x v="20"/>
    </i>
    <i r="1">
      <x/>
    </i>
    <i t="default">
      <x v="7"/>
    </i>
    <i>
      <x v="8"/>
      <x v="105"/>
    </i>
    <i r="1">
      <x v="13"/>
    </i>
    <i r="1">
      <x v="103"/>
    </i>
    <i r="1">
      <x v="25"/>
    </i>
    <i t="default">
      <x v="8"/>
    </i>
    <i t="grand">
      <x/>
    </i>
  </rowItems>
  <colFields count="2">
    <field x="24"/>
    <field x="21"/>
  </colFields>
  <colItems count="9">
    <i>
      <x v="1"/>
      <x/>
    </i>
    <i r="1">
      <x v="1"/>
    </i>
    <i r="1">
      <x v="2"/>
    </i>
    <i t="default">
      <x v="1"/>
    </i>
    <i>
      <x v="2"/>
      <x/>
    </i>
    <i r="1">
      <x v="1"/>
    </i>
    <i r="1">
      <x v="2"/>
    </i>
    <i t="default">
      <x v="2"/>
    </i>
    <i t="grand">
      <x/>
    </i>
  </colItems>
  <pageFields count="2">
    <pageField fld="0" hier="-1"/>
    <pageField fld="35" hier="-1"/>
  </pageFields>
  <dataFields count="1">
    <dataField name="Sum of Total" fld="17" baseField="11" baseItem="1" numFmtId="3"/>
  </dataFields>
  <formats count="5">
    <format dxfId="887">
      <pivotArea field="0" type="button" dataOnly="0" labelOnly="1" outline="0" axis="axisPage" fieldPosition="0"/>
    </format>
    <format dxfId="886">
      <pivotArea dataOnly="0" labelOnly="1" outline="0" fieldPosition="0">
        <references count="1">
          <reference field="0" count="0"/>
        </references>
      </pivotArea>
    </format>
    <format dxfId="885">
      <pivotArea field="35" type="button" dataOnly="0" labelOnly="1" outline="0" axis="axisPage" fieldPosition="1"/>
    </format>
    <format dxfId="884">
      <pivotArea dataOnly="0" labelOnly="1" outline="0" fieldPosition="0">
        <references count="1">
          <reference field="35" count="0"/>
        </references>
      </pivotArea>
    </format>
    <format dxfId="883">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rowHeaderCaption="Township">
  <location ref="A201:E211" firstHeaderRow="1" firstDataRow="2"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3"/>
        <item x="7"/>
        <item x="6"/>
        <item x="9"/>
        <item x="8"/>
        <item x="2"/>
        <item x="5"/>
        <item x="1"/>
        <item x="4"/>
        <item x="0"/>
        <item t="default"/>
      </items>
    </pivotField>
    <pivotField showAll="0"/>
    <pivotField showAll="0"/>
    <pivotField showAll="0"/>
    <pivotField showAll="0"/>
    <pivotField showAll="0"/>
    <pivotField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 t="default"/>
      </items>
    </pivotField>
    <pivotField showAll="0"/>
    <pivotField showAll="0"/>
    <pivotField showAll="0"/>
    <pivotField showAll="0"/>
    <pivotField showAll="0"/>
    <pivotField dataField="1" showAll="0"/>
    <pivotField showAll="0"/>
    <pivotField showAll="0"/>
    <pivotField showAll="0"/>
    <pivotField axis="axisCol" showAll="0">
      <items count="6">
        <item x="4"/>
        <item x="0"/>
        <item x="2"/>
        <item x="1"/>
        <item x="3"/>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6">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8"/>
          </reference>
          <reference field="21" count="1" selected="0">
            <x v="3"/>
          </reference>
        </references>
      </pivotArea>
    </chartFormat>
    <chartFormat chart="9" format="10">
      <pivotArea type="data" outline="0" fieldPosition="0">
        <references count="3">
          <reference field="4294967294" count="1" selected="0">
            <x v="0"/>
          </reference>
          <reference field="5" count="1" selected="0">
            <x v="7"/>
          </reference>
          <reference field="21" count="1" selected="0">
            <x v="3"/>
          </reference>
        </references>
      </pivotArea>
    </chartFormat>
    <chartFormat chart="9" format="11">
      <pivotArea type="data" outline="0" fieldPosition="0">
        <references count="3">
          <reference field="4294967294" count="1" selected="0">
            <x v="0"/>
          </reference>
          <reference field="5" count="1" selected="0">
            <x v="0"/>
          </reference>
          <reference field="21" count="1" selected="0">
            <x v="2"/>
          </reference>
        </references>
      </pivotArea>
    </chartFormat>
    <chartFormat chart="9" format="12">
      <pivotArea type="data" outline="0" fieldPosition="0">
        <references count="3">
          <reference field="4294967294" count="1" selected="0">
            <x v="0"/>
          </reference>
          <reference field="5" count="1" selected="0">
            <x v="5"/>
          </reference>
          <reference field="21" count="1" selected="0">
            <x v="2"/>
          </reference>
        </references>
      </pivotArea>
    </chartFormat>
    <chartFormat chart="9" format="13">
      <pivotArea type="data" outline="0" fieldPosition="0">
        <references count="3">
          <reference field="4294967294" count="1" selected="0">
            <x v="0"/>
          </reference>
          <reference field="5" count="1" selected="0">
            <x v="2"/>
          </reference>
          <reference field="21" count="1" selected="0">
            <x v="3"/>
          </reference>
        </references>
      </pivotArea>
    </chartFormat>
    <chartFormat chart="9" format="14">
      <pivotArea type="data" outline="0" fieldPosition="0">
        <references count="3">
          <reference field="4294967294" count="1" selected="0">
            <x v="0"/>
          </reference>
          <reference field="5" count="1" selected="0">
            <x v="1"/>
          </reference>
          <reference field="21" count="1" selected="0">
            <x v="3"/>
          </reference>
        </references>
      </pivotArea>
    </chartFormat>
    <chartFormat chart="9" format="15">
      <pivotArea type="data" outline="0" fieldPosition="0">
        <references count="3">
          <reference field="4294967294" count="1" selected="0">
            <x v="0"/>
          </reference>
          <reference field="5" count="1" selected="0">
            <x v="7"/>
          </reference>
          <reference field="21" count="1" selected="0">
            <x v="2"/>
          </reference>
        </references>
      </pivotArea>
    </chartFormat>
    <chartFormat chart="9" format="16">
      <pivotArea type="data" outline="0" fieldPosition="0">
        <references count="3">
          <reference field="4294967294" count="1" selected="0">
            <x v="0"/>
          </reference>
          <reference field="5" count="1" selected="0">
            <x v="9"/>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Township">
  <location ref="A182:E192" firstHeaderRow="1" firstDataRow="2"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3"/>
        <item x="7"/>
        <item x="6"/>
        <item x="9"/>
        <item x="8"/>
        <item x="2"/>
        <item x="5"/>
        <item x="1"/>
        <item x="4"/>
        <item x="0"/>
        <item t="default"/>
      </items>
    </pivotField>
    <pivotField showAll="0"/>
    <pivotField showAll="0"/>
    <pivotField showAll="0"/>
    <pivotField showAll="0"/>
    <pivotField showAll="0"/>
    <pivotField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 t="default"/>
      </items>
    </pivotField>
    <pivotField showAll="0"/>
    <pivotField showAll="0"/>
    <pivotField showAll="0"/>
    <pivotField showAll="0"/>
    <pivotField showAll="0"/>
    <pivotField showAll="0"/>
    <pivotField showAll="0"/>
    <pivotField showAll="0"/>
    <pivotField showAll="0"/>
    <pivotField axis="axisCol" dataField="1" showAll="0">
      <items count="6">
        <item x="4"/>
        <item x="0"/>
        <item x="2"/>
        <item x="1"/>
        <item x="3"/>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9"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5:D224" firstHeaderRow="0" firstDataRow="1"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3"/>
        <item x="7"/>
        <item x="6"/>
        <item x="9"/>
        <item x="8"/>
        <item x="2"/>
        <item x="5"/>
        <item x="1"/>
        <item x="4"/>
        <item x="0"/>
        <item t="default"/>
      </items>
    </pivotField>
    <pivotField showAll="0"/>
    <pivotField showAll="0"/>
    <pivotField showAll="0"/>
    <pivotField showAll="0"/>
    <pivotField showAll="0"/>
    <pivotField dataField="1"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
  </colFields>
  <colItems count="3">
    <i>
      <x/>
    </i>
    <i i="1">
      <x v="1"/>
    </i>
    <i i="2">
      <x v="2"/>
    </i>
  </colItems>
  <pageFields count="1">
    <pageField fld="0" item="1" hier="-1"/>
  </pageFields>
  <dataFields count="3">
    <dataField name="# of  Camp" fld="11" subtotal="count" baseField="5" baseItem="4"/>
    <dataField name="Household" fld="16" subtotal="count" baseField="0"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43"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6" firstHeaderRow="0" firstDataRow="1" firstDataCol="5" rowPageCount="1" colPageCount="1"/>
  <pivotFields count="36">
    <pivotField axis="axisPage" compact="0" outline="0" multipleItemSelectionAllowed="1" showAll="0" defaultSubtotal="0">
      <items count="4">
        <item h="1" x="3"/>
        <item x="0"/>
        <item h="1" x="1"/>
        <item h="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1">
        <item x="7"/>
        <item x="6"/>
        <item x="9"/>
        <item x="8"/>
        <item x="3"/>
        <item x="5"/>
        <item x="1"/>
        <item x="4"/>
        <item x="0"/>
        <item x="2"/>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n="Khaung Doke Khar (1 &amp; 2) "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s>
    </pivotField>
    <pivotField axis="axisRow" dataField="1" compact="0" outline="0" showAll="0" defaultSubtotal="0">
      <items count="117">
        <item x="54"/>
        <item x="57"/>
        <item x="56"/>
        <item x="78"/>
        <item x="58"/>
        <item x="53"/>
        <item x="79"/>
        <item x="55"/>
        <item x="51"/>
        <item x="52"/>
        <item x="80"/>
        <item x="43"/>
        <item x="2"/>
        <item x="24"/>
        <item x="45"/>
        <item x="23"/>
        <item x="37"/>
        <item x="38"/>
        <item x="36"/>
        <item x="63"/>
        <item x="65"/>
        <item x="59"/>
        <item x="34"/>
        <item x="48"/>
        <item x="60"/>
        <item x="62"/>
        <item x="61"/>
        <item x="66"/>
        <item x="64"/>
        <item x="46"/>
        <item x="50"/>
        <item x="49"/>
        <item x="19"/>
        <item x="21"/>
        <item x="35"/>
        <item x="3"/>
        <item x="22"/>
        <item x="1"/>
        <item x="7"/>
        <item x="99"/>
        <item x="10"/>
        <item x="11"/>
        <item x="106"/>
        <item x="110"/>
        <item x="16"/>
        <item x="18"/>
        <item x="115"/>
        <item x="17"/>
        <item x="103"/>
        <item x="113"/>
        <item x="111"/>
        <item x="112"/>
        <item x="104"/>
        <item x="105"/>
        <item x="100"/>
        <item x="41"/>
        <item x="101"/>
        <item x="0"/>
        <item x="83"/>
        <item x="84"/>
        <item x="86"/>
        <item x="88"/>
        <item x="90"/>
        <item x="91"/>
        <item x="92"/>
        <item x="94"/>
        <item x="96"/>
        <item x="93"/>
        <item x="82"/>
        <item x="95"/>
        <item x="87"/>
        <item x="89"/>
        <item x="85"/>
        <item x="98"/>
        <item x="97"/>
        <item x="72"/>
        <item x="73"/>
        <item x="71"/>
        <item x="67"/>
        <item x="70"/>
        <item x="69"/>
        <item x="29"/>
        <item x="28"/>
        <item x="25"/>
        <item x="33"/>
        <item x="31"/>
        <item x="76"/>
        <item x="26"/>
        <item x="75"/>
        <item x="107"/>
        <item x="6"/>
        <item x="12"/>
        <item x="42"/>
        <item x="30"/>
        <item x="32"/>
        <item x="81"/>
        <item x="5"/>
        <item x="13"/>
        <item x="108"/>
        <item x="109"/>
        <item x="116"/>
        <item x="102"/>
        <item x="4"/>
        <item x="47"/>
        <item x="114"/>
        <item x="20"/>
        <item x="68"/>
        <item x="74"/>
        <item x="77"/>
        <item x="27"/>
        <item x="8"/>
        <item x="9"/>
        <item x="14"/>
        <item x="15"/>
        <item x="39"/>
        <item x="40"/>
        <item x="4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3"/>
        <item x="2"/>
        <item x="1"/>
        <item x="6"/>
        <item x="5"/>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4">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s>
    </pivotField>
  </pivotFields>
  <rowFields count="5">
    <field x="5"/>
    <field x="11"/>
    <field x="12"/>
    <field x="28"/>
    <field x="27"/>
  </rowFields>
  <rowItems count="48">
    <i>
      <x/>
      <x v="59"/>
      <x v="22"/>
      <x/>
      <x v="1"/>
    </i>
    <i t="default">
      <x/>
    </i>
    <i>
      <x v="1"/>
      <x v="16"/>
      <x v="83"/>
      <x/>
      <x v="1"/>
    </i>
    <i r="1">
      <x v="27"/>
      <x v="87"/>
      <x/>
      <x v="1"/>
    </i>
    <i r="1">
      <x v="33"/>
      <x v="109"/>
      <x/>
      <x v="1"/>
    </i>
    <i r="1">
      <x v="56"/>
      <x v="82"/>
      <x/>
      <x v="1"/>
    </i>
    <i r="1">
      <x v="61"/>
      <x v="81"/>
      <x/>
      <x v="1"/>
    </i>
    <i r="1">
      <x v="91"/>
      <x v="93"/>
      <x/>
      <x v="1"/>
    </i>
    <i r="1">
      <x v="102"/>
      <x v="85"/>
      <x/>
      <x v="1"/>
    </i>
    <i r="1">
      <x v="109"/>
      <x v="94"/>
      <x/>
      <x v="1"/>
    </i>
    <i r="1">
      <x v="114"/>
      <x v="84"/>
      <x/>
      <x v="1"/>
    </i>
    <i t="default">
      <x v="1"/>
    </i>
    <i>
      <x v="4"/>
      <x v="35"/>
      <x v="35"/>
      <x/>
      <x v="1"/>
    </i>
    <i r="1">
      <x v="44"/>
      <x v="34"/>
      <x/>
      <x v="1"/>
    </i>
    <i t="default">
      <x v="4"/>
    </i>
    <i>
      <x v="5"/>
      <x v="4"/>
      <x v="15"/>
      <x v="2"/>
      <x/>
    </i>
    <i r="1">
      <x v="45"/>
      <x v="17"/>
      <x v="1"/>
      <x/>
    </i>
    <i r="1">
      <x v="58"/>
      <x v="16"/>
      <x v="2"/>
      <x/>
    </i>
    <i r="1">
      <x v="89"/>
      <x v="18"/>
      <x v="1"/>
      <x/>
    </i>
    <i t="default">
      <x v="5"/>
    </i>
    <i>
      <x v="6"/>
      <x v="74"/>
      <x v="37"/>
      <x/>
      <x v="1"/>
    </i>
    <i r="1">
      <x v="75"/>
      <x v="36"/>
      <x/>
      <x v="1"/>
    </i>
    <i t="default">
      <x v="6"/>
    </i>
    <i>
      <x v="7"/>
      <x/>
      <x v="33"/>
      <x/>
      <x v="1"/>
    </i>
    <i r="1">
      <x v="20"/>
      <x v="32"/>
      <x/>
      <x v="1"/>
    </i>
    <i r="1">
      <x v="42"/>
      <x v="105"/>
      <x/>
      <x v="1"/>
    </i>
    <i t="default">
      <x v="7"/>
    </i>
    <i>
      <x v="8"/>
      <x v="10"/>
      <x v="38"/>
      <x v="2"/>
      <x/>
    </i>
    <i r="1">
      <x v="13"/>
      <x v="102"/>
      <x/>
      <x v="1"/>
    </i>
    <i r="1">
      <x v="14"/>
      <x v="110"/>
      <x v="1"/>
      <x/>
    </i>
    <i r="1">
      <x v="15"/>
      <x v="111"/>
      <x v="1"/>
      <x/>
    </i>
    <i r="1">
      <x v="24"/>
      <x v="40"/>
      <x v="1"/>
      <x/>
    </i>
    <i r="1">
      <x v="25"/>
      <x v="96"/>
      <x/>
      <x v="1"/>
    </i>
    <i r="1">
      <x v="39"/>
      <x v="41"/>
      <x v="2"/>
      <x/>
    </i>
    <i r="1">
      <x v="51"/>
      <x v="91"/>
      <x v="6"/>
      <x/>
    </i>
    <i r="1">
      <x v="62"/>
      <x v="97"/>
      <x v="1"/>
      <x/>
    </i>
    <i r="1">
      <x v="63"/>
      <x v="112"/>
      <x v="1"/>
      <x/>
    </i>
    <i r="1">
      <x v="64"/>
      <x v="113"/>
      <x v="2"/>
      <x/>
    </i>
    <i r="1">
      <x v="82"/>
      <x v="44"/>
      <x v="1"/>
      <x/>
    </i>
    <i r="1">
      <x v="98"/>
      <x v="45"/>
      <x v="2"/>
      <x/>
    </i>
    <i r="1">
      <x v="105"/>
      <x v="47"/>
      <x v="6"/>
      <x/>
    </i>
    <i r="1">
      <x v="106"/>
      <x v="90"/>
      <x/>
      <x v="1"/>
    </i>
    <i r="1">
      <x v="108"/>
      <x v="57"/>
      <x/>
      <x v="1"/>
    </i>
    <i t="default">
      <x v="8"/>
    </i>
    <i>
      <x v="9"/>
      <x v="36"/>
      <x v="12"/>
      <x v="3"/>
      <x v="1"/>
    </i>
    <i r="1">
      <x v="94"/>
      <x v="13"/>
      <x v="3"/>
      <x v="1"/>
    </i>
    <i t="default">
      <x v="9"/>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19">
    <format dxfId="848">
      <pivotArea outline="0" fieldPosition="0">
        <references count="1">
          <reference field="4294967294" count="1">
            <x v="1"/>
          </reference>
        </references>
      </pivotArea>
    </format>
    <format dxfId="847">
      <pivotArea outline="0" fieldPosition="0">
        <references count="1">
          <reference field="4294967294" count="1">
            <x v="0"/>
          </reference>
        </references>
      </pivotArea>
    </format>
    <format dxfId="846">
      <pivotArea field="5" type="button" dataOnly="0" labelOnly="1" outline="0" axis="axisRow" fieldPosition="0"/>
    </format>
    <format dxfId="845">
      <pivotArea field="11" type="button" dataOnly="0" labelOnly="1" outline="0" axis="axisRow" fieldPosition="1"/>
    </format>
    <format dxfId="844">
      <pivotArea field="12" type="button" dataOnly="0" labelOnly="1" outline="0" axis="axisRow" fieldPosition="2"/>
    </format>
    <format dxfId="843">
      <pivotArea field="27" type="button" dataOnly="0" labelOnly="1" outline="0" axis="axisRow" fieldPosition="4"/>
    </format>
    <format dxfId="842">
      <pivotArea field="28" type="button" dataOnly="0" labelOnly="1" outline="0" axis="axisRow" fieldPosition="3"/>
    </format>
    <format dxfId="841">
      <pivotArea dataOnly="0" labelOnly="1" outline="0" fieldPosition="0">
        <references count="1">
          <reference field="4294967294" count="2">
            <x v="0"/>
            <x v="1"/>
          </reference>
        </references>
      </pivotArea>
    </format>
    <format dxfId="840">
      <pivotArea type="all" dataOnly="0" outline="0" fieldPosition="0"/>
    </format>
    <format dxfId="839">
      <pivotArea outline="0" collapsedLevelsAreSubtotals="1" fieldPosition="0"/>
    </format>
    <format dxfId="838">
      <pivotArea dataOnly="0" labelOnly="1" outline="0" fieldPosition="0">
        <references count="1">
          <reference field="5" count="8">
            <x v="0"/>
            <x v="1"/>
            <x v="4"/>
            <x v="5"/>
            <x v="6"/>
            <x v="7"/>
            <x v="8"/>
            <x v="9"/>
          </reference>
        </references>
      </pivotArea>
    </format>
    <format dxfId="837">
      <pivotArea dataOnly="0" labelOnly="1" outline="0" fieldPosition="0">
        <references count="1">
          <reference field="5" count="8" defaultSubtotal="1">
            <x v="0"/>
            <x v="1"/>
            <x v="4"/>
            <x v="5"/>
            <x v="6"/>
            <x v="7"/>
            <x v="8"/>
            <x v="9"/>
          </reference>
        </references>
      </pivotArea>
    </format>
    <format dxfId="836">
      <pivotArea dataOnly="0" labelOnly="1" grandRow="1" outline="0" fieldPosition="0"/>
    </format>
    <format dxfId="835">
      <pivotArea dataOnly="0" labelOnly="1" outline="0" fieldPosition="0">
        <references count="2">
          <reference field="5" count="1" selected="0">
            <x v="0"/>
          </reference>
          <reference field="11" count="1">
            <x v="59"/>
          </reference>
        </references>
      </pivotArea>
    </format>
    <format dxfId="834">
      <pivotArea dataOnly="0" labelOnly="1" outline="0" fieldPosition="0">
        <references count="2">
          <reference field="5" count="1" selected="0">
            <x v="1"/>
          </reference>
          <reference field="11" count="9">
            <x v="16"/>
            <x v="27"/>
            <x v="33"/>
            <x v="56"/>
            <x v="61"/>
            <x v="91"/>
            <x v="102"/>
            <x v="109"/>
            <x v="114"/>
          </reference>
        </references>
      </pivotArea>
    </format>
    <format dxfId="833">
      <pivotArea dataOnly="0" labelOnly="1" outline="0" fieldPosition="0">
        <references count="2">
          <reference field="5" count="1" selected="0">
            <x v="4"/>
          </reference>
          <reference field="11" count="2">
            <x v="35"/>
            <x v="44"/>
          </reference>
        </references>
      </pivotArea>
    </format>
    <format dxfId="832">
      <pivotArea dataOnly="0" labelOnly="1" outline="0" fieldPosition="0">
        <references count="2">
          <reference field="5" count="1" selected="0">
            <x v="5"/>
          </reference>
          <reference field="11" count="4">
            <x v="4"/>
            <x v="45"/>
            <x v="58"/>
            <x v="89"/>
          </reference>
        </references>
      </pivotArea>
    </format>
    <format dxfId="831">
      <pivotArea dataOnly="0" labelOnly="1" outline="0" fieldPosition="0">
        <references count="2">
          <reference field="5" count="1" selected="0">
            <x v="6"/>
          </reference>
          <reference field="11" count="2">
            <x v="74"/>
            <x v="75"/>
          </reference>
        </references>
      </pivotArea>
    </format>
    <format dxfId="830">
      <pivotArea dataOnly="0" labelOnly="1" outline="0" fieldPosition="0">
        <references count="2">
          <reference field="5" count="1" selected="0">
            <x v="7"/>
          </reference>
          <reference field="11" count="3">
            <x v="0"/>
            <x v="20"/>
            <x v="42"/>
          </reference>
        </references>
      </pivotArea>
    </format>
    <format dxfId="829">
      <pivotArea dataOnly="0" labelOnly="1" outline="0" fieldPosition="0">
        <references count="2">
          <reference field="5" count="1" selected="0">
            <x v="8"/>
          </reference>
          <reference field="11" count="16">
            <x v="10"/>
            <x v="13"/>
            <x v="14"/>
            <x v="15"/>
            <x v="24"/>
            <x v="25"/>
            <x v="39"/>
            <x v="51"/>
            <x v="62"/>
            <x v="63"/>
            <x v="64"/>
            <x v="82"/>
            <x v="98"/>
            <x v="105"/>
            <x v="106"/>
            <x v="108"/>
          </reference>
        </references>
      </pivotArea>
    </format>
    <format dxfId="828">
      <pivotArea dataOnly="0" labelOnly="1" outline="0" fieldPosition="0">
        <references count="2">
          <reference field="5" count="1" selected="0">
            <x v="9"/>
          </reference>
          <reference field="11" count="2">
            <x v="36"/>
            <x v="94"/>
          </reference>
        </references>
      </pivotArea>
    </format>
    <format dxfId="827">
      <pivotArea dataOnly="0" labelOnly="1" outline="0" fieldPosition="0">
        <references count="3">
          <reference field="5" count="1" selected="0">
            <x v="0"/>
          </reference>
          <reference field="11" count="1" selected="0">
            <x v="59"/>
          </reference>
          <reference field="12" count="1">
            <x v="22"/>
          </reference>
        </references>
      </pivotArea>
    </format>
    <format dxfId="826">
      <pivotArea dataOnly="0" labelOnly="1" outline="0" fieldPosition="0">
        <references count="3">
          <reference field="5" count="1" selected="0">
            <x v="1"/>
          </reference>
          <reference field="11" count="1" selected="0">
            <x v="16"/>
          </reference>
          <reference field="12" count="1">
            <x v="83"/>
          </reference>
        </references>
      </pivotArea>
    </format>
    <format dxfId="825">
      <pivotArea dataOnly="0" labelOnly="1" outline="0" fieldPosition="0">
        <references count="3">
          <reference field="5" count="1" selected="0">
            <x v="1"/>
          </reference>
          <reference field="11" count="1" selected="0">
            <x v="27"/>
          </reference>
          <reference field="12" count="1">
            <x v="87"/>
          </reference>
        </references>
      </pivotArea>
    </format>
    <format dxfId="824">
      <pivotArea dataOnly="0" labelOnly="1" outline="0" fieldPosition="0">
        <references count="3">
          <reference field="5" count="1" selected="0">
            <x v="1"/>
          </reference>
          <reference field="11" count="1" selected="0">
            <x v="33"/>
          </reference>
          <reference field="12" count="1">
            <x v="109"/>
          </reference>
        </references>
      </pivotArea>
    </format>
    <format dxfId="823">
      <pivotArea dataOnly="0" labelOnly="1" outline="0" fieldPosition="0">
        <references count="3">
          <reference field="5" count="1" selected="0">
            <x v="1"/>
          </reference>
          <reference field="11" count="1" selected="0">
            <x v="56"/>
          </reference>
          <reference field="12" count="1">
            <x v="82"/>
          </reference>
        </references>
      </pivotArea>
    </format>
    <format dxfId="822">
      <pivotArea dataOnly="0" labelOnly="1" outline="0" fieldPosition="0">
        <references count="3">
          <reference field="5" count="1" selected="0">
            <x v="1"/>
          </reference>
          <reference field="11" count="1" selected="0">
            <x v="61"/>
          </reference>
          <reference field="12" count="1">
            <x v="81"/>
          </reference>
        </references>
      </pivotArea>
    </format>
    <format dxfId="821">
      <pivotArea dataOnly="0" labelOnly="1" outline="0" fieldPosition="0">
        <references count="3">
          <reference field="5" count="1" selected="0">
            <x v="1"/>
          </reference>
          <reference field="11" count="1" selected="0">
            <x v="91"/>
          </reference>
          <reference field="12" count="1">
            <x v="93"/>
          </reference>
        </references>
      </pivotArea>
    </format>
    <format dxfId="820">
      <pivotArea dataOnly="0" labelOnly="1" outline="0" fieldPosition="0">
        <references count="3">
          <reference field="5" count="1" selected="0">
            <x v="1"/>
          </reference>
          <reference field="11" count="1" selected="0">
            <x v="102"/>
          </reference>
          <reference field="12" count="1">
            <x v="85"/>
          </reference>
        </references>
      </pivotArea>
    </format>
    <format dxfId="819">
      <pivotArea dataOnly="0" labelOnly="1" outline="0" fieldPosition="0">
        <references count="3">
          <reference field="5" count="1" selected="0">
            <x v="1"/>
          </reference>
          <reference field="11" count="1" selected="0">
            <x v="109"/>
          </reference>
          <reference field="12" count="1">
            <x v="94"/>
          </reference>
        </references>
      </pivotArea>
    </format>
    <format dxfId="818">
      <pivotArea dataOnly="0" labelOnly="1" outline="0" fieldPosition="0">
        <references count="3">
          <reference field="5" count="1" selected="0">
            <x v="1"/>
          </reference>
          <reference field="11" count="1" selected="0">
            <x v="114"/>
          </reference>
          <reference field="12" count="1">
            <x v="84"/>
          </reference>
        </references>
      </pivotArea>
    </format>
    <format dxfId="817">
      <pivotArea dataOnly="0" labelOnly="1" outline="0" fieldPosition="0">
        <references count="3">
          <reference field="5" count="1" selected="0">
            <x v="4"/>
          </reference>
          <reference field="11" count="1" selected="0">
            <x v="35"/>
          </reference>
          <reference field="12" count="1">
            <x v="35"/>
          </reference>
        </references>
      </pivotArea>
    </format>
    <format dxfId="816">
      <pivotArea dataOnly="0" labelOnly="1" outline="0" fieldPosition="0">
        <references count="3">
          <reference field="5" count="1" selected="0">
            <x v="4"/>
          </reference>
          <reference field="11" count="1" selected="0">
            <x v="44"/>
          </reference>
          <reference field="12" count="1">
            <x v="34"/>
          </reference>
        </references>
      </pivotArea>
    </format>
    <format dxfId="815">
      <pivotArea dataOnly="0" labelOnly="1" outline="0" fieldPosition="0">
        <references count="3">
          <reference field="5" count="1" selected="0">
            <x v="5"/>
          </reference>
          <reference field="11" count="1" selected="0">
            <x v="4"/>
          </reference>
          <reference field="12" count="1">
            <x v="15"/>
          </reference>
        </references>
      </pivotArea>
    </format>
    <format dxfId="814">
      <pivotArea dataOnly="0" labelOnly="1" outline="0" fieldPosition="0">
        <references count="3">
          <reference field="5" count="1" selected="0">
            <x v="5"/>
          </reference>
          <reference field="11" count="1" selected="0">
            <x v="45"/>
          </reference>
          <reference field="12" count="1">
            <x v="17"/>
          </reference>
        </references>
      </pivotArea>
    </format>
    <format dxfId="813">
      <pivotArea dataOnly="0" labelOnly="1" outline="0" fieldPosition="0">
        <references count="3">
          <reference field="5" count="1" selected="0">
            <x v="5"/>
          </reference>
          <reference field="11" count="1" selected="0">
            <x v="58"/>
          </reference>
          <reference field="12" count="1">
            <x v="16"/>
          </reference>
        </references>
      </pivotArea>
    </format>
    <format dxfId="812">
      <pivotArea dataOnly="0" labelOnly="1" outline="0" fieldPosition="0">
        <references count="3">
          <reference field="5" count="1" selected="0">
            <x v="5"/>
          </reference>
          <reference field="11" count="1" selected="0">
            <x v="89"/>
          </reference>
          <reference field="12" count="1">
            <x v="18"/>
          </reference>
        </references>
      </pivotArea>
    </format>
    <format dxfId="811">
      <pivotArea dataOnly="0" labelOnly="1" outline="0" fieldPosition="0">
        <references count="3">
          <reference field="5" count="1" selected="0">
            <x v="6"/>
          </reference>
          <reference field="11" count="1" selected="0">
            <x v="74"/>
          </reference>
          <reference field="12" count="1">
            <x v="37"/>
          </reference>
        </references>
      </pivotArea>
    </format>
    <format dxfId="810">
      <pivotArea dataOnly="0" labelOnly="1" outline="0" fieldPosition="0">
        <references count="3">
          <reference field="5" count="1" selected="0">
            <x v="6"/>
          </reference>
          <reference field="11" count="1" selected="0">
            <x v="75"/>
          </reference>
          <reference field="12" count="1">
            <x v="36"/>
          </reference>
        </references>
      </pivotArea>
    </format>
    <format dxfId="809">
      <pivotArea dataOnly="0" labelOnly="1" outline="0" fieldPosition="0">
        <references count="3">
          <reference field="5" count="1" selected="0">
            <x v="7"/>
          </reference>
          <reference field="11" count="1" selected="0">
            <x v="0"/>
          </reference>
          <reference field="12" count="1">
            <x v="33"/>
          </reference>
        </references>
      </pivotArea>
    </format>
    <format dxfId="808">
      <pivotArea dataOnly="0" labelOnly="1" outline="0" fieldPosition="0">
        <references count="3">
          <reference field="5" count="1" selected="0">
            <x v="7"/>
          </reference>
          <reference field="11" count="1" selected="0">
            <x v="20"/>
          </reference>
          <reference field="12" count="1">
            <x v="32"/>
          </reference>
        </references>
      </pivotArea>
    </format>
    <format dxfId="807">
      <pivotArea dataOnly="0" labelOnly="1" outline="0" fieldPosition="0">
        <references count="3">
          <reference field="5" count="1" selected="0">
            <x v="7"/>
          </reference>
          <reference field="11" count="1" selected="0">
            <x v="42"/>
          </reference>
          <reference field="12" count="1">
            <x v="105"/>
          </reference>
        </references>
      </pivotArea>
    </format>
    <format dxfId="806">
      <pivotArea dataOnly="0" labelOnly="1" outline="0" fieldPosition="0">
        <references count="3">
          <reference field="5" count="1" selected="0">
            <x v="8"/>
          </reference>
          <reference field="11" count="1" selected="0">
            <x v="10"/>
          </reference>
          <reference field="12" count="1">
            <x v="38"/>
          </reference>
        </references>
      </pivotArea>
    </format>
    <format dxfId="805">
      <pivotArea dataOnly="0" labelOnly="1" outline="0" fieldPosition="0">
        <references count="3">
          <reference field="5" count="1" selected="0">
            <x v="8"/>
          </reference>
          <reference field="11" count="1" selected="0">
            <x v="13"/>
          </reference>
          <reference field="12" count="1">
            <x v="102"/>
          </reference>
        </references>
      </pivotArea>
    </format>
    <format dxfId="804">
      <pivotArea dataOnly="0" labelOnly="1" outline="0" fieldPosition="0">
        <references count="3">
          <reference field="5" count="1" selected="0">
            <x v="8"/>
          </reference>
          <reference field="11" count="1" selected="0">
            <x v="14"/>
          </reference>
          <reference field="12" count="1">
            <x v="110"/>
          </reference>
        </references>
      </pivotArea>
    </format>
    <format dxfId="803">
      <pivotArea dataOnly="0" labelOnly="1" outline="0" fieldPosition="0">
        <references count="3">
          <reference field="5" count="1" selected="0">
            <x v="8"/>
          </reference>
          <reference field="11" count="1" selected="0">
            <x v="15"/>
          </reference>
          <reference field="12" count="1">
            <x v="111"/>
          </reference>
        </references>
      </pivotArea>
    </format>
    <format dxfId="802">
      <pivotArea dataOnly="0" labelOnly="1" outline="0" fieldPosition="0">
        <references count="3">
          <reference field="5" count="1" selected="0">
            <x v="8"/>
          </reference>
          <reference field="11" count="1" selected="0">
            <x v="24"/>
          </reference>
          <reference field="12" count="1">
            <x v="40"/>
          </reference>
        </references>
      </pivotArea>
    </format>
    <format dxfId="801">
      <pivotArea dataOnly="0" labelOnly="1" outline="0" fieldPosition="0">
        <references count="3">
          <reference field="5" count="1" selected="0">
            <x v="8"/>
          </reference>
          <reference field="11" count="1" selected="0">
            <x v="25"/>
          </reference>
          <reference field="12" count="1">
            <x v="96"/>
          </reference>
        </references>
      </pivotArea>
    </format>
    <format dxfId="800">
      <pivotArea dataOnly="0" labelOnly="1" outline="0" fieldPosition="0">
        <references count="3">
          <reference field="5" count="1" selected="0">
            <x v="8"/>
          </reference>
          <reference field="11" count="1" selected="0">
            <x v="39"/>
          </reference>
          <reference field="12" count="1">
            <x v="41"/>
          </reference>
        </references>
      </pivotArea>
    </format>
    <format dxfId="799">
      <pivotArea dataOnly="0" labelOnly="1" outline="0" fieldPosition="0">
        <references count="3">
          <reference field="5" count="1" selected="0">
            <x v="8"/>
          </reference>
          <reference field="11" count="1" selected="0">
            <x v="51"/>
          </reference>
          <reference field="12" count="1">
            <x v="91"/>
          </reference>
        </references>
      </pivotArea>
    </format>
    <format dxfId="798">
      <pivotArea dataOnly="0" labelOnly="1" outline="0" fieldPosition="0">
        <references count="3">
          <reference field="5" count="1" selected="0">
            <x v="8"/>
          </reference>
          <reference field="11" count="1" selected="0">
            <x v="62"/>
          </reference>
          <reference field="12" count="1">
            <x v="97"/>
          </reference>
        </references>
      </pivotArea>
    </format>
    <format dxfId="797">
      <pivotArea dataOnly="0" labelOnly="1" outline="0" fieldPosition="0">
        <references count="3">
          <reference field="5" count="1" selected="0">
            <x v="8"/>
          </reference>
          <reference field="11" count="1" selected="0">
            <x v="63"/>
          </reference>
          <reference field="12" count="1">
            <x v="112"/>
          </reference>
        </references>
      </pivotArea>
    </format>
    <format dxfId="796">
      <pivotArea dataOnly="0" labelOnly="1" outline="0" fieldPosition="0">
        <references count="3">
          <reference field="5" count="1" selected="0">
            <x v="8"/>
          </reference>
          <reference field="11" count="1" selected="0">
            <x v="64"/>
          </reference>
          <reference field="12" count="1">
            <x v="113"/>
          </reference>
        </references>
      </pivotArea>
    </format>
    <format dxfId="795">
      <pivotArea dataOnly="0" labelOnly="1" outline="0" fieldPosition="0">
        <references count="3">
          <reference field="5" count="1" selected="0">
            <x v="8"/>
          </reference>
          <reference field="11" count="1" selected="0">
            <x v="82"/>
          </reference>
          <reference field="12" count="1">
            <x v="44"/>
          </reference>
        </references>
      </pivotArea>
    </format>
    <format dxfId="794">
      <pivotArea dataOnly="0" labelOnly="1" outline="0" fieldPosition="0">
        <references count="3">
          <reference field="5" count="1" selected="0">
            <x v="8"/>
          </reference>
          <reference field="11" count="1" selected="0">
            <x v="98"/>
          </reference>
          <reference field="12" count="1">
            <x v="45"/>
          </reference>
        </references>
      </pivotArea>
    </format>
    <format dxfId="793">
      <pivotArea dataOnly="0" labelOnly="1" outline="0" fieldPosition="0">
        <references count="3">
          <reference field="5" count="1" selected="0">
            <x v="8"/>
          </reference>
          <reference field="11" count="1" selected="0">
            <x v="106"/>
          </reference>
          <reference field="12" count="1">
            <x v="90"/>
          </reference>
        </references>
      </pivotArea>
    </format>
    <format dxfId="792">
      <pivotArea dataOnly="0" labelOnly="1" outline="0" fieldPosition="0">
        <references count="3">
          <reference field="5" count="1" selected="0">
            <x v="8"/>
          </reference>
          <reference field="11" count="1" selected="0">
            <x v="108"/>
          </reference>
          <reference field="12" count="1">
            <x v="57"/>
          </reference>
        </references>
      </pivotArea>
    </format>
    <format dxfId="791">
      <pivotArea dataOnly="0" labelOnly="1" outline="0" fieldPosition="0">
        <references count="3">
          <reference field="5" count="1" selected="0">
            <x v="9"/>
          </reference>
          <reference field="11" count="1" selected="0">
            <x v="36"/>
          </reference>
          <reference field="12" count="1">
            <x v="12"/>
          </reference>
        </references>
      </pivotArea>
    </format>
    <format dxfId="790">
      <pivotArea dataOnly="0" labelOnly="1" outline="0" fieldPosition="0">
        <references count="3">
          <reference field="5" count="1" selected="0">
            <x v="9"/>
          </reference>
          <reference field="11" count="1" selected="0">
            <x v="94"/>
          </reference>
          <reference field="12" count="1">
            <x v="13"/>
          </reference>
        </references>
      </pivotArea>
    </format>
    <format dxfId="789">
      <pivotArea dataOnly="0" labelOnly="1" outline="0" fieldPosition="0">
        <references count="4">
          <reference field="5" count="1" selected="0">
            <x v="0"/>
          </reference>
          <reference field="11" count="1" selected="0">
            <x v="59"/>
          </reference>
          <reference field="12" count="1" selected="0">
            <x v="22"/>
          </reference>
          <reference field="28" count="1">
            <x v="0"/>
          </reference>
        </references>
      </pivotArea>
    </format>
    <format dxfId="788">
      <pivotArea dataOnly="0" labelOnly="1" outline="0" fieldPosition="0">
        <references count="4">
          <reference field="5" count="1" selected="0">
            <x v="1"/>
          </reference>
          <reference field="11" count="1" selected="0">
            <x v="16"/>
          </reference>
          <reference field="12" count="1" selected="0">
            <x v="83"/>
          </reference>
          <reference field="28" count="1">
            <x v="0"/>
          </reference>
        </references>
      </pivotArea>
    </format>
    <format dxfId="787">
      <pivotArea dataOnly="0" labelOnly="1" outline="0" fieldPosition="0">
        <references count="4">
          <reference field="5" count="1" selected="0">
            <x v="4"/>
          </reference>
          <reference field="11" count="1" selected="0">
            <x v="35"/>
          </reference>
          <reference field="12" count="1" selected="0">
            <x v="35"/>
          </reference>
          <reference field="28" count="1">
            <x v="0"/>
          </reference>
        </references>
      </pivotArea>
    </format>
    <format dxfId="786">
      <pivotArea dataOnly="0" labelOnly="1" outline="0" fieldPosition="0">
        <references count="4">
          <reference field="5" count="1" selected="0">
            <x v="5"/>
          </reference>
          <reference field="11" count="1" selected="0">
            <x v="4"/>
          </reference>
          <reference field="12" count="1" selected="0">
            <x v="15"/>
          </reference>
          <reference field="28" count="1">
            <x v="2"/>
          </reference>
        </references>
      </pivotArea>
    </format>
    <format dxfId="785">
      <pivotArea dataOnly="0" labelOnly="1" outline="0" fieldPosition="0">
        <references count="4">
          <reference field="5" count="1" selected="0">
            <x v="5"/>
          </reference>
          <reference field="11" count="1" selected="0">
            <x v="45"/>
          </reference>
          <reference field="12" count="1" selected="0">
            <x v="17"/>
          </reference>
          <reference field="28" count="1">
            <x v="1"/>
          </reference>
        </references>
      </pivotArea>
    </format>
    <format dxfId="784">
      <pivotArea dataOnly="0" labelOnly="1" outline="0" fieldPosition="0">
        <references count="4">
          <reference field="5" count="1" selected="0">
            <x v="5"/>
          </reference>
          <reference field="11" count="1" selected="0">
            <x v="58"/>
          </reference>
          <reference field="12" count="1" selected="0">
            <x v="16"/>
          </reference>
          <reference field="28" count="1">
            <x v="2"/>
          </reference>
        </references>
      </pivotArea>
    </format>
    <format dxfId="783">
      <pivotArea dataOnly="0" labelOnly="1" outline="0" fieldPosition="0">
        <references count="4">
          <reference field="5" count="1" selected="0">
            <x v="5"/>
          </reference>
          <reference field="11" count="1" selected="0">
            <x v="89"/>
          </reference>
          <reference field="12" count="1" selected="0">
            <x v="18"/>
          </reference>
          <reference field="28" count="1">
            <x v="0"/>
          </reference>
        </references>
      </pivotArea>
    </format>
    <format dxfId="782">
      <pivotArea dataOnly="0" labelOnly="1" outline="0" fieldPosition="0">
        <references count="4">
          <reference field="5" count="1" selected="0">
            <x v="6"/>
          </reference>
          <reference field="11" count="1" selected="0">
            <x v="74"/>
          </reference>
          <reference field="12" count="1" selected="0">
            <x v="37"/>
          </reference>
          <reference field="28" count="1">
            <x v="0"/>
          </reference>
        </references>
      </pivotArea>
    </format>
    <format dxfId="781">
      <pivotArea dataOnly="0" labelOnly="1" outline="0" fieldPosition="0">
        <references count="4">
          <reference field="5" count="1" selected="0">
            <x v="7"/>
          </reference>
          <reference field="11" count="1" selected="0">
            <x v="0"/>
          </reference>
          <reference field="12" count="1" selected="0">
            <x v="33"/>
          </reference>
          <reference field="28" count="1">
            <x v="0"/>
          </reference>
        </references>
      </pivotArea>
    </format>
    <format dxfId="780">
      <pivotArea dataOnly="0" labelOnly="1" outline="0" fieldPosition="0">
        <references count="4">
          <reference field="5" count="1" selected="0">
            <x v="8"/>
          </reference>
          <reference field="11" count="1" selected="0">
            <x v="10"/>
          </reference>
          <reference field="12" count="1" selected="0">
            <x v="38"/>
          </reference>
          <reference field="28" count="1">
            <x v="2"/>
          </reference>
        </references>
      </pivotArea>
    </format>
    <format dxfId="779">
      <pivotArea dataOnly="0" labelOnly="1" outline="0" fieldPosition="0">
        <references count="4">
          <reference field="5" count="1" selected="0">
            <x v="8"/>
          </reference>
          <reference field="11" count="1" selected="0">
            <x v="13"/>
          </reference>
          <reference field="12" count="1" selected="0">
            <x v="102"/>
          </reference>
          <reference field="28" count="1">
            <x v="0"/>
          </reference>
        </references>
      </pivotArea>
    </format>
    <format dxfId="778">
      <pivotArea dataOnly="0" labelOnly="1" outline="0" fieldPosition="0">
        <references count="4">
          <reference field="5" count="1" selected="0">
            <x v="8"/>
          </reference>
          <reference field="11" count="1" selected="0">
            <x v="14"/>
          </reference>
          <reference field="12" count="1" selected="0">
            <x v="110"/>
          </reference>
          <reference field="28" count="1">
            <x v="1"/>
          </reference>
        </references>
      </pivotArea>
    </format>
    <format dxfId="777">
      <pivotArea dataOnly="0" labelOnly="1" outline="0" fieldPosition="0">
        <references count="4">
          <reference field="5" count="1" selected="0">
            <x v="8"/>
          </reference>
          <reference field="11" count="1" selected="0">
            <x v="25"/>
          </reference>
          <reference field="12" count="1" selected="0">
            <x v="96"/>
          </reference>
          <reference field="28" count="1">
            <x v="0"/>
          </reference>
        </references>
      </pivotArea>
    </format>
    <format dxfId="776">
      <pivotArea dataOnly="0" labelOnly="1" outline="0" fieldPosition="0">
        <references count="4">
          <reference field="5" count="1" selected="0">
            <x v="8"/>
          </reference>
          <reference field="11" count="1" selected="0">
            <x v="39"/>
          </reference>
          <reference field="12" count="1" selected="0">
            <x v="41"/>
          </reference>
          <reference field="28" count="1">
            <x v="2"/>
          </reference>
        </references>
      </pivotArea>
    </format>
    <format dxfId="775">
      <pivotArea dataOnly="0" labelOnly="1" outline="0" fieldPosition="0">
        <references count="4">
          <reference field="5" count="1" selected="0">
            <x v="8"/>
          </reference>
          <reference field="11" count="1" selected="0">
            <x v="51"/>
          </reference>
          <reference field="12" count="1" selected="0">
            <x v="91"/>
          </reference>
          <reference field="28" count="1">
            <x v="6"/>
          </reference>
        </references>
      </pivotArea>
    </format>
    <format dxfId="774">
      <pivotArea dataOnly="0" labelOnly="1" outline="0" fieldPosition="0">
        <references count="4">
          <reference field="5" count="1" selected="0">
            <x v="8"/>
          </reference>
          <reference field="11" count="1" selected="0">
            <x v="62"/>
          </reference>
          <reference field="12" count="1" selected="0">
            <x v="97"/>
          </reference>
          <reference field="28" count="1">
            <x v="1"/>
          </reference>
        </references>
      </pivotArea>
    </format>
    <format dxfId="773">
      <pivotArea dataOnly="0" labelOnly="1" outline="0" fieldPosition="0">
        <references count="4">
          <reference field="5" count="1" selected="0">
            <x v="8"/>
          </reference>
          <reference field="11" count="1" selected="0">
            <x v="64"/>
          </reference>
          <reference field="12" count="1" selected="0">
            <x v="113"/>
          </reference>
          <reference field="28" count="1">
            <x v="2"/>
          </reference>
        </references>
      </pivotArea>
    </format>
    <format dxfId="772">
      <pivotArea dataOnly="0" labelOnly="1" outline="0" fieldPosition="0">
        <references count="4">
          <reference field="5" count="1" selected="0">
            <x v="8"/>
          </reference>
          <reference field="11" count="1" selected="0">
            <x v="82"/>
          </reference>
          <reference field="12" count="1" selected="0">
            <x v="44"/>
          </reference>
          <reference field="28" count="1">
            <x v="1"/>
          </reference>
        </references>
      </pivotArea>
    </format>
    <format dxfId="771">
      <pivotArea dataOnly="0" labelOnly="1" outline="0" fieldPosition="0">
        <references count="4">
          <reference field="5" count="1" selected="0">
            <x v="8"/>
          </reference>
          <reference field="11" count="1" selected="0">
            <x v="98"/>
          </reference>
          <reference field="12" count="1" selected="0">
            <x v="45"/>
          </reference>
          <reference field="28" count="1">
            <x v="2"/>
          </reference>
        </references>
      </pivotArea>
    </format>
    <format dxfId="770">
      <pivotArea dataOnly="0" labelOnly="1" outline="0" fieldPosition="0">
        <references count="4">
          <reference field="5" count="1" selected="0">
            <x v="8"/>
          </reference>
          <reference field="11" count="1" selected="0">
            <x v="106"/>
          </reference>
          <reference field="12" count="1" selected="0">
            <x v="90"/>
          </reference>
          <reference field="28" count="1">
            <x v="0"/>
          </reference>
        </references>
      </pivotArea>
    </format>
    <format dxfId="769">
      <pivotArea dataOnly="0" labelOnly="1" outline="0" fieldPosition="0">
        <references count="4">
          <reference field="5" count="1" selected="0">
            <x v="9"/>
          </reference>
          <reference field="11" count="1" selected="0">
            <x v="36"/>
          </reference>
          <reference field="12" count="1" selected="0">
            <x v="12"/>
          </reference>
          <reference field="28" count="1">
            <x v="3"/>
          </reference>
        </references>
      </pivotArea>
    </format>
    <format dxfId="768">
      <pivotArea dataOnly="0" labelOnly="1" outline="0" fieldPosition="0">
        <references count="5">
          <reference field="5" count="1" selected="0">
            <x v="0"/>
          </reference>
          <reference field="11" count="1" selected="0">
            <x v="59"/>
          </reference>
          <reference field="12" count="1" selected="0">
            <x v="22"/>
          </reference>
          <reference field="27" count="1">
            <x v="1"/>
          </reference>
          <reference field="28" count="1" selected="0">
            <x v="0"/>
          </reference>
        </references>
      </pivotArea>
    </format>
    <format dxfId="767">
      <pivotArea dataOnly="0" labelOnly="1" outline="0" fieldPosition="0">
        <references count="5">
          <reference field="5" count="1" selected="0">
            <x v="1"/>
          </reference>
          <reference field="11" count="1" selected="0">
            <x v="16"/>
          </reference>
          <reference field="12" count="1" selected="0">
            <x v="83"/>
          </reference>
          <reference field="27" count="1">
            <x v="1"/>
          </reference>
          <reference field="28" count="1" selected="0">
            <x v="0"/>
          </reference>
        </references>
      </pivotArea>
    </format>
    <format dxfId="766">
      <pivotArea dataOnly="0" labelOnly="1" outline="0" fieldPosition="0">
        <references count="5">
          <reference field="5" count="1" selected="0">
            <x v="1"/>
          </reference>
          <reference field="11" count="1" selected="0">
            <x v="27"/>
          </reference>
          <reference field="12" count="1" selected="0">
            <x v="87"/>
          </reference>
          <reference field="27" count="1">
            <x v="1"/>
          </reference>
          <reference field="28" count="1" selected="0">
            <x v="0"/>
          </reference>
        </references>
      </pivotArea>
    </format>
    <format dxfId="765">
      <pivotArea dataOnly="0" labelOnly="1" outline="0" fieldPosition="0">
        <references count="5">
          <reference field="5" count="1" selected="0">
            <x v="1"/>
          </reference>
          <reference field="11" count="1" selected="0">
            <x v="33"/>
          </reference>
          <reference field="12" count="1" selected="0">
            <x v="109"/>
          </reference>
          <reference field="27" count="1">
            <x v="1"/>
          </reference>
          <reference field="28" count="1" selected="0">
            <x v="0"/>
          </reference>
        </references>
      </pivotArea>
    </format>
    <format dxfId="764">
      <pivotArea dataOnly="0" labelOnly="1" outline="0" fieldPosition="0">
        <references count="5">
          <reference field="5" count="1" selected="0">
            <x v="1"/>
          </reference>
          <reference field="11" count="1" selected="0">
            <x v="56"/>
          </reference>
          <reference field="12" count="1" selected="0">
            <x v="82"/>
          </reference>
          <reference field="27" count="1">
            <x v="1"/>
          </reference>
          <reference field="28" count="1" selected="0">
            <x v="0"/>
          </reference>
        </references>
      </pivotArea>
    </format>
    <format dxfId="763">
      <pivotArea dataOnly="0" labelOnly="1" outline="0" fieldPosition="0">
        <references count="5">
          <reference field="5" count="1" selected="0">
            <x v="1"/>
          </reference>
          <reference field="11" count="1" selected="0">
            <x v="61"/>
          </reference>
          <reference field="12" count="1" selected="0">
            <x v="81"/>
          </reference>
          <reference field="27" count="1">
            <x v="1"/>
          </reference>
          <reference field="28" count="1" selected="0">
            <x v="0"/>
          </reference>
        </references>
      </pivotArea>
    </format>
    <format dxfId="762">
      <pivotArea dataOnly="0" labelOnly="1" outline="0" fieldPosition="0">
        <references count="5">
          <reference field="5" count="1" selected="0">
            <x v="1"/>
          </reference>
          <reference field="11" count="1" selected="0">
            <x v="91"/>
          </reference>
          <reference field="12" count="1" selected="0">
            <x v="93"/>
          </reference>
          <reference field="27" count="1">
            <x v="1"/>
          </reference>
          <reference field="28" count="1" selected="0">
            <x v="0"/>
          </reference>
        </references>
      </pivotArea>
    </format>
    <format dxfId="761">
      <pivotArea dataOnly="0" labelOnly="1" outline="0" fieldPosition="0">
        <references count="5">
          <reference field="5" count="1" selected="0">
            <x v="1"/>
          </reference>
          <reference field="11" count="1" selected="0">
            <x v="102"/>
          </reference>
          <reference field="12" count="1" selected="0">
            <x v="85"/>
          </reference>
          <reference field="27" count="1">
            <x v="1"/>
          </reference>
          <reference field="28" count="1" selected="0">
            <x v="0"/>
          </reference>
        </references>
      </pivotArea>
    </format>
    <format dxfId="760">
      <pivotArea dataOnly="0" labelOnly="1" outline="0" fieldPosition="0">
        <references count="5">
          <reference field="5" count="1" selected="0">
            <x v="1"/>
          </reference>
          <reference field="11" count="1" selected="0">
            <x v="109"/>
          </reference>
          <reference field="12" count="1" selected="0">
            <x v="94"/>
          </reference>
          <reference field="27" count="1">
            <x v="1"/>
          </reference>
          <reference field="28" count="1" selected="0">
            <x v="0"/>
          </reference>
        </references>
      </pivotArea>
    </format>
    <format dxfId="759">
      <pivotArea dataOnly="0" labelOnly="1" outline="0" fieldPosition="0">
        <references count="5">
          <reference field="5" count="1" selected="0">
            <x v="1"/>
          </reference>
          <reference field="11" count="1" selected="0">
            <x v="114"/>
          </reference>
          <reference field="12" count="1" selected="0">
            <x v="84"/>
          </reference>
          <reference field="27" count="1">
            <x v="1"/>
          </reference>
          <reference field="28" count="1" selected="0">
            <x v="0"/>
          </reference>
        </references>
      </pivotArea>
    </format>
    <format dxfId="758">
      <pivotArea dataOnly="0" labelOnly="1" outline="0" fieldPosition="0">
        <references count="5">
          <reference field="5" count="1" selected="0">
            <x v="4"/>
          </reference>
          <reference field="11" count="1" selected="0">
            <x v="35"/>
          </reference>
          <reference field="12" count="1" selected="0">
            <x v="35"/>
          </reference>
          <reference field="27" count="1">
            <x v="1"/>
          </reference>
          <reference field="28" count="1" selected="0">
            <x v="0"/>
          </reference>
        </references>
      </pivotArea>
    </format>
    <format dxfId="757">
      <pivotArea dataOnly="0" labelOnly="1" outline="0" fieldPosition="0">
        <references count="5">
          <reference field="5" count="1" selected="0">
            <x v="4"/>
          </reference>
          <reference field="11" count="1" selected="0">
            <x v="44"/>
          </reference>
          <reference field="12" count="1" selected="0">
            <x v="34"/>
          </reference>
          <reference field="27" count="1">
            <x v="1"/>
          </reference>
          <reference field="28" count="1" selected="0">
            <x v="0"/>
          </reference>
        </references>
      </pivotArea>
    </format>
    <format dxfId="756">
      <pivotArea dataOnly="0" labelOnly="1" outline="0" fieldPosition="0">
        <references count="5">
          <reference field="5" count="1" selected="0">
            <x v="5"/>
          </reference>
          <reference field="11" count="1" selected="0">
            <x v="4"/>
          </reference>
          <reference field="12" count="1" selected="0">
            <x v="15"/>
          </reference>
          <reference field="27" count="1">
            <x v="0"/>
          </reference>
          <reference field="28" count="1" selected="0">
            <x v="2"/>
          </reference>
        </references>
      </pivotArea>
    </format>
    <format dxfId="755">
      <pivotArea dataOnly="0" labelOnly="1" outline="0" fieldPosition="0">
        <references count="5">
          <reference field="5" count="1" selected="0">
            <x v="5"/>
          </reference>
          <reference field="11" count="1" selected="0">
            <x v="45"/>
          </reference>
          <reference field="12" count="1" selected="0">
            <x v="17"/>
          </reference>
          <reference field="27" count="1">
            <x v="0"/>
          </reference>
          <reference field="28" count="1" selected="0">
            <x v="1"/>
          </reference>
        </references>
      </pivotArea>
    </format>
    <format dxfId="754">
      <pivotArea dataOnly="0" labelOnly="1" outline="0" fieldPosition="0">
        <references count="5">
          <reference field="5" count="1" selected="0">
            <x v="5"/>
          </reference>
          <reference field="11" count="1" selected="0">
            <x v="58"/>
          </reference>
          <reference field="12" count="1" selected="0">
            <x v="16"/>
          </reference>
          <reference field="27" count="1">
            <x v="1"/>
          </reference>
          <reference field="28" count="1" selected="0">
            <x v="2"/>
          </reference>
        </references>
      </pivotArea>
    </format>
    <format dxfId="753">
      <pivotArea dataOnly="0" labelOnly="1" outline="0" fieldPosition="0">
        <references count="5">
          <reference field="5" count="1" selected="0">
            <x v="5"/>
          </reference>
          <reference field="11" count="1" selected="0">
            <x v="89"/>
          </reference>
          <reference field="12" count="1" selected="0">
            <x v="18"/>
          </reference>
          <reference field="27" count="1">
            <x v="1"/>
          </reference>
          <reference field="28" count="1" selected="0">
            <x v="0"/>
          </reference>
        </references>
      </pivotArea>
    </format>
    <format dxfId="752">
      <pivotArea dataOnly="0" labelOnly="1" outline="0" fieldPosition="0">
        <references count="5">
          <reference field="5" count="1" selected="0">
            <x v="6"/>
          </reference>
          <reference field="11" count="1" selected="0">
            <x v="74"/>
          </reference>
          <reference field="12" count="1" selected="0">
            <x v="37"/>
          </reference>
          <reference field="27" count="1">
            <x v="1"/>
          </reference>
          <reference field="28" count="1" selected="0">
            <x v="0"/>
          </reference>
        </references>
      </pivotArea>
    </format>
    <format dxfId="751">
      <pivotArea dataOnly="0" labelOnly="1" outline="0" fieldPosition="0">
        <references count="5">
          <reference field="5" count="1" selected="0">
            <x v="6"/>
          </reference>
          <reference field="11" count="1" selected="0">
            <x v="75"/>
          </reference>
          <reference field="12" count="1" selected="0">
            <x v="36"/>
          </reference>
          <reference field="27" count="1">
            <x v="1"/>
          </reference>
          <reference field="28" count="1" selected="0">
            <x v="0"/>
          </reference>
        </references>
      </pivotArea>
    </format>
    <format dxfId="750">
      <pivotArea dataOnly="0" labelOnly="1" outline="0" fieldPosition="0">
        <references count="5">
          <reference field="5" count="1" selected="0">
            <x v="7"/>
          </reference>
          <reference field="11" count="1" selected="0">
            <x v="0"/>
          </reference>
          <reference field="12" count="1" selected="0">
            <x v="33"/>
          </reference>
          <reference field="27" count="1">
            <x v="1"/>
          </reference>
          <reference field="28" count="1" selected="0">
            <x v="0"/>
          </reference>
        </references>
      </pivotArea>
    </format>
    <format dxfId="749">
      <pivotArea dataOnly="0" labelOnly="1" outline="0" fieldPosition="0">
        <references count="5">
          <reference field="5" count="1" selected="0">
            <x v="7"/>
          </reference>
          <reference field="11" count="1" selected="0">
            <x v="20"/>
          </reference>
          <reference field="12" count="1" selected="0">
            <x v="32"/>
          </reference>
          <reference field="27" count="1">
            <x v="1"/>
          </reference>
          <reference field="28" count="1" selected="0">
            <x v="0"/>
          </reference>
        </references>
      </pivotArea>
    </format>
    <format dxfId="748">
      <pivotArea dataOnly="0" labelOnly="1" outline="0" fieldPosition="0">
        <references count="5">
          <reference field="5" count="1" selected="0">
            <x v="7"/>
          </reference>
          <reference field="11" count="1" selected="0">
            <x v="42"/>
          </reference>
          <reference field="12" count="1" selected="0">
            <x v="105"/>
          </reference>
          <reference field="27" count="1">
            <x v="1"/>
          </reference>
          <reference field="28" count="1" selected="0">
            <x v="0"/>
          </reference>
        </references>
      </pivotArea>
    </format>
    <format dxfId="747">
      <pivotArea dataOnly="0" labelOnly="1" outline="0" fieldPosition="0">
        <references count="5">
          <reference field="5" count="1" selected="0">
            <x v="8"/>
          </reference>
          <reference field="11" count="1" selected="0">
            <x v="10"/>
          </reference>
          <reference field="12" count="1" selected="0">
            <x v="38"/>
          </reference>
          <reference field="27" count="1">
            <x v="0"/>
          </reference>
          <reference field="28" count="1" selected="0">
            <x v="2"/>
          </reference>
        </references>
      </pivotArea>
    </format>
    <format dxfId="746">
      <pivotArea dataOnly="0" labelOnly="1" outline="0" fieldPosition="0">
        <references count="5">
          <reference field="5" count="1" selected="0">
            <x v="8"/>
          </reference>
          <reference field="11" count="1" selected="0">
            <x v="13"/>
          </reference>
          <reference field="12" count="1" selected="0">
            <x v="102"/>
          </reference>
          <reference field="27" count="1">
            <x v="1"/>
          </reference>
          <reference field="28" count="1" selected="0">
            <x v="0"/>
          </reference>
        </references>
      </pivotArea>
    </format>
    <format dxfId="745">
      <pivotArea dataOnly="0" labelOnly="1" outline="0" fieldPosition="0">
        <references count="5">
          <reference field="5" count="1" selected="0">
            <x v="8"/>
          </reference>
          <reference field="11" count="1" selected="0">
            <x v="14"/>
          </reference>
          <reference field="12" count="1" selected="0">
            <x v="110"/>
          </reference>
          <reference field="27" count="1">
            <x v="0"/>
          </reference>
          <reference field="28" count="1" selected="0">
            <x v="1"/>
          </reference>
        </references>
      </pivotArea>
    </format>
    <format dxfId="744">
      <pivotArea dataOnly="0" labelOnly="1" outline="0" fieldPosition="0">
        <references count="5">
          <reference field="5" count="1" selected="0">
            <x v="8"/>
          </reference>
          <reference field="11" count="1" selected="0">
            <x v="15"/>
          </reference>
          <reference field="12" count="1" selected="0">
            <x v="111"/>
          </reference>
          <reference field="27" count="1">
            <x v="0"/>
          </reference>
          <reference field="28" count="1" selected="0">
            <x v="1"/>
          </reference>
        </references>
      </pivotArea>
    </format>
    <format dxfId="743">
      <pivotArea dataOnly="0" labelOnly="1" outline="0" fieldPosition="0">
        <references count="5">
          <reference field="5" count="1" selected="0">
            <x v="8"/>
          </reference>
          <reference field="11" count="1" selected="0">
            <x v="24"/>
          </reference>
          <reference field="12" count="1" selected="0">
            <x v="40"/>
          </reference>
          <reference field="27" count="1">
            <x v="0"/>
          </reference>
          <reference field="28" count="1" selected="0">
            <x v="1"/>
          </reference>
        </references>
      </pivotArea>
    </format>
    <format dxfId="742">
      <pivotArea dataOnly="0" labelOnly="1" outline="0" fieldPosition="0">
        <references count="5">
          <reference field="5" count="1" selected="0">
            <x v="8"/>
          </reference>
          <reference field="11" count="1" selected="0">
            <x v="25"/>
          </reference>
          <reference field="12" count="1" selected="0">
            <x v="96"/>
          </reference>
          <reference field="27" count="1">
            <x v="1"/>
          </reference>
          <reference field="28" count="1" selected="0">
            <x v="0"/>
          </reference>
        </references>
      </pivotArea>
    </format>
    <format dxfId="741">
      <pivotArea dataOnly="0" labelOnly="1" outline="0" fieldPosition="0">
        <references count="5">
          <reference field="5" count="1" selected="0">
            <x v="8"/>
          </reference>
          <reference field="11" count="1" selected="0">
            <x v="39"/>
          </reference>
          <reference field="12" count="1" selected="0">
            <x v="41"/>
          </reference>
          <reference field="27" count="1">
            <x v="0"/>
          </reference>
          <reference field="28" count="1" selected="0">
            <x v="2"/>
          </reference>
        </references>
      </pivotArea>
    </format>
    <format dxfId="740">
      <pivotArea dataOnly="0" labelOnly="1" outline="0" fieldPosition="0">
        <references count="5">
          <reference field="5" count="1" selected="0">
            <x v="8"/>
          </reference>
          <reference field="11" count="1" selected="0">
            <x v="51"/>
          </reference>
          <reference field="12" count="1" selected="0">
            <x v="91"/>
          </reference>
          <reference field="27" count="1">
            <x v="1"/>
          </reference>
          <reference field="28" count="1" selected="0">
            <x v="6"/>
          </reference>
        </references>
      </pivotArea>
    </format>
    <format dxfId="739">
      <pivotArea dataOnly="0" labelOnly="1" outline="0" fieldPosition="0">
        <references count="5">
          <reference field="5" count="1" selected="0">
            <x v="8"/>
          </reference>
          <reference field="11" count="1" selected="0">
            <x v="62"/>
          </reference>
          <reference field="12" count="1" selected="0">
            <x v="97"/>
          </reference>
          <reference field="27" count="1">
            <x v="0"/>
          </reference>
          <reference field="28" count="1" selected="0">
            <x v="1"/>
          </reference>
        </references>
      </pivotArea>
    </format>
    <format dxfId="738">
      <pivotArea dataOnly="0" labelOnly="1" outline="0" fieldPosition="0">
        <references count="5">
          <reference field="5" count="1" selected="0">
            <x v="8"/>
          </reference>
          <reference field="11" count="1" selected="0">
            <x v="63"/>
          </reference>
          <reference field="12" count="1" selected="0">
            <x v="112"/>
          </reference>
          <reference field="27" count="1">
            <x v="0"/>
          </reference>
          <reference field="28" count="1" selected="0">
            <x v="1"/>
          </reference>
        </references>
      </pivotArea>
    </format>
    <format dxfId="737">
      <pivotArea dataOnly="0" labelOnly="1" outline="0" fieldPosition="0">
        <references count="5">
          <reference field="5" count="1" selected="0">
            <x v="8"/>
          </reference>
          <reference field="11" count="1" selected="0">
            <x v="64"/>
          </reference>
          <reference field="12" count="1" selected="0">
            <x v="113"/>
          </reference>
          <reference field="27" count="1">
            <x v="0"/>
          </reference>
          <reference field="28" count="1" selected="0">
            <x v="2"/>
          </reference>
        </references>
      </pivotArea>
    </format>
    <format dxfId="736">
      <pivotArea dataOnly="0" labelOnly="1" outline="0" fieldPosition="0">
        <references count="5">
          <reference field="5" count="1" selected="0">
            <x v="8"/>
          </reference>
          <reference field="11" count="1" selected="0">
            <x v="82"/>
          </reference>
          <reference field="12" count="1" selected="0">
            <x v="44"/>
          </reference>
          <reference field="27" count="1">
            <x v="0"/>
          </reference>
          <reference field="28" count="1" selected="0">
            <x v="1"/>
          </reference>
        </references>
      </pivotArea>
    </format>
    <format dxfId="735">
      <pivotArea dataOnly="0" labelOnly="1" outline="0" fieldPosition="0">
        <references count="5">
          <reference field="5" count="1" selected="0">
            <x v="8"/>
          </reference>
          <reference field="11" count="1" selected="0">
            <x v="98"/>
          </reference>
          <reference field="12" count="1" selected="0">
            <x v="45"/>
          </reference>
          <reference field="27" count="1">
            <x v="0"/>
          </reference>
          <reference field="28" count="1" selected="0">
            <x v="2"/>
          </reference>
        </references>
      </pivotArea>
    </format>
    <format dxfId="734">
      <pivotArea dataOnly="0" labelOnly="1" outline="0" fieldPosition="0">
        <references count="5">
          <reference field="5" count="1" selected="0">
            <x v="8"/>
          </reference>
          <reference field="11" count="1" selected="0">
            <x v="106"/>
          </reference>
          <reference field="12" count="1" selected="0">
            <x v="90"/>
          </reference>
          <reference field="27" count="1">
            <x v="1"/>
          </reference>
          <reference field="28" count="1" selected="0">
            <x v="0"/>
          </reference>
        </references>
      </pivotArea>
    </format>
    <format dxfId="733">
      <pivotArea dataOnly="0" labelOnly="1" outline="0" fieldPosition="0">
        <references count="5">
          <reference field="5" count="1" selected="0">
            <x v="8"/>
          </reference>
          <reference field="11" count="1" selected="0">
            <x v="108"/>
          </reference>
          <reference field="12" count="1" selected="0">
            <x v="57"/>
          </reference>
          <reference field="27" count="1">
            <x v="1"/>
          </reference>
          <reference field="28" count="1" selected="0">
            <x v="0"/>
          </reference>
        </references>
      </pivotArea>
    </format>
    <format dxfId="732">
      <pivotArea dataOnly="0" labelOnly="1" outline="0" fieldPosition="0">
        <references count="5">
          <reference field="5" count="1" selected="0">
            <x v="9"/>
          </reference>
          <reference field="11" count="1" selected="0">
            <x v="36"/>
          </reference>
          <reference field="12" count="1" selected="0">
            <x v="12"/>
          </reference>
          <reference field="27" count="1">
            <x v="1"/>
          </reference>
          <reference field="28" count="1" selected="0">
            <x v="3"/>
          </reference>
        </references>
      </pivotArea>
    </format>
    <format dxfId="731">
      <pivotArea dataOnly="0" labelOnly="1" outline="0" fieldPosition="0">
        <references count="5">
          <reference field="5" count="1" selected="0">
            <x v="9"/>
          </reference>
          <reference field="11" count="1" selected="0">
            <x v="94"/>
          </reference>
          <reference field="12" count="1" selected="0">
            <x v="13"/>
          </reference>
          <reference field="27" count="1">
            <x v="1"/>
          </reference>
          <reference field="28" count="1" selected="0">
            <x v="3"/>
          </reference>
        </references>
      </pivotArea>
    </format>
    <format dxfId="730">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6" cacheId="43"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4" firstHeaderRow="0" firstDataRow="1" firstDataCol="6"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subtotalTop="0" showAll="0">
      <items count="11">
        <item h="1" x="3"/>
        <item h="1" x="7"/>
        <item h="1" x="6"/>
        <item h="1" x="9"/>
        <item h="1" x="8"/>
        <item x="5"/>
        <item h="1" x="1"/>
        <item h="1" x="4"/>
        <item x="0"/>
        <item x="2"/>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s>
    </pivotField>
    <pivotField axis="axisRow" compact="0" outline="0" showAll="0" defaultSubtotal="0">
      <items count="117">
        <item x="54"/>
        <item x="57"/>
        <item x="56"/>
        <item x="78"/>
        <item x="58"/>
        <item x="53"/>
        <item x="79"/>
        <item x="55"/>
        <item x="51"/>
        <item x="52"/>
        <item x="80"/>
        <item x="43"/>
        <item x="2"/>
        <item x="24"/>
        <item x="45"/>
        <item x="23"/>
        <item x="37"/>
        <item x="38"/>
        <item x="36"/>
        <item x="63"/>
        <item x="65"/>
        <item x="59"/>
        <item x="34"/>
        <item x="48"/>
        <item x="60"/>
        <item x="62"/>
        <item x="61"/>
        <item x="66"/>
        <item x="64"/>
        <item x="46"/>
        <item x="50"/>
        <item x="49"/>
        <item x="19"/>
        <item x="21"/>
        <item x="35"/>
        <item x="3"/>
        <item x="22"/>
        <item x="1"/>
        <item x="7"/>
        <item x="99"/>
        <item x="10"/>
        <item x="11"/>
        <item x="106"/>
        <item x="110"/>
        <item x="16"/>
        <item x="18"/>
        <item x="115"/>
        <item x="17"/>
        <item x="103"/>
        <item x="113"/>
        <item x="111"/>
        <item x="112"/>
        <item x="104"/>
        <item x="105"/>
        <item x="100"/>
        <item x="41"/>
        <item x="101"/>
        <item x="0"/>
        <item x="83"/>
        <item x="84"/>
        <item x="86"/>
        <item x="88"/>
        <item x="90"/>
        <item x="91"/>
        <item x="92"/>
        <item x="94"/>
        <item x="96"/>
        <item x="93"/>
        <item x="82"/>
        <item x="95"/>
        <item x="87"/>
        <item x="89"/>
        <item x="85"/>
        <item x="98"/>
        <item x="97"/>
        <item x="72"/>
        <item x="73"/>
        <item x="71"/>
        <item x="67"/>
        <item x="70"/>
        <item x="69"/>
        <item x="29"/>
        <item x="28"/>
        <item x="25"/>
        <item x="33"/>
        <item x="31"/>
        <item x="76"/>
        <item x="26"/>
        <item x="75"/>
        <item x="107"/>
        <item x="6"/>
        <item x="12"/>
        <item x="42"/>
        <item x="30"/>
        <item x="32"/>
        <item x="81"/>
        <item x="5"/>
        <item x="13"/>
        <item x="108"/>
        <item x="109"/>
        <item x="116"/>
        <item x="102"/>
        <item x="4"/>
        <item x="47"/>
        <item x="114"/>
        <item x="68"/>
        <item x="74"/>
        <item x="77"/>
        <item x="27"/>
        <item x="20"/>
        <item x="39"/>
        <item x="40"/>
        <item x="8"/>
        <item x="9"/>
        <item x="14"/>
        <item x="15"/>
        <item x="44"/>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2"/>
        <item x="1"/>
        <item x="0"/>
        <item x="4"/>
        <item h="1" x="3"/>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3"/>
        <item x="1"/>
        <item x="6"/>
        <item x="2"/>
        <item x="5"/>
        <item x="4"/>
      </items>
    </pivotField>
    <pivotField compact="0" outline="0" showAll="0"/>
    <pivotField compact="0" outline="0" showAll="0"/>
    <pivotField compact="0" numFmtId="15" outline="0" showAll="0"/>
    <pivotField compact="0" outline="0" showAll="0"/>
    <pivotField axis="axisRow" compact="0" outline="0" showAll="0" defaultSubtotal="0">
      <items count="7">
        <item x="1"/>
        <item x="6"/>
        <item x="2"/>
        <item x="5"/>
        <item x="0"/>
        <item x="4"/>
        <item x="3"/>
      </items>
    </pivotField>
    <pivotField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6">
    <field x="5"/>
    <field x="28"/>
    <field x="27"/>
    <field x="33"/>
    <field x="11"/>
    <field x="12"/>
  </rowFields>
  <rowItems count="26">
    <i>
      <x v="5"/>
      <x v="1"/>
      <x/>
      <x v="6"/>
      <x v="44"/>
      <x v="17"/>
    </i>
    <i r="4">
      <x v="87"/>
      <x v="18"/>
    </i>
    <i r="1">
      <x v="4"/>
      <x/>
      <x v="2"/>
      <x v="4"/>
      <x v="15"/>
    </i>
    <i r="4">
      <x v="56"/>
      <x v="16"/>
    </i>
    <i t="default">
      <x v="5"/>
    </i>
    <i>
      <x v="8"/>
      <x/>
      <x v="1"/>
      <x v="4"/>
      <x v="13"/>
      <x v="102"/>
    </i>
    <i r="4">
      <x v="25"/>
      <x v="96"/>
    </i>
    <i r="4">
      <x v="103"/>
      <x v="90"/>
    </i>
    <i r="4">
      <x v="105"/>
      <x v="57"/>
    </i>
    <i r="1">
      <x v="1"/>
      <x/>
      <x v="6"/>
      <x v="14"/>
      <x v="112"/>
    </i>
    <i r="4">
      <x v="15"/>
      <x v="113"/>
    </i>
    <i r="4">
      <x v="24"/>
      <x v="40"/>
    </i>
    <i r="4">
      <x v="60"/>
      <x v="97"/>
    </i>
    <i r="4">
      <x v="61"/>
      <x v="114"/>
    </i>
    <i r="4">
      <x v="80"/>
      <x v="44"/>
    </i>
    <i r="1">
      <x v="4"/>
      <x/>
      <x v="2"/>
      <x v="10"/>
      <x v="38"/>
    </i>
    <i r="4">
      <x v="38"/>
      <x v="41"/>
    </i>
    <i r="4">
      <x v="62"/>
      <x v="115"/>
    </i>
    <i r="4">
      <x v="95"/>
      <x v="45"/>
    </i>
    <i r="1">
      <x v="6"/>
      <x/>
      <x v="5"/>
      <x v="50"/>
      <x v="91"/>
    </i>
    <i r="4">
      <x v="102"/>
      <x v="47"/>
    </i>
    <i t="default">
      <x v="8"/>
    </i>
    <i>
      <x v="9"/>
      <x v="2"/>
      <x v="1"/>
      <x/>
      <x v="35"/>
      <x v="12"/>
    </i>
    <i r="4">
      <x v="91"/>
      <x v="13"/>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90">
    <format dxfId="729">
      <pivotArea dataOnly="0" outline="0" fieldPosition="0">
        <references count="1">
          <reference field="5" count="0" defaultSubtotal="1"/>
        </references>
      </pivotArea>
    </format>
    <format dxfId="728">
      <pivotArea outline="0" fieldPosition="0">
        <references count="1">
          <reference field="4294967294" count="1">
            <x v="0"/>
          </reference>
        </references>
      </pivotArea>
    </format>
    <format dxfId="727">
      <pivotArea field="5" type="button" dataOnly="0" labelOnly="1" outline="0" axis="axisRow" fieldPosition="0"/>
    </format>
    <format dxfId="726">
      <pivotArea field="28" type="button" dataOnly="0" labelOnly="1" outline="0" axis="axisRow" fieldPosition="1"/>
    </format>
    <format dxfId="725">
      <pivotArea field="27" type="button" dataOnly="0" labelOnly="1" outline="0" axis="axisRow" fieldPosition="2"/>
    </format>
    <format dxfId="724">
      <pivotArea field="11" type="button" dataOnly="0" labelOnly="1" outline="0" axis="axisRow" fieldPosition="4"/>
    </format>
    <format dxfId="723">
      <pivotArea dataOnly="0" labelOnly="1" outline="0" axis="axisValues" fieldPosition="0"/>
    </format>
    <format dxfId="722">
      <pivotArea outline="0" collapsedLevelsAreSubtotals="1" fieldPosition="0">
        <references count="4">
          <reference field="5" count="1" selected="0">
            <x v="5"/>
          </reference>
          <reference field="11" count="5" selected="0">
            <x v="4"/>
            <x v="9"/>
            <x v="44"/>
            <x v="56"/>
            <x v="87"/>
          </reference>
          <reference field="27" count="1" selected="0">
            <x v="1"/>
          </reference>
          <reference field="28" count="1" selected="0">
            <x v="0"/>
          </reference>
        </references>
      </pivotArea>
    </format>
    <format dxfId="721">
      <pivotArea dataOnly="0" labelOnly="1" outline="0" fieldPosition="0">
        <references count="2">
          <reference field="5" count="1" selected="0">
            <x v="5"/>
          </reference>
          <reference field="28" count="1">
            <x v="0"/>
          </reference>
        </references>
      </pivotArea>
    </format>
    <format dxfId="720">
      <pivotArea dataOnly="0" labelOnly="1" outline="0" fieldPosition="0">
        <references count="4">
          <reference field="5" count="1" selected="0">
            <x v="5"/>
          </reference>
          <reference field="11" count="3">
            <x v="4"/>
            <x v="9"/>
            <x v="56"/>
          </reference>
          <reference field="27" count="1" selected="0">
            <x v="1"/>
          </reference>
          <reference field="28" count="1" selected="0">
            <x v="0"/>
          </reference>
        </references>
      </pivotArea>
    </format>
    <format dxfId="719">
      <pivotArea outline="0" collapsedLevelsAreSubtotals="1" fieldPosition="0">
        <references count="1">
          <reference field="5" count="1" selected="0" defaultSubtotal="1">
            <x v="5"/>
          </reference>
        </references>
      </pivotArea>
    </format>
    <format dxfId="718">
      <pivotArea dataOnly="0" labelOnly="1" outline="0" fieldPosition="0">
        <references count="1">
          <reference field="5" count="1" defaultSubtotal="1">
            <x v="5"/>
          </reference>
        </references>
      </pivotArea>
    </format>
    <format dxfId="717">
      <pivotArea dataOnly="0" labelOnly="1" outline="0" fieldPosition="0">
        <references count="2">
          <reference field="5" count="1" selected="0">
            <x v="8"/>
          </reference>
          <reference field="28" count="1">
            <x v="0"/>
          </reference>
        </references>
      </pivotArea>
    </format>
    <format dxfId="716">
      <pivotArea dataOnly="0" labelOnly="1" outline="0" fieldPosition="0">
        <references count="4">
          <reference field="5" count="1" selected="0">
            <x v="8"/>
          </reference>
          <reference field="11" count="4">
            <x v="79"/>
            <x v="82"/>
            <x v="83"/>
            <x v="95"/>
          </reference>
          <reference field="27" count="1" selected="0">
            <x v="1"/>
          </reference>
          <reference field="28" count="1" selected="0">
            <x v="0"/>
          </reference>
        </references>
      </pivotArea>
    </format>
    <format dxfId="715">
      <pivotArea dataOnly="0" labelOnly="1" outline="0" fieldPosition="0">
        <references count="1">
          <reference field="5" count="1" defaultSubtotal="1">
            <x v="8"/>
          </reference>
        </references>
      </pivotArea>
    </format>
    <format dxfId="714">
      <pivotArea grandRow="1" outline="0" collapsedLevelsAreSubtotals="1" fieldPosition="0"/>
    </format>
    <format dxfId="713">
      <pivotArea dataOnly="0" labelOnly="1" grandRow="1" outline="0" fieldPosition="0"/>
    </format>
    <format dxfId="712">
      <pivotArea type="all" dataOnly="0" outline="0" fieldPosition="0"/>
    </format>
    <format dxfId="711">
      <pivotArea dataOnly="0" labelOnly="1" outline="0" fieldPosition="0">
        <references count="1">
          <reference field="11" count="0"/>
        </references>
      </pivotArea>
    </format>
    <format dxfId="710">
      <pivotArea dataOnly="0" labelOnly="1" outline="0" fieldPosition="0">
        <references count="1">
          <reference field="5" count="0"/>
        </references>
      </pivotArea>
    </format>
    <format dxfId="709">
      <pivotArea dataOnly="0" labelOnly="1" outline="0" fieldPosition="0">
        <references count="1">
          <reference field="5" count="1" defaultSubtotal="1">
            <x v="5"/>
          </reference>
        </references>
      </pivotArea>
    </format>
    <format dxfId="708">
      <pivotArea dataOnly="0" labelOnly="1" outline="0" fieldPosition="0">
        <references count="2">
          <reference field="5" count="1" selected="0">
            <x v="5"/>
          </reference>
          <reference field="28" count="1">
            <x v="0"/>
          </reference>
        </references>
      </pivotArea>
    </format>
    <format dxfId="707">
      <pivotArea dataOnly="0" labelOnly="1" outline="0" fieldPosition="0">
        <references count="2">
          <reference field="5" count="1" selected="0">
            <x v="8"/>
          </reference>
          <reference field="28" count="2">
            <x v="1"/>
            <x v="4"/>
          </reference>
        </references>
      </pivotArea>
    </format>
    <format dxfId="706">
      <pivotArea dataOnly="0" labelOnly="1" outline="0" fieldPosition="0">
        <references count="3">
          <reference field="5" count="1" selected="0">
            <x v="5"/>
          </reference>
          <reference field="27" count="1" selected="0">
            <x v="1"/>
          </reference>
          <reference field="28" count="1">
            <x v="0"/>
          </reference>
        </references>
      </pivotArea>
    </format>
    <format dxfId="705">
      <pivotArea field="11" type="button" dataOnly="0" labelOnly="1" outline="0" axis="axisRow" fieldPosition="4"/>
    </format>
    <format dxfId="704">
      <pivotArea field="12" type="button" dataOnly="0" labelOnly="1" outline="0" axis="axisRow" fieldPosition="5"/>
    </format>
    <format dxfId="703">
      <pivotArea outline="0" collapsedLevelsAreSubtotals="1" fieldPosition="0">
        <references count="1">
          <reference field="4294967294" count="1" selected="0">
            <x v="0"/>
          </reference>
        </references>
      </pivotArea>
    </format>
    <format dxfId="702">
      <pivotArea dataOnly="0" labelOnly="1" outline="0" fieldPosition="0">
        <references count="1">
          <reference field="4294967294" count="1">
            <x v="0"/>
          </reference>
        </references>
      </pivotArea>
    </format>
    <format dxfId="701">
      <pivotArea outline="0" collapsedLevelsAreSubtotals="1" fieldPosition="0">
        <references count="1">
          <reference field="4294967294" count="1" selected="0">
            <x v="0"/>
          </reference>
        </references>
      </pivotArea>
    </format>
    <format dxfId="700">
      <pivotArea dataOnly="0" labelOnly="1" outline="0" fieldPosition="0">
        <references count="1">
          <reference field="4294967294" count="1">
            <x v="0"/>
          </reference>
        </references>
      </pivotArea>
    </format>
    <format dxfId="699">
      <pivotArea dataOnly="0" labelOnly="1" outline="0" fieldPosition="0">
        <references count="1">
          <reference field="5" count="1" defaultSubtotal="1">
            <x v="5"/>
          </reference>
        </references>
      </pivotArea>
    </format>
    <format dxfId="698">
      <pivotArea outline="0" collapsedLevelsAreSubtotals="1" fieldPosition="0">
        <references count="1">
          <reference field="5" count="1" selected="0" defaultSubtotal="1">
            <x v="5"/>
          </reference>
        </references>
      </pivotArea>
    </format>
    <format dxfId="697">
      <pivotArea dataOnly="0" labelOnly="1" outline="0" fieldPosition="0">
        <references count="1">
          <reference field="5" count="1" defaultSubtotal="1">
            <x v="8"/>
          </reference>
        </references>
      </pivotArea>
    </format>
    <format dxfId="696">
      <pivotArea dataOnly="0" labelOnly="1" outline="0" fieldPosition="0">
        <references count="1">
          <reference field="33" count="0"/>
        </references>
      </pivotArea>
    </format>
    <format dxfId="695">
      <pivotArea outline="0" collapsedLevelsAreSubtotals="1" fieldPosition="0">
        <references count="1">
          <reference field="4294967294" count="1" selected="0">
            <x v="1"/>
          </reference>
        </references>
      </pivotArea>
    </format>
    <format dxfId="694">
      <pivotArea dataOnly="0" labelOnly="1" outline="0" fieldPosition="0">
        <references count="1">
          <reference field="4294967294" count="1">
            <x v="1"/>
          </reference>
        </references>
      </pivotArea>
    </format>
    <format dxfId="693">
      <pivotArea field="33" type="button" dataOnly="0" labelOnly="1" outline="0" axis="axisRow" fieldPosition="3"/>
    </format>
    <format dxfId="692">
      <pivotArea outline="0" collapsedLevelsAreSubtotals="1" fieldPosition="0">
        <references count="1">
          <reference field="5" count="1" selected="0" defaultSubtotal="1">
            <x v="5"/>
          </reference>
        </references>
      </pivotArea>
    </format>
    <format dxfId="691">
      <pivotArea dataOnly="0" labelOnly="1" grandRow="1" outline="0" fieldPosition="0"/>
    </format>
    <format dxfId="690">
      <pivotArea grandRow="1" outline="0" collapsedLevelsAreSubtotals="1" fieldPosition="0"/>
    </format>
    <format dxfId="689">
      <pivotArea dataOnly="0" labelOnly="1" grandRow="1" outline="0" fieldPosition="0"/>
    </format>
    <format dxfId="688">
      <pivotArea type="all" dataOnly="0" outline="0" fieldPosition="0"/>
    </format>
    <format dxfId="687">
      <pivotArea outline="0" collapsedLevelsAreSubtotals="1" fieldPosition="0"/>
    </format>
    <format dxfId="686">
      <pivotArea dataOnly="0" labelOnly="1" outline="0" fieldPosition="0">
        <references count="1">
          <reference field="5" count="0"/>
        </references>
      </pivotArea>
    </format>
    <format dxfId="685">
      <pivotArea dataOnly="0" labelOnly="1" outline="0" fieldPosition="0">
        <references count="1">
          <reference field="5" count="0" defaultSubtotal="1"/>
        </references>
      </pivotArea>
    </format>
    <format dxfId="684">
      <pivotArea dataOnly="0" labelOnly="1" grandRow="1" outline="0" fieldPosition="0"/>
    </format>
    <format dxfId="683">
      <pivotArea dataOnly="0" labelOnly="1" outline="0" fieldPosition="0">
        <references count="2">
          <reference field="5" count="1" selected="0">
            <x v="5"/>
          </reference>
          <reference field="28" count="2">
            <x v="1"/>
            <x v="4"/>
          </reference>
        </references>
      </pivotArea>
    </format>
    <format dxfId="682">
      <pivotArea dataOnly="0" labelOnly="1" outline="0" fieldPosition="0">
        <references count="2">
          <reference field="5" count="1" selected="0">
            <x v="8"/>
          </reference>
          <reference field="28" count="4">
            <x v="0"/>
            <x v="1"/>
            <x v="4"/>
            <x v="6"/>
          </reference>
        </references>
      </pivotArea>
    </format>
    <format dxfId="681">
      <pivotArea dataOnly="0" labelOnly="1" outline="0" fieldPosition="0">
        <references count="2">
          <reference field="5" count="1" selected="0">
            <x v="9"/>
          </reference>
          <reference field="28" count="1">
            <x v="2"/>
          </reference>
        </references>
      </pivotArea>
    </format>
    <format dxfId="680">
      <pivotArea dataOnly="0" labelOnly="1" outline="0" fieldPosition="0">
        <references count="3">
          <reference field="5" count="1" selected="0">
            <x v="5"/>
          </reference>
          <reference field="27" count="1">
            <x v="0"/>
          </reference>
          <reference field="28" count="1" selected="0">
            <x v="1"/>
          </reference>
        </references>
      </pivotArea>
    </format>
    <format dxfId="679">
      <pivotArea dataOnly="0" labelOnly="1" outline="0" fieldPosition="0">
        <references count="3">
          <reference field="5" count="1" selected="0">
            <x v="8"/>
          </reference>
          <reference field="27" count="1">
            <x v="1"/>
          </reference>
          <reference field="28" count="1" selected="0">
            <x v="0"/>
          </reference>
        </references>
      </pivotArea>
    </format>
    <format dxfId="678">
      <pivotArea dataOnly="0" labelOnly="1" outline="0" fieldPosition="0">
        <references count="3">
          <reference field="5" count="1" selected="0">
            <x v="8"/>
          </reference>
          <reference field="27" count="1">
            <x v="0"/>
          </reference>
          <reference field="28" count="1" selected="0">
            <x v="1"/>
          </reference>
        </references>
      </pivotArea>
    </format>
    <format dxfId="677">
      <pivotArea dataOnly="0" labelOnly="1" outline="0" fieldPosition="0">
        <references count="3">
          <reference field="5" count="1" selected="0">
            <x v="9"/>
          </reference>
          <reference field="27" count="1">
            <x v="1"/>
          </reference>
          <reference field="28" count="1" selected="0">
            <x v="2"/>
          </reference>
        </references>
      </pivotArea>
    </format>
    <format dxfId="676">
      <pivotArea dataOnly="0" labelOnly="1" outline="0" fieldPosition="0">
        <references count="4">
          <reference field="5" count="1" selected="0">
            <x v="5"/>
          </reference>
          <reference field="27" count="1" selected="0">
            <x v="0"/>
          </reference>
          <reference field="28" count="1" selected="0">
            <x v="1"/>
          </reference>
          <reference field="33" count="1">
            <x v="6"/>
          </reference>
        </references>
      </pivotArea>
    </format>
    <format dxfId="675">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674">
      <pivotArea dataOnly="0" labelOnly="1" outline="0" fieldPosition="0">
        <references count="4">
          <reference field="5" count="1" selected="0">
            <x v="8"/>
          </reference>
          <reference field="27" count="1" selected="0">
            <x v="1"/>
          </reference>
          <reference field="28" count="1" selected="0">
            <x v="0"/>
          </reference>
          <reference field="33" count="1">
            <x v="4"/>
          </reference>
        </references>
      </pivotArea>
    </format>
    <format dxfId="673">
      <pivotArea dataOnly="0" labelOnly="1" outline="0" fieldPosition="0">
        <references count="4">
          <reference field="5" count="1" selected="0">
            <x v="8"/>
          </reference>
          <reference field="27" count="1" selected="0">
            <x v="0"/>
          </reference>
          <reference field="28" count="1" selected="0">
            <x v="1"/>
          </reference>
          <reference field="33" count="1">
            <x v="6"/>
          </reference>
        </references>
      </pivotArea>
    </format>
    <format dxfId="672">
      <pivotArea dataOnly="0" labelOnly="1" outline="0" fieldPosition="0">
        <references count="4">
          <reference field="5" count="1" selected="0">
            <x v="8"/>
          </reference>
          <reference field="27" count="1" selected="0">
            <x v="0"/>
          </reference>
          <reference field="28" count="1" selected="0">
            <x v="4"/>
          </reference>
          <reference field="33" count="1">
            <x v="2"/>
          </reference>
        </references>
      </pivotArea>
    </format>
    <format dxfId="671">
      <pivotArea dataOnly="0" labelOnly="1" outline="0" fieldPosition="0">
        <references count="4">
          <reference field="5" count="1" selected="0">
            <x v="8"/>
          </reference>
          <reference field="27" count="1" selected="0">
            <x v="0"/>
          </reference>
          <reference field="28" count="1" selected="0">
            <x v="6"/>
          </reference>
          <reference field="33" count="1">
            <x v="5"/>
          </reference>
        </references>
      </pivotArea>
    </format>
    <format dxfId="670">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669">
      <pivotArea dataOnly="0" labelOnly="1" outline="0" fieldPosition="0">
        <references count="5">
          <reference field="5" count="1" selected="0">
            <x v="5"/>
          </reference>
          <reference field="11" count="2">
            <x v="44"/>
            <x v="87"/>
          </reference>
          <reference field="27" count="1" selected="0">
            <x v="0"/>
          </reference>
          <reference field="28" count="1" selected="0">
            <x v="1"/>
          </reference>
          <reference field="33" count="1" selected="0">
            <x v="6"/>
          </reference>
        </references>
      </pivotArea>
    </format>
    <format dxfId="668">
      <pivotArea dataOnly="0" labelOnly="1" outline="0" fieldPosition="0">
        <references count="5">
          <reference field="5" count="1" selected="0">
            <x v="5"/>
          </reference>
          <reference field="11" count="2">
            <x v="4"/>
            <x v="56"/>
          </reference>
          <reference field="27" count="1" selected="0">
            <x v="0"/>
          </reference>
          <reference field="28" count="1" selected="0">
            <x v="4"/>
          </reference>
          <reference field="33" count="1" selected="0">
            <x v="2"/>
          </reference>
        </references>
      </pivotArea>
    </format>
    <format dxfId="667">
      <pivotArea dataOnly="0" labelOnly="1" outline="0" fieldPosition="0">
        <references count="5">
          <reference field="5" count="1" selected="0">
            <x v="8"/>
          </reference>
          <reference field="11" count="4">
            <x v="13"/>
            <x v="25"/>
            <x v="103"/>
            <x v="105"/>
          </reference>
          <reference field="27" count="1" selected="0">
            <x v="1"/>
          </reference>
          <reference field="28" count="1" selected="0">
            <x v="0"/>
          </reference>
          <reference field="33" count="1" selected="0">
            <x v="4"/>
          </reference>
        </references>
      </pivotArea>
    </format>
    <format dxfId="666">
      <pivotArea dataOnly="0" labelOnly="1" outline="0" fieldPosition="0">
        <references count="5">
          <reference field="5" count="1" selected="0">
            <x v="8"/>
          </reference>
          <reference field="11" count="6">
            <x v="14"/>
            <x v="15"/>
            <x v="24"/>
            <x v="60"/>
            <x v="61"/>
            <x v="80"/>
          </reference>
          <reference field="27" count="1" selected="0">
            <x v="0"/>
          </reference>
          <reference field="28" count="1" selected="0">
            <x v="1"/>
          </reference>
          <reference field="33" count="1" selected="0">
            <x v="6"/>
          </reference>
        </references>
      </pivotArea>
    </format>
    <format dxfId="665">
      <pivotArea dataOnly="0" labelOnly="1" outline="0" fieldPosition="0">
        <references count="5">
          <reference field="5" count="1" selected="0">
            <x v="8"/>
          </reference>
          <reference field="11" count="4">
            <x v="10"/>
            <x v="38"/>
            <x v="62"/>
            <x v="95"/>
          </reference>
          <reference field="27" count="1" selected="0">
            <x v="0"/>
          </reference>
          <reference field="28" count="1" selected="0">
            <x v="4"/>
          </reference>
          <reference field="33" count="1" selected="0">
            <x v="2"/>
          </reference>
        </references>
      </pivotArea>
    </format>
    <format dxfId="664">
      <pivotArea dataOnly="0" labelOnly="1" outline="0" fieldPosition="0">
        <references count="5">
          <reference field="5" count="1" selected="0">
            <x v="8"/>
          </reference>
          <reference field="11" count="2">
            <x v="50"/>
            <x v="102"/>
          </reference>
          <reference field="27" count="1" selected="0">
            <x v="0"/>
          </reference>
          <reference field="28" count="1" selected="0">
            <x v="6"/>
          </reference>
          <reference field="33" count="1" selected="0">
            <x v="5"/>
          </reference>
        </references>
      </pivotArea>
    </format>
    <format dxfId="663">
      <pivotArea dataOnly="0" labelOnly="1" outline="0" fieldPosition="0">
        <references count="5">
          <reference field="5" count="1" selected="0">
            <x v="9"/>
          </reference>
          <reference field="11" count="2">
            <x v="35"/>
            <x v="91"/>
          </reference>
          <reference field="27" count="1" selected="0">
            <x v="1"/>
          </reference>
          <reference field="28" count="1" selected="0">
            <x v="2"/>
          </reference>
          <reference field="33" count="1" selected="0">
            <x v="0"/>
          </reference>
        </references>
      </pivotArea>
    </format>
    <format dxfId="662">
      <pivotArea dataOnly="0" labelOnly="1" outline="0" fieldPosition="0">
        <references count="6">
          <reference field="5" count="1" selected="0">
            <x v="5"/>
          </reference>
          <reference field="11" count="1" selected="0">
            <x v="44"/>
          </reference>
          <reference field="12" count="1">
            <x v="17"/>
          </reference>
          <reference field="27" count="1" selected="0">
            <x v="0"/>
          </reference>
          <reference field="28" count="1" selected="0">
            <x v="1"/>
          </reference>
          <reference field="33" count="1" selected="0">
            <x v="6"/>
          </reference>
        </references>
      </pivotArea>
    </format>
    <format dxfId="661">
      <pivotArea dataOnly="0" labelOnly="1" outline="0" fieldPosition="0">
        <references count="6">
          <reference field="5" count="1" selected="0">
            <x v="5"/>
          </reference>
          <reference field="11" count="1" selected="0">
            <x v="87"/>
          </reference>
          <reference field="12" count="1">
            <x v="18"/>
          </reference>
          <reference field="27" count="1" selected="0">
            <x v="0"/>
          </reference>
          <reference field="28" count="1" selected="0">
            <x v="1"/>
          </reference>
          <reference field="33" count="1" selected="0">
            <x v="6"/>
          </reference>
        </references>
      </pivotArea>
    </format>
    <format dxfId="660">
      <pivotArea dataOnly="0" labelOnly="1" outline="0" fieldPosition="0">
        <references count="6">
          <reference field="5" count="1" selected="0">
            <x v="5"/>
          </reference>
          <reference field="11" count="1" selected="0">
            <x v="4"/>
          </reference>
          <reference field="12" count="1">
            <x v="15"/>
          </reference>
          <reference field="27" count="1" selected="0">
            <x v="0"/>
          </reference>
          <reference field="28" count="1" selected="0">
            <x v="4"/>
          </reference>
          <reference field="33" count="1" selected="0">
            <x v="2"/>
          </reference>
        </references>
      </pivotArea>
    </format>
    <format dxfId="659">
      <pivotArea dataOnly="0" labelOnly="1" outline="0" fieldPosition="0">
        <references count="6">
          <reference field="5" count="1" selected="0">
            <x v="5"/>
          </reference>
          <reference field="11" count="1" selected="0">
            <x v="56"/>
          </reference>
          <reference field="12" count="1">
            <x v="16"/>
          </reference>
          <reference field="27" count="1" selected="0">
            <x v="0"/>
          </reference>
          <reference field="28" count="1" selected="0">
            <x v="4"/>
          </reference>
          <reference field="33" count="1" selected="0">
            <x v="2"/>
          </reference>
        </references>
      </pivotArea>
    </format>
    <format dxfId="658">
      <pivotArea dataOnly="0" labelOnly="1" outline="0" fieldPosition="0">
        <references count="6">
          <reference field="5" count="1" selected="0">
            <x v="8"/>
          </reference>
          <reference field="11" count="1" selected="0">
            <x v="13"/>
          </reference>
          <reference field="12" count="1">
            <x v="102"/>
          </reference>
          <reference field="27" count="1" selected="0">
            <x v="1"/>
          </reference>
          <reference field="28" count="1" selected="0">
            <x v="0"/>
          </reference>
          <reference field="33" count="1" selected="0">
            <x v="4"/>
          </reference>
        </references>
      </pivotArea>
    </format>
    <format dxfId="657">
      <pivotArea dataOnly="0" labelOnly="1" outline="0" fieldPosition="0">
        <references count="6">
          <reference field="5" count="1" selected="0">
            <x v="8"/>
          </reference>
          <reference field="11" count="1" selected="0">
            <x v="25"/>
          </reference>
          <reference field="12" count="1">
            <x v="96"/>
          </reference>
          <reference field="27" count="1" selected="0">
            <x v="1"/>
          </reference>
          <reference field="28" count="1" selected="0">
            <x v="0"/>
          </reference>
          <reference field="33" count="1" selected="0">
            <x v="4"/>
          </reference>
        </references>
      </pivotArea>
    </format>
    <format dxfId="656">
      <pivotArea dataOnly="0" labelOnly="1" outline="0" fieldPosition="0">
        <references count="6">
          <reference field="5" count="1" selected="0">
            <x v="8"/>
          </reference>
          <reference field="11" count="1" selected="0">
            <x v="103"/>
          </reference>
          <reference field="12" count="1">
            <x v="90"/>
          </reference>
          <reference field="27" count="1" selected="0">
            <x v="1"/>
          </reference>
          <reference field="28" count="1" selected="0">
            <x v="0"/>
          </reference>
          <reference field="33" count="1" selected="0">
            <x v="4"/>
          </reference>
        </references>
      </pivotArea>
    </format>
    <format dxfId="655">
      <pivotArea dataOnly="0" labelOnly="1" outline="0" fieldPosition="0">
        <references count="6">
          <reference field="5" count="1" selected="0">
            <x v="8"/>
          </reference>
          <reference field="11" count="1" selected="0">
            <x v="105"/>
          </reference>
          <reference field="12" count="1">
            <x v="57"/>
          </reference>
          <reference field="27" count="1" selected="0">
            <x v="1"/>
          </reference>
          <reference field="28" count="1" selected="0">
            <x v="0"/>
          </reference>
          <reference field="33" count="1" selected="0">
            <x v="4"/>
          </reference>
        </references>
      </pivotArea>
    </format>
    <format dxfId="654">
      <pivotArea dataOnly="0" labelOnly="1" outline="0" fieldPosition="0">
        <references count="6">
          <reference field="5" count="1" selected="0">
            <x v="8"/>
          </reference>
          <reference field="11" count="1" selected="0">
            <x v="14"/>
          </reference>
          <reference field="12" count="1">
            <x v="112"/>
          </reference>
          <reference field="27" count="1" selected="0">
            <x v="0"/>
          </reference>
          <reference field="28" count="1" selected="0">
            <x v="1"/>
          </reference>
          <reference field="33" count="1" selected="0">
            <x v="6"/>
          </reference>
        </references>
      </pivotArea>
    </format>
    <format dxfId="653">
      <pivotArea dataOnly="0" labelOnly="1" outline="0" fieldPosition="0">
        <references count="6">
          <reference field="5" count="1" selected="0">
            <x v="8"/>
          </reference>
          <reference field="11" count="1" selected="0">
            <x v="15"/>
          </reference>
          <reference field="12" count="1">
            <x v="113"/>
          </reference>
          <reference field="27" count="1" selected="0">
            <x v="0"/>
          </reference>
          <reference field="28" count="1" selected="0">
            <x v="1"/>
          </reference>
          <reference field="33" count="1" selected="0">
            <x v="6"/>
          </reference>
        </references>
      </pivotArea>
    </format>
    <format dxfId="652">
      <pivotArea dataOnly="0" labelOnly="1" outline="0" fieldPosition="0">
        <references count="6">
          <reference field="5" count="1" selected="0">
            <x v="8"/>
          </reference>
          <reference field="11" count="1" selected="0">
            <x v="24"/>
          </reference>
          <reference field="12" count="1">
            <x v="40"/>
          </reference>
          <reference field="27" count="1" selected="0">
            <x v="0"/>
          </reference>
          <reference field="28" count="1" selected="0">
            <x v="1"/>
          </reference>
          <reference field="33" count="1" selected="0">
            <x v="6"/>
          </reference>
        </references>
      </pivotArea>
    </format>
    <format dxfId="651">
      <pivotArea dataOnly="0" labelOnly="1" outline="0" fieldPosition="0">
        <references count="6">
          <reference field="5" count="1" selected="0">
            <x v="8"/>
          </reference>
          <reference field="11" count="1" selected="0">
            <x v="60"/>
          </reference>
          <reference field="12" count="1">
            <x v="97"/>
          </reference>
          <reference field="27" count="1" selected="0">
            <x v="0"/>
          </reference>
          <reference field="28" count="1" selected="0">
            <x v="1"/>
          </reference>
          <reference field="33" count="1" selected="0">
            <x v="6"/>
          </reference>
        </references>
      </pivotArea>
    </format>
    <format dxfId="650">
      <pivotArea dataOnly="0" labelOnly="1" outline="0" fieldPosition="0">
        <references count="6">
          <reference field="5" count="1" selected="0">
            <x v="8"/>
          </reference>
          <reference field="11" count="1" selected="0">
            <x v="61"/>
          </reference>
          <reference field="12" count="1">
            <x v="114"/>
          </reference>
          <reference field="27" count="1" selected="0">
            <x v="0"/>
          </reference>
          <reference field="28" count="1" selected="0">
            <x v="1"/>
          </reference>
          <reference field="33" count="1" selected="0">
            <x v="6"/>
          </reference>
        </references>
      </pivotArea>
    </format>
    <format dxfId="649">
      <pivotArea dataOnly="0" labelOnly="1" outline="0" fieldPosition="0">
        <references count="6">
          <reference field="5" count="1" selected="0">
            <x v="8"/>
          </reference>
          <reference field="11" count="1" selected="0">
            <x v="80"/>
          </reference>
          <reference field="12" count="1">
            <x v="44"/>
          </reference>
          <reference field="27" count="1" selected="0">
            <x v="0"/>
          </reference>
          <reference field="28" count="1" selected="0">
            <x v="1"/>
          </reference>
          <reference field="33" count="1" selected="0">
            <x v="6"/>
          </reference>
        </references>
      </pivotArea>
    </format>
    <format dxfId="648">
      <pivotArea dataOnly="0" labelOnly="1" outline="0" fieldPosition="0">
        <references count="6">
          <reference field="5" count="1" selected="0">
            <x v="8"/>
          </reference>
          <reference field="11" count="1" selected="0">
            <x v="10"/>
          </reference>
          <reference field="12" count="1">
            <x v="38"/>
          </reference>
          <reference field="27" count="1" selected="0">
            <x v="0"/>
          </reference>
          <reference field="28" count="1" selected="0">
            <x v="4"/>
          </reference>
          <reference field="33" count="1" selected="0">
            <x v="2"/>
          </reference>
        </references>
      </pivotArea>
    </format>
    <format dxfId="647">
      <pivotArea dataOnly="0" labelOnly="1" outline="0" fieldPosition="0">
        <references count="6">
          <reference field="5" count="1" selected="0">
            <x v="8"/>
          </reference>
          <reference field="11" count="1" selected="0">
            <x v="38"/>
          </reference>
          <reference field="12" count="1">
            <x v="41"/>
          </reference>
          <reference field="27" count="1" selected="0">
            <x v="0"/>
          </reference>
          <reference field="28" count="1" selected="0">
            <x v="4"/>
          </reference>
          <reference field="33" count="1" selected="0">
            <x v="2"/>
          </reference>
        </references>
      </pivotArea>
    </format>
    <format dxfId="646">
      <pivotArea dataOnly="0" labelOnly="1" outline="0" fieldPosition="0">
        <references count="6">
          <reference field="5" count="1" selected="0">
            <x v="8"/>
          </reference>
          <reference field="11" count="1" selected="0">
            <x v="62"/>
          </reference>
          <reference field="12" count="1">
            <x v="115"/>
          </reference>
          <reference field="27" count="1" selected="0">
            <x v="0"/>
          </reference>
          <reference field="28" count="1" selected="0">
            <x v="4"/>
          </reference>
          <reference field="33" count="1" selected="0">
            <x v="2"/>
          </reference>
        </references>
      </pivotArea>
    </format>
    <format dxfId="645">
      <pivotArea dataOnly="0" labelOnly="1" outline="0" fieldPosition="0">
        <references count="6">
          <reference field="5" count="1" selected="0">
            <x v="8"/>
          </reference>
          <reference field="11" count="1" selected="0">
            <x v="95"/>
          </reference>
          <reference field="12" count="1">
            <x v="45"/>
          </reference>
          <reference field="27" count="1" selected="0">
            <x v="0"/>
          </reference>
          <reference field="28" count="1" selected="0">
            <x v="4"/>
          </reference>
          <reference field="33" count="1" selected="0">
            <x v="2"/>
          </reference>
        </references>
      </pivotArea>
    </format>
    <format dxfId="644">
      <pivotArea dataOnly="0" labelOnly="1" outline="0" fieldPosition="0">
        <references count="6">
          <reference field="5" count="1" selected="0">
            <x v="8"/>
          </reference>
          <reference field="11" count="1" selected="0">
            <x v="50"/>
          </reference>
          <reference field="12" count="1">
            <x v="91"/>
          </reference>
          <reference field="27" count="1" selected="0">
            <x v="0"/>
          </reference>
          <reference field="28" count="1" selected="0">
            <x v="6"/>
          </reference>
          <reference field="33" count="1" selected="0">
            <x v="5"/>
          </reference>
        </references>
      </pivotArea>
    </format>
    <format dxfId="643">
      <pivotArea dataOnly="0" labelOnly="1" outline="0" fieldPosition="0">
        <references count="6">
          <reference field="5" count="1" selected="0">
            <x v="8"/>
          </reference>
          <reference field="11" count="1" selected="0">
            <x v="102"/>
          </reference>
          <reference field="12" count="1">
            <x v="47"/>
          </reference>
          <reference field="27" count="1" selected="0">
            <x v="0"/>
          </reference>
          <reference field="28" count="1" selected="0">
            <x v="6"/>
          </reference>
          <reference field="33" count="1" selected="0">
            <x v="5"/>
          </reference>
        </references>
      </pivotArea>
    </format>
    <format dxfId="642">
      <pivotArea dataOnly="0" labelOnly="1" outline="0" fieldPosition="0">
        <references count="6">
          <reference field="5" count="1" selected="0">
            <x v="9"/>
          </reference>
          <reference field="11" count="1" selected="0">
            <x v="35"/>
          </reference>
          <reference field="12" count="1">
            <x v="12"/>
          </reference>
          <reference field="27" count="1" selected="0">
            <x v="1"/>
          </reference>
          <reference field="28" count="1" selected="0">
            <x v="2"/>
          </reference>
          <reference field="33" count="1" selected="0">
            <x v="0"/>
          </reference>
        </references>
      </pivotArea>
    </format>
    <format dxfId="641">
      <pivotArea dataOnly="0" labelOnly="1" outline="0" fieldPosition="0">
        <references count="6">
          <reference field="5" count="1" selected="0">
            <x v="9"/>
          </reference>
          <reference field="11" count="1" selected="0">
            <x v="91"/>
          </reference>
          <reference field="12" count="1">
            <x v="13"/>
          </reference>
          <reference field="27" count="1" selected="0">
            <x v="1"/>
          </reference>
          <reference field="28" count="1" selected="0">
            <x v="2"/>
          </reference>
          <reference field="33" count="1" selected="0">
            <x v="0"/>
          </reference>
        </references>
      </pivotArea>
    </format>
    <format dxfId="640">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43"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3" firstHeaderRow="0" firstDataRow="1" firstDataCol="3"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subtotalTop="0" showAll="0">
      <items count="11">
        <item h="1" x="3"/>
        <item h="1" x="7"/>
        <item h="1" x="6"/>
        <item h="1" x="9"/>
        <item h="1" x="8"/>
        <item x="5"/>
        <item h="1" x="1"/>
        <item h="1" x="4"/>
        <item x="0"/>
        <item x="2"/>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s>
    </pivotField>
    <pivotField axis="axisRow" compact="0" outline="0" showAll="0" defaultSubtotal="0">
      <items count="117">
        <item x="54"/>
        <item x="57"/>
        <item x="56"/>
        <item x="78"/>
        <item x="58"/>
        <item x="53"/>
        <item x="79"/>
        <item x="55"/>
        <item x="51"/>
        <item x="52"/>
        <item x="80"/>
        <item x="43"/>
        <item x="2"/>
        <item x="24"/>
        <item x="45"/>
        <item x="23"/>
        <item x="37"/>
        <item x="38"/>
        <item x="36"/>
        <item x="63"/>
        <item x="65"/>
        <item x="59"/>
        <item x="34"/>
        <item x="48"/>
        <item x="60"/>
        <item x="62"/>
        <item x="61"/>
        <item x="66"/>
        <item x="64"/>
        <item x="46"/>
        <item x="50"/>
        <item x="49"/>
        <item x="19"/>
        <item x="21"/>
        <item x="35"/>
        <item x="3"/>
        <item x="22"/>
        <item x="1"/>
        <item x="7"/>
        <item x="99"/>
        <item x="10"/>
        <item x="11"/>
        <item x="106"/>
        <item x="110"/>
        <item x="16"/>
        <item x="18"/>
        <item x="115"/>
        <item x="17"/>
        <item x="103"/>
        <item x="113"/>
        <item x="111"/>
        <item x="112"/>
        <item x="104"/>
        <item x="105"/>
        <item x="100"/>
        <item x="41"/>
        <item x="101"/>
        <item x="0"/>
        <item x="83"/>
        <item x="84"/>
        <item x="86"/>
        <item x="88"/>
        <item x="90"/>
        <item x="91"/>
        <item x="92"/>
        <item x="94"/>
        <item x="96"/>
        <item x="93"/>
        <item x="82"/>
        <item x="95"/>
        <item x="87"/>
        <item x="89"/>
        <item x="85"/>
        <item x="98"/>
        <item x="97"/>
        <item x="72"/>
        <item x="73"/>
        <item x="71"/>
        <item x="67"/>
        <item x="70"/>
        <item x="69"/>
        <item x="29"/>
        <item x="28"/>
        <item x="25"/>
        <item x="33"/>
        <item x="31"/>
        <item x="76"/>
        <item x="26"/>
        <item x="75"/>
        <item x="107"/>
        <item x="6"/>
        <item x="12"/>
        <item x="42"/>
        <item x="30"/>
        <item x="32"/>
        <item x="81"/>
        <item x="5"/>
        <item x="13"/>
        <item x="108"/>
        <item x="109"/>
        <item x="116"/>
        <item x="102"/>
        <item x="4"/>
        <item x="47"/>
        <item x="114"/>
        <item x="68"/>
        <item x="74"/>
        <item x="77"/>
        <item x="27"/>
        <item x="20"/>
        <item x="39"/>
        <item x="40"/>
        <item x="8"/>
        <item x="9"/>
        <item x="14"/>
        <item x="15"/>
        <item x="44"/>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2"/>
        <item x="1"/>
        <item x="0"/>
        <item h="1" x="4"/>
        <item h="1" x="3"/>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3"/>
        <item x="2"/>
        <item x="1"/>
        <item x="6"/>
        <item x="5"/>
        <item x="4"/>
      </items>
    </pivotField>
    <pivotField compact="0" outline="0" showAll="0"/>
    <pivotField compact="0" outline="0" showAll="0"/>
    <pivotField compact="0" numFmtId="15" outline="0" showAll="0"/>
    <pivotField compact="0" outline="0" showAll="0"/>
    <pivotField compact="0" outline="0" showAll="0" defaultSubtotal="0">
      <items count="7">
        <item x="1"/>
        <item x="6"/>
        <item x="2"/>
        <item x="5"/>
        <item x="0"/>
        <item x="4"/>
        <item x="3"/>
      </items>
    </pivotField>
    <pivotField dataField="1"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5"/>
    <field x="11"/>
    <field x="12"/>
  </rowFields>
  <rowItems count="26">
    <i>
      <x v="5"/>
      <x v="4"/>
      <x v="15"/>
    </i>
    <i r="1">
      <x v="44"/>
      <x v="17"/>
    </i>
    <i r="1">
      <x v="56"/>
      <x v="16"/>
    </i>
    <i r="1">
      <x v="87"/>
      <x v="18"/>
    </i>
    <i t="default">
      <x v="5"/>
    </i>
    <i>
      <x v="8"/>
      <x v="10"/>
      <x v="38"/>
    </i>
    <i r="1">
      <x v="13"/>
      <x v="102"/>
    </i>
    <i r="1">
      <x v="14"/>
      <x v="112"/>
    </i>
    <i r="1">
      <x v="15"/>
      <x v="113"/>
    </i>
    <i r="1">
      <x v="24"/>
      <x v="40"/>
    </i>
    <i r="1">
      <x v="25"/>
      <x v="96"/>
    </i>
    <i r="1">
      <x v="38"/>
      <x v="41"/>
    </i>
    <i r="1">
      <x v="50"/>
      <x v="91"/>
    </i>
    <i r="1">
      <x v="60"/>
      <x v="97"/>
    </i>
    <i r="1">
      <x v="61"/>
      <x v="114"/>
    </i>
    <i r="1">
      <x v="62"/>
      <x v="115"/>
    </i>
    <i r="1">
      <x v="80"/>
      <x v="44"/>
    </i>
    <i r="1">
      <x v="95"/>
      <x v="45"/>
    </i>
    <i r="1">
      <x v="102"/>
      <x v="47"/>
    </i>
    <i r="1">
      <x v="103"/>
      <x v="90"/>
    </i>
    <i r="1">
      <x v="105"/>
      <x v="57"/>
    </i>
    <i t="default">
      <x v="8"/>
    </i>
    <i>
      <x v="9"/>
      <x v="35"/>
      <x v="12"/>
    </i>
    <i r="1">
      <x v="91"/>
      <x v="13"/>
    </i>
    <i t="default">
      <x v="9"/>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4" baseField="0" baseItem="0"/>
  </dataFields>
  <formats count="110">
    <format dxfId="639">
      <pivotArea dataOnly="0" outline="0" fieldPosition="0">
        <references count="1">
          <reference field="5" count="0" defaultSubtotal="1"/>
        </references>
      </pivotArea>
    </format>
    <format dxfId="638">
      <pivotArea outline="0" fieldPosition="0">
        <references count="1">
          <reference field="4294967294" count="1">
            <x v="1"/>
          </reference>
        </references>
      </pivotArea>
    </format>
    <format dxfId="637">
      <pivotArea field="5" type="button" dataOnly="0" labelOnly="1" outline="0" axis="axisRow" fieldPosition="0"/>
    </format>
    <format dxfId="636">
      <pivotArea field="28" type="button" dataOnly="0" labelOnly="1" outline="0"/>
    </format>
    <format dxfId="635">
      <pivotArea field="27" type="button" dataOnly="0" labelOnly="1" outline="0"/>
    </format>
    <format dxfId="634">
      <pivotArea field="11" type="button" dataOnly="0" labelOnly="1" outline="0" axis="axisRow" fieldPosition="1"/>
    </format>
    <format dxfId="633">
      <pivotArea dataOnly="0" labelOnly="1" outline="0" axis="axisValues" fieldPosition="0"/>
    </format>
    <format dxfId="632">
      <pivotArea dataOnly="0" labelOnly="1" outline="0" fieldPosition="0">
        <references count="1">
          <reference field="5" count="1">
            <x v="5"/>
          </reference>
        </references>
      </pivotArea>
    </format>
    <format dxfId="631">
      <pivotArea outline="0" collapsedLevelsAreSubtotals="1" fieldPosition="0">
        <references count="1">
          <reference field="5" count="1" selected="0" defaultSubtotal="1">
            <x v="5"/>
          </reference>
        </references>
      </pivotArea>
    </format>
    <format dxfId="630">
      <pivotArea dataOnly="0" labelOnly="1" outline="0" fieldPosition="0">
        <references count="1">
          <reference field="5" count="1" defaultSubtotal="1">
            <x v="5"/>
          </reference>
        </references>
      </pivotArea>
    </format>
    <format dxfId="629">
      <pivotArea dataOnly="0" labelOnly="1" outline="0" fieldPosition="0">
        <references count="1">
          <reference field="5" count="1">
            <x v="8"/>
          </reference>
        </references>
      </pivotArea>
    </format>
    <format dxfId="628">
      <pivotArea outline="0" collapsedLevelsAreSubtotals="1" fieldPosition="0">
        <references count="1">
          <reference field="5" count="1" selected="0" defaultSubtotal="1">
            <x v="8"/>
          </reference>
        </references>
      </pivotArea>
    </format>
    <format dxfId="627">
      <pivotArea dataOnly="0" labelOnly="1" outline="0" fieldPosition="0">
        <references count="1">
          <reference field="5" count="1" defaultSubtotal="1">
            <x v="8"/>
          </reference>
        </references>
      </pivotArea>
    </format>
    <format dxfId="626">
      <pivotArea grandRow="1" outline="0" collapsedLevelsAreSubtotals="1" fieldPosition="0"/>
    </format>
    <format dxfId="625">
      <pivotArea dataOnly="0" labelOnly="1" grandRow="1" outline="0" fieldPosition="0"/>
    </format>
    <format dxfId="624">
      <pivotArea type="all" dataOnly="0" outline="0" fieldPosition="0"/>
    </format>
    <format dxfId="623">
      <pivotArea dataOnly="0" labelOnly="1" outline="0" fieldPosition="0">
        <references count="1">
          <reference field="11" count="0"/>
        </references>
      </pivotArea>
    </format>
    <format dxfId="622">
      <pivotArea dataOnly="0" labelOnly="1" outline="0" fieldPosition="0">
        <references count="1">
          <reference field="5" count="0"/>
        </references>
      </pivotArea>
    </format>
    <format dxfId="621">
      <pivotArea dataOnly="0" labelOnly="1" outline="0" fieldPosition="0">
        <references count="1">
          <reference field="5" count="1" defaultSubtotal="1">
            <x v="5"/>
          </reference>
        </references>
      </pivotArea>
    </format>
    <format dxfId="620">
      <pivotArea field="33" type="button" dataOnly="0" labelOnly="1" outline="0"/>
    </format>
    <format dxfId="619">
      <pivotArea field="11" type="button" dataOnly="0" labelOnly="1" outline="0" axis="axisRow" fieldPosition="1"/>
    </format>
    <format dxfId="618">
      <pivotArea field="12" type="button" dataOnly="0" labelOnly="1" outline="0" axis="axisRow" fieldPosition="2"/>
    </format>
    <format dxfId="617">
      <pivotArea outline="0" collapsedLevelsAreSubtotals="1" fieldPosition="0">
        <references count="1">
          <reference field="4294967294" count="1" selected="0">
            <x v="1"/>
          </reference>
        </references>
      </pivotArea>
    </format>
    <format dxfId="616">
      <pivotArea dataOnly="0" labelOnly="1" outline="0" fieldPosition="0">
        <references count="1">
          <reference field="4294967294" count="1">
            <x v="1"/>
          </reference>
        </references>
      </pivotArea>
    </format>
    <format dxfId="615">
      <pivotArea outline="0" collapsedLevelsAreSubtotals="1" fieldPosition="0">
        <references count="1">
          <reference field="4294967294" count="1" selected="0">
            <x v="1"/>
          </reference>
        </references>
      </pivotArea>
    </format>
    <format dxfId="614">
      <pivotArea dataOnly="0" labelOnly="1" outline="0" fieldPosition="0">
        <references count="1">
          <reference field="4294967294" count="1">
            <x v="1"/>
          </reference>
        </references>
      </pivotArea>
    </format>
    <format dxfId="613">
      <pivotArea dataOnly="0" labelOnly="1" outline="0" fieldPosition="0">
        <references count="1">
          <reference field="5" count="1" defaultSubtotal="1">
            <x v="5"/>
          </reference>
        </references>
      </pivotArea>
    </format>
    <format dxfId="612">
      <pivotArea outline="0" collapsedLevelsAreSubtotals="1" fieldPosition="0">
        <references count="1">
          <reference field="5" count="1" selected="0" defaultSubtotal="1">
            <x v="5"/>
          </reference>
        </references>
      </pivotArea>
    </format>
    <format dxfId="611">
      <pivotArea dataOnly="0" labelOnly="1" outline="0" fieldPosition="0">
        <references count="1">
          <reference field="5" count="1" defaultSubtotal="1">
            <x v="8"/>
          </reference>
        </references>
      </pivotArea>
    </format>
    <format dxfId="610">
      <pivotArea dataOnly="0" labelOnly="1" grandRow="1" outline="0" fieldPosition="0"/>
    </format>
    <format dxfId="609">
      <pivotArea outline="0" collapsedLevelsAreSubtotals="1" fieldPosition="0">
        <references count="4">
          <reference field="4294967294" count="1" selected="0">
            <x v="3"/>
          </reference>
          <reference field="5" count="1" selected="0">
            <x v="8"/>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s>
      </pivotArea>
    </format>
    <format dxfId="608">
      <pivotArea outline="0" collapsedLevelsAreSubtotals="1" fieldPosition="0">
        <references count="2">
          <reference field="4294967294" count="1" selected="0">
            <x v="3"/>
          </reference>
          <reference field="5" count="1" selected="0" defaultSubtotal="1">
            <x v="5"/>
          </reference>
        </references>
      </pivotArea>
    </format>
    <format dxfId="607">
      <pivotArea outline="0" collapsedLevelsAreSubtotals="1" fieldPosition="0">
        <references count="2">
          <reference field="4294967294" count="1" selected="0">
            <x v="3"/>
          </reference>
          <reference field="5" count="1" selected="0" defaultSubtotal="1">
            <x v="8"/>
          </reference>
        </references>
      </pivotArea>
    </format>
    <format dxfId="606">
      <pivotArea field="5" grandRow="1" outline="0" collapsedLevelsAreSubtotals="1" axis="axisRow" fieldPosition="0">
        <references count="1">
          <reference field="4294967294" count="1" selected="0">
            <x v="3"/>
          </reference>
        </references>
      </pivotArea>
    </format>
    <format dxfId="605">
      <pivotArea outline="0" collapsedLevelsAreSubtotals="1" fieldPosition="0">
        <references count="4">
          <reference field="4294967294" count="1" selected="0">
            <x v="3"/>
          </reference>
          <reference field="5" count="1" selected="0">
            <x v="5"/>
          </reference>
          <reference field="11" count="5" selected="0">
            <x v="4"/>
            <x v="9"/>
            <x v="44"/>
            <x v="56"/>
            <x v="87"/>
          </reference>
          <reference field="12" count="5" selected="0">
            <x v="14"/>
            <x v="15"/>
            <x v="16"/>
            <x v="17"/>
            <x v="18"/>
          </reference>
        </references>
      </pivotArea>
    </format>
    <format dxfId="604">
      <pivotArea outline="0" collapsedLevelsAreSubtotals="1" fieldPosition="0">
        <references count="3">
          <reference field="5" count="1" selected="0">
            <x v="8"/>
          </reference>
          <reference field="11" count="20" selected="0">
            <x v="10"/>
            <x v="13"/>
            <x v="14"/>
            <x v="15"/>
            <x v="24"/>
            <x v="25"/>
            <x v="38"/>
            <x v="50"/>
            <x v="60"/>
            <x v="61"/>
            <x v="62"/>
            <x v="78"/>
            <x v="79"/>
            <x v="80"/>
            <x v="82"/>
            <x v="83"/>
            <x v="95"/>
            <x v="102"/>
            <x v="103"/>
            <x v="105"/>
          </reference>
          <reference field="12" count="20" selected="0">
            <x v="38"/>
            <x v="40"/>
            <x v="41"/>
            <x v="44"/>
            <x v="45"/>
            <x v="47"/>
            <x v="55"/>
            <x v="57"/>
            <x v="90"/>
            <x v="91"/>
            <x v="92"/>
            <x v="96"/>
            <x v="97"/>
            <x v="102"/>
            <x v="110"/>
            <x v="111"/>
            <x v="112"/>
            <x v="113"/>
            <x v="114"/>
            <x v="115"/>
          </reference>
        </references>
      </pivotArea>
    </format>
    <format dxfId="603">
      <pivotArea dataOnly="0" labelOnly="1" outline="0" fieldPosition="0">
        <references count="2">
          <reference field="5" count="1" selected="0">
            <x v="8"/>
          </reference>
          <reference field="11" count="20">
            <x v="10"/>
            <x v="13"/>
            <x v="14"/>
            <x v="15"/>
            <x v="24"/>
            <x v="25"/>
            <x v="38"/>
            <x v="50"/>
            <x v="60"/>
            <x v="61"/>
            <x v="62"/>
            <x v="78"/>
            <x v="79"/>
            <x v="80"/>
            <x v="82"/>
            <x v="83"/>
            <x v="95"/>
            <x v="102"/>
            <x v="103"/>
            <x v="105"/>
          </reference>
        </references>
      </pivotArea>
    </format>
    <format dxfId="602">
      <pivotArea dataOnly="0" labelOnly="1" outline="0" fieldPosition="0">
        <references count="3">
          <reference field="5" count="1" selected="0">
            <x v="8"/>
          </reference>
          <reference field="11" count="1" selected="0">
            <x v="78"/>
          </reference>
          <reference field="12" count="1">
            <x v="110"/>
          </reference>
        </references>
      </pivotArea>
    </format>
    <format dxfId="601">
      <pivotArea dataOnly="0" labelOnly="1" outline="0" fieldPosition="0">
        <references count="3">
          <reference field="5" count="1" selected="0">
            <x v="8"/>
          </reference>
          <reference field="11" count="1" selected="0">
            <x v="79"/>
          </reference>
          <reference field="12" count="1">
            <x v="111"/>
          </reference>
        </references>
      </pivotArea>
    </format>
    <format dxfId="600">
      <pivotArea dataOnly="0" labelOnly="1" outline="0" fieldPosition="0">
        <references count="3">
          <reference field="5" count="1" selected="0">
            <x v="8"/>
          </reference>
          <reference field="11" count="1" selected="0">
            <x v="82"/>
          </reference>
          <reference field="12" count="1">
            <x v="55"/>
          </reference>
        </references>
      </pivotArea>
    </format>
    <format dxfId="599">
      <pivotArea dataOnly="0" labelOnly="1" outline="0" fieldPosition="0">
        <references count="3">
          <reference field="5" count="1" selected="0">
            <x v="8"/>
          </reference>
          <reference field="11" count="1" selected="0">
            <x v="83"/>
          </reference>
          <reference field="12" count="1">
            <x v="92"/>
          </reference>
        </references>
      </pivotArea>
    </format>
    <format dxfId="598">
      <pivotArea outline="0" collapsedLevelsAreSubtotals="1" fieldPosition="0">
        <references count="3">
          <reference field="5" count="1" selected="0">
            <x v="9"/>
          </reference>
          <reference field="11" count="2" selected="0">
            <x v="35"/>
            <x v="91"/>
          </reference>
          <reference field="12" count="2" selected="0">
            <x v="12"/>
            <x v="13"/>
          </reference>
        </references>
      </pivotArea>
    </format>
    <format dxfId="597">
      <pivotArea outline="0" collapsedLevelsAreSubtotals="1" fieldPosition="0">
        <references count="1">
          <reference field="5" count="1" selected="0" defaultSubtotal="1">
            <x v="9"/>
          </reference>
        </references>
      </pivotArea>
    </format>
    <format dxfId="596">
      <pivotArea outline="0" collapsedLevelsAreSubtotals="1" fieldPosition="0">
        <references count="3">
          <reference field="5" count="1" selected="0">
            <x v="5"/>
          </reference>
          <reference field="11" count="5" selected="0">
            <x v="4"/>
            <x v="9"/>
            <x v="44"/>
            <x v="56"/>
            <x v="87"/>
          </reference>
          <reference field="12" count="5" selected="0">
            <x v="14"/>
            <x v="15"/>
            <x v="16"/>
            <x v="17"/>
            <x v="18"/>
          </reference>
        </references>
      </pivotArea>
    </format>
    <format dxfId="595">
      <pivotArea dataOnly="0" labelOnly="1" outline="0" fieldPosition="0">
        <references count="2">
          <reference field="5" count="1" selected="0">
            <x v="5"/>
          </reference>
          <reference field="11" count="5">
            <x v="4"/>
            <x v="9"/>
            <x v="44"/>
            <x v="56"/>
            <x v="87"/>
          </reference>
        </references>
      </pivotArea>
    </format>
    <format dxfId="594">
      <pivotArea dataOnly="0" labelOnly="1" outline="0" fieldPosition="0">
        <references count="3">
          <reference field="5" count="1" selected="0">
            <x v="5"/>
          </reference>
          <reference field="11" count="1" selected="0">
            <x v="9"/>
          </reference>
          <reference field="12" count="1">
            <x v="14"/>
          </reference>
        </references>
      </pivotArea>
    </format>
    <format dxfId="593">
      <pivotArea outline="0" collapsedLevelsAreSubtotals="1" fieldPosition="0">
        <references count="4">
          <reference field="4294967294" count="1" selected="0">
            <x v="3"/>
          </reference>
          <reference field="5" count="1" selected="0">
            <x v="9"/>
          </reference>
          <reference field="11" count="2" selected="0">
            <x v="35"/>
            <x v="91"/>
          </reference>
          <reference field="12" count="2" selected="0">
            <x v="12"/>
            <x v="13"/>
          </reference>
        </references>
      </pivotArea>
    </format>
    <format dxfId="592">
      <pivotArea outline="0" collapsedLevelsAreSubtotals="1" fieldPosition="0">
        <references count="2">
          <reference field="4294967294" count="1" selected="0">
            <x v="3"/>
          </reference>
          <reference field="5" count="1" selected="0" defaultSubtotal="1">
            <x v="9"/>
          </reference>
        </references>
      </pivotArea>
    </format>
    <format dxfId="591">
      <pivotArea type="all" dataOnly="0" outline="0" fieldPosition="0"/>
    </format>
    <format dxfId="590">
      <pivotArea outline="0" collapsedLevelsAreSubtotals="1" fieldPosition="0"/>
    </format>
    <format dxfId="589">
      <pivotArea dataOnly="0" labelOnly="1" outline="0" fieldPosition="0">
        <references count="1">
          <reference field="5" count="0"/>
        </references>
      </pivotArea>
    </format>
    <format dxfId="588">
      <pivotArea dataOnly="0" labelOnly="1" outline="0" fieldPosition="0">
        <references count="1">
          <reference field="5" count="0" defaultSubtotal="1"/>
        </references>
      </pivotArea>
    </format>
    <format dxfId="587">
      <pivotArea dataOnly="0" labelOnly="1" grandRow="1" outline="0" fieldPosition="0"/>
    </format>
    <format dxfId="586">
      <pivotArea dataOnly="0" labelOnly="1" outline="0" fieldPosition="0">
        <references count="2">
          <reference field="5" count="1" selected="0">
            <x v="5"/>
          </reference>
          <reference field="11" count="4">
            <x v="4"/>
            <x v="44"/>
            <x v="56"/>
            <x v="87"/>
          </reference>
        </references>
      </pivotArea>
    </format>
    <format dxfId="585">
      <pivotArea dataOnly="0" labelOnly="1" outline="0" fieldPosition="0">
        <references count="2">
          <reference field="5" count="1" selected="0">
            <x v="8"/>
          </reference>
          <reference field="11" count="16">
            <x v="10"/>
            <x v="13"/>
            <x v="14"/>
            <x v="15"/>
            <x v="24"/>
            <x v="25"/>
            <x v="38"/>
            <x v="50"/>
            <x v="60"/>
            <x v="61"/>
            <x v="62"/>
            <x v="80"/>
            <x v="95"/>
            <x v="102"/>
            <x v="103"/>
            <x v="105"/>
          </reference>
        </references>
      </pivotArea>
    </format>
    <format dxfId="584">
      <pivotArea dataOnly="0" labelOnly="1" outline="0" fieldPosition="0">
        <references count="2">
          <reference field="5" count="1" selected="0">
            <x v="9"/>
          </reference>
          <reference field="11" count="2">
            <x v="35"/>
            <x v="91"/>
          </reference>
        </references>
      </pivotArea>
    </format>
    <format dxfId="583">
      <pivotArea dataOnly="0" labelOnly="1" outline="0" fieldPosition="0">
        <references count="3">
          <reference field="5" count="1" selected="0">
            <x v="5"/>
          </reference>
          <reference field="11" count="1" selected="0">
            <x v="4"/>
          </reference>
          <reference field="12" count="1">
            <x v="15"/>
          </reference>
        </references>
      </pivotArea>
    </format>
    <format dxfId="582">
      <pivotArea dataOnly="0" labelOnly="1" outline="0" fieldPosition="0">
        <references count="3">
          <reference field="5" count="1" selected="0">
            <x v="5"/>
          </reference>
          <reference field="11" count="1" selected="0">
            <x v="44"/>
          </reference>
          <reference field="12" count="1">
            <x v="17"/>
          </reference>
        </references>
      </pivotArea>
    </format>
    <format dxfId="581">
      <pivotArea dataOnly="0" labelOnly="1" outline="0" fieldPosition="0">
        <references count="3">
          <reference field="5" count="1" selected="0">
            <x v="5"/>
          </reference>
          <reference field="11" count="1" selected="0">
            <x v="56"/>
          </reference>
          <reference field="12" count="1">
            <x v="16"/>
          </reference>
        </references>
      </pivotArea>
    </format>
    <format dxfId="580">
      <pivotArea dataOnly="0" labelOnly="1" outline="0" fieldPosition="0">
        <references count="3">
          <reference field="5" count="1" selected="0">
            <x v="5"/>
          </reference>
          <reference field="11" count="1" selected="0">
            <x v="87"/>
          </reference>
          <reference field="12" count="1">
            <x v="18"/>
          </reference>
        </references>
      </pivotArea>
    </format>
    <format dxfId="579">
      <pivotArea dataOnly="0" labelOnly="1" outline="0" fieldPosition="0">
        <references count="3">
          <reference field="5" count="1" selected="0">
            <x v="8"/>
          </reference>
          <reference field="11" count="1" selected="0">
            <x v="10"/>
          </reference>
          <reference field="12" count="1">
            <x v="38"/>
          </reference>
        </references>
      </pivotArea>
    </format>
    <format dxfId="578">
      <pivotArea dataOnly="0" labelOnly="1" outline="0" fieldPosition="0">
        <references count="3">
          <reference field="5" count="1" selected="0">
            <x v="8"/>
          </reference>
          <reference field="11" count="1" selected="0">
            <x v="13"/>
          </reference>
          <reference field="12" count="1">
            <x v="102"/>
          </reference>
        </references>
      </pivotArea>
    </format>
    <format dxfId="577">
      <pivotArea dataOnly="0" labelOnly="1" outline="0" fieldPosition="0">
        <references count="3">
          <reference field="5" count="1" selected="0">
            <x v="8"/>
          </reference>
          <reference field="11" count="1" selected="0">
            <x v="14"/>
          </reference>
          <reference field="12" count="1">
            <x v="112"/>
          </reference>
        </references>
      </pivotArea>
    </format>
    <format dxfId="576">
      <pivotArea dataOnly="0" labelOnly="1" outline="0" fieldPosition="0">
        <references count="3">
          <reference field="5" count="1" selected="0">
            <x v="8"/>
          </reference>
          <reference field="11" count="1" selected="0">
            <x v="15"/>
          </reference>
          <reference field="12" count="1">
            <x v="113"/>
          </reference>
        </references>
      </pivotArea>
    </format>
    <format dxfId="575">
      <pivotArea dataOnly="0" labelOnly="1" outline="0" fieldPosition="0">
        <references count="3">
          <reference field="5" count="1" selected="0">
            <x v="8"/>
          </reference>
          <reference field="11" count="1" selected="0">
            <x v="24"/>
          </reference>
          <reference field="12" count="1">
            <x v="40"/>
          </reference>
        </references>
      </pivotArea>
    </format>
    <format dxfId="574">
      <pivotArea dataOnly="0" labelOnly="1" outline="0" fieldPosition="0">
        <references count="3">
          <reference field="5" count="1" selected="0">
            <x v="8"/>
          </reference>
          <reference field="11" count="1" selected="0">
            <x v="25"/>
          </reference>
          <reference field="12" count="1">
            <x v="96"/>
          </reference>
        </references>
      </pivotArea>
    </format>
    <format dxfId="573">
      <pivotArea dataOnly="0" labelOnly="1" outline="0" fieldPosition="0">
        <references count="3">
          <reference field="5" count="1" selected="0">
            <x v="8"/>
          </reference>
          <reference field="11" count="1" selected="0">
            <x v="38"/>
          </reference>
          <reference field="12" count="1">
            <x v="41"/>
          </reference>
        </references>
      </pivotArea>
    </format>
    <format dxfId="572">
      <pivotArea dataOnly="0" labelOnly="1" outline="0" fieldPosition="0">
        <references count="3">
          <reference field="5" count="1" selected="0">
            <x v="8"/>
          </reference>
          <reference field="11" count="1" selected="0">
            <x v="50"/>
          </reference>
          <reference field="12" count="1">
            <x v="91"/>
          </reference>
        </references>
      </pivotArea>
    </format>
    <format dxfId="571">
      <pivotArea dataOnly="0" labelOnly="1" outline="0" fieldPosition="0">
        <references count="3">
          <reference field="5" count="1" selected="0">
            <x v="8"/>
          </reference>
          <reference field="11" count="1" selected="0">
            <x v="60"/>
          </reference>
          <reference field="12" count="1">
            <x v="97"/>
          </reference>
        </references>
      </pivotArea>
    </format>
    <format dxfId="570">
      <pivotArea dataOnly="0" labelOnly="1" outline="0" fieldPosition="0">
        <references count="3">
          <reference field="5" count="1" selected="0">
            <x v="8"/>
          </reference>
          <reference field="11" count="1" selected="0">
            <x v="61"/>
          </reference>
          <reference field="12" count="1">
            <x v="114"/>
          </reference>
        </references>
      </pivotArea>
    </format>
    <format dxfId="569">
      <pivotArea dataOnly="0" labelOnly="1" outline="0" fieldPosition="0">
        <references count="3">
          <reference field="5" count="1" selected="0">
            <x v="8"/>
          </reference>
          <reference field="11" count="1" selected="0">
            <x v="62"/>
          </reference>
          <reference field="12" count="1">
            <x v="115"/>
          </reference>
        </references>
      </pivotArea>
    </format>
    <format dxfId="568">
      <pivotArea dataOnly="0" labelOnly="1" outline="0" fieldPosition="0">
        <references count="3">
          <reference field="5" count="1" selected="0">
            <x v="8"/>
          </reference>
          <reference field="11" count="1" selected="0">
            <x v="80"/>
          </reference>
          <reference field="12" count="1">
            <x v="44"/>
          </reference>
        </references>
      </pivotArea>
    </format>
    <format dxfId="567">
      <pivotArea dataOnly="0" labelOnly="1" outline="0" fieldPosition="0">
        <references count="3">
          <reference field="5" count="1" selected="0">
            <x v="8"/>
          </reference>
          <reference field="11" count="1" selected="0">
            <x v="95"/>
          </reference>
          <reference field="12" count="1">
            <x v="45"/>
          </reference>
        </references>
      </pivotArea>
    </format>
    <format dxfId="566">
      <pivotArea dataOnly="0" labelOnly="1" outline="0" fieldPosition="0">
        <references count="3">
          <reference field="5" count="1" selected="0">
            <x v="8"/>
          </reference>
          <reference field="11" count="1" selected="0">
            <x v="102"/>
          </reference>
          <reference field="12" count="1">
            <x v="47"/>
          </reference>
        </references>
      </pivotArea>
    </format>
    <format dxfId="565">
      <pivotArea dataOnly="0" labelOnly="1" outline="0" fieldPosition="0">
        <references count="3">
          <reference field="5" count="1" selected="0">
            <x v="8"/>
          </reference>
          <reference field="11" count="1" selected="0">
            <x v="103"/>
          </reference>
          <reference field="12" count="1">
            <x v="90"/>
          </reference>
        </references>
      </pivotArea>
    </format>
    <format dxfId="564">
      <pivotArea dataOnly="0" labelOnly="1" outline="0" fieldPosition="0">
        <references count="3">
          <reference field="5" count="1" selected="0">
            <x v="8"/>
          </reference>
          <reference field="11" count="1" selected="0">
            <x v="105"/>
          </reference>
          <reference field="12" count="1">
            <x v="57"/>
          </reference>
        </references>
      </pivotArea>
    </format>
    <format dxfId="563">
      <pivotArea dataOnly="0" labelOnly="1" outline="0" fieldPosition="0">
        <references count="3">
          <reference field="5" count="1" selected="0">
            <x v="9"/>
          </reference>
          <reference field="11" count="1" selected="0">
            <x v="35"/>
          </reference>
          <reference field="12" count="1">
            <x v="12"/>
          </reference>
        </references>
      </pivotArea>
    </format>
    <format dxfId="562">
      <pivotArea dataOnly="0" labelOnly="1" outline="0" fieldPosition="0">
        <references count="3">
          <reference field="5" count="1" selected="0">
            <x v="9"/>
          </reference>
          <reference field="11" count="1" selected="0">
            <x v="91"/>
          </reference>
          <reference field="12" count="1">
            <x v="13"/>
          </reference>
        </references>
      </pivotArea>
    </format>
    <format dxfId="561">
      <pivotArea dataOnly="0" labelOnly="1" outline="0" fieldPosition="0">
        <references count="1">
          <reference field="4294967294" count="4">
            <x v="0"/>
            <x v="1"/>
            <x v="2"/>
            <x v="3"/>
          </reference>
        </references>
      </pivotArea>
    </format>
    <format dxfId="560">
      <pivotArea type="all" dataOnly="0" outline="0" fieldPosition="0"/>
    </format>
    <format dxfId="559">
      <pivotArea outline="0" collapsedLevelsAreSubtotals="1" fieldPosition="0"/>
    </format>
    <format dxfId="558">
      <pivotArea dataOnly="0" labelOnly="1" outline="0" fieldPosition="0">
        <references count="1">
          <reference field="5" count="0"/>
        </references>
      </pivotArea>
    </format>
    <format dxfId="557">
      <pivotArea dataOnly="0" labelOnly="1" outline="0" fieldPosition="0">
        <references count="1">
          <reference field="5" count="0" defaultSubtotal="1"/>
        </references>
      </pivotArea>
    </format>
    <format dxfId="556">
      <pivotArea dataOnly="0" labelOnly="1" grandRow="1" outline="0" fieldPosition="0"/>
    </format>
    <format dxfId="555">
      <pivotArea dataOnly="0" labelOnly="1" outline="0" fieldPosition="0">
        <references count="2">
          <reference field="5" count="1" selected="0">
            <x v="5"/>
          </reference>
          <reference field="11" count="4">
            <x v="4"/>
            <x v="44"/>
            <x v="56"/>
            <x v="87"/>
          </reference>
        </references>
      </pivotArea>
    </format>
    <format dxfId="554">
      <pivotArea dataOnly="0" labelOnly="1" outline="0" fieldPosition="0">
        <references count="2">
          <reference field="5" count="1" selected="0">
            <x v="8"/>
          </reference>
          <reference field="11" count="16">
            <x v="10"/>
            <x v="13"/>
            <x v="14"/>
            <x v="15"/>
            <x v="24"/>
            <x v="25"/>
            <x v="38"/>
            <x v="50"/>
            <x v="60"/>
            <x v="61"/>
            <x v="62"/>
            <x v="80"/>
            <x v="95"/>
            <x v="102"/>
            <x v="103"/>
            <x v="105"/>
          </reference>
        </references>
      </pivotArea>
    </format>
    <format dxfId="553">
      <pivotArea dataOnly="0" labelOnly="1" outline="0" fieldPosition="0">
        <references count="2">
          <reference field="5" count="1" selected="0">
            <x v="9"/>
          </reference>
          <reference field="11" count="2">
            <x v="35"/>
            <x v="91"/>
          </reference>
        </references>
      </pivotArea>
    </format>
    <format dxfId="552">
      <pivotArea dataOnly="0" labelOnly="1" outline="0" fieldPosition="0">
        <references count="3">
          <reference field="5" count="1" selected="0">
            <x v="5"/>
          </reference>
          <reference field="11" count="1" selected="0">
            <x v="4"/>
          </reference>
          <reference field="12" count="1">
            <x v="15"/>
          </reference>
        </references>
      </pivotArea>
    </format>
    <format dxfId="551">
      <pivotArea dataOnly="0" labelOnly="1" outline="0" fieldPosition="0">
        <references count="3">
          <reference field="5" count="1" selected="0">
            <x v="5"/>
          </reference>
          <reference field="11" count="1" selected="0">
            <x v="44"/>
          </reference>
          <reference field="12" count="1">
            <x v="17"/>
          </reference>
        </references>
      </pivotArea>
    </format>
    <format dxfId="550">
      <pivotArea dataOnly="0" labelOnly="1" outline="0" fieldPosition="0">
        <references count="3">
          <reference field="5" count="1" selected="0">
            <x v="5"/>
          </reference>
          <reference field="11" count="1" selected="0">
            <x v="56"/>
          </reference>
          <reference field="12" count="1">
            <x v="16"/>
          </reference>
        </references>
      </pivotArea>
    </format>
    <format dxfId="549">
      <pivotArea dataOnly="0" labelOnly="1" outline="0" fieldPosition="0">
        <references count="3">
          <reference field="5" count="1" selected="0">
            <x v="5"/>
          </reference>
          <reference field="11" count="1" selected="0">
            <x v="87"/>
          </reference>
          <reference field="12" count="1">
            <x v="18"/>
          </reference>
        </references>
      </pivotArea>
    </format>
    <format dxfId="548">
      <pivotArea dataOnly="0" labelOnly="1" outline="0" fieldPosition="0">
        <references count="3">
          <reference field="5" count="1" selected="0">
            <x v="8"/>
          </reference>
          <reference field="11" count="1" selected="0">
            <x v="10"/>
          </reference>
          <reference field="12" count="1">
            <x v="38"/>
          </reference>
        </references>
      </pivotArea>
    </format>
    <format dxfId="547">
      <pivotArea dataOnly="0" labelOnly="1" outline="0" fieldPosition="0">
        <references count="3">
          <reference field="5" count="1" selected="0">
            <x v="8"/>
          </reference>
          <reference field="11" count="1" selected="0">
            <x v="13"/>
          </reference>
          <reference field="12" count="1">
            <x v="102"/>
          </reference>
        </references>
      </pivotArea>
    </format>
    <format dxfId="546">
      <pivotArea dataOnly="0" labelOnly="1" outline="0" fieldPosition="0">
        <references count="3">
          <reference field="5" count="1" selected="0">
            <x v="8"/>
          </reference>
          <reference field="11" count="1" selected="0">
            <x v="14"/>
          </reference>
          <reference field="12" count="1">
            <x v="112"/>
          </reference>
        </references>
      </pivotArea>
    </format>
    <format dxfId="545">
      <pivotArea dataOnly="0" labelOnly="1" outline="0" fieldPosition="0">
        <references count="3">
          <reference field="5" count="1" selected="0">
            <x v="8"/>
          </reference>
          <reference field="11" count="1" selected="0">
            <x v="15"/>
          </reference>
          <reference field="12" count="1">
            <x v="113"/>
          </reference>
        </references>
      </pivotArea>
    </format>
    <format dxfId="544">
      <pivotArea dataOnly="0" labelOnly="1" outline="0" fieldPosition="0">
        <references count="3">
          <reference field="5" count="1" selected="0">
            <x v="8"/>
          </reference>
          <reference field="11" count="1" selected="0">
            <x v="24"/>
          </reference>
          <reference field="12" count="1">
            <x v="40"/>
          </reference>
        </references>
      </pivotArea>
    </format>
    <format dxfId="543">
      <pivotArea dataOnly="0" labelOnly="1" outline="0" fieldPosition="0">
        <references count="3">
          <reference field="5" count="1" selected="0">
            <x v="8"/>
          </reference>
          <reference field="11" count="1" selected="0">
            <x v="25"/>
          </reference>
          <reference field="12" count="1">
            <x v="96"/>
          </reference>
        </references>
      </pivotArea>
    </format>
    <format dxfId="542">
      <pivotArea dataOnly="0" labelOnly="1" outline="0" fieldPosition="0">
        <references count="3">
          <reference field="5" count="1" selected="0">
            <x v="8"/>
          </reference>
          <reference field="11" count="1" selected="0">
            <x v="38"/>
          </reference>
          <reference field="12" count="1">
            <x v="41"/>
          </reference>
        </references>
      </pivotArea>
    </format>
    <format dxfId="541">
      <pivotArea dataOnly="0" labelOnly="1" outline="0" fieldPosition="0">
        <references count="3">
          <reference field="5" count="1" selected="0">
            <x v="8"/>
          </reference>
          <reference field="11" count="1" selected="0">
            <x v="50"/>
          </reference>
          <reference field="12" count="1">
            <x v="91"/>
          </reference>
        </references>
      </pivotArea>
    </format>
    <format dxfId="540">
      <pivotArea dataOnly="0" labelOnly="1" outline="0" fieldPosition="0">
        <references count="3">
          <reference field="5" count="1" selected="0">
            <x v="8"/>
          </reference>
          <reference field="11" count="1" selected="0">
            <x v="60"/>
          </reference>
          <reference field="12" count="1">
            <x v="97"/>
          </reference>
        </references>
      </pivotArea>
    </format>
    <format dxfId="539">
      <pivotArea dataOnly="0" labelOnly="1" outline="0" fieldPosition="0">
        <references count="3">
          <reference field="5" count="1" selected="0">
            <x v="8"/>
          </reference>
          <reference field="11" count="1" selected="0">
            <x v="61"/>
          </reference>
          <reference field="12" count="1">
            <x v="114"/>
          </reference>
        </references>
      </pivotArea>
    </format>
    <format dxfId="538">
      <pivotArea dataOnly="0" labelOnly="1" outline="0" fieldPosition="0">
        <references count="3">
          <reference field="5" count="1" selected="0">
            <x v="8"/>
          </reference>
          <reference field="11" count="1" selected="0">
            <x v="62"/>
          </reference>
          <reference field="12" count="1">
            <x v="115"/>
          </reference>
        </references>
      </pivotArea>
    </format>
    <format dxfId="537">
      <pivotArea dataOnly="0" labelOnly="1" outline="0" fieldPosition="0">
        <references count="3">
          <reference field="5" count="1" selected="0">
            <x v="8"/>
          </reference>
          <reference field="11" count="1" selected="0">
            <x v="80"/>
          </reference>
          <reference field="12" count="1">
            <x v="44"/>
          </reference>
        </references>
      </pivotArea>
    </format>
    <format dxfId="536">
      <pivotArea dataOnly="0" labelOnly="1" outline="0" fieldPosition="0">
        <references count="3">
          <reference field="5" count="1" selected="0">
            <x v="8"/>
          </reference>
          <reference field="11" count="1" selected="0">
            <x v="95"/>
          </reference>
          <reference field="12" count="1">
            <x v="45"/>
          </reference>
        </references>
      </pivotArea>
    </format>
    <format dxfId="535">
      <pivotArea dataOnly="0" labelOnly="1" outline="0" fieldPosition="0">
        <references count="3">
          <reference field="5" count="1" selected="0">
            <x v="8"/>
          </reference>
          <reference field="11" count="1" selected="0">
            <x v="102"/>
          </reference>
          <reference field="12" count="1">
            <x v="47"/>
          </reference>
        </references>
      </pivotArea>
    </format>
    <format dxfId="534">
      <pivotArea dataOnly="0" labelOnly="1" outline="0" fieldPosition="0">
        <references count="3">
          <reference field="5" count="1" selected="0">
            <x v="8"/>
          </reference>
          <reference field="11" count="1" selected="0">
            <x v="103"/>
          </reference>
          <reference field="12" count="1">
            <x v="90"/>
          </reference>
        </references>
      </pivotArea>
    </format>
    <format dxfId="533">
      <pivotArea dataOnly="0" labelOnly="1" outline="0" fieldPosition="0">
        <references count="3">
          <reference field="5" count="1" selected="0">
            <x v="8"/>
          </reference>
          <reference field="11" count="1" selected="0">
            <x v="105"/>
          </reference>
          <reference field="12" count="1">
            <x v="57"/>
          </reference>
        </references>
      </pivotArea>
    </format>
    <format dxfId="532">
      <pivotArea dataOnly="0" labelOnly="1" outline="0" fieldPosition="0">
        <references count="3">
          <reference field="5" count="1" selected="0">
            <x v="9"/>
          </reference>
          <reference field="11" count="1" selected="0">
            <x v="35"/>
          </reference>
          <reference field="12" count="1">
            <x v="12"/>
          </reference>
        </references>
      </pivotArea>
    </format>
    <format dxfId="531">
      <pivotArea dataOnly="0" labelOnly="1" outline="0" fieldPosition="0">
        <references count="3">
          <reference field="5" count="1" selected="0">
            <x v="9"/>
          </reference>
          <reference field="11" count="1" selected="0">
            <x v="91"/>
          </reference>
          <reference field="12" count="1">
            <x v="13"/>
          </reference>
        </references>
      </pivotArea>
    </format>
    <format dxfId="53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4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6">
    <pivotField axis="axisRow" compact="0" outline="0" showAll="0" defaultSubtotal="0">
      <items count="4">
        <item x="3"/>
        <item x="0"/>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3"/>
        <item x="2"/>
        <item x="69"/>
        <item x="87"/>
        <item x="11"/>
        <item x="46"/>
        <item x="70"/>
        <item x="20"/>
        <item x="71"/>
        <item x="35"/>
        <item x="38"/>
        <item x="76"/>
        <item x="88"/>
        <item x="63"/>
        <item x="104"/>
        <item x="89"/>
        <item x="12"/>
        <item x="72"/>
        <item x="105"/>
        <item x="80"/>
        <item x="90"/>
        <item x="28"/>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30"/>
        <item x="94"/>
        <item x="65"/>
        <item x="24"/>
        <item x="57"/>
        <item x="73"/>
        <item x="58"/>
        <item x="18"/>
        <item x="116"/>
        <item x="115"/>
        <item x="95"/>
        <item x="31"/>
        <item x="79"/>
        <item x="96"/>
        <item x="17"/>
        <item x="6"/>
        <item x="44"/>
        <item x="0"/>
        <item x="32"/>
        <item x="97"/>
        <item x="98"/>
        <item x="52"/>
        <item x="66"/>
        <item x="33"/>
        <item x="74"/>
        <item x="77"/>
      </items>
    </pivotField>
    <pivotField axis="axisRow" compact="0" outline="0" showAll="0" defaultSubtotal="0">
      <items count="117">
        <item x="54"/>
        <item x="57"/>
        <item x="56"/>
        <item x="78"/>
        <item x="58"/>
        <item x="53"/>
        <item x="79"/>
        <item x="55"/>
        <item x="51"/>
        <item x="52"/>
        <item x="80"/>
        <item x="43"/>
        <item x="2"/>
        <item x="24"/>
        <item x="45"/>
        <item x="23"/>
        <item x="37"/>
        <item x="38"/>
        <item x="36"/>
        <item x="63"/>
        <item x="65"/>
        <item x="59"/>
        <item x="34"/>
        <item x="48"/>
        <item x="60"/>
        <item x="62"/>
        <item x="61"/>
        <item x="66"/>
        <item x="64"/>
        <item x="46"/>
        <item x="50"/>
        <item x="49"/>
        <item x="19"/>
        <item x="21"/>
        <item x="35"/>
        <item x="3"/>
        <item x="22"/>
        <item x="1"/>
        <item x="7"/>
        <item x="99"/>
        <item x="10"/>
        <item x="11"/>
        <item x="106"/>
        <item x="110"/>
        <item x="16"/>
        <item x="18"/>
        <item x="115"/>
        <item x="17"/>
        <item x="103"/>
        <item x="113"/>
        <item x="111"/>
        <item x="112"/>
        <item x="104"/>
        <item x="105"/>
        <item x="100"/>
        <item x="41"/>
        <item x="101"/>
        <item x="0"/>
        <item x="83"/>
        <item x="84"/>
        <item x="86"/>
        <item x="88"/>
        <item x="90"/>
        <item x="91"/>
        <item x="92"/>
        <item x="94"/>
        <item x="96"/>
        <item x="93"/>
        <item x="82"/>
        <item x="95"/>
        <item x="87"/>
        <item x="89"/>
        <item x="85"/>
        <item x="98"/>
        <item x="97"/>
        <item x="72"/>
        <item x="73"/>
        <item x="71"/>
        <item x="67"/>
        <item x="70"/>
        <item x="69"/>
        <item x="29"/>
        <item x="28"/>
        <item x="25"/>
        <item x="33"/>
        <item x="31"/>
        <item x="76"/>
        <item x="26"/>
        <item x="75"/>
        <item x="107"/>
        <item x="6"/>
        <item x="12"/>
        <item x="42"/>
        <item x="30"/>
        <item x="32"/>
        <item x="81"/>
        <item x="5"/>
        <item x="13"/>
        <item x="108"/>
        <item x="109"/>
        <item x="116"/>
        <item x="102"/>
        <item x="4"/>
        <item x="47"/>
        <item x="114"/>
        <item x="68"/>
        <item x="74"/>
        <item x="77"/>
        <item x="27"/>
        <item x="20"/>
        <item x="39"/>
        <item x="40"/>
        <item x="8"/>
        <item x="9"/>
        <item x="14"/>
        <item x="15"/>
        <item x="44"/>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11"/>
    <field x="12"/>
    <field x="0"/>
  </rowFields>
  <rowItems count="118">
    <i>
      <x/>
      <x v="33"/>
      <x v="1"/>
    </i>
    <i>
      <x v="1"/>
      <x v="21"/>
      <x v="3"/>
    </i>
    <i>
      <x v="2"/>
      <x v="24"/>
      <x v="3"/>
    </i>
    <i>
      <x v="3"/>
      <x v="31"/>
      <x v="3"/>
    </i>
    <i>
      <x v="4"/>
      <x v="15"/>
      <x v="1"/>
    </i>
    <i>
      <x v="5"/>
      <x v="23"/>
      <x v="3"/>
    </i>
    <i>
      <x v="6"/>
      <x v="88"/>
      <x/>
    </i>
    <i>
      <x v="7"/>
      <x v="68"/>
      <x/>
    </i>
    <i>
      <x v="8"/>
      <x v="5"/>
      <x v="3"/>
    </i>
    <i>
      <x v="9"/>
      <x v="14"/>
      <x v="2"/>
    </i>
    <i>
      <x v="10"/>
      <x v="38"/>
      <x v="1"/>
    </i>
    <i>
      <x v="11"/>
      <x v="78"/>
      <x/>
    </i>
    <i>
      <x v="12"/>
      <x v="39"/>
      <x/>
    </i>
    <i>
      <x v="13"/>
      <x v="102"/>
      <x v="1"/>
    </i>
    <i>
      <x v="14"/>
      <x v="112"/>
      <x v="1"/>
    </i>
    <i>
      <x v="15"/>
      <x v="113"/>
      <x v="1"/>
    </i>
    <i>
      <x v="16"/>
      <x v="83"/>
      <x v="1"/>
    </i>
    <i>
      <x v="17"/>
      <x v="105"/>
      <x/>
    </i>
    <i>
      <x v="18"/>
      <x v="50"/>
      <x/>
    </i>
    <i>
      <x v="19"/>
      <x v="51"/>
      <x/>
    </i>
    <i>
      <x v="20"/>
      <x v="32"/>
      <x v="1"/>
    </i>
    <i>
      <x v="21"/>
      <x v="58"/>
      <x/>
    </i>
    <i>
      <x v="22"/>
      <x v="59"/>
      <x/>
    </i>
    <i>
      <x v="23"/>
      <x v="54"/>
      <x/>
    </i>
    <i>
      <x v="24"/>
      <x v="40"/>
      <x v="1"/>
    </i>
    <i>
      <x v="25"/>
      <x v="96"/>
      <x v="1"/>
    </i>
    <i>
      <x v="26"/>
      <x v="56"/>
      <x/>
    </i>
    <i>
      <x v="27"/>
      <x v="87"/>
      <x v="1"/>
    </i>
    <i>
      <x v="28"/>
      <x v="26"/>
      <x v="3"/>
    </i>
    <i>
      <x v="29"/>
      <x v="72"/>
      <x/>
    </i>
    <i>
      <x v="30"/>
      <x v="60"/>
      <x/>
    </i>
    <i>
      <x v="31"/>
      <x v="101"/>
      <x/>
    </i>
    <i>
      <x v="32"/>
      <x v="48"/>
      <x/>
    </i>
    <i>
      <x v="33"/>
      <x v="108"/>
      <x v="1"/>
    </i>
    <i>
      <x v="34"/>
      <x v="25"/>
      <x v="3"/>
    </i>
    <i>
      <x v="35"/>
      <x v="35"/>
      <x v="1"/>
    </i>
    <i>
      <x v="36"/>
      <x v="12"/>
      <x v="1"/>
    </i>
    <i>
      <x v="37"/>
      <x v="80"/>
      <x/>
    </i>
    <i>
      <x v="38"/>
      <x v="70"/>
      <x/>
    </i>
    <i>
      <x v="39"/>
      <x v="41"/>
      <x v="1"/>
    </i>
    <i>
      <x v="40"/>
      <x v="29"/>
      <x v="2"/>
    </i>
    <i>
      <x v="41"/>
      <x v="79"/>
      <x/>
    </i>
    <i>
      <x v="42"/>
      <x v="109"/>
      <x v="1"/>
    </i>
    <i>
      <x v="43"/>
      <x v="77"/>
      <x/>
    </i>
    <i>
      <x v="44"/>
      <x v="34"/>
      <x v="1"/>
    </i>
    <i>
      <x v="45"/>
      <x v="17"/>
      <x v="1"/>
    </i>
    <i>
      <x v="46"/>
      <x v="86"/>
      <x/>
    </i>
    <i>
      <x v="47"/>
      <x v="61"/>
      <x/>
    </i>
    <i>
      <x v="48"/>
      <x v="19"/>
      <x v="3"/>
    </i>
    <i>
      <x v="49"/>
      <x v="52"/>
      <x/>
    </i>
    <i>
      <x v="50"/>
      <x v="71"/>
      <x/>
    </i>
    <i>
      <x v="51"/>
      <x v="91"/>
      <x v="1"/>
    </i>
    <i>
      <x v="52"/>
      <x v="75"/>
      <x/>
    </i>
    <i>
      <x v="53"/>
      <x v="53"/>
      <x/>
    </i>
    <i>
      <x v="54"/>
      <x v="10"/>
      <x/>
    </i>
    <i>
      <x v="55"/>
      <x v="62"/>
      <x/>
    </i>
    <i>
      <x v="56"/>
      <x v="82"/>
      <x v="1"/>
    </i>
    <i>
      <x v="57"/>
      <x v="3"/>
      <x/>
    </i>
    <i>
      <x v="58"/>
      <x v="16"/>
      <x v="1"/>
    </i>
    <i r="2">
      <x v="2"/>
    </i>
    <i>
      <x v="59"/>
      <x v="22"/>
      <x v="1"/>
    </i>
    <i>
      <x v="60"/>
      <x v="30"/>
      <x v="3"/>
    </i>
    <i>
      <x v="61"/>
      <x v="81"/>
      <x v="1"/>
    </i>
    <i>
      <x v="62"/>
      <x v="97"/>
      <x v="1"/>
    </i>
    <i>
      <x v="63"/>
      <x v="114"/>
      <x v="1"/>
    </i>
    <i>
      <x v="64"/>
      <x v="115"/>
      <x v="1"/>
    </i>
    <i>
      <x v="65"/>
      <x v="42"/>
      <x/>
    </i>
    <i>
      <x v="66"/>
      <x v="89"/>
      <x/>
    </i>
    <i>
      <x v="67"/>
      <x v="98"/>
      <x/>
    </i>
    <i>
      <x v="68"/>
      <x v="99"/>
      <x/>
    </i>
    <i>
      <x v="69"/>
      <x v="49"/>
      <x/>
    </i>
    <i>
      <x v="70"/>
      <x v="8"/>
      <x v="3"/>
    </i>
    <i>
      <x v="71"/>
      <x/>
      <x v="3"/>
    </i>
    <i>
      <x v="72"/>
      <x v="43"/>
      <x/>
    </i>
    <i>
      <x v="73"/>
      <x v="63"/>
      <x/>
    </i>
    <i>
      <x v="74"/>
      <x v="37"/>
      <x v="1"/>
    </i>
    <i>
      <x v="75"/>
      <x v="36"/>
      <x v="1"/>
    </i>
    <i>
      <x v="76"/>
      <x v="11"/>
      <x v="2"/>
    </i>
    <i>
      <x v="77"/>
      <x v="7"/>
      <x v="3"/>
    </i>
    <i>
      <x v="78"/>
      <x v="2"/>
      <x v="3"/>
    </i>
    <i>
      <x v="79"/>
      <x v="104"/>
      <x/>
    </i>
    <i>
      <x v="80"/>
      <x v="110"/>
      <x v="2"/>
    </i>
    <i>
      <x v="81"/>
      <x v="111"/>
      <x v="2"/>
    </i>
    <i>
      <x v="82"/>
      <x v="44"/>
      <x v="1"/>
    </i>
    <i>
      <x v="83"/>
      <x v="103"/>
      <x v="3"/>
    </i>
    <i>
      <x v="84"/>
      <x v="55"/>
      <x v="2"/>
    </i>
    <i>
      <x v="85"/>
      <x v="92"/>
      <x v="2"/>
    </i>
    <i>
      <x v="86"/>
      <x v="28"/>
      <x v="3"/>
    </i>
    <i>
      <x v="87"/>
      <x v="64"/>
      <x/>
    </i>
    <i>
      <x v="88"/>
      <x v="67"/>
      <x/>
    </i>
    <i>
      <x v="89"/>
      <x v="18"/>
      <x v="1"/>
    </i>
    <i>
      <x v="90"/>
      <x v="95"/>
      <x/>
    </i>
    <i>
      <x v="91"/>
      <x v="93"/>
      <x v="1"/>
    </i>
    <i>
      <x v="92"/>
      <x v="65"/>
      <x/>
    </i>
    <i>
      <x v="93"/>
      <x v="20"/>
      <x v="3"/>
    </i>
    <i>
      <x v="94"/>
      <x v="13"/>
      <x v="1"/>
    </i>
    <i>
      <x v="95"/>
      <x v="1"/>
      <x v="3"/>
    </i>
    <i>
      <x v="96"/>
      <x v="76"/>
      <x/>
    </i>
    <i>
      <x v="97"/>
      <x v="4"/>
      <x v="3"/>
    </i>
    <i>
      <x v="98"/>
      <x v="45"/>
      <x v="1"/>
    </i>
    <i>
      <x v="99"/>
      <x v="100"/>
      <x/>
    </i>
    <i>
      <x v="100"/>
      <x v="46"/>
      <x/>
    </i>
    <i>
      <x v="101"/>
      <x v="69"/>
      <x/>
    </i>
    <i>
      <x v="102"/>
      <x v="85"/>
      <x v="1"/>
    </i>
    <i>
      <x v="103"/>
      <x v="6"/>
      <x/>
    </i>
    <i>
      <x v="104"/>
      <x v="66"/>
      <x/>
    </i>
    <i>
      <x v="105"/>
      <x v="47"/>
      <x v="1"/>
    </i>
    <i>
      <x v="106"/>
      <x v="90"/>
      <x v="1"/>
    </i>
    <i>
      <x v="107"/>
      <x v="116"/>
      <x v="2"/>
    </i>
    <i>
      <x v="108"/>
      <x v="57"/>
      <x v="1"/>
    </i>
    <i>
      <x v="109"/>
      <x v="94"/>
      <x v="1"/>
    </i>
    <i>
      <x v="110"/>
      <x v="74"/>
      <x/>
    </i>
    <i>
      <x v="111"/>
      <x v="73"/>
      <x/>
    </i>
    <i>
      <x v="112"/>
      <x v="9"/>
      <x v="3"/>
    </i>
    <i>
      <x v="113"/>
      <x v="27"/>
      <x v="3"/>
    </i>
    <i>
      <x v="114"/>
      <x v="84"/>
      <x v="1"/>
    </i>
    <i>
      <x v="115"/>
      <x v="106"/>
      <x/>
    </i>
    <i>
      <x v="116"/>
      <x v="107"/>
      <x/>
    </i>
  </rowItems>
  <colItems count="1">
    <i/>
  </colItems>
  <pageFields count="1">
    <pageField fld="35"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26"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2">
    <format dxfId="469">
      <pivotArea type="all" dataOnly="0" outline="0" fieldPosition="0"/>
    </format>
    <format dxfId="46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41:B53" firstHeaderRow="1" firstDataRow="1" firstDataCol="1" rowPageCount="1" colPageCount="1"/>
  <pivotFields count="25">
    <pivotField showAll="0" defaultSubtotal="0"/>
    <pivotField axis="axisRow" showAll="0" sortType="descending">
      <items count="14">
        <item x="3"/>
        <item x="2"/>
        <item x="1"/>
        <item x="11"/>
        <item x="5"/>
        <item x="12"/>
        <item x="9"/>
        <item x="0"/>
        <item x="6"/>
        <item x="4"/>
        <item x="10"/>
        <item h="1" x="8"/>
        <item h="1" x="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449">
      <pivotArea field="3" type="button" dataOnly="0" labelOnly="1" outline="0" axis="axisPage" fieldPosition="0"/>
    </format>
    <format dxfId="448">
      <pivotArea dataOnly="0" labelOnly="1" outline="0" fieldPosition="0">
        <references count="1">
          <reference field="3" count="0"/>
        </references>
      </pivotArea>
    </format>
    <format dxfId="447">
      <pivotArea field="1" type="button" dataOnly="0" labelOnly="1" outline="0" axis="axisRow" fieldPosition="0"/>
    </format>
    <format dxfId="446">
      <pivotArea dataOnly="0" labelOnly="1" outline="0" axis="axisValues" fieldPosition="0"/>
    </format>
    <format dxfId="445">
      <pivotArea collapsedLevelsAreSubtotals="1" fieldPosition="0">
        <references count="1">
          <reference field="1" count="0"/>
        </references>
      </pivotArea>
    </format>
    <format dxfId="444">
      <pivotArea dataOnly="0" labelOnly="1" fieldPosition="0">
        <references count="1">
          <reference field="1" count="0"/>
        </references>
      </pivotArea>
    </format>
    <format dxfId="443">
      <pivotArea grandRow="1" outline="0" collapsedLevelsAreSubtotals="1" fieldPosition="0"/>
    </format>
    <format dxfId="442">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2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454">
      <pivotArea field="3" type="button" dataOnly="0" labelOnly="1" outline="0" axis="axisPage" fieldPosition="0"/>
    </format>
    <format dxfId="453">
      <pivotArea dataOnly="0" labelOnly="1" outline="0" fieldPosition="0">
        <references count="1">
          <reference field="3" count="0"/>
        </references>
      </pivotArea>
    </format>
    <format dxfId="452">
      <pivotArea dataOnly="0" labelOnly="1" outline="0" axis="axisValues" fieldPosition="0"/>
    </format>
    <format dxfId="451">
      <pivotArea grandRow="1" outline="0" collapsedLevelsAreSubtotals="1" fieldPosition="0"/>
    </format>
    <format dxfId="45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3"/>
        <item x="2"/>
        <item x="1"/>
        <item x="4"/>
        <item x="11"/>
        <item x="5"/>
        <item x="12"/>
        <item x="10"/>
        <item x="9"/>
        <item x="7"/>
        <item x="0"/>
        <item x="8"/>
        <item x="6"/>
        <item t="default"/>
      </items>
    </pivotField>
    <pivotField showAll="0" defaultSubtotal="0"/>
    <pivotField axis="axisPage" multipleItemSelectionAllowed="1" showAll="0">
      <items count="2">
        <item x="0"/>
        <item t="default"/>
      </items>
    </pivotField>
    <pivotField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433">
      <pivotArea field="4" type="button" dataOnly="0" labelOnly="1" outline="0"/>
    </format>
    <format dxfId="432">
      <pivotArea field="4" type="button" dataOnly="0" labelOnly="1" outline="0"/>
    </format>
    <format dxfId="43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28"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1">
        <item x="1"/>
        <item x="0"/>
        <item x="9"/>
        <item x="2"/>
        <item x="3"/>
        <item x="4"/>
        <item x="5"/>
        <item x="6"/>
        <item x="7"/>
        <item x="8"/>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i>
    <i>
      <x v="2"/>
    </i>
    <i>
      <x v="8"/>
    </i>
    <i>
      <x v="5"/>
    </i>
    <i>
      <x v="4"/>
    </i>
    <i>
      <x v="1"/>
    </i>
    <i>
      <x v="3"/>
    </i>
    <i>
      <x v="6"/>
    </i>
    <i>
      <x v="9"/>
    </i>
    <i t="grand">
      <x/>
    </i>
  </rowItems>
  <colItems count="1">
    <i/>
  </colItems>
  <pageFields count="1">
    <pageField fld="3" hier="-1"/>
  </pageFields>
  <dataFields count="1">
    <dataField name="Sum of HH Covered" fld="18" baseField="0" baseItem="0"/>
  </dataFields>
  <formats count="4">
    <format dxfId="437">
      <pivotArea field="4" type="button" dataOnly="0" labelOnly="1" outline="0" axis="axisRow" fieldPosition="0"/>
    </format>
    <format dxfId="436">
      <pivotArea field="4" type="button" dataOnly="0" labelOnly="1" outline="0" axis="axisRow" fieldPosition="0"/>
    </format>
    <format dxfId="435">
      <pivotArea outline="0" collapsedLevelsAreSubtotals="1" fieldPosition="0"/>
    </format>
    <format dxfId="434">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3"/>
        <item x="2"/>
        <item x="1"/>
        <item x="4"/>
        <item x="11"/>
        <item x="5"/>
        <item x="12"/>
        <item x="10"/>
        <item x="9"/>
        <item x="7"/>
        <item x="0"/>
        <item x="8"/>
        <item x="6"/>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441">
      <pivotArea field="4" type="button" dataOnly="0" labelOnly="1" outline="0" axis="axisPage" fieldPosition="1"/>
    </format>
    <format dxfId="440">
      <pivotArea field="4" type="button" dataOnly="0" labelOnly="1" outline="0" axis="axisPage" fieldPosition="1"/>
    </format>
    <format dxfId="439">
      <pivotArea outline="0" collapsedLevelsAreSubtotals="1" fieldPosition="0"/>
    </format>
    <format dxfId="438">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2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9">
  <location ref="A55:I61" firstHeaderRow="0" firstDataRow="1" firstDataCol="1" rowPageCount="2" colPageCount="1"/>
  <pivotFields count="33">
    <pivotField numFmtId="1" showAll="0" defaultSubtotal="0"/>
    <pivotField numFmtId="1" showAll="0" defaultSubtotal="0"/>
    <pivotField showAll="0"/>
    <pivotField axis="axisRow" showAll="0">
      <items count="18">
        <item sd="0" x="5"/>
        <item h="1" sd="0" x="13"/>
        <item h="1" sd="0" x="10"/>
        <item x="0"/>
        <item h="1" sd="0" x="12"/>
        <item h="1" x="6"/>
        <item h="1" x="9"/>
        <item h="1" x="14"/>
        <item h="1" x="11"/>
        <item h="1" x="7"/>
        <item x="3"/>
        <item x="1"/>
        <item x="8"/>
        <item h="1" m="1" x="16"/>
        <item h="1" m="1" x="15"/>
        <item h="1" x="2"/>
        <item h="1" x="4"/>
        <item t="default"/>
      </items>
    </pivotField>
    <pivotField showAll="0"/>
    <pivotField axis="axisPage" multipleItemSelectionAllowed="1" showAll="0">
      <items count="3">
        <item x="0"/>
        <item m="1"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5">
        <item x="3"/>
        <item x="4"/>
        <item x="0"/>
        <item x="2"/>
        <item x="1"/>
      </items>
    </pivotField>
    <pivotField dragToRow="0" dragToCol="0" dragToPage="0" showAll="0" defaultSubtotal="0"/>
  </pivotFields>
  <rowFields count="1">
    <field x="3"/>
  </rowFields>
  <rowItems count="6">
    <i>
      <x/>
    </i>
    <i>
      <x v="3"/>
    </i>
    <i>
      <x v="10"/>
    </i>
    <i>
      <x v="11"/>
    </i>
    <i>
      <x v="12"/>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 fld="22" baseField="0" baseItem="0"/>
    <dataField name="Tarpaulin " fld="23" baseField="0" baseItem="0"/>
    <dataField name="Blanket " fld="24" baseField="0" baseItem="0"/>
    <dataField name="Kitchen Set " fld="25" baseField="0" baseItem="0"/>
    <dataField name="Complementary Kit " fld="26" baseField="0" baseItem="0"/>
    <dataField name="Plastic Bucket " fld="27" baseField="0" baseItem="0"/>
    <dataField name=" Jerry Can" fld="28" baseField="3" baseItem="0"/>
    <dataField name="Plastic  Mat " fld="29" baseField="0" baseItem="0"/>
  </dataFields>
  <formats count="3">
    <format dxfId="359">
      <pivotArea outline="0" collapsedLevelsAreSubtotals="1" fieldPosition="0"/>
    </format>
    <format dxfId="358">
      <pivotArea type="all" dataOnly="0" outline="0" fieldPosition="0"/>
    </format>
    <format dxfId="357">
      <pivotArea type="all" dataOnly="0" outline="0" fieldPosition="0"/>
    </format>
  </formats>
  <chartFormats count="8">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4"/>
          </reference>
        </references>
      </pivotArea>
    </chartFormat>
    <chartFormat chart="8" format="29" series="1">
      <pivotArea type="data" outline="0" fieldPosition="0">
        <references count="1">
          <reference field="4294967294" count="1" selected="0">
            <x v="5"/>
          </reference>
        </references>
      </pivotArea>
    </chartFormat>
    <chartFormat chart="8" format="30" series="1">
      <pivotArea type="data" outline="0" fieldPosition="0">
        <references count="1">
          <reference field="4294967294" count="1" selected="0">
            <x v="7"/>
          </reference>
        </references>
      </pivotArea>
    </chartFormat>
    <chartFormat chart="8" format="32"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29"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38:I47" firstHeaderRow="0" firstDataRow="1" firstDataCol="1" rowPageCount="2" colPageCount="1"/>
  <pivotFields count="33">
    <pivotField numFmtId="1" showAll="0" defaultSubtotal="0"/>
    <pivotField numFmtId="1" showAll="0" defaultSubtotal="0"/>
    <pivotField showAll="0"/>
    <pivotField showAll="0"/>
    <pivotField showAll="0"/>
    <pivotField axis="axisPage" multipleItemSelectionAllowed="1" showAll="0">
      <items count="3">
        <item x="0"/>
        <item m="1" x="1"/>
        <item t="default"/>
      </items>
    </pivotField>
    <pivotField axis="axisRow" showAll="0">
      <items count="12">
        <item x="0"/>
        <item x="5"/>
        <item x="8"/>
        <item x="6"/>
        <item x="7"/>
        <item x="3"/>
        <item x="9"/>
        <item x="4"/>
        <item x="1"/>
        <item x="2"/>
        <item m="1" x="10"/>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5">
        <item x="3"/>
        <item x="4"/>
        <item x="0"/>
        <item x="2"/>
        <item x="1"/>
      </items>
    </pivotField>
    <pivotField dragToRow="0" dragToCol="0" dragToPage="0" showAll="0" defaultSubtotal="0"/>
  </pivotFields>
  <rowFields count="1">
    <field x="6"/>
  </rowFields>
  <rowItems count="9">
    <i>
      <x/>
    </i>
    <i>
      <x v="1"/>
    </i>
    <i>
      <x v="2"/>
    </i>
    <i>
      <x v="5"/>
    </i>
    <i>
      <x v="6"/>
    </i>
    <i>
      <x v="7"/>
    </i>
    <i>
      <x v="8"/>
    </i>
    <i>
      <x v="9"/>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3">
    <format dxfId="362">
      <pivotArea outline="0" collapsedLevelsAreSubtotals="1" fieldPosition="0"/>
    </format>
    <format dxfId="361">
      <pivotArea type="all" dataOnly="0" outline="0" fieldPosition="0"/>
    </format>
    <format dxfId="36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2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89:E258" firstHeaderRow="0" firstDataRow="1" firstDataCol="1"/>
  <pivotFields count="33">
    <pivotField axis="axisRow" numFmtId="1" showAll="0" sortType="ascending">
      <items count="772">
        <item m="1" x="262"/>
        <item m="1" x="255"/>
        <item m="1" x="283"/>
        <item m="1" x="769"/>
        <item m="1" x="263"/>
        <item m="1" x="667"/>
        <item m="1" x="654"/>
        <item m="1" x="207"/>
        <item m="1" x="712"/>
        <item m="1" x="700"/>
        <item m="1" x="608"/>
        <item x="0"/>
        <item x="1"/>
        <item m="1" x="706"/>
        <item m="1" x="258"/>
        <item m="1" x="455"/>
        <item m="1" x="168"/>
        <item m="1" x="742"/>
        <item m="1" x="243"/>
        <item m="1" x="553"/>
        <item m="1" x="644"/>
        <item m="1" x="211"/>
        <item m="1" x="320"/>
        <item m="1" x="412"/>
        <item m="1" x="761"/>
        <item m="1" x="265"/>
        <item m="1" x="470"/>
        <item m="1" x="214"/>
        <item m="1" x="573"/>
        <item m="1" x="383"/>
        <item m="1" x="729"/>
        <item m="1" x="681"/>
        <item m="1" x="173"/>
        <item m="1" x="184"/>
        <item m="1" x="192"/>
        <item m="1" x="732"/>
        <item m="1" x="311"/>
        <item m="1" x="250"/>
        <item m="1" x="603"/>
        <item m="1" x="349"/>
        <item m="1" x="479"/>
        <item m="1" x="694"/>
        <item m="1" x="733"/>
        <item m="1" x="269"/>
        <item m="1" x="335"/>
        <item m="1" x="457"/>
        <item m="1" x="683"/>
        <item m="1" x="202"/>
        <item m="1" x="714"/>
        <item m="1" x="565"/>
        <item m="1" x="604"/>
        <item m="1" x="217"/>
        <item m="1" x="438"/>
        <item m="1" x="662"/>
        <item m="1" x="350"/>
        <item m="1" x="406"/>
        <item m="1" x="695"/>
        <item m="1" x="324"/>
        <item m="1" x="545"/>
        <item m="1" x="225"/>
        <item m="1" x="289"/>
        <item m="1" x="583"/>
        <item m="1" x="195"/>
        <item m="1" x="641"/>
        <item x="2"/>
        <item m="1" x="684"/>
        <item m="1" x="407"/>
        <item x="3"/>
        <item x="4"/>
        <item m="1" x="427"/>
        <item m="1" x="546"/>
        <item m="1" x="650"/>
        <item x="5"/>
        <item m="1" x="566"/>
        <item m="1" x="623"/>
        <item m="1" x="314"/>
        <item m="1" x="419"/>
        <item m="1" x="534"/>
        <item m="1" x="642"/>
        <item m="1" x="748"/>
        <item m="1" x="259"/>
        <item m="1" x="369"/>
        <item m="1" x="766"/>
        <item m="1" x="388"/>
        <item m="1" x="303"/>
        <item m="1" x="408"/>
        <item m="1" x="522"/>
        <item m="1" x="636"/>
        <item m="1" x="737"/>
        <item m="1" x="547"/>
        <item m="1" x="651"/>
        <item m="1" x="756"/>
        <item m="1" x="495"/>
        <item m="1" x="397"/>
        <item m="1" x="510"/>
        <item x="6"/>
        <item m="1" x="352"/>
        <item m="1" x="535"/>
        <item m="1" x="389"/>
        <item x="7"/>
        <item x="8"/>
        <item x="9"/>
        <item m="1" x="251"/>
        <item m="1" x="586"/>
        <item m="1" x="757"/>
        <item m="1" x="379"/>
        <item m="1" x="218"/>
        <item m="1" x="336"/>
        <item m="1" x="511"/>
        <item m="1" x="624"/>
        <item x="10"/>
        <item m="1" x="460"/>
        <item m="1" x="749"/>
        <item x="11"/>
        <item m="1" x="326"/>
        <item m="1" x="568"/>
        <item m="1" x="738"/>
        <item x="12"/>
        <item m="1" x="659"/>
        <item m="1" x="708"/>
        <item m="1" x="762"/>
        <item m="1" x="275"/>
        <item m="1" x="182"/>
        <item m="1" x="239"/>
        <item m="1" x="353"/>
        <item m="1" x="400"/>
        <item x="13"/>
        <item m="1" x="630"/>
        <item m="1" x="483"/>
        <item m="1" x="646"/>
        <item m="1" x="754"/>
        <item m="1" x="266"/>
        <item m="1" x="327"/>
        <item m="1" x="374"/>
        <item m="1" x="488"/>
        <item m="1" x="717"/>
        <item m="1" x="228"/>
        <item m="1" x="395"/>
        <item m="1" x="448"/>
        <item m="1" x="620"/>
        <item x="14"/>
        <item m="1" x="414"/>
        <item x="15"/>
        <item m="1" x="530"/>
        <item m="1" x="745"/>
        <item m="1" x="196"/>
        <item m="1" x="315"/>
        <item x="16"/>
        <item x="17"/>
        <item m="1" x="276"/>
        <item m="1" x="440"/>
        <item m="1" x="502"/>
        <item m="1" x="664"/>
        <item x="18"/>
        <item m="1" x="517"/>
        <item m="1" x="186"/>
        <item m="1" x="246"/>
        <item x="19"/>
        <item x="20"/>
        <item x="21"/>
        <item x="22"/>
        <item m="1" x="429"/>
        <item m="1" x="489"/>
        <item m="1" x="549"/>
        <item m="1" x="600"/>
        <item x="23"/>
        <item x="24"/>
        <item x="25"/>
        <item m="1" x="449"/>
        <item m="1" x="569"/>
        <item m="1" x="178"/>
        <item m="1" x="235"/>
        <item m="1" x="291"/>
        <item x="26"/>
        <item m="1" x="478"/>
        <item m="1" x="537"/>
        <item m="1" x="751"/>
        <item m="1" x="200"/>
        <item x="27"/>
        <item x="28"/>
        <item x="29"/>
        <item x="30"/>
        <item m="1" x="281"/>
        <item m="1" x="445"/>
        <item x="31"/>
        <item m="1" x="410"/>
        <item m="1" x="471"/>
        <item m="1" x="525"/>
        <item m="1" x="581"/>
        <item m="1" x="688"/>
        <item m="1" x="741"/>
        <item m="1" x="193"/>
        <item m="1" x="215"/>
        <item m="1" x="274"/>
        <item m="1" x="333"/>
        <item m="1" x="499"/>
        <item m="1" x="675"/>
        <item m="1" x="292"/>
        <item m="1" x="348"/>
        <item m="1" x="456"/>
        <item m="1" x="514"/>
        <item m="1" x="574"/>
        <item x="32"/>
        <item m="1" x="538"/>
        <item x="33"/>
        <item m="1" x="261"/>
        <item m="1" x="322"/>
        <item x="34"/>
        <item m="1" x="486"/>
        <item m="1" x="665"/>
        <item x="35"/>
        <item m="1" x="391"/>
        <item m="1" x="446"/>
        <item m="1" x="505"/>
        <item m="1" x="720"/>
        <item m="1" x="174"/>
        <item m="1" x="231"/>
        <item m="1" x="526"/>
        <item m="1" x="582"/>
        <item x="36"/>
        <item m="1" x="380"/>
        <item x="37"/>
        <item m="1" x="253"/>
        <item x="38"/>
        <item m="1" x="417"/>
        <item m="1" x="234"/>
        <item m="1" x="532"/>
        <item m="1" x="290"/>
        <item m="1" x="653"/>
        <item m="1" x="347"/>
        <item m="1" x="705"/>
        <item m="1" x="512"/>
        <item x="39"/>
        <item m="1" x="625"/>
        <item x="40"/>
        <item m="1" x="500"/>
        <item x="41"/>
        <item m="1" x="764"/>
        <item x="42"/>
        <item x="43"/>
        <item x="44"/>
        <item m="1" x="398"/>
        <item m="1" x="515"/>
        <item m="1" x="199"/>
        <item m="1" x="260"/>
        <item m="1" x="627"/>
        <item m="1" x="726"/>
        <item m="1" x="501"/>
        <item m="1" x="300"/>
        <item m="1" x="767"/>
        <item m="1" x="465"/>
        <item m="1" x="643"/>
        <item m="1" x="339"/>
        <item m="1" x="692"/>
        <item m="1" x="426"/>
        <item m="1" x="185"/>
        <item m="1" x="244"/>
        <item m="1" x="543"/>
        <item m="1" x="304"/>
        <item m="1" x="598"/>
        <item m="1" x="409"/>
        <item m="1" x="702"/>
        <item m="1" x="468"/>
        <item m="1" x="523"/>
        <item m="1" x="209"/>
        <item m="1" x="392"/>
        <item m="1" x="191"/>
        <item m="1" x="721"/>
        <item m="1" x="487"/>
        <item m="1" x="175"/>
        <item m="1" x="548"/>
        <item m="1" x="232"/>
        <item m="1" x="652"/>
        <item m="1" x="704"/>
        <item m="1" x="452"/>
        <item m="1" x="212"/>
        <item x="45"/>
        <item x="46"/>
        <item x="47"/>
        <item m="1" x="381"/>
        <item m="1" x="435"/>
        <item m="1" x="194"/>
        <item m="1" x="496"/>
        <item m="1" x="254"/>
        <item m="1" x="554"/>
        <item m="1" x="312"/>
        <item m="1" x="365"/>
        <item m="1" x="660"/>
        <item m="1" x="418"/>
        <item m="1" x="177"/>
        <item m="1" x="475"/>
        <item x="48"/>
        <item m="1" x="588"/>
        <item x="49"/>
        <item m="1" x="334"/>
        <item m="1" x="626"/>
        <item x="50"/>
        <item m="1" x="437"/>
        <item m="1" x="557"/>
        <item m="1" x="610"/>
        <item m="1" x="298"/>
        <item m="1" x="354"/>
        <item m="1" x="713"/>
        <item m="1" x="477"/>
        <item x="51"/>
        <item m="1" x="536"/>
        <item m="1" x="221"/>
        <item m="1" x="591"/>
        <item m="1" x="278"/>
        <item m="1" x="386"/>
        <item m="1" x="750"/>
        <item x="52"/>
        <item m="1" x="628"/>
        <item m="1" x="321"/>
        <item m="1" x="682"/>
        <item m="1" x="370"/>
        <item m="1" x="727"/>
        <item m="1" x="424"/>
        <item m="1" x="484"/>
        <item m="1" x="242"/>
        <item m="1" x="301"/>
        <item m="1" x="595"/>
        <item m="1" x="356"/>
        <item m="1" x="404"/>
        <item m="1" x="768"/>
        <item m="1" x="466"/>
        <item m="1" x="223"/>
        <item m="1" x="520"/>
        <item m="1" x="280"/>
        <item m="1" x="340"/>
        <item m="1" x="390"/>
        <item m="1" x="443"/>
        <item m="1" x="734"/>
        <item m="1" x="189"/>
        <item m="1" x="563"/>
        <item m="1" x="323"/>
        <item m="1" x="671"/>
        <item x="53"/>
        <item m="1" x="718"/>
        <item m="1" x="170"/>
        <item m="1" x="544"/>
        <item x="54"/>
        <item m="1" x="649"/>
        <item m="1" x="343"/>
        <item m="1" x="703"/>
        <item m="1" x="469"/>
        <item m="1" x="755"/>
        <item m="1" x="524"/>
        <item m="1" x="580"/>
        <item m="1" x="270"/>
        <item m="1" x="637"/>
        <item m="1" x="377"/>
        <item m="1" x="739"/>
        <item m="1" x="432"/>
        <item m="1" x="492"/>
        <item m="1" x="252"/>
        <item m="1" x="618"/>
        <item m="1" x="309"/>
        <item m="1" x="673"/>
        <item m="1" x="363"/>
        <item m="1" x="722"/>
        <item m="1" x="415"/>
        <item m="1" x="176"/>
        <item m="1" x="233"/>
        <item m="1" x="639"/>
        <item m="1" x="758"/>
        <item m="1" x="213"/>
        <item m="1" x="509"/>
        <item m="1" x="273"/>
        <item m="1" x="571"/>
        <item m="1" x="332"/>
        <item m="1" x="621"/>
        <item m="1" x="678"/>
        <item m="1" x="436"/>
        <item m="1" x="724"/>
        <item m="1" x="497"/>
        <item m="1" x="555"/>
        <item m="1" x="313"/>
        <item m="1" x="607"/>
        <item m="1" x="366"/>
        <item m="1" x="709"/>
        <item m="1" x="476"/>
        <item m="1" x="533"/>
        <item m="1" x="219"/>
        <item m="1" x="589"/>
        <item m="1" x="337"/>
        <item m="1" x="691"/>
        <item m="1" x="454"/>
        <item m="1" x="747"/>
        <item m="1" x="513"/>
        <item x="55"/>
        <item m="1" x="318"/>
        <item m="1" x="680"/>
        <item m="1" x="421"/>
        <item m="1" x="240"/>
        <item m="1" x="611"/>
        <item m="1" x="401"/>
        <item m="1" x="765"/>
        <item m="1" x="461"/>
        <item m="1" x="222"/>
        <item m="1" x="518"/>
        <item m="1" x="279"/>
        <item m="1" x="577"/>
        <item m="1" x="338"/>
        <item m="1" x="631"/>
        <item m="1" x="387"/>
        <item m="1" x="442"/>
        <item m="1" x="504"/>
        <item x="56"/>
        <item m="1" x="560"/>
        <item m="1" x="613"/>
        <item m="1" x="371"/>
        <item m="1" x="668"/>
        <item m="1" x="425"/>
        <item m="1" x="715"/>
        <item m="1" x="302"/>
        <item m="1" x="596"/>
        <item m="1" x="357"/>
        <item m="1" x="647"/>
        <item m="1" x="405"/>
        <item m="1" x="699"/>
        <item m="1" x="467"/>
        <item m="1" x="521"/>
        <item m="1" x="205"/>
        <item m="1" x="578"/>
        <item m="1" x="267"/>
        <item m="1" x="634"/>
        <item m="1" x="328"/>
        <item m="1" x="687"/>
        <item m="1" x="444"/>
        <item m="1" x="735"/>
        <item x="57"/>
        <item m="1" x="564"/>
        <item m="1" x="617"/>
        <item m="1" x="307"/>
        <item m="1" x="672"/>
        <item m="1" x="360"/>
        <item m="1" x="719"/>
        <item m="1" x="171"/>
        <item m="1" x="472"/>
        <item m="1" x="229"/>
        <item m="1" x="599"/>
        <item m="1" x="286"/>
        <item x="58"/>
        <item x="59"/>
        <item m="1" x="210"/>
        <item m="1" x="507"/>
        <item m="1" x="271"/>
        <item m="1" x="570"/>
        <item x="60"/>
        <item m="1" x="378"/>
        <item m="1" x="740"/>
        <item m="1" x="433"/>
        <item x="61"/>
        <item m="1" x="493"/>
        <item x="62"/>
        <item m="1" x="552"/>
        <item m="1" x="310"/>
        <item m="1" x="605"/>
        <item m="1" x="364"/>
        <item m="1" x="656"/>
        <item m="1" x="416"/>
        <item m="1" x="707"/>
        <item m="1" x="760"/>
        <item m="1" x="531"/>
        <item m="1" x="288"/>
        <item m="1" x="587"/>
        <item m="1" x="346"/>
        <item m="1" x="640"/>
        <item m="1" x="396"/>
        <item m="1" x="690"/>
        <item m="1" x="453"/>
        <item x="63"/>
        <item x="64"/>
        <item m="1" x="197"/>
        <item m="1" x="572"/>
        <item m="1" x="256"/>
        <item m="1" x="622"/>
        <item m="1" x="316"/>
        <item m="1" x="679"/>
        <item x="65"/>
        <item m="1" x="725"/>
        <item m="1" x="498"/>
        <item m="1" x="180"/>
        <item m="1" x="556"/>
        <item m="1" x="609"/>
        <item m="1" x="295"/>
        <item m="1" x="661"/>
        <item m="1" x="351"/>
        <item m="1" x="710"/>
        <item m="1" x="763"/>
        <item m="1" x="458"/>
        <item m="1" x="220"/>
        <item m="1" x="590"/>
        <item x="66"/>
        <item x="67"/>
        <item x="68"/>
        <item x="69"/>
        <item m="1" x="503"/>
        <item m="1" x="558"/>
        <item m="1" x="319"/>
        <item m="1" x="368"/>
        <item m="1" x="422"/>
        <item m="1" x="183"/>
        <item m="1" x="480"/>
        <item m="1" x="241"/>
        <item x="70"/>
        <item m="1" x="299"/>
        <item m="1" x="593"/>
        <item x="71"/>
        <item m="1" x="402"/>
        <item m="1" x="462"/>
        <item m="1" x="752"/>
        <item x="72"/>
        <item x="73"/>
        <item x="74"/>
        <item m="1" x="686"/>
        <item m="1" x="730"/>
        <item m="1" x="355"/>
        <item m="1" x="645"/>
        <item m="1" x="187"/>
        <item m="1" x="403"/>
        <item m="1" x="561"/>
        <item m="1" x="697"/>
        <item m="1" x="247"/>
        <item m="1" x="464"/>
        <item m="1" x="614"/>
        <item m="1" x="753"/>
        <item m="1" x="305"/>
        <item m="1" x="519"/>
        <item m="1" x="669"/>
        <item m="1" x="204"/>
        <item m="1" x="716"/>
        <item m="1" x="485"/>
        <item m="1" x="633"/>
        <item m="1" x="770"/>
        <item m="1" x="325"/>
        <item x="75"/>
        <item x="76"/>
        <item m="1" x="226"/>
        <item m="1" x="373"/>
        <item m="1" x="597"/>
        <item m="1" x="284"/>
        <item x="77"/>
        <item m="1" x="648"/>
        <item m="1" x="188"/>
        <item m="1" x="341"/>
        <item m="1" x="562"/>
        <item m="1" x="701"/>
        <item m="1" x="249"/>
        <item m="1" x="394"/>
        <item m="1" x="616"/>
        <item m="1" x="306"/>
        <item m="1" x="670"/>
        <item m="1" x="206"/>
        <item m="1" x="359"/>
        <item m="1" x="579"/>
        <item x="78"/>
        <item m="1" x="268"/>
        <item m="1" x="411"/>
        <item m="1" x="635"/>
        <item m="1" x="169"/>
        <item m="1" x="329"/>
        <item m="1" x="227"/>
        <item m="1" x="375"/>
        <item m="1" x="527"/>
        <item m="1" x="736"/>
        <item m="1" x="285"/>
        <item m="1" x="430"/>
        <item x="79"/>
        <item m="1" x="342"/>
        <item m="1" x="490"/>
        <item x="80"/>
        <item m="1" x="550"/>
        <item m="1" x="308"/>
        <item m="1" x="447"/>
        <item m="1" x="601"/>
        <item m="1" x="208"/>
        <item m="1" x="361"/>
        <item m="1" x="506"/>
        <item m="1" x="567"/>
        <item m="1" x="172"/>
        <item m="1" x="330"/>
        <item m="1" x="473"/>
        <item m="1" x="619"/>
        <item m="1" x="230"/>
        <item m="1" x="376"/>
        <item m="1" x="528"/>
        <item m="1" x="674"/>
        <item m="1" x="287"/>
        <item m="1" x="431"/>
        <item m="1" x="584"/>
        <item m="1" x="190"/>
        <item m="1" x="344"/>
        <item m="1" x="491"/>
        <item m="1" x="638"/>
        <item x="81"/>
        <item x="82"/>
        <item m="1" x="551"/>
        <item x="83"/>
        <item m="1" x="450"/>
        <item m="1" x="602"/>
        <item m="1" x="743"/>
        <item m="1" x="362"/>
        <item x="84"/>
        <item m="1" x="655"/>
        <item m="1" x="272"/>
        <item m="1" x="413"/>
        <item x="85"/>
        <item m="1" x="331"/>
        <item m="1" x="474"/>
        <item m="1" x="759"/>
        <item m="1" x="529"/>
        <item m="1" x="676"/>
        <item m="1" x="216"/>
        <item m="1" x="434"/>
        <item m="1" x="585"/>
        <item m="1" x="723"/>
        <item m="1" x="345"/>
        <item m="1" x="494"/>
        <item m="1" x="179"/>
        <item m="1" x="689"/>
        <item m="1" x="236"/>
        <item m="1" x="451"/>
        <item m="1" x="744"/>
        <item m="1" x="293"/>
        <item m="1" x="508"/>
        <item m="1" x="657"/>
        <item x="86"/>
        <item x="87"/>
        <item x="88"/>
        <item x="89"/>
        <item x="90"/>
        <item m="1" x="677"/>
        <item m="1" x="237"/>
        <item m="1" x="382"/>
        <item m="1" x="606"/>
        <item m="1" x="294"/>
        <item m="1" x="439"/>
        <item m="1" x="658"/>
        <item m="1" x="198"/>
        <item x="91"/>
        <item x="92"/>
        <item x="93"/>
        <item x="94"/>
        <item x="95"/>
        <item x="96"/>
        <item x="97"/>
        <item m="1" x="539"/>
        <item m="1" x="746"/>
        <item m="1" x="296"/>
        <item x="98"/>
        <item x="99"/>
        <item x="100"/>
        <item x="101"/>
        <item m="1" x="711"/>
        <item m="1" x="257"/>
        <item m="1" x="317"/>
        <item m="1" x="612"/>
        <item m="1" x="367"/>
        <item m="1" x="516"/>
        <item m="1" x="663"/>
        <item m="1" x="277"/>
        <item m="1" x="420"/>
        <item m="1" x="575"/>
        <item m="1" x="181"/>
        <item x="102"/>
        <item m="1" x="629"/>
        <item m="1" x="238"/>
        <item m="1" x="384"/>
        <item m="1" x="540"/>
        <item m="1" x="685"/>
        <item m="1" x="297"/>
        <item m="1" x="441"/>
        <item m="1" x="592"/>
        <item x="103"/>
        <item x="104"/>
        <item x="105"/>
        <item m="1" x="399"/>
        <item x="106"/>
        <item m="1" x="693"/>
        <item m="1" x="459"/>
        <item x="107"/>
        <item x="108"/>
        <item m="1" x="666"/>
        <item m="1" x="201"/>
        <item m="1" x="423"/>
        <item m="1" x="576"/>
        <item x="109"/>
        <item x="110"/>
        <item m="1" x="481"/>
        <item m="1" x="385"/>
        <item m="1" x="541"/>
        <item x="111"/>
        <item m="1" x="224"/>
        <item m="1" x="594"/>
        <item m="1" x="728"/>
        <item m="1" x="282"/>
        <item x="112"/>
        <item x="113"/>
        <item m="1" x="559"/>
        <item m="1" x="696"/>
        <item m="1" x="245"/>
        <item m="1" x="463"/>
        <item x="114"/>
        <item x="115"/>
        <item m="1" x="203"/>
        <item m="1" x="358"/>
        <item x="116"/>
        <item x="117"/>
        <item m="1" x="264"/>
        <item m="1" x="482"/>
        <item m="1" x="632"/>
        <item m="1" x="542"/>
        <item x="118"/>
        <item x="119"/>
        <item m="1" x="372"/>
        <item x="120"/>
        <item m="1" x="731"/>
        <item m="1" x="428"/>
        <item x="121"/>
        <item m="1" x="698"/>
        <item m="1" x="248"/>
        <item m="1" x="393"/>
        <item m="1" x="615"/>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t="default"/>
      </items>
    </pivotField>
    <pivotField numFmtI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s>
  <rowFields count="1">
    <field x="0"/>
  </rowFields>
  <rowItems count="169">
    <i>
      <x v="11"/>
    </i>
    <i>
      <x v="12"/>
    </i>
    <i>
      <x v="64"/>
    </i>
    <i>
      <x v="67"/>
    </i>
    <i>
      <x v="68"/>
    </i>
    <i>
      <x v="72"/>
    </i>
    <i>
      <x v="95"/>
    </i>
    <i>
      <x v="99"/>
    </i>
    <i>
      <x v="100"/>
    </i>
    <i>
      <x v="101"/>
    </i>
    <i>
      <x v="110"/>
    </i>
    <i>
      <x v="113"/>
    </i>
    <i>
      <x v="117"/>
    </i>
    <i>
      <x v="126"/>
    </i>
    <i>
      <x v="140"/>
    </i>
    <i>
      <x v="142"/>
    </i>
    <i>
      <x v="147"/>
    </i>
    <i>
      <x v="148"/>
    </i>
    <i>
      <x v="153"/>
    </i>
    <i>
      <x v="157"/>
    </i>
    <i>
      <x v="158"/>
    </i>
    <i>
      <x v="159"/>
    </i>
    <i>
      <x v="160"/>
    </i>
    <i>
      <x v="165"/>
    </i>
    <i>
      <x v="166"/>
    </i>
    <i>
      <x v="167"/>
    </i>
    <i>
      <x v="173"/>
    </i>
    <i>
      <x v="178"/>
    </i>
    <i>
      <x v="179"/>
    </i>
    <i>
      <x v="180"/>
    </i>
    <i>
      <x v="181"/>
    </i>
    <i>
      <x v="184"/>
    </i>
    <i>
      <x v="202"/>
    </i>
    <i>
      <x v="204"/>
    </i>
    <i>
      <x v="207"/>
    </i>
    <i>
      <x v="210"/>
    </i>
    <i>
      <x v="219"/>
    </i>
    <i>
      <x v="221"/>
    </i>
    <i>
      <x v="223"/>
    </i>
    <i>
      <x v="232"/>
    </i>
    <i>
      <x v="234"/>
    </i>
    <i>
      <x v="236"/>
    </i>
    <i>
      <x v="238"/>
    </i>
    <i>
      <x v="239"/>
    </i>
    <i>
      <x v="240"/>
    </i>
    <i>
      <x v="276"/>
    </i>
    <i>
      <x v="277"/>
    </i>
    <i>
      <x v="278"/>
    </i>
    <i>
      <x v="291"/>
    </i>
    <i>
      <x v="293"/>
    </i>
    <i>
      <x v="296"/>
    </i>
    <i>
      <x v="304"/>
    </i>
    <i>
      <x v="311"/>
    </i>
    <i>
      <x v="337"/>
    </i>
    <i>
      <x v="341"/>
    </i>
    <i>
      <x v="390"/>
    </i>
    <i>
      <x v="408"/>
    </i>
    <i>
      <x v="431"/>
    </i>
    <i>
      <x v="443"/>
    </i>
    <i>
      <x v="444"/>
    </i>
    <i>
      <x v="449"/>
    </i>
    <i>
      <x v="453"/>
    </i>
    <i>
      <x v="455"/>
    </i>
    <i>
      <x v="472"/>
    </i>
    <i>
      <x v="473"/>
    </i>
    <i>
      <x v="480"/>
    </i>
    <i>
      <x v="494"/>
    </i>
    <i>
      <x v="495"/>
    </i>
    <i>
      <x v="496"/>
    </i>
    <i>
      <x v="497"/>
    </i>
    <i>
      <x v="506"/>
    </i>
    <i>
      <x v="509"/>
    </i>
    <i>
      <x v="513"/>
    </i>
    <i>
      <x v="514"/>
    </i>
    <i>
      <x v="515"/>
    </i>
    <i>
      <x v="537"/>
    </i>
    <i>
      <x v="538"/>
    </i>
    <i>
      <x v="543"/>
    </i>
    <i>
      <x v="557"/>
    </i>
    <i>
      <x v="569"/>
    </i>
    <i>
      <x v="572"/>
    </i>
    <i>
      <x v="596"/>
    </i>
    <i>
      <x v="597"/>
    </i>
    <i>
      <x v="599"/>
    </i>
    <i>
      <x v="604"/>
    </i>
    <i>
      <x v="608"/>
    </i>
    <i>
      <x v="628"/>
    </i>
    <i>
      <x v="629"/>
    </i>
    <i>
      <x v="630"/>
    </i>
    <i>
      <x v="631"/>
    </i>
    <i>
      <x v="632"/>
    </i>
    <i>
      <x v="641"/>
    </i>
    <i>
      <x v="642"/>
    </i>
    <i>
      <x v="643"/>
    </i>
    <i>
      <x v="644"/>
    </i>
    <i>
      <x v="645"/>
    </i>
    <i>
      <x v="646"/>
    </i>
    <i>
      <x v="647"/>
    </i>
    <i>
      <x v="651"/>
    </i>
    <i>
      <x v="652"/>
    </i>
    <i>
      <x v="653"/>
    </i>
    <i>
      <x v="654"/>
    </i>
    <i>
      <x v="666"/>
    </i>
    <i>
      <x v="675"/>
    </i>
    <i>
      <x v="676"/>
    </i>
    <i>
      <x v="677"/>
    </i>
    <i>
      <x v="679"/>
    </i>
    <i>
      <x v="682"/>
    </i>
    <i>
      <x v="683"/>
    </i>
    <i>
      <x v="688"/>
    </i>
    <i>
      <x v="689"/>
    </i>
    <i>
      <x v="693"/>
    </i>
    <i>
      <x v="698"/>
    </i>
    <i>
      <x v="699"/>
    </i>
    <i>
      <x v="704"/>
    </i>
    <i>
      <x v="705"/>
    </i>
    <i>
      <x v="708"/>
    </i>
    <i>
      <x v="709"/>
    </i>
    <i>
      <x v="714"/>
    </i>
    <i>
      <x v="715"/>
    </i>
    <i>
      <x v="717"/>
    </i>
    <i>
      <x v="720"/>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371">
      <pivotArea type="all" dataOnly="0" outline="0" fieldPosition="0"/>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50">
            <x v="19"/>
            <x v="32"/>
            <x v="72"/>
            <x v="87"/>
            <x v="92"/>
            <x v="100"/>
            <x v="113"/>
            <x v="131"/>
            <x v="146"/>
            <x v="165"/>
            <x v="200"/>
            <x v="201"/>
            <x v="214"/>
            <x v="224"/>
            <x v="240"/>
            <x v="243"/>
            <x v="303"/>
            <x v="313"/>
            <x v="325"/>
            <x v="338"/>
            <x v="342"/>
            <x v="359"/>
            <x v="360"/>
            <x v="361"/>
            <x v="366"/>
            <x v="378"/>
            <x v="394"/>
            <x v="395"/>
            <x v="421"/>
            <x v="448"/>
            <x v="486"/>
            <x v="487"/>
            <x v="488"/>
            <x v="491"/>
            <x v="510"/>
            <x v="511"/>
            <x v="552"/>
            <x v="553"/>
            <x v="555"/>
            <x v="560"/>
            <x v="565"/>
            <x v="566"/>
            <x v="577"/>
            <x v="583"/>
            <x v="586"/>
            <x v="587"/>
            <x v="594"/>
            <x v="595"/>
            <x v="602"/>
            <x v="639"/>
          </reference>
        </references>
      </pivotArea>
    </format>
    <format dxfId="367">
      <pivotArea dataOnly="0" labelOnly="1" fieldPosition="0">
        <references count="1">
          <reference field="0" count="50">
            <x v="13"/>
            <x v="17"/>
            <x v="20"/>
            <x v="36"/>
            <x v="42"/>
            <x v="60"/>
            <x v="63"/>
            <x v="71"/>
            <x v="78"/>
            <x v="85"/>
            <x v="86"/>
            <x v="88"/>
            <x v="93"/>
            <x v="94"/>
            <x v="105"/>
            <x v="107"/>
            <x v="108"/>
            <x v="109"/>
            <x v="127"/>
            <x v="129"/>
            <x v="136"/>
            <x v="144"/>
            <x v="148"/>
            <x v="154"/>
            <x v="155"/>
            <x v="159"/>
            <x v="161"/>
            <x v="162"/>
            <x v="199"/>
            <x v="208"/>
            <x v="209"/>
            <x v="220"/>
            <x v="268"/>
            <x v="337"/>
            <x v="354"/>
            <x v="377"/>
            <x v="397"/>
            <x v="425"/>
            <x v="460"/>
            <x v="508"/>
            <x v="519"/>
            <x v="525"/>
            <x v="526"/>
            <x v="527"/>
            <x v="571"/>
            <x v="624"/>
            <x v="627"/>
            <x v="648"/>
            <x v="700"/>
            <x v="701"/>
          </reference>
        </references>
      </pivotArea>
    </format>
    <format dxfId="366">
      <pivotArea dataOnly="0" labelOnly="1" fieldPosition="0">
        <references count="1">
          <reference field="0" count="50">
            <x v="290"/>
            <x v="312"/>
            <x v="320"/>
            <x v="323"/>
            <x v="369"/>
            <x v="374"/>
            <x v="410"/>
            <x v="447"/>
            <x v="450"/>
            <x v="455"/>
            <x v="492"/>
            <x v="507"/>
            <x v="518"/>
            <x v="520"/>
            <x v="524"/>
            <x v="542"/>
            <x v="551"/>
            <x v="561"/>
            <x v="575"/>
            <x v="580"/>
            <x v="597"/>
            <x v="609"/>
            <x v="610"/>
            <x v="613"/>
            <x v="614"/>
            <x v="615"/>
            <x v="616"/>
            <x v="617"/>
            <x v="618"/>
            <x v="619"/>
            <x v="620"/>
            <x v="623"/>
            <x v="631"/>
            <x v="633"/>
            <x v="637"/>
            <x v="638"/>
            <x v="640"/>
            <x v="649"/>
            <x v="671"/>
            <x v="673"/>
            <x v="676"/>
            <x v="681"/>
            <x v="682"/>
            <x v="696"/>
            <x v="706"/>
            <x v="707"/>
            <x v="708"/>
            <x v="709"/>
            <x v="710"/>
            <x v="711"/>
          </reference>
        </references>
      </pivotArea>
    </format>
    <format dxfId="365">
      <pivotArea dataOnly="0" labelOnly="1" fieldPosition="0">
        <references count="1">
          <reference field="0" count="12">
            <x v="30"/>
            <x v="712"/>
            <x v="713"/>
            <x v="714"/>
            <x v="715"/>
            <x v="716"/>
            <x v="718"/>
            <x v="719"/>
            <x v="721"/>
            <x v="722"/>
            <x v="723"/>
            <x v="724"/>
          </reference>
        </references>
      </pivotArea>
    </format>
    <format dxfId="364">
      <pivotArea dataOnly="0" labelOnly="1" grandRow="1" outline="0" fieldPosition="0"/>
    </format>
    <format dxfId="36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33"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1012">
      <pivotArea outline="0" collapsedLevelsAreSubtotals="1" fieldPosition="0"/>
    </format>
    <format dxfId="1011">
      <pivotArea dataOnly="0" labelOnly="1" fieldPosition="0">
        <references count="1">
          <reference field="3" count="1" defaultSubtotal="1">
            <x v="0"/>
          </reference>
        </references>
      </pivotArea>
    </format>
    <format dxfId="1010">
      <pivotArea dataOnly="0" labelOnly="1" fieldPosition="0">
        <references count="1">
          <reference field="3" count="1" defaultSubtotal="1">
            <x v="1"/>
          </reference>
        </references>
      </pivotArea>
    </format>
    <format dxfId="1009">
      <pivotArea dataOnly="0" labelOnly="1" fieldPosition="0">
        <references count="1">
          <reference field="3" count="1" defaultSubtotal="1">
            <x v="2"/>
          </reference>
        </references>
      </pivotArea>
    </format>
    <format dxfId="1008">
      <pivotArea dataOnly="0" labelOnly="1" fieldPosition="0">
        <references count="1">
          <reference field="3" count="1" defaultSubtotal="1">
            <x v="3"/>
          </reference>
        </references>
      </pivotArea>
    </format>
    <format dxfId="1007">
      <pivotArea dataOnly="0" labelOnly="1" fieldPosition="0">
        <references count="1">
          <reference field="3" count="1" defaultSubtotal="1">
            <x v="4"/>
          </reference>
        </references>
      </pivotArea>
    </format>
    <format dxfId="1006">
      <pivotArea dataOnly="0" labelOnly="1" grandCol="1" outline="0" fieldPosition="0"/>
    </format>
    <format dxfId="1005">
      <pivotArea dataOnly="0" labelOnly="1" fieldPosition="0">
        <references count="2">
          <reference field="3" count="1" selected="0">
            <x v="0"/>
          </reference>
          <reference field="4" count="0"/>
        </references>
      </pivotArea>
    </format>
    <format dxfId="1004">
      <pivotArea dataOnly="0" labelOnly="1" fieldPosition="0">
        <references count="2">
          <reference field="3" count="1" selected="0">
            <x v="1"/>
          </reference>
          <reference field="4" count="0"/>
        </references>
      </pivotArea>
    </format>
    <format dxfId="1003">
      <pivotArea dataOnly="0" labelOnly="1" fieldPosition="0">
        <references count="2">
          <reference field="3" count="1" selected="0">
            <x v="2"/>
          </reference>
          <reference field="4" count="0"/>
        </references>
      </pivotArea>
    </format>
    <format dxfId="1002">
      <pivotArea dataOnly="0" labelOnly="1" fieldPosition="0">
        <references count="2">
          <reference field="3" count="1" selected="0">
            <x v="3"/>
          </reference>
          <reference field="4" count="0"/>
        </references>
      </pivotArea>
    </format>
    <format dxfId="1001">
      <pivotArea dataOnly="0" labelOnly="1" fieldPosition="0">
        <references count="2">
          <reference field="3" count="1" selected="0">
            <x v="4"/>
          </reference>
          <reference field="4" count="0"/>
        </references>
      </pivotArea>
    </format>
    <format dxfId="1000">
      <pivotArea type="origin" dataOnly="0" labelOnly="1" outline="0" offset="A1" fieldPosition="0"/>
    </format>
    <format dxfId="999">
      <pivotArea field="3" type="button" dataOnly="0" labelOnly="1" outline="0" axis="axisCol" fieldPosition="0"/>
    </format>
    <format dxfId="998">
      <pivotArea field="4" type="button" dataOnly="0" labelOnly="1" outline="0" axis="axisCol" fieldPosition="1"/>
    </format>
    <format dxfId="997">
      <pivotArea type="topRight" dataOnly="0" labelOnly="1" outline="0" fieldPosition="0"/>
    </format>
    <format dxfId="996">
      <pivotArea field="0" type="button" dataOnly="0" labelOnly="1" outline="0" axis="axisRow" fieldPosition="0"/>
    </format>
    <format dxfId="995">
      <pivotArea dataOnly="0" labelOnly="1" fieldPosition="0">
        <references count="1">
          <reference field="0" count="0"/>
        </references>
      </pivotArea>
    </format>
    <format dxfId="994">
      <pivotArea dataOnly="0" labelOnly="1" fieldPosition="0">
        <references count="2">
          <reference field="0" count="1" selected="0">
            <x v="0"/>
          </reference>
          <reference field="1" count="0"/>
        </references>
      </pivotArea>
    </format>
    <format dxfId="993">
      <pivotArea collapsedLevelsAreSubtotals="1" fieldPosition="0">
        <references count="1">
          <reference field="0" count="1">
            <x v="0"/>
          </reference>
        </references>
      </pivotArea>
    </format>
    <format dxfId="992">
      <pivotArea collapsedLevelsAreSubtotals="1" fieldPosition="0">
        <references count="2">
          <reference field="0" count="1" selected="0">
            <x v="0"/>
          </reference>
          <reference field="1" count="2">
            <x v="3"/>
            <x v="11"/>
          </reference>
        </references>
      </pivotArea>
    </format>
    <format dxfId="991">
      <pivotArea collapsedLevelsAreSubtotals="1" fieldPosition="0">
        <references count="1">
          <reference field="0" count="1">
            <x v="1"/>
          </reference>
        </references>
      </pivotArea>
    </format>
    <format dxfId="990">
      <pivotArea collapsedLevelsAreSubtotals="1" fieldPosition="0">
        <references count="2">
          <reference field="0" count="1" selected="0">
            <x v="1"/>
          </reference>
          <reference field="1" count="11">
            <x v="5"/>
            <x v="6"/>
            <x v="8"/>
            <x v="13"/>
            <x v="14"/>
            <x v="15"/>
            <x v="16"/>
            <x v="17"/>
            <x v="18"/>
            <x v="19"/>
            <x v="20"/>
          </reference>
        </references>
      </pivotArea>
    </format>
    <format dxfId="989">
      <pivotArea dataOnly="0" labelOnly="1" fieldPosition="0">
        <references count="1">
          <reference field="0" count="0"/>
        </references>
      </pivotArea>
    </format>
    <format dxfId="988">
      <pivotArea dataOnly="0" labelOnly="1" fieldPosition="0">
        <references count="2">
          <reference field="0" count="1" selected="0">
            <x v="0"/>
          </reference>
          <reference field="1" count="0"/>
        </references>
      </pivotArea>
    </format>
    <format dxfId="987">
      <pivotArea grandRow="1" outline="0" collapsedLevelsAreSubtotals="1" fieldPosition="0"/>
    </format>
    <format dxfId="986">
      <pivotArea dataOnly="0" labelOnly="1" grandRow="1" outline="0" fieldPosition="0"/>
    </format>
    <format dxfId="985">
      <pivotArea dataOnly="0" labelOnly="1" offset="A256" fieldPosition="0">
        <references count="1">
          <reference field="3" count="1">
            <x v="0"/>
          </reference>
        </references>
      </pivotArea>
    </format>
    <format dxfId="984">
      <pivotArea dataOnly="0" labelOnly="1" fieldPosition="0">
        <references count="2">
          <reference field="3" count="1" selected="0">
            <x v="0"/>
          </reference>
          <reference field="4" count="1">
            <x v="0"/>
          </reference>
        </references>
      </pivotArea>
    </format>
    <format dxfId="983">
      <pivotArea dataOnly="0" labelOnly="1" offset="IV256" fieldPosition="0">
        <references count="1">
          <reference field="3" count="1">
            <x v="0"/>
          </reference>
        </references>
      </pivotArea>
    </format>
    <format dxfId="982">
      <pivotArea dataOnly="0" labelOnly="1" fieldPosition="0">
        <references count="2">
          <reference field="3" count="1" selected="0">
            <x v="0"/>
          </reference>
          <reference field="4" count="1">
            <x v="1"/>
          </reference>
        </references>
      </pivotArea>
    </format>
    <format dxfId="981">
      <pivotArea dataOnly="0" labelOnly="1" fieldPosition="0">
        <references count="1">
          <reference field="3" count="1" defaultSubtotal="1">
            <x v="0"/>
          </reference>
        </references>
      </pivotArea>
    </format>
    <format dxfId="980">
      <pivotArea dataOnly="0" labelOnly="1" offset="A256" fieldPosition="0">
        <references count="1">
          <reference field="3" count="1">
            <x v="1"/>
          </reference>
        </references>
      </pivotArea>
    </format>
    <format dxfId="979">
      <pivotArea dataOnly="0" labelOnly="1" fieldPosition="0">
        <references count="2">
          <reference field="3" count="1" selected="0">
            <x v="1"/>
          </reference>
          <reference field="4" count="1">
            <x v="0"/>
          </reference>
        </references>
      </pivotArea>
    </format>
    <format dxfId="978">
      <pivotArea dataOnly="0" labelOnly="1" offset="IV256" fieldPosition="0">
        <references count="1">
          <reference field="3" count="1">
            <x v="1"/>
          </reference>
        </references>
      </pivotArea>
    </format>
    <format dxfId="977">
      <pivotArea dataOnly="0" labelOnly="1" fieldPosition="0">
        <references count="2">
          <reference field="3" count="1" selected="0">
            <x v="1"/>
          </reference>
          <reference field="4" count="1">
            <x v="1"/>
          </reference>
        </references>
      </pivotArea>
    </format>
    <format dxfId="976">
      <pivotArea dataOnly="0" labelOnly="1" fieldPosition="0">
        <references count="1">
          <reference field="3" count="1" defaultSubtotal="1">
            <x v="1"/>
          </reference>
        </references>
      </pivotArea>
    </format>
    <format dxfId="975">
      <pivotArea dataOnly="0" labelOnly="1" offset="A256" fieldPosition="0">
        <references count="1">
          <reference field="3" count="1">
            <x v="2"/>
          </reference>
        </references>
      </pivotArea>
    </format>
    <format dxfId="974">
      <pivotArea dataOnly="0" labelOnly="1" fieldPosition="0">
        <references count="2">
          <reference field="3" count="1" selected="0">
            <x v="2"/>
          </reference>
          <reference field="4" count="1">
            <x v="0"/>
          </reference>
        </references>
      </pivotArea>
    </format>
    <format dxfId="973">
      <pivotArea dataOnly="0" labelOnly="1" offset="IV256" fieldPosition="0">
        <references count="1">
          <reference field="3" count="1">
            <x v="2"/>
          </reference>
        </references>
      </pivotArea>
    </format>
    <format dxfId="972">
      <pivotArea dataOnly="0" labelOnly="1" fieldPosition="0">
        <references count="2">
          <reference field="3" count="1" selected="0">
            <x v="2"/>
          </reference>
          <reference field="4" count="1">
            <x v="1"/>
          </reference>
        </references>
      </pivotArea>
    </format>
    <format dxfId="971">
      <pivotArea dataOnly="0" labelOnly="1" fieldPosition="0">
        <references count="1">
          <reference field="3" count="1" defaultSubtotal="1">
            <x v="2"/>
          </reference>
        </references>
      </pivotArea>
    </format>
    <format dxfId="970">
      <pivotArea dataOnly="0" labelOnly="1" offset="A256" fieldPosition="0">
        <references count="1">
          <reference field="3" count="1">
            <x v="3"/>
          </reference>
        </references>
      </pivotArea>
    </format>
    <format dxfId="969">
      <pivotArea dataOnly="0" labelOnly="1" fieldPosition="0">
        <references count="2">
          <reference field="3" count="1" selected="0">
            <x v="3"/>
          </reference>
          <reference field="4" count="1">
            <x v="0"/>
          </reference>
        </references>
      </pivotArea>
    </format>
    <format dxfId="968">
      <pivotArea dataOnly="0" labelOnly="1" offset="IV256" fieldPosition="0">
        <references count="1">
          <reference field="3" count="1">
            <x v="3"/>
          </reference>
        </references>
      </pivotArea>
    </format>
    <format dxfId="967">
      <pivotArea dataOnly="0" labelOnly="1" fieldPosition="0">
        <references count="2">
          <reference field="3" count="1" selected="0">
            <x v="3"/>
          </reference>
          <reference field="4" count="1">
            <x v="1"/>
          </reference>
        </references>
      </pivotArea>
    </format>
    <format dxfId="966">
      <pivotArea dataOnly="0" labelOnly="1" fieldPosition="0">
        <references count="1">
          <reference field="3" count="1" defaultSubtotal="1">
            <x v="3"/>
          </reference>
        </references>
      </pivotArea>
    </format>
    <format dxfId="965">
      <pivotArea dataOnly="0" labelOnly="1" offset="A256" fieldPosition="0">
        <references count="1">
          <reference field="3" count="1">
            <x v="4"/>
          </reference>
        </references>
      </pivotArea>
    </format>
    <format dxfId="964">
      <pivotArea dataOnly="0" labelOnly="1" fieldPosition="0">
        <references count="2">
          <reference field="3" count="1" selected="0">
            <x v="4"/>
          </reference>
          <reference field="4" count="1">
            <x v="0"/>
          </reference>
        </references>
      </pivotArea>
    </format>
    <format dxfId="963">
      <pivotArea dataOnly="0" labelOnly="1" offset="IV256" fieldPosition="0">
        <references count="1">
          <reference field="3" count="1">
            <x v="4"/>
          </reference>
        </references>
      </pivotArea>
    </format>
    <format dxfId="962">
      <pivotArea dataOnly="0" labelOnly="1" fieldPosition="0">
        <references count="2">
          <reference field="3" count="1" selected="0">
            <x v="4"/>
          </reference>
          <reference field="4" count="1">
            <x v="1"/>
          </reference>
        </references>
      </pivotArea>
    </format>
    <format dxfId="961">
      <pivotArea dataOnly="0" labelOnly="1" fieldPosition="0">
        <references count="1">
          <reference field="3" count="1" defaultSubtotal="1">
            <x v="4"/>
          </reference>
        </references>
      </pivotArea>
    </format>
    <format dxfId="960">
      <pivotArea dataOnly="0" labelOnly="1" grandCol="1" outline="0" fieldPosition="0"/>
    </format>
    <format dxfId="959">
      <pivotArea dataOnly="0" labelOnly="1" fieldPosition="0">
        <references count="1">
          <reference field="0" count="1">
            <x v="2"/>
          </reference>
        </references>
      </pivotArea>
    </format>
    <format dxfId="958">
      <pivotArea dataOnly="0" labelOnly="1" fieldPosition="0">
        <references count="2">
          <reference field="0" count="1" selected="0">
            <x v="1"/>
          </reference>
          <reference field="1" count="12">
            <x v="6"/>
            <x v="8"/>
            <x v="13"/>
            <x v="15"/>
            <x v="16"/>
            <x v="17"/>
            <x v="18"/>
            <x v="19"/>
            <x v="20"/>
            <x v="22"/>
            <x v="23"/>
            <x v="24"/>
          </reference>
        </references>
      </pivotArea>
    </format>
    <format dxfId="957">
      <pivotArea collapsedLevelsAreSubtotals="1" fieldPosition="0">
        <references count="1">
          <reference field="0" count="1">
            <x v="0"/>
          </reference>
        </references>
      </pivotArea>
    </format>
    <format dxfId="956">
      <pivotArea collapsedLevelsAreSubtotals="1" fieldPosition="0">
        <references count="2">
          <reference field="0" count="1" selected="0">
            <x v="0"/>
          </reference>
          <reference field="1" count="5">
            <x v="3"/>
            <x v="11"/>
            <x v="21"/>
            <x v="25"/>
            <x v="26"/>
          </reference>
        </references>
      </pivotArea>
    </format>
    <format dxfId="955">
      <pivotArea collapsedLevelsAreSubtotals="1" fieldPosition="0">
        <references count="1">
          <reference field="0" count="1">
            <x v="1"/>
          </reference>
        </references>
      </pivotArea>
    </format>
    <format dxfId="954">
      <pivotArea collapsedLevelsAreSubtotals="1" fieldPosition="0">
        <references count="2">
          <reference field="0" count="1" selected="0">
            <x v="1"/>
          </reference>
          <reference field="1" count="12">
            <x v="6"/>
            <x v="8"/>
            <x v="13"/>
            <x v="15"/>
            <x v="16"/>
            <x v="17"/>
            <x v="18"/>
            <x v="19"/>
            <x v="20"/>
            <x v="22"/>
            <x v="23"/>
            <x v="24"/>
          </reference>
        </references>
      </pivotArea>
    </format>
    <format dxfId="953">
      <pivotArea collapsedLevelsAreSubtotals="1" fieldPosition="0">
        <references count="2">
          <reference field="0" count="1" selected="0">
            <x v="2"/>
          </reference>
          <reference field="1" count="2">
            <x v="27"/>
            <x v="28"/>
          </reference>
        </references>
      </pivotArea>
    </format>
    <format dxfId="952">
      <pivotArea collapsedLevelsAreSubtotals="1" fieldPosition="0">
        <references count="2">
          <reference field="0" count="1" selected="0">
            <x v="0"/>
          </reference>
          <reference field="1" count="1">
            <x v="21"/>
          </reference>
        </references>
      </pivotArea>
    </format>
    <format dxfId="951">
      <pivotArea collapsedLevelsAreSubtotals="1" fieldPosition="0">
        <references count="2">
          <reference field="0" count="1" selected="0">
            <x v="0"/>
          </reference>
          <reference field="1" count="1">
            <x v="25"/>
          </reference>
        </references>
      </pivotArea>
    </format>
    <format dxfId="950">
      <pivotArea collapsedLevelsAreSubtotals="1" fieldPosition="0">
        <references count="2">
          <reference field="0" count="1" selected="0">
            <x v="0"/>
          </reference>
          <reference field="1" count="3">
            <x v="21"/>
            <x v="25"/>
            <x v="26"/>
          </reference>
        </references>
      </pivotArea>
    </format>
    <format dxfId="949">
      <pivotArea dataOnly="0" labelOnly="1" fieldPosition="0">
        <references count="2">
          <reference field="0" count="1" selected="0">
            <x v="2"/>
          </reference>
          <reference field="1" count="2">
            <x v="27"/>
            <x v="28"/>
          </reference>
        </references>
      </pivotArea>
    </format>
    <format dxfId="948">
      <pivotArea collapsedLevelsAreSubtotals="1" fieldPosition="0">
        <references count="2">
          <reference field="0" count="1" selected="0">
            <x v="1"/>
          </reference>
          <reference field="1" count="3">
            <x v="22"/>
            <x v="23"/>
            <x v="24"/>
          </reference>
        </references>
      </pivotArea>
    </format>
    <format dxfId="947">
      <pivotArea collapsedLevelsAreSubtotals="1" fieldPosition="0">
        <references count="2">
          <reference field="0" count="1" selected="0">
            <x v="2"/>
          </reference>
          <reference field="1" count="2">
            <x v="27"/>
            <x v="28"/>
          </reference>
        </references>
      </pivotArea>
    </format>
    <format dxfId="946">
      <pivotArea collapsedLevelsAreSubtotals="1" fieldPosition="0">
        <references count="2">
          <reference field="0" count="1" selected="0">
            <x v="1"/>
          </reference>
          <reference field="1" count="1">
            <x v="22"/>
          </reference>
        </references>
      </pivotArea>
    </format>
    <format dxfId="945">
      <pivotArea collapsedLevelsAreSubtotals="1" fieldPosition="0">
        <references count="2">
          <reference field="0" count="1" selected="0">
            <x v="1"/>
          </reference>
          <reference field="1" count="1">
            <x v="23"/>
          </reference>
        </references>
      </pivotArea>
    </format>
    <format dxfId="944">
      <pivotArea collapsedLevelsAreSubtotals="1" fieldPosition="0">
        <references count="2">
          <reference field="0" count="1" selected="0">
            <x v="1"/>
          </reference>
          <reference field="1" count="1">
            <x v="24"/>
          </reference>
        </references>
      </pivotArea>
    </format>
    <format dxfId="943">
      <pivotArea collapsedLevelsAreSubtotals="1" fieldPosition="0">
        <references count="1">
          <reference field="0" count="1">
            <x v="2"/>
          </reference>
        </references>
      </pivotArea>
    </format>
    <format dxfId="942">
      <pivotArea collapsedLevelsAreSubtotals="1" fieldPosition="0">
        <references count="2">
          <reference field="0" count="1" selected="0">
            <x v="2"/>
          </reference>
          <reference field="1" count="1">
            <x v="27"/>
          </reference>
        </references>
      </pivotArea>
    </format>
    <format dxfId="941">
      <pivotArea type="all" dataOnly="0" outline="0" fieldPosition="0"/>
    </format>
    <format dxfId="940">
      <pivotArea dataOnly="0" labelOnly="1" fieldPosition="0">
        <references count="2">
          <reference field="0" count="1" selected="0">
            <x v="1"/>
          </reference>
          <reference field="1" count="7">
            <x v="19"/>
            <x v="20"/>
            <x v="22"/>
            <x v="23"/>
            <x v="24"/>
            <x v="29"/>
            <x v="30"/>
          </reference>
        </references>
      </pivotArea>
    </format>
    <format dxfId="939">
      <pivotArea collapsedLevelsAreSubtotals="1" fieldPosition="0">
        <references count="2">
          <reference field="0" count="1" selected="0">
            <x v="1"/>
          </reference>
          <reference field="1" count="2">
            <x v="29"/>
            <x v="30"/>
          </reference>
        </references>
      </pivotArea>
    </format>
    <format dxfId="938">
      <pivotArea collapsedLevelsAreSubtotals="1" fieldPosition="0">
        <references count="1">
          <reference field="0" count="1">
            <x v="2"/>
          </reference>
        </references>
      </pivotArea>
    </format>
    <format dxfId="937">
      <pivotArea collapsedLevelsAreSubtotals="1" fieldPosition="0">
        <references count="2">
          <reference field="0" count="1" selected="0">
            <x v="1"/>
          </reference>
          <reference field="1" count="1">
            <x v="29"/>
          </reference>
        </references>
      </pivotArea>
    </format>
    <format dxfId="936">
      <pivotArea collapsedLevelsAreSubtotals="1" fieldPosition="0">
        <references count="1">
          <reference field="0" count="1">
            <x v="2"/>
          </reference>
        </references>
      </pivotArea>
    </format>
    <format dxfId="935">
      <pivotArea dataOnly="0" labelOnly="1" fieldPosition="0">
        <references count="2">
          <reference field="0" count="1" selected="0">
            <x v="1"/>
          </reference>
          <reference field="1" count="1">
            <x v="13"/>
          </reference>
        </references>
      </pivotArea>
    </format>
    <format dxfId="934">
      <pivotArea dataOnly="0" labelOnly="1" fieldPosition="0">
        <references count="2">
          <reference field="0" count="1" selected="0">
            <x v="1"/>
          </reference>
          <reference field="1" count="1">
            <x v="14"/>
          </reference>
        </references>
      </pivotArea>
    </format>
    <format dxfId="933">
      <pivotArea dataOnly="0" labelOnly="1" fieldPosition="0">
        <references count="1">
          <reference field="0" count="0"/>
        </references>
      </pivotArea>
    </format>
    <format dxfId="932">
      <pivotArea dataOnly="0" labelOnly="1" fieldPosition="0">
        <references count="2">
          <reference field="0" count="1" selected="0">
            <x v="0"/>
          </reference>
          <reference field="1" count="0"/>
        </references>
      </pivotArea>
    </format>
    <format dxfId="931">
      <pivotArea grandRow="1" outline="0" collapsedLevelsAreSubtotals="1" fieldPosition="0"/>
    </format>
    <format dxfId="93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L38:O46"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043">
      <pivotArea outline="0" collapsedLevelsAreSubtotals="1" fieldPosition="0"/>
    </format>
    <format dxfId="1042">
      <pivotArea dataOnly="0" labelOnly="1" fieldPosition="0">
        <references count="1">
          <reference field="4" count="1" defaultSubtotal="1">
            <x v="0"/>
          </reference>
        </references>
      </pivotArea>
    </format>
    <format dxfId="1041">
      <pivotArea dataOnly="0" labelOnly="1" fieldPosition="0">
        <references count="1">
          <reference field="4" count="1" defaultSubtotal="1">
            <x v="2"/>
          </reference>
        </references>
      </pivotArea>
    </format>
    <format dxfId="1040">
      <pivotArea dataOnly="0" labelOnly="1" fieldPosition="0">
        <references count="1">
          <reference field="4" count="1" defaultSubtotal="1">
            <x v="3"/>
          </reference>
        </references>
      </pivotArea>
    </format>
    <format dxfId="1039">
      <pivotArea dataOnly="0" labelOnly="1" fieldPosition="0">
        <references count="1">
          <reference field="4" count="1" defaultSubtotal="1">
            <x v="1"/>
          </reference>
        </references>
      </pivotArea>
    </format>
    <format dxfId="1038">
      <pivotArea dataOnly="0" labelOnly="1" fieldPosition="0">
        <references count="1">
          <reference field="4" count="1" defaultSubtotal="1">
            <x v="4"/>
          </reference>
        </references>
      </pivotArea>
    </format>
    <format dxfId="1037">
      <pivotArea dataOnly="0" labelOnly="1" grandCol="1" outline="0" fieldPosition="0"/>
    </format>
    <format dxfId="1036">
      <pivotArea dataOnly="0" labelOnly="1" fieldPosition="0">
        <references count="2">
          <reference field="4" count="1" selected="0">
            <x v="0"/>
          </reference>
          <reference field="5" count="0"/>
        </references>
      </pivotArea>
    </format>
    <format dxfId="1035">
      <pivotArea dataOnly="0" labelOnly="1" fieldPosition="0">
        <references count="2">
          <reference field="4" count="1" selected="0">
            <x v="2"/>
          </reference>
          <reference field="5" count="0"/>
        </references>
      </pivotArea>
    </format>
    <format dxfId="1034">
      <pivotArea dataOnly="0" labelOnly="1" fieldPosition="0">
        <references count="2">
          <reference field="4" count="1" selected="0">
            <x v="3"/>
          </reference>
          <reference field="5" count="0"/>
        </references>
      </pivotArea>
    </format>
    <format dxfId="1033">
      <pivotArea dataOnly="0" labelOnly="1" fieldPosition="0">
        <references count="2">
          <reference field="4" count="1" selected="0">
            <x v="1"/>
          </reference>
          <reference field="5" count="0"/>
        </references>
      </pivotArea>
    </format>
    <format dxfId="1032">
      <pivotArea dataOnly="0" labelOnly="1" fieldPosition="0">
        <references count="2">
          <reference field="4" count="1" selected="0">
            <x v="4"/>
          </reference>
          <reference field="5" count="0"/>
        </references>
      </pivotArea>
    </format>
    <format dxfId="1031">
      <pivotArea field="1" type="button" dataOnly="0" labelOnly="1" outline="0" axis="axisPage" fieldPosition="0"/>
    </format>
    <format dxfId="1030">
      <pivotArea dataOnly="0" labelOnly="1" outline="0" fieldPosition="0">
        <references count="1">
          <reference field="1" count="0"/>
        </references>
      </pivotArea>
    </format>
    <format dxfId="1029">
      <pivotArea field="2" type="button" dataOnly="0" labelOnly="1" outline="0" axis="axisPage" fieldPosition="1"/>
    </format>
    <format dxfId="1028">
      <pivotArea dataOnly="0" labelOnly="1" outline="0" fieldPosition="0">
        <references count="1">
          <reference field="2" count="0"/>
        </references>
      </pivotArea>
    </format>
    <format dxfId="1027">
      <pivotArea type="origin" dataOnly="0" labelOnly="1" outline="0" fieldPosition="0"/>
    </format>
    <format dxfId="1026">
      <pivotArea field="4" type="button" dataOnly="0" labelOnly="1" outline="0" axis="axisRow" fieldPosition="0"/>
    </format>
    <format dxfId="1025">
      <pivotArea field="5" type="button" dataOnly="0" labelOnly="1" outline="0" axis="axisCol" fieldPosition="0"/>
    </format>
    <format dxfId="1024">
      <pivotArea dataOnly="0" labelOnly="1" fieldPosition="0">
        <references count="1">
          <reference field="5" count="1">
            <x v="0"/>
          </reference>
        </references>
      </pivotArea>
    </format>
    <format dxfId="1023">
      <pivotArea type="topRight" dataOnly="0" labelOnly="1" outline="0" offset="A1" fieldPosition="0"/>
    </format>
    <format dxfId="1022">
      <pivotArea dataOnly="0" labelOnly="1" fieldPosition="0">
        <references count="1">
          <reference field="5" count="1">
            <x v="1"/>
          </reference>
        </references>
      </pivotArea>
    </format>
    <format dxfId="1021">
      <pivotArea type="topRight" dataOnly="0" labelOnly="1" outline="0" offset="B1" fieldPosition="0"/>
    </format>
    <format dxfId="1020">
      <pivotArea dataOnly="0" labelOnly="1" grandCol="1" outline="0" fieldPosition="0"/>
    </format>
    <format dxfId="1019">
      <pivotArea collapsedLevelsAreSubtotals="1" fieldPosition="0">
        <references count="1">
          <reference field="4" count="0"/>
        </references>
      </pivotArea>
    </format>
    <format dxfId="1018">
      <pivotArea dataOnly="0" labelOnly="1" fieldPosition="0">
        <references count="1">
          <reference field="4" count="0"/>
        </references>
      </pivotArea>
    </format>
    <format dxfId="1017">
      <pivotArea grandRow="1" outline="0" collapsedLevelsAreSubtotals="1" fieldPosition="0"/>
    </format>
    <format dxfId="1016">
      <pivotArea dataOnly="0" labelOnly="1" grandRow="1" outline="0" fieldPosition="0"/>
    </format>
    <format dxfId="1015">
      <pivotArea field="1" type="button" dataOnly="0" labelOnly="1" outline="0" axis="axisPage" fieldPosition="0"/>
    </format>
    <format dxfId="1014">
      <pivotArea dataOnly="0" labelOnly="1" outline="0" fieldPosition="0">
        <references count="1">
          <reference field="1" count="0"/>
        </references>
      </pivotArea>
    </format>
    <format dxfId="1013">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location ref="J1:N11" firstHeaderRow="1" firstDataRow="2" firstDataCol="1"/>
  <pivotFields count="8">
    <pivotField showAll="0" defaultSubtotal="0"/>
    <pivotField axis="axisCol" showAll="0" defaultSubtotal="0">
      <items count="3">
        <item x="2"/>
        <item x="0"/>
        <item x="1"/>
      </items>
    </pivotField>
    <pivotField showAll="0" defaultSubtotal="0">
      <items count="23">
        <item x="0"/>
        <item x="1"/>
        <item x="2"/>
        <item x="3"/>
        <item x="4"/>
        <item x="5"/>
        <item x="6"/>
        <item x="7"/>
        <item x="8"/>
        <item x="9"/>
        <item x="10"/>
        <item x="11"/>
        <item x="12"/>
        <item x="13"/>
        <item x="14"/>
        <item x="15"/>
        <item x="16"/>
        <item x="17"/>
        <item x="18"/>
        <item x="19"/>
        <item x="20"/>
        <item x="21"/>
        <item x="22"/>
      </items>
    </pivotField>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Fields count="1">
    <field x="1"/>
  </colFields>
  <colItems count="4">
    <i>
      <x/>
    </i>
    <i>
      <x v="1"/>
    </i>
    <i>
      <x v="2"/>
    </i>
    <i t="grand">
      <x/>
    </i>
  </colItems>
  <dataFields count="1">
    <dataField name="Sum of Total" fld="5" baseField="0" baseItem="0" numFmtId="165"/>
  </dataFields>
  <formats count="14">
    <format dxfId="914">
      <pivotArea field="4" type="button" dataOnly="0" labelOnly="1" outline="0" axis="axisRow" fieldPosition="0"/>
    </format>
    <format dxfId="913">
      <pivotArea dataOnly="0" labelOnly="1" outline="0" axis="axisValues" fieldPosition="0"/>
    </format>
    <format dxfId="912">
      <pivotArea dataOnly="0" labelOnly="1" fieldPosition="0">
        <references count="1">
          <reference field="4" count="0"/>
        </references>
      </pivotArea>
    </format>
    <format dxfId="911">
      <pivotArea collapsedLevelsAreSubtotals="1" fieldPosition="0">
        <references count="1">
          <reference field="4" count="0"/>
        </references>
      </pivotArea>
    </format>
    <format dxfId="910">
      <pivotArea grandRow="1" outline="0" collapsedLevelsAreSubtotals="1" fieldPosition="0"/>
    </format>
    <format dxfId="909">
      <pivotArea dataOnly="0" labelOnly="1" grandRow="1" outline="0" fieldPosition="0"/>
    </format>
    <format dxfId="908">
      <pivotArea outline="0" collapsedLevelsAreSubtotals="1" fieldPosition="0"/>
    </format>
    <format dxfId="907">
      <pivotArea type="origin" dataOnly="0" labelOnly="1" outline="0" fieldPosition="0"/>
    </format>
    <format dxfId="906">
      <pivotArea field="1" type="button" dataOnly="0" labelOnly="1" outline="0" axis="axisCol" fieldPosition="0"/>
    </format>
    <format dxfId="905">
      <pivotArea collapsedLevelsAreSubtotals="1" fieldPosition="0">
        <references count="1">
          <reference field="4" count="0"/>
        </references>
      </pivotArea>
    </format>
    <format dxfId="904">
      <pivotArea field="4" type="button" dataOnly="0" labelOnly="1" outline="0" axis="axisRow" fieldPosition="0"/>
    </format>
    <format dxfId="903">
      <pivotArea dataOnly="0" labelOnly="1" fieldPosition="0">
        <references count="1">
          <reference field="4" count="0"/>
        </references>
      </pivotArea>
    </format>
    <format dxfId="902">
      <pivotArea dataOnly="0" labelOnly="1" fieldPosition="0">
        <references count="1">
          <reference field="1" count="0"/>
        </references>
      </pivotArea>
    </format>
    <format dxfId="901">
      <pivotArea dataOnly="0" labelOnly="1" grandCol="1" outline="0" fieldPosition="0"/>
    </format>
  </formats>
  <chartFormats count="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H43:K50"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3"/>
        <item x="2"/>
        <item x="1"/>
        <item x="6"/>
        <item x="5"/>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28"/>
  </rowFields>
  <rowItems count="6">
    <i>
      <x v="1"/>
    </i>
    <i>
      <x v="2"/>
    </i>
    <i>
      <x/>
    </i>
    <i>
      <x v="6"/>
    </i>
    <i>
      <x v="3"/>
    </i>
    <i t="grand">
      <x/>
    </i>
  </rowItems>
  <colFields count="1">
    <field x="27"/>
  </colFields>
  <colItems count="3">
    <i>
      <x/>
    </i>
    <i>
      <x v="1"/>
    </i>
    <i t="grand">
      <x/>
    </i>
  </colItems>
  <pageFields count="1">
    <pageField fld="0" hier="-1"/>
  </pageFields>
  <dataFields count="1">
    <dataField name="Sum of Total" fld="17" baseField="23" baseItem="0"/>
  </dataFields>
  <formats count="1">
    <format dxfId="851">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7" count="1" selected="0">
            <x v="1"/>
          </reference>
          <reference field="28" count="1" selected="0">
            <x v="6"/>
          </reference>
        </references>
      </pivotArea>
    </chartFormat>
    <chartFormat chart="6" format="0" series="1">
      <pivotArea type="data" outline="0" fieldPosition="0">
        <references count="2">
          <reference field="4294967294" count="1" selected="0">
            <x v="0"/>
          </reference>
          <reference field="27" count="1" selected="0">
            <x v="0"/>
          </reference>
        </references>
      </pivotArea>
    </chartFormat>
    <chartFormat chart="6" format="1" series="1">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43"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36:D38"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7"/>
  </colFields>
  <colItems count="3">
    <i>
      <x/>
    </i>
    <i>
      <x v="1"/>
    </i>
    <i t="grand">
      <x/>
    </i>
  </colItems>
  <pageFields count="1">
    <pageField fld="0" hier="-1"/>
  </pageFields>
  <dataFields count="1">
    <dataField name="# Ind." fld="17" baseField="20" baseItem="4"/>
  </dataFields>
  <formats count="5">
    <format dxfId="856">
      <pivotArea field="0" type="button" dataOnly="0" labelOnly="1" outline="0" axis="axisPage" fieldPosition="0"/>
    </format>
    <format dxfId="855">
      <pivotArea dataOnly="0" labelOnly="1" outline="0" fieldPosition="0">
        <references count="1">
          <reference field="0" count="0"/>
        </references>
      </pivotArea>
    </format>
    <format dxfId="854">
      <pivotArea type="all" dataOnly="0" outline="0" fieldPosition="0"/>
    </format>
    <format dxfId="853">
      <pivotArea field="0" type="button" dataOnly="0" labelOnly="1" outline="0" axis="axisPage" fieldPosition="0"/>
    </format>
    <format dxfId="852">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7"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7" count="1" selected="0">
            <x v="0"/>
          </reference>
        </references>
      </pivotArea>
    </chartFormat>
    <chartFormat chart="2" format="31">
      <pivotArea type="data" outline="0" fieldPosition="0">
        <references count="2">
          <reference field="4294967294" count="1" selected="0">
            <x v="0"/>
          </reference>
          <reference field="27" count="1" selected="0">
            <x v="0"/>
          </reference>
        </references>
      </pivotArea>
    </chartFormat>
    <chartFormat chart="2" format="32">
      <pivotArea type="data" outline="0" fieldPosition="0">
        <references count="2">
          <reference field="4294967294" count="1" selected="0">
            <x v="0"/>
          </reference>
          <reference field="27" count="1" selected="0">
            <x v="1"/>
          </reference>
        </references>
      </pivotArea>
    </chartFormat>
    <chartFormat chart="3" format="0" series="1">
      <pivotArea type="data" outline="0" fieldPosition="0">
        <references count="2">
          <reference field="4294967294" count="1" selected="0">
            <x v="0"/>
          </reference>
          <reference field="27" count="1" selected="0">
            <x v="0"/>
          </reference>
        </references>
      </pivotArea>
    </chartFormat>
    <chartFormat chart="3" format="1" series="1">
      <pivotArea type="data" outline="0" fieldPosition="0">
        <references count="2">
          <reference field="4294967294" count="1" selected="0">
            <x v="0"/>
          </reference>
          <reference field="27" count="1" selected="0">
            <x v="1"/>
          </reference>
        </references>
      </pivotArea>
    </chartFormat>
    <chartFormat chart="4" format="2" series="1">
      <pivotArea type="data" outline="0" fieldPosition="0">
        <references count="2">
          <reference field="4294967294" count="1" selected="0">
            <x v="0"/>
          </reference>
          <reference field="27" count="1" selected="0">
            <x v="0"/>
          </reference>
        </references>
      </pivotArea>
    </chartFormat>
    <chartFormat chart="4" format="3" series="1">
      <pivotArea type="data" outline="0" fieldPosition="0">
        <references count="2">
          <reference field="4294967294" count="1" selected="0">
            <x v="0"/>
          </reference>
          <reference field="27" count="1" selected="0">
            <x v="1"/>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2">
          <reference field="4294967294" count="1" selected="0">
            <x v="0"/>
          </reference>
          <reference field="27" count="1" selected="0">
            <x v="2"/>
          </reference>
        </references>
      </pivotArea>
    </chartFormat>
    <chartFormat chart="5" format="7">
      <pivotArea type="data" outline="0" fieldPosition="0">
        <references count="2">
          <reference field="4294967294" count="1" selected="0">
            <x v="0"/>
          </reference>
          <reference field="27" count="1" selected="0">
            <x v="0"/>
          </reference>
        </references>
      </pivotArea>
    </chartFormat>
    <chartFormat chart="5" format="8">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56:E79" firstHeaderRow="1" firstDataRow="2" firstDataCol="1" rowPageCount="2" colPageCount="1"/>
  <pivotFields count="36">
    <pivotField axis="axisPage" multipleItemSelectionAllowed="1" showAll="0">
      <items count="5">
        <item h="1" x="3"/>
        <item x="0"/>
        <item h="1" x="1"/>
        <item h="1" x="2"/>
        <item t="default"/>
      </items>
    </pivotField>
    <pivotField showAll="0"/>
    <pivotField showAll="0"/>
    <pivotField showAll="0"/>
    <pivotField showAll="0"/>
    <pivotField axis="axisRow" multipleItemSelectionAllowed="1" showAll="0">
      <items count="11">
        <item h="1" x="3"/>
        <item h="1" x="7"/>
        <item h="1" x="6"/>
        <item h="1" x="9"/>
        <item h="1" x="8"/>
        <item x="5"/>
        <item h="1" x="1"/>
        <item h="1" x="4"/>
        <item x="0"/>
        <item x="2"/>
        <item t="default"/>
      </items>
    </pivotField>
    <pivotField showAll="0"/>
    <pivotField showAll="0"/>
    <pivotField showAll="0"/>
    <pivotField showAll="0"/>
    <pivotField showAll="0"/>
    <pivotField axis="axisRow"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5">
        <item x="2"/>
        <item x="1"/>
        <item h="1" x="0"/>
        <item h="1" x="4"/>
        <item h="1" x="3"/>
      </items>
    </pivotField>
    <pivotField showAll="0" defaultSubtotal="0"/>
    <pivotField showAll="0"/>
    <pivotField showAll="0"/>
    <pivotField showAll="0"/>
    <pivotField axis="axisCol" showAll="0" defaultSubtotal="0">
      <items count="6">
        <item x="4"/>
        <item x="0"/>
        <item x="2"/>
        <item x="3"/>
        <item x="5"/>
        <item x="1"/>
      </items>
    </pivotField>
    <pivotField showAll="0"/>
    <pivotField showAll="0"/>
    <pivotField showAll="0"/>
    <pivotField showAll="0"/>
    <pivotField numFmtId="15" showAll="0"/>
    <pivotField showAll="0"/>
    <pivotField showAll="0" defaultSubtotal="0"/>
    <pivotField numFmtId="9" showAll="0" defaultSubtotal="0"/>
    <pivotField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2">
    <i>
      <x v="5"/>
    </i>
    <i r="1">
      <x v="4"/>
    </i>
    <i r="1">
      <x v="44"/>
    </i>
    <i r="1">
      <x v="56"/>
    </i>
    <i r="1">
      <x v="87"/>
    </i>
    <i>
      <x v="8"/>
    </i>
    <i r="1">
      <x v="10"/>
    </i>
    <i r="1">
      <x v="14"/>
    </i>
    <i r="1">
      <x v="15"/>
    </i>
    <i r="1">
      <x v="24"/>
    </i>
    <i r="1">
      <x v="38"/>
    </i>
    <i r="1">
      <x v="50"/>
    </i>
    <i r="1">
      <x v="60"/>
    </i>
    <i r="1">
      <x v="61"/>
    </i>
    <i r="1">
      <x v="62"/>
    </i>
    <i r="1">
      <x v="80"/>
    </i>
    <i r="1">
      <x v="95"/>
    </i>
    <i r="1">
      <x v="102"/>
    </i>
    <i>
      <x v="9"/>
    </i>
    <i r="1">
      <x v="35"/>
    </i>
    <i r="1">
      <x v="91"/>
    </i>
    <i t="grand">
      <x/>
    </i>
  </rowItems>
  <colFields count="1">
    <field x="26"/>
  </colFields>
  <colItems count="4">
    <i>
      <x v="1"/>
    </i>
    <i>
      <x v="2"/>
    </i>
    <i>
      <x v="5"/>
    </i>
    <i t="grand">
      <x/>
    </i>
  </colItems>
  <pageFields count="2">
    <pageField fld="0" hier="-1"/>
    <pageField fld="21" hier="-1"/>
  </pageFields>
  <dataFields count="1">
    <dataField name="Sum of Total" fld="17" baseField="5" baseItem="0" numFmtId="3"/>
  </dataFields>
  <formats count="5">
    <format dxfId="861">
      <pivotArea type="all" dataOnly="0" outline="0" fieldPosition="0"/>
    </format>
    <format dxfId="860">
      <pivotArea field="0" type="button" dataOnly="0" labelOnly="1" outline="0" axis="axisPage" fieldPosition="0"/>
    </format>
    <format dxfId="859">
      <pivotArea dataOnly="0" labelOnly="1" outline="0" fieldPosition="0">
        <references count="1">
          <reference field="0" count="0"/>
        </references>
      </pivotArea>
    </format>
    <format dxfId="858">
      <pivotArea field="21" type="button" dataOnly="0" labelOnly="1" outline="0" axis="axisPage" fieldPosition="1"/>
    </format>
    <format dxfId="857">
      <pivotArea dataOnly="0" labelOnly="1" outline="0" fieldPosition="0">
        <references count="1">
          <reference field="21" count="0"/>
        </references>
      </pivotArea>
    </format>
  </formats>
  <chartFormats count="41">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5"/>
          </reference>
          <reference field="11" count="1" selected="0">
            <x v="87"/>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5"/>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5"/>
          </reference>
          <reference field="11" count="1" selected="0">
            <x v="44"/>
          </reference>
        </references>
      </pivotArea>
    </chartFormat>
    <chartFormat chart="10" format="17" series="1">
      <pivotArea type="data" outline="0" fieldPosition="0">
        <references count="3">
          <reference field="4294967294" count="1" selected="0">
            <x v="0"/>
          </reference>
          <reference field="5" count="1" selected="0">
            <x v="5"/>
          </reference>
          <reference field="11" count="1" selected="0">
            <x v="56"/>
          </reference>
        </references>
      </pivotArea>
    </chartFormat>
    <chartFormat chart="10" format="18" series="1">
      <pivotArea type="data" outline="0" fieldPosition="0">
        <references count="3">
          <reference field="4294967294" count="1" selected="0">
            <x v="0"/>
          </reference>
          <reference field="5" count="1" selected="0">
            <x v="8"/>
          </reference>
          <reference field="11" count="1" selected="0">
            <x v="105"/>
          </reference>
        </references>
      </pivotArea>
    </chartFormat>
    <chartFormat chart="10" format="19" series="1">
      <pivotArea type="data" outline="0" fieldPosition="0">
        <references count="3">
          <reference field="4294967294" count="1" selected="0">
            <x v="0"/>
          </reference>
          <reference field="5" count="1" selected="0">
            <x v="8"/>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8"/>
          </reference>
          <reference field="11" count="1" selected="0">
            <x v="82"/>
          </reference>
        </references>
      </pivotArea>
    </chartFormat>
    <chartFormat chart="10" format="21" series="1">
      <pivotArea type="data" outline="0" fieldPosition="0">
        <references count="3">
          <reference field="4294967294" count="1" selected="0">
            <x v="0"/>
          </reference>
          <reference field="5" count="1" selected="0">
            <x v="8"/>
          </reference>
          <reference field="11" count="1" selected="0">
            <x v="83"/>
          </reference>
        </references>
      </pivotArea>
    </chartFormat>
    <chartFormat chart="10" format="22" series="1">
      <pivotArea type="data" outline="0" fieldPosition="0">
        <references count="3">
          <reference field="4294967294" count="1" selected="0">
            <x v="0"/>
          </reference>
          <reference field="5" count="1" selected="0">
            <x v="8"/>
          </reference>
          <reference field="11" count="1" selected="0">
            <x v="78"/>
          </reference>
        </references>
      </pivotArea>
    </chartFormat>
    <chartFormat chart="10" format="23" series="1">
      <pivotArea type="data" outline="0" fieldPosition="0">
        <references count="3">
          <reference field="4294967294" count="1" selected="0">
            <x v="0"/>
          </reference>
          <reference field="5" count="1" selected="0">
            <x v="8"/>
          </reference>
          <reference field="11" count="1" selected="0">
            <x v="79"/>
          </reference>
        </references>
      </pivotArea>
    </chartFormat>
    <chartFormat chart="10" format="24" series="1">
      <pivotArea type="data" outline="0" fieldPosition="0">
        <references count="3">
          <reference field="4294967294" count="1" selected="0">
            <x v="0"/>
          </reference>
          <reference field="5" count="1" selected="0">
            <x v="8"/>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8"/>
          </reference>
          <reference field="11" count="1" selected="0">
            <x v="103"/>
          </reference>
        </references>
      </pivotArea>
    </chartFormat>
    <chartFormat chart="10" format="26" series="1">
      <pivotArea type="data" outline="0" fieldPosition="0">
        <references count="3">
          <reference field="4294967294" count="1" selected="0">
            <x v="0"/>
          </reference>
          <reference field="5" count="1" selected="0">
            <x v="8"/>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8"/>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8"/>
          </reference>
          <reference field="11" count="1" selected="0">
            <x v="60"/>
          </reference>
        </references>
      </pivotArea>
    </chartFormat>
    <chartFormat chart="10" format="29" series="1">
      <pivotArea type="data" outline="0" fieldPosition="0">
        <references count="3">
          <reference field="4294967294" count="1" selected="0">
            <x v="0"/>
          </reference>
          <reference field="5" count="1" selected="0">
            <x v="8"/>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8"/>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8"/>
          </reference>
          <reference field="11" count="1" selected="0">
            <x v="96"/>
          </reference>
        </references>
      </pivotArea>
    </chartFormat>
    <chartFormat chart="10" format="32" series="1">
      <pivotArea type="data" outline="0" fieldPosition="0">
        <references count="3">
          <reference field="4294967294" count="1" selected="0">
            <x v="0"/>
          </reference>
          <reference field="5" count="1" selected="0">
            <x v="8"/>
          </reference>
          <reference field="11" count="1" selected="0">
            <x v="102"/>
          </reference>
        </references>
      </pivotArea>
    </chartFormat>
    <chartFormat chart="10" format="33" series="1">
      <pivotArea type="data" outline="0" fieldPosition="0">
        <references count="3">
          <reference field="4294967294" count="1" selected="0">
            <x v="0"/>
          </reference>
          <reference field="5" count="1" selected="0">
            <x v="8"/>
          </reference>
          <reference field="11" count="1" selected="0">
            <x v="95"/>
          </reference>
        </references>
      </pivotArea>
    </chartFormat>
    <chartFormat chart="10" format="34" series="1">
      <pivotArea type="data" outline="0" fieldPosition="0">
        <references count="3">
          <reference field="4294967294" count="1" selected="0">
            <x v="0"/>
          </reference>
          <reference field="5" count="1" selected="0">
            <x v="8"/>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8"/>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8"/>
          </reference>
          <reference field="11" count="1" selected="0">
            <x v="62"/>
          </reference>
        </references>
      </pivotArea>
    </chartFormat>
    <chartFormat chart="10" format="37" series="1">
      <pivotArea type="data" outline="0" fieldPosition="0">
        <references count="3">
          <reference field="4294967294" count="1" selected="0">
            <x v="0"/>
          </reference>
          <reference field="5" count="1" selected="0">
            <x v="8"/>
          </reference>
          <reference field="11" count="1" selected="0">
            <x v="61"/>
          </reference>
        </references>
      </pivotArea>
    </chartFormat>
    <chartFormat chart="10" format="38" series="1">
      <pivotArea type="data" outline="0" fieldPosition="0">
        <references count="3">
          <reference field="4294967294" count="1" selected="0">
            <x v="0"/>
          </reference>
          <reference field="5" count="1" selected="0">
            <x v="8"/>
          </reference>
          <reference field="11" count="1" selected="0">
            <x v="80"/>
          </reference>
        </references>
      </pivotArea>
    </chartFormat>
    <chartFormat chart="10" format="41" series="1">
      <pivotArea type="data" outline="0" fieldPosition="0">
        <references count="3">
          <reference field="4294967294" count="1" selected="0">
            <x v="0"/>
          </reference>
          <reference field="5" count="1" selected="0">
            <x v="5"/>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5"/>
          </reference>
          <reference field="11" count="1" selected="0">
            <x v="87"/>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5" cacheId="4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43:E45"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21"/>
        <item x="59"/>
        <item x="60"/>
        <item x="49"/>
        <item x="23"/>
        <item x="48"/>
        <item x="75"/>
        <item x="82"/>
        <item x="53"/>
        <item x="45"/>
        <item x="7"/>
        <item x="67"/>
        <item x="99"/>
        <item x="4"/>
        <item x="8"/>
        <item x="9"/>
        <item x="25"/>
        <item x="68"/>
        <item x="111"/>
        <item x="112"/>
        <item x="19"/>
        <item x="83"/>
        <item x="84"/>
        <item x="100"/>
        <item x="10"/>
        <item x="5"/>
        <item x="101"/>
        <item x="26"/>
        <item x="61"/>
        <item x="85"/>
        <item x="86"/>
        <item x="102"/>
        <item x="103"/>
        <item x="27"/>
        <item x="62"/>
        <item x="2"/>
        <item x="69"/>
        <item x="87"/>
        <item x="11"/>
        <item x="46"/>
        <item x="70"/>
        <item x="20"/>
        <item x="71"/>
        <item x="35"/>
        <item x="38"/>
        <item x="76"/>
        <item x="88"/>
        <item x="63"/>
        <item x="104"/>
        <item x="89"/>
        <item x="12"/>
        <item x="72"/>
        <item x="105"/>
        <item x="80"/>
        <item x="90"/>
        <item x="78"/>
        <item x="37"/>
        <item x="34"/>
        <item x="50"/>
        <item x="29"/>
        <item x="13"/>
        <item x="14"/>
        <item x="15"/>
        <item x="106"/>
        <item x="107"/>
        <item x="108"/>
        <item x="109"/>
        <item x="113"/>
        <item x="51"/>
        <item x="54"/>
        <item x="110"/>
        <item x="91"/>
        <item x="1"/>
        <item x="22"/>
        <item x="43"/>
        <item x="55"/>
        <item x="56"/>
        <item x="114"/>
        <item x="39"/>
        <item x="40"/>
        <item x="16"/>
        <item x="47"/>
        <item x="41"/>
        <item x="42"/>
        <item x="64"/>
        <item x="92"/>
        <item x="93"/>
        <item x="36"/>
        <item x="81"/>
        <item x="94"/>
        <item x="65"/>
        <item x="24"/>
        <item x="57"/>
        <item x="73"/>
        <item x="58"/>
        <item x="18"/>
        <item x="116"/>
        <item x="115"/>
        <item x="95"/>
        <item x="31"/>
        <item x="79"/>
        <item x="96"/>
        <item x="17"/>
        <item x="6"/>
        <item x="44"/>
        <item x="0"/>
        <item x="97"/>
        <item x="98"/>
        <item x="52"/>
        <item x="66"/>
        <item x="33"/>
        <item x="74"/>
        <item x="77"/>
        <item x="3"/>
        <item x="28"/>
        <item x="30"/>
        <item x="3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0"/>
        <item x="2"/>
        <item x="3"/>
        <item x="5"/>
        <item x="1"/>
      </items>
    </pivotField>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864">
      <pivotArea type="all" dataOnly="0" outline="0" fieldPosition="0"/>
    </format>
    <format dxfId="863">
      <pivotArea field="0" type="button" dataOnly="0" labelOnly="1" outline="0" axis="axisPage" fieldPosition="0"/>
    </format>
    <format dxfId="862">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0">
        <i x="3" s="1"/>
        <i x="7" s="1"/>
        <i x="6" s="1"/>
        <i x="2" s="1"/>
        <i x="5" s="1"/>
        <i x="1" s="1"/>
        <i x="4" s="1"/>
        <i x="0" s="1"/>
        <i x="9" s="1" nd="1"/>
        <i x="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tables/table1.xml><?xml version="1.0" encoding="utf-8"?>
<table xmlns="http://schemas.openxmlformats.org/spreadsheetml/2006/main" id="3" name="Definition_State" displayName="Definition_State" ref="J1:J2" totalsRowShown="0" headerRowDxfId="1159" dataDxfId="1158">
  <autoFilter ref="J1:J2"/>
  <tableColumns count="1">
    <tableColumn id="1" name="State" dataDxfId="1157"/>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143"/>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I122" tableType="xml" totalsRowShown="0" headerRowDxfId="1137" dataDxfId="1135" headerRowBorderDxfId="1136" tableBorderDxfId="1134" headerRowCellStyle="Normal_Sheet11">
  <autoFilter ref="A4:AI122">
    <filterColumn colId="0">
      <filters>
        <filter val="Open"/>
        <filter val="Relocated in Individual Housing"/>
        <filter val="Returned in Individual Housing"/>
      </filters>
    </filterColumn>
  </autoFilter>
  <sortState ref="A5:AI72">
    <sortCondition ref="A4:A122"/>
  </sortState>
  <tableColumns count="35">
    <tableColumn id="24" uniqueName="Status" name="Status" dataDxfId="1133">
      <xmlColumnPr mapId="8" xpath="/dataroot/Data_CCCM_t/Status" xmlDataType="string"/>
    </tableColumn>
    <tableColumn id="2" uniqueName="State" name="State" dataDxfId="1132">
      <xmlColumnPr mapId="8" xpath="/dataroot/Data_CCCM_t/State" xmlDataType="string"/>
    </tableColumn>
    <tableColumn id="12" uniqueName="State_Pcode" name="State_Pcode" dataDxfId="1131">
      <xmlColumnPr mapId="8" xpath="/dataroot/Data_CCCM_t/State_Pcode" xmlDataType="string"/>
    </tableColumn>
    <tableColumn id="23" uniqueName="District" name="District" dataDxfId="1130">
      <xmlColumnPr mapId="8" xpath="/dataroot/Data_CCCM_t/District" xmlDataType="string"/>
    </tableColumn>
    <tableColumn id="19" uniqueName="District_Pcode" name="District_Pcode" dataDxfId="1129">
      <xmlColumnPr mapId="8" xpath="/dataroot/Data_CCCM_t/District_Pcode" xmlDataType="string"/>
    </tableColumn>
    <tableColumn id="3" uniqueName="TOWNSHIP_NAME" name="TOWNSHIP_NAME" dataDxfId="1128">
      <xmlColumnPr mapId="8" xpath="/dataroot/Data_CCCM_t/TOWNSHIP_NAME" xmlDataType="string"/>
    </tableColumn>
    <tableColumn id="13" uniqueName="Township_Pcode" name="Township_Pcode" dataDxfId="1127">
      <xmlColumnPr mapId="8" xpath="/dataroot/Data_CCCM_t/Township_Pcode" xmlDataType="string"/>
    </tableColumn>
    <tableColumn id="14" uniqueName="VillageTracKTown_Name" name="VillageTracKTown_Name" dataDxfId="1126">
      <xmlColumnPr mapId="8" xpath="/dataroot/Data_CCCM_t/VillageTracKTown_Name" xmlDataType="string"/>
    </tableColumn>
    <tableColumn id="15" uniqueName="VillageTrackTown_Pcode" name="VillageTrackTown_Pcode" dataDxfId="1125">
      <xmlColumnPr mapId="8" xpath="/dataroot/Data_CCCM_t/VillageTrackTown_Pcode" xmlDataType="string"/>
    </tableColumn>
    <tableColumn id="16" uniqueName="VillageWard_Name" name="VillageWard_Name" dataDxfId="1124">
      <xmlColumnPr mapId="8" xpath="/dataroot/Data_CCCM_t/VillageWard_Name" xmlDataType="string"/>
    </tableColumn>
    <tableColumn id="17" uniqueName="VillageWard_Pcode" name="VillageWard_Pcode" dataDxfId="1123">
      <xmlColumnPr mapId="8" xpath="/dataroot/Data_CCCM_t/VillageWard_Pcode" xmlDataType="string"/>
    </tableColumn>
    <tableColumn id="4" uniqueName="Camp Name" name="Camp Name" dataDxfId="1122">
      <xmlColumnPr mapId="8" xpath="/dataroot/Data_CCCM_t/Camp_x005f_x0020_Name" xmlDataType="string"/>
    </tableColumn>
    <tableColumn id="5" uniqueName="P_Code" name="P_Code" dataDxfId="1121">
      <xmlColumnPr mapId="8" xpath="/dataroot/Data_CCCM_t/P_Code" xmlDataType="string"/>
    </tableColumn>
    <tableColumn id="6" uniqueName="Longitude" name="Longitude" dataDxfId="1120">
      <xmlColumnPr mapId="8" xpath="/dataroot/Data_CCCM_t/Longitude" xmlDataType="double"/>
    </tableColumn>
    <tableColumn id="7" uniqueName="Latitude" name="Latitude" dataDxfId="1119">
      <xmlColumnPr mapId="8" xpath="/dataroot/Data_CCCM_t/Latitude" xmlDataType="double"/>
    </tableColumn>
    <tableColumn id="1" uniqueName="Altitude" name="Altitude" dataDxfId="1118">
      <xmlColumnPr mapId="8" xpath="/dataroot/Data_CCCM_t/Altitude" xmlDataType="string"/>
    </tableColumn>
    <tableColumn id="8" uniqueName="HH" name="HH" dataDxfId="1117" dataCellStyle="Percent">
      <xmlColumnPr mapId="8" xpath="/dataroot/Data_CCCM_t/HH" xmlDataType="double"/>
    </tableColumn>
    <tableColumn id="9" uniqueName="Total" name="Total" dataDxfId="1116" dataCellStyle="Comma">
      <xmlColumnPr mapId="8" xpath="/dataroot/Data_CCCM_t/Total" xmlDataType="double"/>
    </tableColumn>
    <tableColumn id="11" uniqueName="Avg" name="Avg" dataDxfId="1115" dataCellStyle="Percent">
      <xmlColumnPr mapId="8" xpath="/dataroot/Data_CCCM_t/Avg" xmlDataType="double"/>
    </tableColumn>
    <tableColumn id="29" uniqueName="Accessibility" name="Accessibility" dataDxfId="1114">
      <xmlColumnPr mapId="8" xpath="/dataroot/Data_CCCM_t/Accessibility" xmlDataType="string"/>
    </tableColumn>
    <tableColumn id="33" uniqueName="Affected population" name="Affected population" dataDxfId="1113">
      <xmlColumnPr mapId="8" xpath="/dataroot/Data_CCCM_t/Affected_x005f_x0020_population" xmlDataType="string"/>
    </tableColumn>
    <tableColumn id="26" uniqueName="Type of Accomodation" name="Type of Accomodation" dataDxfId="1112">
      <xmlColumnPr mapId="8" xpath="/dataroot/Data_CCCM_t/Type_x005f_x0020_of_x005f_x0020_Accomodation" xmlDataType="string"/>
    </tableColumn>
    <tableColumn id="37" uniqueName="Isolated Location" name="Isolated Location" dataDxfId="1111">
      <xmlColumnPr mapId="8" xpath="/dataroot/Data_CCCM_t/Isolated_x005f_x0020_Location" xmlDataType="string"/>
    </tableColumn>
    <tableColumn id="30" uniqueName="Opening Date" name="Opening Date" dataDxfId="1110">
      <xmlColumnPr mapId="8" xpath="/dataroot/Data_CCCM_t/Opening_x005f_x0020_Date" xmlDataType="string"/>
    </tableColumn>
    <tableColumn id="34" uniqueName="Ethnicity" name="Ethnicity" dataDxfId="1109">
      <xmlColumnPr mapId="8" xpath="/dataroot/Data_CCCM_t/Ethnicity" xmlDataType="string"/>
    </tableColumn>
    <tableColumn id="35" uniqueName="Religion" name="Religion" dataDxfId="1108">
      <xmlColumnPr mapId="8" xpath="/dataroot/Data_CCCM_t/Religion" xmlDataType="string"/>
    </tableColumn>
    <tableColumn id="36" uniqueName="Type of Population" name="Type of Population" dataDxfId="1107">
      <calculatedColumnFormula>CONCATENATE(Camp_List[[#This Row],[Ethnicity]],"-",Camp_List[[#This Row],[Religion]])</calculatedColumnFormula>
      <xmlColumnPr mapId="8" xpath="/dataroot/Data_CCCM_t/Type_x005f_x0020_of_x005f_x0020_Population" xmlDataType="string"/>
    </tableColumn>
    <tableColumn id="32" uniqueName="CM/FP" name="CM/FP" dataDxfId="1106">
      <xmlColumnPr mapId="8" xpath="/dataroot/Data_CCCM_t/CM_x005f_x002F_FP" xmlDataType="string"/>
    </tableColumn>
    <tableColumn id="22" uniqueName="Responsible Agency" name="Responsible Agency" dataDxfId="1105">
      <xmlColumnPr mapId="8" xpath="/dataroot/Data_CCCM_t/Responsible_x005f_x0020_Agency" xmlDataType="string"/>
    </tableColumn>
    <tableColumn id="18" uniqueName="Source" name="Source" dataDxfId="1104">
      <xmlColumnPr mapId="8" xpath="/dataroot/Data_CCCM_t/Source" xmlDataType="string"/>
    </tableColumn>
    <tableColumn id="20" uniqueName="Method" name="Method" dataDxfId="1103">
      <xmlColumnPr mapId="8" xpath="/dataroot/Data_CCCM_t/Method" xmlDataType="string"/>
    </tableColumn>
    <tableColumn id="31" uniqueName="Update Date" name="Update Date" dataDxfId="1102">
      <xmlColumnPr mapId="8" xpath="/dataroot/Data_CCCM_t/Update_x005f_x0020_Date" xmlDataType="dateTime"/>
    </tableColumn>
    <tableColumn id="25" uniqueName="Comment" name="Comment" dataDxfId="1101">
      <xmlColumnPr mapId="8" xpath="/dataroot/Data_CCCM_t/Comment" xmlDataType="string"/>
    </tableColumn>
    <tableColumn id="10" uniqueName="Contact" name="Contact" dataDxfId="1100">
      <calculatedColumnFormula>IFERROR(VLOOKUP(Camp_List[[#This Row],[Responsible Agency]],Organization_t[],3,0),"")</calculatedColumnFormula>
      <xmlColumnPr mapId="8" xpath="/dataroot/Data_CCCM_t/Contact" xmlDataType="double"/>
    </tableColumn>
    <tableColumn id="21" uniqueName="shelter_coverage" name="shelter_coverage" dataDxfId="1099"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090" headerRowBorderDxfId="1089" tableBorderDxfId="1088" totalsRowBorderDxfId="1087">
  <tableColumns count="5">
    <tableColumn id="1" name="Township" dataDxfId="1086"/>
    <tableColumn id="2" name="# of HH" dataDxfId="1085" dataCellStyle="Comma"/>
    <tableColumn id="3" name="# of IDPs" dataDxfId="1084" dataCellStyle="Comma"/>
    <tableColumn id="4" name="# of Planned Camp" dataDxfId="1083" dataCellStyle="Comma">
      <calculatedColumnFormula>AN23</calculatedColumnFormula>
    </tableColumn>
    <tableColumn id="5" name="# of Other Accomodation" dataDxfId="1082">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076" dataDxfId="1074" headerRowBorderDxfId="1075" tableBorderDxfId="1073" totalsRowBorderDxfId="1072" dataCellStyle="Percent">
  <autoFilter ref="T2:AG13"/>
  <tableColumns count="14">
    <tableColumn id="1" name="Pcode" dataDxfId="1071" totalsRowDxfId="1070"/>
    <tableColumn id="2" name="Township" dataDxfId="1069" totalsRowDxfId="1068">
      <calculatedColumnFormula>'CCCM Dashboard'!H17</calculatedColumnFormula>
    </tableColumn>
    <tableColumn id="3" name="Long." dataDxfId="1067" totalsRowDxfId="1066"/>
    <tableColumn id="4" name="Lat." dataDxfId="1065" totalsRowDxfId="1064"/>
    <tableColumn id="5" name="HS" dataDxfId="1063" totalsRowDxfId="1062">
      <calculatedColumnFormula>'CCCM Dashboard'!I17</calculatedColumnFormula>
    </tableColumn>
    <tableColumn id="6" name="Pop" dataDxfId="1061" totalsRowDxfId="1060" dataCellStyle="Comma">
      <calculatedColumnFormula>'CCCM Dashboard'!J17</calculatedColumnFormula>
    </tableColumn>
    <tableColumn id="7" name="N_cps" dataDxfId="1059" totalsRowDxfId="1058">
      <calculatedColumnFormula>'CCCM Dashboard'!K17</calculatedColumnFormula>
    </tableColumn>
    <tableColumn id="8" name="Coverage" dataDxfId="1057" totalsRowDxfId="1056" dataCellStyle="Percent"/>
    <tableColumn id="9" name="Hygiene" dataDxfId="1055" totalsRowDxfId="1054" dataCellStyle="Percent"/>
    <tableColumn id="10" name="Core" dataDxfId="1053" totalsRowDxfId="1052" dataCellStyle="Percent"/>
    <tableColumn id="11" name="Sanitary" dataDxfId="1051" totalsRowDxfId="1050" dataCellStyle="Percent"/>
    <tableColumn id="12" name="Y" dataDxfId="1049" totalsRowDxfId="1048">
      <calculatedColumnFormula>$S$3-ROUND((W3-$S$1)*$S$5,0)</calculatedColumnFormula>
    </tableColumn>
    <tableColumn id="13" name="X" dataDxfId="1047" totalsRowDxfId="1046">
      <calculatedColumnFormula>ROUND((V3-$S$2)*$S$5,0)+$S$4</calculatedColumnFormula>
    </tableColumn>
    <tableColumn id="14" name="Column1" dataDxfId="1045" totalsRowDxfId="1044"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1:J277" tableType="xml" totalsRowShown="0" headerRowDxfId="929" dataDxfId="927" headerRowBorderDxfId="928" tableBorderDxfId="926" totalsRowBorderDxfId="925">
  <autoFilter ref="A1:J277"/>
  <sortState ref="A2:J275">
    <sortCondition ref="C1:C275"/>
  </sortState>
  <tableColumns count="10">
    <tableColumn id="1" uniqueName="State" name="State" dataDxfId="924">
      <xmlColumnPr mapId="2" xpath="/dataroot/Data_Demography_t/State" xmlDataType="string"/>
    </tableColumn>
    <tableColumn id="2" uniqueName="Township" name="Township" dataDxfId="923">
      <xmlColumnPr mapId="2" xpath="/dataroot/Data_Demography_t/Township" xmlDataType="string"/>
    </tableColumn>
    <tableColumn id="3" uniqueName="Camp" name="Camp" dataDxfId="922">
      <xmlColumnPr mapId="2" xpath="/dataroot/Data_Demography_t/Camp" xmlDataType="string"/>
    </tableColumn>
    <tableColumn id="9" uniqueName="Pcode" name="Pcode" dataDxfId="921">
      <calculatedColumnFormula>IFERROR(OFFSET(Camp_List[P_Code],MATCH(Data_Demography_t[[#This Row],[Camp]],Camp_List[Camp Name],0)-1,0,1,1),"")</calculatedColumnFormula>
      <xmlColumnPr mapId="2" xpath="/dataroot/Data_Demography_t/Pcode" xmlDataType="string"/>
    </tableColumn>
    <tableColumn id="4" uniqueName="Age_Cat" name="Age_Cat" dataDxfId="920">
      <xmlColumnPr mapId="2" xpath="/dataroot/Data_Demography_t/Age_Cat" xmlDataType="string"/>
    </tableColumn>
    <tableColumn id="6" uniqueName="Sex" name="Sex" dataDxfId="919">
      <xmlColumnPr mapId="2" xpath="/dataroot/Data_Demography_t/Sex" xmlDataType="string"/>
    </tableColumn>
    <tableColumn id="5" uniqueName="Total" name="Total" dataDxfId="918" dataCellStyle="Comma">
      <xmlColumnPr mapId="2" xpath="/dataroot/Data_Demography_t/Total" xmlDataType="double"/>
    </tableColumn>
    <tableColumn id="7" uniqueName="Total2" name="Total2" dataDxfId="917">
      <calculatedColumnFormula>IF(F2="M",-G2,G2)</calculatedColumnFormula>
      <xmlColumnPr mapId="2" xpath="/dataroot/Data_Demography_t/Total2" xmlDataType="double"/>
    </tableColumn>
    <tableColumn id="8" uniqueName="Source" name="Source" dataDxfId="916">
      <xmlColumnPr mapId="2" xpath="/dataroot/Data_Demography_t/Source" xmlDataType="string"/>
    </tableColumn>
    <tableColumn id="10" uniqueName="Updated Date" name="Updated Date" dataDxfId="915">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85" tableType="xml" totalsRowShown="0" headerRowDxfId="900" dataDxfId="898" headerRowBorderDxfId="899" tableBorderDxfId="897" totalsRowBorderDxfId="896">
  <autoFilter ref="A1:H185"/>
  <sortState ref="A2:H183">
    <sortCondition descending="1" ref="C1:C183"/>
  </sortState>
  <tableColumns count="8">
    <tableColumn id="1" uniqueName="State" name="State" dataDxfId="895">
      <xmlColumnPr mapId="6" xpath="/dataroot/Data_Vulnerability_t/State" xmlDataType="string"/>
    </tableColumn>
    <tableColumn id="2" uniqueName="Township" name="Township" dataDxfId="894">
      <xmlColumnPr mapId="6" xpath="/dataroot/Data_Vulnerability_t/Township" xmlDataType="string"/>
    </tableColumn>
    <tableColumn id="3" uniqueName="Camp Name" name="Camp Name" dataDxfId="893">
      <xmlColumnPr mapId="6" xpath="/dataroot/Data_Vulnerability_t/Camp_x005f_x0020_Name" xmlDataType="string"/>
    </tableColumn>
    <tableColumn id="7" uniqueName="Pcode" name="Pcode" dataDxfId="892">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91">
      <xmlColumnPr mapId="6" xpath="/dataroot/Data_Vulnerability_t/Vulnerability" xmlDataType="string"/>
    </tableColumn>
    <tableColumn id="5" uniqueName="Total" name="Total" dataDxfId="890">
      <xmlColumnPr mapId="6" xpath="/dataroot/Data_Vulnerability_t/Total" xmlDataType="double"/>
    </tableColumn>
    <tableColumn id="6" uniqueName="Source" name="Source" dataDxfId="889">
      <xmlColumnPr mapId="6" xpath="/dataroot/Data_Vulnerability_t/Source" xmlDataType="string"/>
    </tableColumn>
    <tableColumn id="8" uniqueName="Updated date" name="Updated date" dataDxfId="888">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523" headerRowBorderDxfId="522" tableBorderDxfId="521" totalsRowBorderDxfId="520">
  <autoFilter ref="A4:Y141"/>
  <sortState ref="A5:Y138">
    <sortCondition descending="1" ref="A4:A138"/>
  </sortState>
  <tableColumns count="25">
    <tableColumn id="1" uniqueName="DateUpdated" name="DateUpdated" totalsRowLabel="Total" dataDxfId="519" totalsRowDxfId="518">
      <xmlColumnPr mapId="5" xpath="/dataroot/Data_Shelter_t/DateUpdated" xmlDataType="dateTime"/>
    </tableColumn>
    <tableColumn id="2" uniqueName="Organization" name="Organization" dataDxfId="517" totalsRowDxfId="516">
      <xmlColumnPr mapId="5" xpath="/dataroot/Data_Shelter_t/Organization" xmlDataType="string"/>
    </tableColumn>
    <tableColumn id="3" uniqueName="Implementing Partner" name="Implementing Partner" dataDxfId="515" totalsRowDxfId="514">
      <xmlColumnPr mapId="5" xpath="/dataroot/Data_Shelter_t/Implementing_x005f_x0020_Partner" xmlDataType="string"/>
    </tableColumn>
    <tableColumn id="4" uniqueName="State" name="State" dataDxfId="513" totalsRowDxfId="512">
      <xmlColumnPr mapId="5" xpath="/dataroot/Data_Shelter_t/State" xmlDataType="string"/>
    </tableColumn>
    <tableColumn id="5" uniqueName="Township" name="Township" dataDxfId="511" totalsRowDxfId="510">
      <xmlColumnPr mapId="5" xpath="/dataroot/Data_Shelter_t/Township" xmlDataType="string"/>
    </tableColumn>
    <tableColumn id="6" uniqueName="Camp Name" name="Camp Name" dataDxfId="509" totalsRowDxfId="508">
      <xmlColumnPr mapId="5" xpath="/dataroot/Data_Shelter_t/Camp_x005f_x0020_Name" xmlDataType="string"/>
    </tableColumn>
    <tableColumn id="7" uniqueName="HH per Shelter" name="HH per Shelter" dataDxfId="507" totalsRowDxfId="506">
      <xmlColumnPr mapId="5" xpath="/dataroot/Data_Shelter_t/HH_x005f_x0020_per_x005f_x0020_Shelter" xmlDataType="double"/>
    </tableColumn>
    <tableColumn id="8" uniqueName="#ofFamilyTentPlanned(Target)" name="#ofFamilyTentPlanned(Target)" totalsRowFunction="sum" dataDxfId="505" totalsRowDxfId="504">
      <xmlColumnPr mapId="5" xpath="/dataroot/Data_Shelter_t/_x005f_x0023_ofFamilyTentPlanned_x005f_x0028_Target_x005f_x0029_" xmlDataType="string"/>
    </tableColumn>
    <tableColumn id="9" uniqueName="#ofFamilyTentDistributed" name="#ofFamilyTentDistributed" totalsRowFunction="sum" dataDxfId="503" totalsRowDxfId="502">
      <xmlColumnPr mapId="5" xpath="/dataroot/Data_Shelter_t/_x005f_x0023_ofFamilyTentDistributed" xmlDataType="string"/>
    </tableColumn>
    <tableColumn id="10" uniqueName="# of Temporary Shelter Planned (Target)" name="# of Temporary Shelter Planned (Target)" totalsRowFunction="sum" dataDxfId="501" totalsRowDxfId="500">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499" totalsRowDxfId="498">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497" totalsRowDxfId="496">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495" totalsRowDxfId="494">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493" totalsRowDxfId="492">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491" totalsRowDxfId="490">
      <xmlColumnPr mapId="5" xpath="/dataroot/Data_Shelter_t/_x005f_x0023_ofPermanentHouseUnderConstruction" xmlDataType="string"/>
    </tableColumn>
    <tableColumn id="23" uniqueName="23" name="# of Individual Shelter Planned (Target)" totalsRowFunction="sum" dataDxfId="489" totalsRowDxfId="488"/>
    <tableColumn id="22" uniqueName="22" name="# of Individual Shelter Built" totalsRowFunction="sum" dataDxfId="487" totalsRowDxfId="486"/>
    <tableColumn id="16" uniqueName="HH Covered" name="#of Individual Shelter Under Construction" totalsRowFunction="sum" dataDxfId="485" totalsRowDxfId="484">
      <xmlColumnPr mapId="5" xpath="/dataroot/Data_Shelter_t/HH_x005f_x0020_Covered" xmlDataType="double"/>
    </tableColumn>
    <tableColumn id="17" uniqueName="17" name="HH Covered" totalsRowFunction="sum" dataDxfId="483" totalsRowDxfId="482"/>
    <tableColumn id="18" uniqueName="Pcode" name="HH Covered 2" totalsRowFunction="sum" dataDxfId="481" totalsRowDxfId="480">
      <calculatedColumnFormula>IF(Data_Shelter_t[[#This Row],[Status]]="Open",Data_Shelter_t[[#This Row],[HH Covered]],0)</calculatedColumnFormula>
      <xmlColumnPr mapId="5" xpath="/dataroot/Data_Shelter_t/Pcode" xmlDataType="string"/>
    </tableColumn>
    <tableColumn id="27" uniqueName="27" name="Pcode" dataDxfId="479" totalsRowDxfId="478"/>
    <tableColumn id="19" uniqueName="Status" name="Status" dataDxfId="477" totalsRowDxfId="476"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475" totalsRowDxfId="474">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473" totalsRowDxfId="472">
      <calculatedColumnFormula>Data_Shelter_t[[#This Row],['# of Permanent House Planned (Target)]]+Data_Shelter_t[[#This Row],['# of Individual Shelter Planned (Target)]]</calculatedColumnFormula>
    </tableColumn>
    <tableColumn id="25" uniqueName="25" name="Built" totalsRowFunction="sum" dataDxfId="471" totalsRowDxfId="470">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467" dataDxfId="465" headerRowBorderDxfId="466">
  <autoFilter ref="A12:J45"/>
  <sortState ref="A13:J45">
    <sortCondition ref="D22"/>
  </sortState>
  <tableColumns count="10">
    <tableColumn id="1" uniqueName="Lot" name="Lot" dataDxfId="464">
      <xmlColumnPr mapId="3" xpath="/dataroot/Data_Infrastructure_t/Lot" xmlDataType="string"/>
    </tableColumn>
    <tableColumn id="8" uniqueName="State" name="State" dataDxfId="463">
      <xmlColumnPr mapId="3" xpath="/dataroot/Data_Infrastructure_t/State" xmlDataType="string"/>
    </tableColumn>
    <tableColumn id="9" uniqueName="Township" name="Township" dataDxfId="462">
      <xmlColumnPr mapId="3" xpath="/dataroot/Data_Infrastructure_t/Township" xmlDataType="string"/>
    </tableColumn>
    <tableColumn id="2" uniqueName="Camp" name="Camp" dataDxfId="461">
      <xmlColumnPr mapId="3" xpath="/dataroot/Data_Infrastructure_t/Camp" xmlDataType="string"/>
    </tableColumn>
    <tableColumn id="10" uniqueName="Pcode" name="Pcode" dataDxfId="460">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459">
      <xmlColumnPr mapId="3" xpath="/dataroot/Data_Infrastructure_t/Infrastructure" xmlDataType="string"/>
    </tableColumn>
    <tableColumn id="7" uniqueName="Type" name="Type" dataDxfId="458">
      <xmlColumnPr mapId="3" xpath="/dataroot/Data_Infrastructure_t/Type" xmlDataType="string"/>
    </tableColumn>
    <tableColumn id="4" uniqueName="Total" name="Total" dataDxfId="457" dataCellStyle="Comma 2">
      <xmlColumnPr mapId="3" xpath="/dataroot/Data_Infrastructure_t/Total" xmlDataType="double"/>
    </tableColumn>
    <tableColumn id="5" uniqueName="Status" name="Status" dataDxfId="456" dataCellStyle="Comma 2">
      <xmlColumnPr mapId="3" xpath="/dataroot/Data_Infrastructure_t/Status" xmlDataType="string"/>
    </tableColumn>
    <tableColumn id="6" uniqueName="Comment" name="Comment" dataDxfId="455">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430" tableBorderDxfId="429">
  <tableColumns count="7">
    <tableColumn id="1" name="Township" dataDxfId="428"/>
    <tableColumn id="2" name="# of HH" dataDxfId="427" dataCellStyle="Comma"/>
    <tableColumn id="3" name="# of Ind." dataDxfId="426" dataCellStyle="Comma"/>
    <tableColumn id="4" name="# of Camp" dataDxfId="425" dataCellStyle="Comma"/>
    <tableColumn id="5" name="# Ind. Covered" dataDxfId="424" dataCellStyle="Comma">
      <calculatedColumnFormula>'Shelter Progress'!O6</calculatedColumnFormula>
    </tableColumn>
    <tableColumn id="6" name="# Ind. Not Covered" dataDxfId="423" dataCellStyle="Comma">
      <calculatedColumnFormula>'Shelter Progress'!R6</calculatedColumnFormula>
    </tableColumn>
    <tableColumn id="7" name="% Coverage" dataDxfId="422"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156" dataDxfId="1155">
  <autoFilter ref="L1:L11"/>
  <tableColumns count="1">
    <tableColumn id="1" name="Rakhine" dataDxfId="1154"/>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2" tableType="xml" totalsRowCount="1" headerRowDxfId="419" headerRowBorderDxfId="418" tableBorderDxfId="417">
  <autoFilter ref="A5:AF401"/>
  <sortState ref="A6:AF399">
    <sortCondition descending="1" ref="C5:C399"/>
  </sortState>
  <tableColumns count="32">
    <tableColumn id="29" uniqueName="Months" name="Months" dataDxfId="416">
      <calculatedColumnFormula>IF(ISBLANK(C6),"",(Report_Date-C6)/30)</calculatedColumnFormula>
      <xmlColumnPr mapId="4" xpath="/dataroot/Data_NFI_T/Months" xmlDataType="double"/>
    </tableColumn>
    <tableColumn id="31" uniqueName="year" name="year" dataDxfId="415" totalsRowDxfId="414">
      <calculatedColumnFormula>YEAR(Data_NFI_t[[#This Row],[Distribution Date]])</calculatedColumnFormula>
      <xmlColumnPr mapId="4" xpath="/dataroot/Data_NFI_T/year" xmlDataType="double"/>
    </tableColumn>
    <tableColumn id="1" uniqueName="Distribution Date" name="Distribution Date" dataDxfId="413">
      <xmlColumnPr mapId="4" xpath="/dataroot/Data_NFI_T/Distribution_x005f_x0020_Date" xmlDataType="dateTime"/>
    </tableColumn>
    <tableColumn id="2" uniqueName="Organization" name="Organization" dataDxfId="412">
      <xmlColumnPr mapId="4" xpath="/dataroot/Data_NFI_T/Organization" xmlDataType="string"/>
    </tableColumn>
    <tableColumn id="3" uniqueName="Implementing Partner" name="Implementing Partner" dataDxfId="411" totalsRowDxfId="410">
      <xmlColumnPr mapId="4" xpath="/dataroot/Data_NFI_T/Implementing_x005f_x0020_Partner" xmlDataType="string"/>
    </tableColumn>
    <tableColumn id="4" uniqueName="State" name="State" dataDxfId="409">
      <xmlColumnPr mapId="4" xpath="/dataroot/Data_NFI_T/State" xmlDataType="string"/>
    </tableColumn>
    <tableColumn id="5" uniqueName="Township" name="Township" dataDxfId="408">
      <xmlColumnPr mapId="4" xpath="/dataroot/Data_NFI_T/Township" xmlDataType="string"/>
    </tableColumn>
    <tableColumn id="6" uniqueName="Camp Name" name="Camp Name" dataDxfId="407">
      <xmlColumnPr mapId="4" xpath="/dataroot/Data_NFI_T/Camp_x005f_x0020_Name" xmlDataType="string"/>
    </tableColumn>
    <tableColumn id="7" uniqueName="Hygiene Kit" name="Hygiene Kit" dataDxfId="406" totalsRowDxfId="405">
      <xmlColumnPr mapId="4" xpath="/dataroot/Data_NFI_T/Hygiene_x005f_x0020_Kit" xmlDataType="string"/>
    </tableColumn>
    <tableColumn id="8" uniqueName="NFI Core Kit" name="NFI Core Kit" dataDxfId="404" totalsRowDxfId="403">
      <xmlColumnPr mapId="4" xpath="/dataroot/Data_NFI_T/NFI_x005f_x0020_Core_x005f_x0020_Kit" xmlDataType="string"/>
    </tableColumn>
    <tableColumn id="9" uniqueName="Sanitary Kit" name="Sanitary Kit" dataDxfId="402" totalsRowDxfId="401">
      <xmlColumnPr mapId="4" xpath="/dataroot/Data_NFI_T/Sanitary_x005f_x0020_Kit" xmlDataType="string"/>
    </tableColumn>
    <tableColumn id="10" uniqueName="Mosquito net" name="Mosquito net" dataDxfId="400" totalsRowDxfId="399">
      <xmlColumnPr mapId="4" xpath="/dataroot/Data_NFI_T/Mosquito_x005f_x0020_net" xmlDataType="string"/>
    </tableColumn>
    <tableColumn id="11" uniqueName="Tarpaulin" name="Tarpaulin" dataDxfId="398" totalsRowDxfId="397">
      <xmlColumnPr mapId="4" xpath="/dataroot/Data_NFI_T/Tarpaulin" xmlDataType="double"/>
    </tableColumn>
    <tableColumn id="12" uniqueName="Blanket" name="Blanket" dataDxfId="396" totalsRowDxfId="395">
      <xmlColumnPr mapId="4" xpath="/dataroot/Data_NFI_T/Blanket" xmlDataType="string"/>
    </tableColumn>
    <tableColumn id="13" uniqueName="Kitchen Set" name="Kitchen Set" dataDxfId="394" totalsRowDxfId="393">
      <xmlColumnPr mapId="4" xpath="/dataroot/Data_NFI_T/Kitchen_x005f_x0020_Set" xmlDataType="string"/>
    </tableColumn>
    <tableColumn id="14" uniqueName="Complementary Kit" name="Complementary Kit" dataDxfId="392" totalsRowDxfId="391">
      <xmlColumnPr mapId="4" xpath="/dataroot/Data_NFI_T/Complementary_x005f_x0020_Kit" xmlDataType="string"/>
    </tableColumn>
    <tableColumn id="26" uniqueName="Plastic Bucket" name="Plastic Bucket" dataDxfId="390" totalsRowDxfId="389">
      <xmlColumnPr mapId="4" xpath="/dataroot/Data_NFI_T/Plastic_x005f_x0020_Bucket" xmlDataType="string"/>
    </tableColumn>
    <tableColumn id="30" uniqueName="30" name="Jerry Can" dataDxfId="388" totalsRowDxfId="387"/>
    <tableColumn id="25" uniqueName="Plastic Mat" name="Plastic Mat" dataDxfId="386" totalsRowDxfId="385">
      <xmlColumnPr mapId="4" xpath="/dataroot/Data_NFI_T/Plastic_x005f_x0020_Mat" xmlDataType="string"/>
    </tableColumn>
    <tableColumn id="15" uniqueName="Hygiene Kit_LS" name="Hygiene Kit_LS" dataDxfId="384">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383">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382">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381">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380">
      <calculatedColumnFormula>IF(NFI_Expiration=1,IF($A6&lt;VLOOKUP(M$5,NFI,5,0),1,0)*Data_NFI_t[[#This Row],[Tarpaulin]],0)</calculatedColumnFormula>
      <xmlColumnPr mapId="4" xpath="/dataroot/Data_NFI_T/Tarpaulin_LS" xmlDataType="double"/>
    </tableColumn>
    <tableColumn id="20" uniqueName="Blanket_LS" name="Blanket_LS" dataDxfId="379">
      <calculatedColumnFormula>IF(NFI_Expiration=1,IF($A6&lt;VLOOKUP(N$5,NFI,5,0),1,0)*Data_NFI_t[[#This Row],[Blanket]],0)</calculatedColumnFormula>
      <xmlColumnPr mapId="4" xpath="/dataroot/Data_NFI_T/Blanket_LS" xmlDataType="double"/>
    </tableColumn>
    <tableColumn id="21" uniqueName="Kitchen Set_LS" name="Kitchen Set_LS" dataDxfId="378">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377">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376">
      <calculatedColumnFormula>IF(NFI_Expiration=1,IF($A6&lt;VLOOKUP(Q$5,NFI,5,0),1,0)*Data_NFI_t[[#This Row],[Plastic Bucket]],0)</calculatedColumnFormula>
      <xmlColumnPr mapId="4" xpath="/dataroot/Data_NFI_T/Plastic_x005f_x0020_Bucket_LS" xmlDataType="double"/>
    </tableColumn>
    <tableColumn id="33" uniqueName="33" name="Jerry Can_LS" dataDxfId="375">
      <calculatedColumnFormula>IF(NFI_Expiration=1,IF($A6&lt;VLOOKUP(R$5,NFI,5,0),1,0)*Data_NFI_t[[#This Row],[Jerry Can]],0)</calculatedColumnFormula>
    </tableColumn>
    <tableColumn id="27" uniqueName="Plastic  Mat_LS" name="Plastic  Mat_LS" dataDxfId="374">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373">
      <calculatedColumnFormula>IFERROR(OFFSET(Camp_List[P_Code],MATCH(Data_NFI_t[[#This Row],[Camp Name]],Camp_List[Camp Name],0)-1,0,1,1),"")</calculatedColumnFormula>
      <xmlColumnPr mapId="4" xpath="/dataroot/Data_NFI_T/Pcode" xmlDataType="string"/>
    </tableColumn>
    <tableColumn id="24" uniqueName="Status" name="Status" dataDxfId="372">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153" dataDxfId="1152">
  <autoFilter ref="N1:N6"/>
  <sortState ref="N2:N5">
    <sortCondition ref="N3"/>
  </sortState>
  <tableColumns count="1">
    <tableColumn id="1" name="Type of Accomodation" dataDxfId="1151"/>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150" dataDxfId="1149">
  <autoFilter ref="P1:P4"/>
  <tableColumns count="1">
    <tableColumn id="1" name="Camp_Acessibility" dataDxfId="1148"/>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147">
  <autoFilter ref="Z1:AB7"/>
  <sortState ref="Z2:AB7">
    <sortCondition ref="Z6"/>
  </sortState>
  <tableColumns count="3">
    <tableColumn id="1" name="Organization_Code" dataDxfId="1146"/>
    <tableColumn id="2" name="Organization" dataDxfId="1145"/>
    <tableColumn id="3" name="Contact" dataDxfId="1144"/>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15.x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3.xml"/><Relationship Id="rId13" Type="http://schemas.openxmlformats.org/officeDocument/2006/relationships/drawing" Target="../drawings/drawing7.xml"/><Relationship Id="rId3" Type="http://schemas.openxmlformats.org/officeDocument/2006/relationships/pivotTable" Target="../pivotTables/pivotTable8.xml"/><Relationship Id="rId7" Type="http://schemas.openxmlformats.org/officeDocument/2006/relationships/pivotTable" Target="../pivotTables/pivotTable12.xml"/><Relationship Id="rId12"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11" Type="http://schemas.openxmlformats.org/officeDocument/2006/relationships/pivotTable" Target="../pivotTables/pivotTable16.xml"/><Relationship Id="rId5" Type="http://schemas.openxmlformats.org/officeDocument/2006/relationships/pivotTable" Target="../pivotTables/pivotTable10.xml"/><Relationship Id="rId10" Type="http://schemas.openxmlformats.org/officeDocument/2006/relationships/pivotTable" Target="../pivotTables/pivotTable15.xml"/><Relationship Id="rId4" Type="http://schemas.openxmlformats.org/officeDocument/2006/relationships/pivotTable" Target="../pivotTables/pivotTable9.xml"/><Relationship Id="rId9"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4" Type="http://schemas.microsoft.com/office/2007/relationships/slicer" Target="../slicers/slicer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14.xml"/><Relationship Id="rId4"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openxmlformats.org/officeDocument/2006/relationships/drawing" Target="../drawings/drawing20.xml"/><Relationship Id="rId4"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xml"/><Relationship Id="rId5" Type="http://schemas.openxmlformats.org/officeDocument/2006/relationships/image" Target="../media/image10.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40"/>
      <c r="B1" s="141"/>
      <c r="C1" s="100"/>
      <c r="E1" t="s">
        <v>698</v>
      </c>
      <c r="K1" t="s">
        <v>699</v>
      </c>
      <c r="L1" t="s">
        <v>700</v>
      </c>
    </row>
    <row r="2" spans="1:13" ht="51.75">
      <c r="A2" s="140"/>
      <c r="B2" s="141" t="s">
        <v>701</v>
      </c>
      <c r="C2" s="141" t="str">
        <f>CONCATENATE("d:\",C3,".kml")</f>
        <v>d:\Rakhine_CampList_20160601.kml</v>
      </c>
      <c r="G2" t="s">
        <v>702</v>
      </c>
      <c r="H2" t="s">
        <v>703</v>
      </c>
      <c r="K2" t="s">
        <v>704</v>
      </c>
      <c r="L2" t="s">
        <v>705</v>
      </c>
      <c r="M2" t="s">
        <v>706</v>
      </c>
    </row>
    <row r="3" spans="1:13">
      <c r="A3" s="140"/>
      <c r="B3" s="142" t="s">
        <v>707</v>
      </c>
      <c r="C3" s="100" t="str">
        <f>CONCATENATE("Rakhine_CampList_",TEXT(Report_Date,"yyyymmdd"))</f>
        <v>Rakhine_CampList_20160601</v>
      </c>
      <c r="G3" t="s">
        <v>708</v>
      </c>
      <c r="H3" t="s">
        <v>709</v>
      </c>
      <c r="K3" t="s">
        <v>710</v>
      </c>
      <c r="L3" t="s">
        <v>711</v>
      </c>
      <c r="M3" t="s">
        <v>712</v>
      </c>
    </row>
    <row r="4" spans="1:13">
      <c r="A4" s="140"/>
      <c r="B4" s="142"/>
      <c r="C4" s="100"/>
      <c r="G4" t="s">
        <v>713</v>
      </c>
      <c r="H4" t="s">
        <v>714</v>
      </c>
      <c r="K4" t="s">
        <v>715</v>
      </c>
      <c r="L4" t="s">
        <v>716</v>
      </c>
      <c r="M4" t="s">
        <v>717</v>
      </c>
    </row>
    <row r="5" spans="1:13">
      <c r="B5" t="s">
        <v>718</v>
      </c>
      <c r="C5" t="s">
        <v>719</v>
      </c>
      <c r="K5" t="s">
        <v>720</v>
      </c>
      <c r="L5" t="s">
        <v>721</v>
      </c>
      <c r="M5" t="s">
        <v>722</v>
      </c>
    </row>
    <row r="6" spans="1:13">
      <c r="B6" t="s">
        <v>723</v>
      </c>
      <c r="C6" t="s">
        <v>724</v>
      </c>
      <c r="K6" t="s">
        <v>725</v>
      </c>
      <c r="L6" t="s">
        <v>726</v>
      </c>
      <c r="M6" t="s">
        <v>727</v>
      </c>
    </row>
    <row r="8" spans="1:13">
      <c r="B8" t="s">
        <v>689</v>
      </c>
      <c r="C8" t="s">
        <v>690</v>
      </c>
    </row>
    <row r="9" spans="1:13">
      <c r="B9" t="s">
        <v>691</v>
      </c>
      <c r="C9" t="s">
        <v>692</v>
      </c>
      <c r="D9" t="s">
        <v>693</v>
      </c>
    </row>
    <row r="10" spans="1:13">
      <c r="B10" t="s">
        <v>694</v>
      </c>
      <c r="C10" t="s">
        <v>695</v>
      </c>
    </row>
    <row r="11" spans="1:13">
      <c r="B11" t="s">
        <v>696</v>
      </c>
      <c r="C11" t="s">
        <v>697</v>
      </c>
    </row>
    <row r="13" spans="1:13">
      <c r="B13" t="s">
        <v>728</v>
      </c>
      <c r="C13" t="s">
        <v>729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77"/>
  <sheetViews>
    <sheetView zoomScale="80" zoomScaleNormal="80" workbookViewId="0">
      <selection activeCell="AG12" sqref="AG12"/>
    </sheetView>
  </sheetViews>
  <sheetFormatPr defaultColWidth="9.140625" defaultRowHeight="15"/>
  <cols>
    <col min="1" max="1" width="11.28515625" style="100" customWidth="1"/>
    <col min="2" max="2" width="11.85546875" style="100" customWidth="1"/>
    <col min="3" max="3" width="20.7109375" style="100" bestFit="1" customWidth="1"/>
    <col min="4" max="4" width="19.42578125" style="100" customWidth="1"/>
    <col min="5" max="5" width="12.42578125" style="100" bestFit="1" customWidth="1"/>
    <col min="6" max="6" width="11.42578125" style="100" customWidth="1"/>
    <col min="7" max="7" width="11.5703125" style="28" customWidth="1"/>
    <col min="8" max="8" width="11.140625" customWidth="1"/>
    <col min="9" max="9" width="11.42578125" style="100" customWidth="1"/>
    <col min="10" max="10" width="18.5703125" style="329" customWidth="1"/>
    <col min="11" max="11" width="15.7109375" style="329" customWidth="1"/>
    <col min="12" max="12" width="29.5703125" style="100" customWidth="1"/>
    <col min="13" max="13" width="16.7109375" style="100" customWidth="1"/>
    <col min="14" max="14" width="12.28515625" style="100" customWidth="1"/>
    <col min="15" max="15" width="14.85546875" style="100" customWidth="1"/>
    <col min="16" max="16" width="10" style="100" customWidth="1"/>
    <col min="17" max="17" width="5.5703125" style="100" customWidth="1"/>
    <col min="18" max="18" width="13.42578125" style="100" customWidth="1"/>
    <col min="19" max="19" width="8.85546875" style="100" customWidth="1"/>
    <col min="20" max="20" width="6.5703125" style="100" customWidth="1"/>
    <col min="21" max="21" width="12.28515625" style="100" customWidth="1"/>
    <col min="22" max="22" width="10" style="100" customWidth="1"/>
    <col min="23" max="23" width="5.5703125" style="100" customWidth="1"/>
    <col min="24" max="24" width="13.42578125" style="100" customWidth="1"/>
    <col min="25" max="25" width="10" style="100" customWidth="1"/>
    <col min="26" max="26" width="6.5703125" style="100" customWidth="1"/>
    <col min="27" max="27" width="13.42578125" style="100" customWidth="1"/>
    <col min="28" max="28" width="6" style="100" customWidth="1"/>
    <col min="29" max="29" width="5.5703125" style="100" customWidth="1"/>
    <col min="30" max="30" width="9.42578125" style="100" customWidth="1"/>
    <col min="31" max="31" width="11.5703125" style="100" customWidth="1"/>
    <col min="32" max="32" width="5.5703125" style="100" customWidth="1"/>
    <col min="33" max="33" width="13.42578125" style="100" customWidth="1"/>
    <col min="34" max="34" width="10" style="100" customWidth="1"/>
    <col min="35" max="35" width="6.5703125" style="100" customWidth="1"/>
    <col min="36" max="36" width="13.42578125" style="100" customWidth="1"/>
    <col min="37" max="37" width="6" style="100" customWidth="1"/>
    <col min="38" max="38" width="5.5703125" style="100" customWidth="1"/>
    <col min="39" max="39" width="9.42578125" style="100" customWidth="1"/>
    <col min="40" max="40" width="11.5703125" style="100" customWidth="1"/>
    <col min="41" max="41" width="6" style="100" customWidth="1"/>
    <col min="42" max="42" width="3.28515625" style="100" customWidth="1"/>
    <col min="43" max="43" width="9" style="100" customWidth="1"/>
    <col min="44" max="44" width="11.28515625" style="100" bestFit="1" customWidth="1"/>
    <col min="45" max="16384" width="9.140625" style="100"/>
  </cols>
  <sheetData>
    <row r="1" spans="1:44" ht="22.15" customHeight="1">
      <c r="A1" s="674" t="s">
        <v>10</v>
      </c>
      <c r="B1" s="632" t="s">
        <v>1</v>
      </c>
      <c r="C1" s="632" t="s">
        <v>550</v>
      </c>
      <c r="D1" s="632" t="s">
        <v>581</v>
      </c>
      <c r="E1" s="632" t="s">
        <v>755</v>
      </c>
      <c r="F1" s="675" t="s">
        <v>754</v>
      </c>
      <c r="G1" s="676" t="s">
        <v>5</v>
      </c>
      <c r="H1" s="632" t="s">
        <v>759</v>
      </c>
      <c r="I1" s="677" t="s">
        <v>348</v>
      </c>
      <c r="J1" s="678" t="s">
        <v>903</v>
      </c>
      <c r="L1"/>
      <c r="M1"/>
      <c r="N1"/>
      <c r="O1"/>
      <c r="P1"/>
      <c r="Q1"/>
      <c r="R1"/>
      <c r="S1"/>
      <c r="T1"/>
      <c r="U1"/>
      <c r="V1"/>
      <c r="W1"/>
      <c r="X1"/>
      <c r="Y1"/>
      <c r="Z1"/>
      <c r="AA1"/>
      <c r="AB1"/>
    </row>
    <row r="2" spans="1:44" ht="15" customHeight="1">
      <c r="A2" s="539" t="s">
        <v>7</v>
      </c>
      <c r="B2" s="540" t="s">
        <v>14</v>
      </c>
      <c r="C2" s="168" t="s">
        <v>40</v>
      </c>
      <c r="D2" s="395" t="str">
        <f ca="1">IFERROR(OFFSET(Camp_List[P_Code],MATCH(Data_Demography_t[[#This Row],[Camp]],Camp_List[Camp Name],0)-1,0,1,1),"")</f>
        <v>MMR012CMP016</v>
      </c>
      <c r="E2" s="541" t="s">
        <v>750</v>
      </c>
      <c r="F2" s="542" t="s">
        <v>748</v>
      </c>
      <c r="G2" s="335">
        <v>406</v>
      </c>
      <c r="H2" s="168">
        <f t="shared" ref="H2:H65" si="0">IF(F2="M",-G2,G2)</f>
        <v>-406</v>
      </c>
      <c r="I2" s="168" t="s">
        <v>642</v>
      </c>
      <c r="J2" s="679">
        <v>42100</v>
      </c>
      <c r="L2"/>
      <c r="M2"/>
      <c r="N2"/>
      <c r="O2"/>
      <c r="P2"/>
      <c r="Q2"/>
      <c r="R2"/>
      <c r="S2"/>
      <c r="T2"/>
      <c r="U2"/>
      <c r="V2"/>
      <c r="W2"/>
      <c r="X2"/>
      <c r="Y2"/>
      <c r="Z2"/>
      <c r="AA2"/>
      <c r="AB2"/>
    </row>
    <row r="3" spans="1:44" ht="15" customHeight="1">
      <c r="A3" s="539" t="s">
        <v>7</v>
      </c>
      <c r="B3" s="540" t="s">
        <v>14</v>
      </c>
      <c r="C3" s="168" t="s">
        <v>40</v>
      </c>
      <c r="D3" s="395" t="str">
        <f ca="1">IFERROR(OFFSET(Camp_List[P_Code],MATCH(Data_Demography_t[[#This Row],[Camp]],Camp_List[Camp Name],0)-1,0,1,1),"")</f>
        <v>MMR012CMP016</v>
      </c>
      <c r="E3" s="541" t="s">
        <v>750</v>
      </c>
      <c r="F3" s="542" t="s">
        <v>749</v>
      </c>
      <c r="G3" s="335">
        <v>472</v>
      </c>
      <c r="H3" s="168">
        <f t="shared" si="0"/>
        <v>472</v>
      </c>
      <c r="I3" s="168" t="s">
        <v>642</v>
      </c>
      <c r="J3" s="679">
        <v>42100</v>
      </c>
      <c r="L3"/>
      <c r="M3"/>
      <c r="N3"/>
      <c r="O3"/>
      <c r="P3"/>
      <c r="Q3"/>
      <c r="R3"/>
      <c r="S3"/>
      <c r="T3"/>
      <c r="U3"/>
      <c r="V3"/>
      <c r="W3"/>
      <c r="X3"/>
      <c r="Y3"/>
      <c r="Z3"/>
      <c r="AA3"/>
      <c r="AB3"/>
    </row>
    <row r="4" spans="1:44" ht="15" customHeight="1">
      <c r="A4" s="539" t="s">
        <v>7</v>
      </c>
      <c r="B4" s="540" t="s">
        <v>14</v>
      </c>
      <c r="C4" s="168" t="s">
        <v>40</v>
      </c>
      <c r="D4" s="395" t="str">
        <f ca="1">IFERROR(OFFSET(Camp_List[P_Code],MATCH(Data_Demography_t[[#This Row],[Camp]],Camp_List[Camp Name],0)-1,0,1,1),"")</f>
        <v>MMR012CMP016</v>
      </c>
      <c r="E4" s="541" t="s">
        <v>914</v>
      </c>
      <c r="F4" s="542" t="s">
        <v>748</v>
      </c>
      <c r="G4" s="335">
        <v>546</v>
      </c>
      <c r="H4" s="168">
        <f t="shared" si="0"/>
        <v>-546</v>
      </c>
      <c r="I4" s="168" t="s">
        <v>642</v>
      </c>
      <c r="J4" s="679">
        <v>42100</v>
      </c>
      <c r="L4" s="211" t="s">
        <v>549</v>
      </c>
      <c r="M4" s="211" t="s">
        <v>688</v>
      </c>
      <c r="N4" s="31"/>
      <c r="O4" s="31"/>
      <c r="P4" s="31"/>
      <c r="Q4" s="31"/>
      <c r="R4" s="31"/>
      <c r="S4" s="31"/>
      <c r="T4" s="31"/>
      <c r="U4" s="31"/>
      <c r="V4" s="31"/>
      <c r="W4" s="31"/>
      <c r="X4" s="31"/>
      <c r="Y4" s="31"/>
      <c r="Z4" s="31"/>
      <c r="AA4" s="31"/>
      <c r="AB4" s="31"/>
      <c r="AC4" s="31"/>
      <c r="AD4" s="31"/>
      <c r="AE4" s="31"/>
      <c r="AF4"/>
      <c r="AG4"/>
      <c r="AH4"/>
      <c r="AI4"/>
      <c r="AJ4"/>
      <c r="AK4"/>
      <c r="AL4"/>
      <c r="AM4"/>
      <c r="AN4"/>
      <c r="AO4"/>
      <c r="AP4"/>
      <c r="AQ4"/>
      <c r="AR4"/>
    </row>
    <row r="5" spans="1:44" ht="15" customHeight="1">
      <c r="A5" s="539" t="s">
        <v>7</v>
      </c>
      <c r="B5" s="540" t="s">
        <v>14</v>
      </c>
      <c r="C5" s="168" t="s">
        <v>40</v>
      </c>
      <c r="D5" s="395" t="str">
        <f ca="1">IFERROR(OFFSET(Camp_List[P_Code],MATCH(Data_Demography_t[[#This Row],[Camp]],Camp_List[Camp Name],0)-1,0,1,1),"")</f>
        <v>MMR012CMP016</v>
      </c>
      <c r="E5" s="541" t="s">
        <v>914</v>
      </c>
      <c r="F5" s="542" t="s">
        <v>749</v>
      </c>
      <c r="G5" s="335">
        <v>495</v>
      </c>
      <c r="H5" s="168">
        <f t="shared" si="0"/>
        <v>495</v>
      </c>
      <c r="I5" s="168" t="s">
        <v>642</v>
      </c>
      <c r="J5" s="679">
        <v>42100</v>
      </c>
      <c r="L5" s="31"/>
      <c r="M5" s="31" t="s">
        <v>750</v>
      </c>
      <c r="N5" s="31"/>
      <c r="O5" s="60" t="s">
        <v>757</v>
      </c>
      <c r="P5" s="31" t="s">
        <v>677</v>
      </c>
      <c r="Q5" s="31"/>
      <c r="R5" s="60" t="s">
        <v>758</v>
      </c>
      <c r="S5" s="31" t="s">
        <v>914</v>
      </c>
      <c r="T5" s="31"/>
      <c r="U5" s="31" t="s">
        <v>924</v>
      </c>
      <c r="V5" s="31" t="s">
        <v>915</v>
      </c>
      <c r="W5" s="31"/>
      <c r="X5" s="31" t="s">
        <v>925</v>
      </c>
      <c r="Y5" s="31" t="s">
        <v>916</v>
      </c>
      <c r="Z5" s="31"/>
      <c r="AA5" s="31" t="s">
        <v>926</v>
      </c>
      <c r="AB5" s="31" t="s">
        <v>892</v>
      </c>
      <c r="AC5" s="31"/>
      <c r="AD5" s="31" t="s">
        <v>927</v>
      </c>
      <c r="AE5" s="60" t="s">
        <v>215</v>
      </c>
      <c r="AF5"/>
      <c r="AG5"/>
      <c r="AH5"/>
      <c r="AI5"/>
      <c r="AJ5"/>
      <c r="AK5"/>
      <c r="AL5"/>
      <c r="AM5"/>
      <c r="AN5"/>
      <c r="AO5"/>
      <c r="AP5"/>
      <c r="AQ5"/>
      <c r="AR5"/>
    </row>
    <row r="6" spans="1:44" ht="15" customHeight="1">
      <c r="A6" s="539" t="s">
        <v>7</v>
      </c>
      <c r="B6" s="540" t="s">
        <v>14</v>
      </c>
      <c r="C6" s="168" t="s">
        <v>40</v>
      </c>
      <c r="D6" s="395" t="str">
        <f ca="1">IFERROR(OFFSET(Camp_List[P_Code],MATCH(Data_Demography_t[[#This Row],[Camp]],Camp_List[Camp Name],0)-1,0,1,1),"")</f>
        <v>MMR012CMP016</v>
      </c>
      <c r="E6" s="541" t="s">
        <v>677</v>
      </c>
      <c r="F6" s="542" t="s">
        <v>748</v>
      </c>
      <c r="G6" s="335">
        <v>297</v>
      </c>
      <c r="H6" s="168">
        <f t="shared" si="0"/>
        <v>-297</v>
      </c>
      <c r="I6" s="168" t="s">
        <v>642</v>
      </c>
      <c r="J6" s="679">
        <v>42100</v>
      </c>
      <c r="L6" s="211" t="s">
        <v>214</v>
      </c>
      <c r="M6" s="60" t="s">
        <v>749</v>
      </c>
      <c r="N6" s="60" t="s">
        <v>748</v>
      </c>
      <c r="O6" s="60"/>
      <c r="P6" s="60" t="s">
        <v>749</v>
      </c>
      <c r="Q6" s="60" t="s">
        <v>748</v>
      </c>
      <c r="R6" s="60"/>
      <c r="S6" s="31" t="s">
        <v>749</v>
      </c>
      <c r="T6" s="31" t="s">
        <v>748</v>
      </c>
      <c r="U6" s="31"/>
      <c r="V6" s="31" t="s">
        <v>749</v>
      </c>
      <c r="W6" s="31" t="s">
        <v>748</v>
      </c>
      <c r="X6" s="31"/>
      <c r="Y6" s="31" t="s">
        <v>749</v>
      </c>
      <c r="Z6" s="31" t="s">
        <v>748</v>
      </c>
      <c r="AA6" s="31"/>
      <c r="AB6" s="31" t="s">
        <v>749</v>
      </c>
      <c r="AC6" s="31" t="s">
        <v>748</v>
      </c>
      <c r="AD6" s="31"/>
      <c r="AE6" s="60"/>
      <c r="AF6"/>
      <c r="AG6"/>
      <c r="AH6"/>
      <c r="AI6"/>
      <c r="AJ6"/>
      <c r="AK6"/>
      <c r="AL6"/>
      <c r="AM6"/>
      <c r="AN6"/>
      <c r="AO6"/>
      <c r="AP6"/>
      <c r="AQ6"/>
      <c r="AR6"/>
    </row>
    <row r="7" spans="1:44" ht="15" customHeight="1">
      <c r="A7" s="539" t="s">
        <v>7</v>
      </c>
      <c r="B7" s="540" t="s">
        <v>14</v>
      </c>
      <c r="C7" s="168" t="s">
        <v>40</v>
      </c>
      <c r="D7" s="395" t="str">
        <f ca="1">IFERROR(OFFSET(Camp_List[P_Code],MATCH(Data_Demography_t[[#This Row],[Camp]],Camp_List[Camp Name],0)-1,0,1,1),"")</f>
        <v>MMR012CMP016</v>
      </c>
      <c r="E7" s="541" t="s">
        <v>915</v>
      </c>
      <c r="F7" s="542" t="s">
        <v>749</v>
      </c>
      <c r="G7" s="335">
        <v>235</v>
      </c>
      <c r="H7" s="168">
        <f t="shared" si="0"/>
        <v>235</v>
      </c>
      <c r="I7" s="168" t="s">
        <v>642</v>
      </c>
      <c r="J7" s="679">
        <v>42100</v>
      </c>
      <c r="L7" s="589" t="s">
        <v>14</v>
      </c>
      <c r="M7" s="209">
        <v>2210</v>
      </c>
      <c r="N7" s="209">
        <v>2256</v>
      </c>
      <c r="O7" s="209">
        <v>4466</v>
      </c>
      <c r="P7" s="209">
        <v>859</v>
      </c>
      <c r="Q7" s="209">
        <v>1380</v>
      </c>
      <c r="R7" s="209">
        <v>2239</v>
      </c>
      <c r="S7" s="209">
        <v>1970</v>
      </c>
      <c r="T7" s="209">
        <v>1970</v>
      </c>
      <c r="U7" s="209">
        <v>3940</v>
      </c>
      <c r="V7" s="209">
        <v>2195</v>
      </c>
      <c r="W7" s="209">
        <v>1354</v>
      </c>
      <c r="X7" s="209">
        <v>3549</v>
      </c>
      <c r="Y7" s="209">
        <v>2349</v>
      </c>
      <c r="Z7" s="209">
        <v>2356</v>
      </c>
      <c r="AA7" s="209">
        <v>4705</v>
      </c>
      <c r="AB7" s="209">
        <v>301</v>
      </c>
      <c r="AC7" s="209">
        <v>324</v>
      </c>
      <c r="AD7" s="209">
        <v>625</v>
      </c>
      <c r="AE7" s="209">
        <v>19524</v>
      </c>
      <c r="AF7"/>
      <c r="AG7"/>
      <c r="AH7"/>
      <c r="AI7"/>
      <c r="AJ7"/>
      <c r="AK7"/>
      <c r="AL7"/>
      <c r="AM7"/>
      <c r="AN7"/>
      <c r="AO7"/>
      <c r="AP7"/>
      <c r="AQ7"/>
      <c r="AR7"/>
    </row>
    <row r="8" spans="1:44" ht="15" customHeight="1">
      <c r="A8" s="539" t="s">
        <v>7</v>
      </c>
      <c r="B8" s="540" t="s">
        <v>14</v>
      </c>
      <c r="C8" s="168" t="s">
        <v>40</v>
      </c>
      <c r="D8" s="395" t="str">
        <f ca="1">IFERROR(OFFSET(Camp_List[P_Code],MATCH(Data_Demography_t[[#This Row],[Camp]],Camp_List[Camp Name],0)-1,0,1,1),"")</f>
        <v>MMR012CMP016</v>
      </c>
      <c r="E8" s="541" t="s">
        <v>915</v>
      </c>
      <c r="F8" s="542" t="s">
        <v>748</v>
      </c>
      <c r="G8" s="335">
        <v>266</v>
      </c>
      <c r="H8" s="168">
        <f t="shared" si="0"/>
        <v>-266</v>
      </c>
      <c r="I8" s="168" t="s">
        <v>642</v>
      </c>
      <c r="J8" s="679">
        <v>42100</v>
      </c>
      <c r="L8" s="210" t="s">
        <v>42</v>
      </c>
      <c r="M8" s="209">
        <v>589</v>
      </c>
      <c r="N8" s="209">
        <v>612</v>
      </c>
      <c r="O8" s="209">
        <v>1201</v>
      </c>
      <c r="P8" s="209">
        <v>297</v>
      </c>
      <c r="Q8" s="209">
        <v>355</v>
      </c>
      <c r="R8" s="209">
        <v>652</v>
      </c>
      <c r="S8" s="209">
        <v>523</v>
      </c>
      <c r="T8" s="209">
        <v>456</v>
      </c>
      <c r="U8" s="209">
        <v>979</v>
      </c>
      <c r="V8" s="209">
        <v>482</v>
      </c>
      <c r="W8" s="209">
        <v>345</v>
      </c>
      <c r="X8" s="209">
        <v>827</v>
      </c>
      <c r="Y8" s="209">
        <v>602</v>
      </c>
      <c r="Z8" s="209">
        <v>599</v>
      </c>
      <c r="AA8" s="209">
        <v>1201</v>
      </c>
      <c r="AB8" s="209">
        <v>96</v>
      </c>
      <c r="AC8" s="209">
        <v>104</v>
      </c>
      <c r="AD8" s="209">
        <v>200</v>
      </c>
      <c r="AE8" s="209">
        <v>5060</v>
      </c>
      <c r="AF8"/>
      <c r="AG8"/>
      <c r="AH8"/>
      <c r="AI8"/>
      <c r="AJ8"/>
      <c r="AK8"/>
      <c r="AL8"/>
      <c r="AM8"/>
      <c r="AN8"/>
      <c r="AO8"/>
      <c r="AP8"/>
      <c r="AQ8"/>
      <c r="AR8"/>
    </row>
    <row r="9" spans="1:44" ht="15" customHeight="1">
      <c r="A9" s="539" t="s">
        <v>7</v>
      </c>
      <c r="B9" s="540" t="s">
        <v>14</v>
      </c>
      <c r="C9" s="168" t="s">
        <v>40</v>
      </c>
      <c r="D9" s="395" t="str">
        <f ca="1">IFERROR(OFFSET(Camp_List[P_Code],MATCH(Data_Demography_t[[#This Row],[Camp]],Camp_List[Camp Name],0)-1,0,1,1),"")</f>
        <v>MMR012CMP016</v>
      </c>
      <c r="E9" s="541" t="s">
        <v>915</v>
      </c>
      <c r="F9" s="542" t="s">
        <v>749</v>
      </c>
      <c r="G9" s="335">
        <v>453</v>
      </c>
      <c r="H9" s="168">
        <f t="shared" si="0"/>
        <v>453</v>
      </c>
      <c r="I9" s="168" t="s">
        <v>642</v>
      </c>
      <c r="J9" s="679">
        <v>42100</v>
      </c>
      <c r="L9" s="210" t="s">
        <v>43</v>
      </c>
      <c r="M9" s="209">
        <v>196</v>
      </c>
      <c r="N9" s="209">
        <v>231</v>
      </c>
      <c r="O9" s="209">
        <v>427</v>
      </c>
      <c r="P9" s="209">
        <v>179</v>
      </c>
      <c r="Q9" s="209">
        <v>199</v>
      </c>
      <c r="R9" s="209">
        <v>378</v>
      </c>
      <c r="S9" s="209">
        <v>204</v>
      </c>
      <c r="T9" s="209">
        <v>218</v>
      </c>
      <c r="U9" s="209">
        <v>422</v>
      </c>
      <c r="V9" s="209">
        <v>248</v>
      </c>
      <c r="W9" s="209">
        <v>216</v>
      </c>
      <c r="X9" s="209">
        <v>464</v>
      </c>
      <c r="Y9" s="209">
        <v>454</v>
      </c>
      <c r="Z9" s="209">
        <v>422</v>
      </c>
      <c r="AA9" s="209">
        <v>876</v>
      </c>
      <c r="AB9" s="209">
        <v>61</v>
      </c>
      <c r="AC9" s="209">
        <v>40</v>
      </c>
      <c r="AD9" s="209">
        <v>101</v>
      </c>
      <c r="AE9" s="209">
        <v>2668</v>
      </c>
      <c r="AF9"/>
      <c r="AG9"/>
      <c r="AH9"/>
      <c r="AI9"/>
      <c r="AJ9"/>
      <c r="AK9"/>
      <c r="AL9"/>
      <c r="AM9"/>
      <c r="AN9"/>
      <c r="AO9"/>
      <c r="AP9"/>
      <c r="AQ9"/>
      <c r="AR9"/>
    </row>
    <row r="10" spans="1:44" ht="15" customHeight="1">
      <c r="A10" s="539" t="s">
        <v>7</v>
      </c>
      <c r="B10" s="540" t="s">
        <v>14</v>
      </c>
      <c r="C10" s="168" t="s">
        <v>40</v>
      </c>
      <c r="D10" s="395" t="str">
        <f ca="1">IFERROR(OFFSET(Camp_List[P_Code],MATCH(Data_Demography_t[[#This Row],[Camp]],Camp_List[Camp Name],0)-1,0,1,1),"")</f>
        <v>MMR012CMP016</v>
      </c>
      <c r="E10" s="541" t="s">
        <v>916</v>
      </c>
      <c r="F10" s="542" t="s">
        <v>748</v>
      </c>
      <c r="G10" s="335">
        <v>469</v>
      </c>
      <c r="H10" s="168">
        <f t="shared" si="0"/>
        <v>-469</v>
      </c>
      <c r="I10" s="168" t="s">
        <v>642</v>
      </c>
      <c r="J10" s="679">
        <v>42100</v>
      </c>
      <c r="L10" s="210" t="s">
        <v>40</v>
      </c>
      <c r="M10" s="209">
        <v>472</v>
      </c>
      <c r="N10" s="209">
        <v>406</v>
      </c>
      <c r="O10" s="209">
        <v>878</v>
      </c>
      <c r="P10" s="209"/>
      <c r="Q10" s="209">
        <v>297</v>
      </c>
      <c r="R10" s="209">
        <v>297</v>
      </c>
      <c r="S10" s="209">
        <v>495</v>
      </c>
      <c r="T10" s="209">
        <v>546</v>
      </c>
      <c r="U10" s="209">
        <v>1041</v>
      </c>
      <c r="V10" s="209">
        <v>688</v>
      </c>
      <c r="W10" s="209">
        <v>266</v>
      </c>
      <c r="X10" s="209">
        <v>954</v>
      </c>
      <c r="Y10" s="209">
        <v>523</v>
      </c>
      <c r="Z10" s="209">
        <v>469</v>
      </c>
      <c r="AA10" s="209">
        <v>992</v>
      </c>
      <c r="AB10" s="209">
        <v>48</v>
      </c>
      <c r="AC10" s="209">
        <v>62</v>
      </c>
      <c r="AD10" s="209">
        <v>110</v>
      </c>
      <c r="AE10" s="209">
        <v>4272</v>
      </c>
      <c r="AF10"/>
      <c r="AG10"/>
      <c r="AH10"/>
      <c r="AI10"/>
      <c r="AJ10"/>
      <c r="AK10"/>
      <c r="AL10"/>
      <c r="AM10"/>
      <c r="AN10"/>
      <c r="AO10"/>
      <c r="AP10"/>
      <c r="AQ10"/>
      <c r="AR10"/>
    </row>
    <row r="11" spans="1:44" ht="15" customHeight="1">
      <c r="A11" s="539" t="s">
        <v>7</v>
      </c>
      <c r="B11" s="540" t="s">
        <v>14</v>
      </c>
      <c r="C11" s="168" t="s">
        <v>40</v>
      </c>
      <c r="D11" s="395" t="str">
        <f ca="1">IFERROR(OFFSET(Camp_List[P_Code],MATCH(Data_Demography_t[[#This Row],[Camp]],Camp_List[Camp Name],0)-1,0,1,1),"")</f>
        <v>MMR012CMP016</v>
      </c>
      <c r="E11" s="541" t="s">
        <v>916</v>
      </c>
      <c r="F11" s="542" t="s">
        <v>749</v>
      </c>
      <c r="G11" s="335">
        <v>523</v>
      </c>
      <c r="H11" s="168">
        <f t="shared" si="0"/>
        <v>523</v>
      </c>
      <c r="I11" s="168" t="s">
        <v>642</v>
      </c>
      <c r="J11" s="679">
        <v>42100</v>
      </c>
      <c r="L11" s="210" t="s">
        <v>39</v>
      </c>
      <c r="M11" s="209">
        <v>14</v>
      </c>
      <c r="N11" s="209">
        <v>7</v>
      </c>
      <c r="O11" s="209">
        <v>21</v>
      </c>
      <c r="P11" s="209"/>
      <c r="Q11" s="209">
        <v>7</v>
      </c>
      <c r="R11" s="209">
        <v>7</v>
      </c>
      <c r="S11" s="209">
        <v>5</v>
      </c>
      <c r="T11" s="209">
        <v>10</v>
      </c>
      <c r="U11" s="209">
        <v>15</v>
      </c>
      <c r="V11" s="209">
        <v>19</v>
      </c>
      <c r="W11" s="209">
        <v>18</v>
      </c>
      <c r="X11" s="209">
        <v>37</v>
      </c>
      <c r="Y11" s="209">
        <v>23</v>
      </c>
      <c r="Z11" s="209">
        <v>16</v>
      </c>
      <c r="AA11" s="209">
        <v>39</v>
      </c>
      <c r="AB11" s="209">
        <v>2</v>
      </c>
      <c r="AC11" s="209">
        <v>1</v>
      </c>
      <c r="AD11" s="209">
        <v>3</v>
      </c>
      <c r="AE11" s="209">
        <v>122</v>
      </c>
      <c r="AF11"/>
      <c r="AG11"/>
      <c r="AH11"/>
      <c r="AI11"/>
      <c r="AJ11"/>
      <c r="AK11"/>
      <c r="AL11"/>
      <c r="AM11"/>
      <c r="AN11"/>
      <c r="AO11"/>
      <c r="AP11"/>
      <c r="AQ11"/>
      <c r="AR11"/>
    </row>
    <row r="12" spans="1:44">
      <c r="A12" s="539" t="s">
        <v>7</v>
      </c>
      <c r="B12" s="540" t="s">
        <v>14</v>
      </c>
      <c r="C12" s="168" t="s">
        <v>40</v>
      </c>
      <c r="D12" s="395" t="str">
        <f ca="1">IFERROR(OFFSET(Camp_List[P_Code],MATCH(Data_Demography_t[[#This Row],[Camp]],Camp_List[Camp Name],0)-1,0,1,1),"")</f>
        <v>MMR012CMP016</v>
      </c>
      <c r="E12" s="541" t="s">
        <v>892</v>
      </c>
      <c r="F12" s="542" t="s">
        <v>748</v>
      </c>
      <c r="G12" s="335">
        <v>62</v>
      </c>
      <c r="H12" s="168">
        <f t="shared" si="0"/>
        <v>-62</v>
      </c>
      <c r="I12" s="168" t="s">
        <v>642</v>
      </c>
      <c r="J12" s="679">
        <v>42100</v>
      </c>
      <c r="L12" s="210" t="s">
        <v>41</v>
      </c>
      <c r="M12" s="209">
        <v>939</v>
      </c>
      <c r="N12" s="209">
        <v>1000</v>
      </c>
      <c r="O12" s="209">
        <v>1939</v>
      </c>
      <c r="P12" s="209">
        <v>383</v>
      </c>
      <c r="Q12" s="209">
        <v>522</v>
      </c>
      <c r="R12" s="209">
        <v>905</v>
      </c>
      <c r="S12" s="209">
        <v>743</v>
      </c>
      <c r="T12" s="209">
        <v>740</v>
      </c>
      <c r="U12" s="209">
        <v>1483</v>
      </c>
      <c r="V12" s="209">
        <v>758</v>
      </c>
      <c r="W12" s="209">
        <v>509</v>
      </c>
      <c r="X12" s="209">
        <v>1267</v>
      </c>
      <c r="Y12" s="209">
        <v>747</v>
      </c>
      <c r="Z12" s="209">
        <v>850</v>
      </c>
      <c r="AA12" s="209">
        <v>1597</v>
      </c>
      <c r="AB12" s="209">
        <v>94</v>
      </c>
      <c r="AC12" s="209">
        <v>117</v>
      </c>
      <c r="AD12" s="209">
        <v>211</v>
      </c>
      <c r="AE12" s="209">
        <v>7402</v>
      </c>
      <c r="AF12"/>
      <c r="AG12"/>
      <c r="AH12"/>
      <c r="AI12"/>
      <c r="AJ12"/>
      <c r="AK12"/>
      <c r="AL12"/>
      <c r="AM12"/>
      <c r="AN12"/>
      <c r="AO12"/>
      <c r="AP12"/>
      <c r="AQ12"/>
      <c r="AR12"/>
    </row>
    <row r="13" spans="1:44">
      <c r="A13" s="539" t="s">
        <v>7</v>
      </c>
      <c r="B13" s="540" t="s">
        <v>14</v>
      </c>
      <c r="C13" s="168" t="s">
        <v>40</v>
      </c>
      <c r="D13" s="395" t="str">
        <f ca="1">IFERROR(OFFSET(Camp_List[P_Code],MATCH(Data_Demography_t[[#This Row],[Camp]],Camp_List[Camp Name],0)-1,0,1,1),"")</f>
        <v>MMR012CMP016</v>
      </c>
      <c r="E13" s="541" t="s">
        <v>892</v>
      </c>
      <c r="F13" s="542" t="s">
        <v>749</v>
      </c>
      <c r="G13" s="335">
        <v>48</v>
      </c>
      <c r="H13" s="168">
        <f t="shared" si="0"/>
        <v>48</v>
      </c>
      <c r="I13" s="168" t="s">
        <v>642</v>
      </c>
      <c r="J13" s="679">
        <v>42100</v>
      </c>
      <c r="L13" s="589" t="s">
        <v>19</v>
      </c>
      <c r="M13" s="209">
        <v>8894</v>
      </c>
      <c r="N13" s="209">
        <v>8631</v>
      </c>
      <c r="O13" s="209">
        <v>17525</v>
      </c>
      <c r="P13" s="209">
        <v>4949</v>
      </c>
      <c r="Q13" s="209">
        <v>6892</v>
      </c>
      <c r="R13" s="209">
        <v>11841</v>
      </c>
      <c r="S13" s="209">
        <v>8380</v>
      </c>
      <c r="T13" s="209">
        <v>9089</v>
      </c>
      <c r="U13" s="209">
        <v>17469</v>
      </c>
      <c r="V13" s="209">
        <v>11196</v>
      </c>
      <c r="W13" s="209">
        <v>7295</v>
      </c>
      <c r="X13" s="209">
        <v>18491</v>
      </c>
      <c r="Y13" s="209">
        <v>12383</v>
      </c>
      <c r="Z13" s="209">
        <v>11513</v>
      </c>
      <c r="AA13" s="209">
        <v>23896</v>
      </c>
      <c r="AB13" s="209">
        <v>1691</v>
      </c>
      <c r="AC13" s="209">
        <v>1616</v>
      </c>
      <c r="AD13" s="209">
        <v>3307</v>
      </c>
      <c r="AE13" s="209">
        <v>92529</v>
      </c>
      <c r="AF13"/>
      <c r="AG13"/>
      <c r="AH13"/>
      <c r="AI13"/>
      <c r="AJ13"/>
      <c r="AK13"/>
      <c r="AL13"/>
      <c r="AM13"/>
      <c r="AN13"/>
      <c r="AO13"/>
      <c r="AP13"/>
      <c r="AQ13"/>
      <c r="AR13"/>
    </row>
    <row r="14" spans="1:44">
      <c r="A14" s="337" t="s">
        <v>7</v>
      </c>
      <c r="B14" s="334" t="s">
        <v>14</v>
      </c>
      <c r="C14" s="338" t="s">
        <v>39</v>
      </c>
      <c r="D14" s="391" t="str">
        <f ca="1">IFERROR(OFFSET(Camp_List[P_Code],MATCH(Data_Demography_t[[#This Row],[Camp]],Camp_List[Camp Name],0)-1,0,1,1),"")</f>
        <v>MMR012CMP015</v>
      </c>
      <c r="E14" s="394" t="s">
        <v>750</v>
      </c>
      <c r="F14" s="338" t="s">
        <v>748</v>
      </c>
      <c r="G14" s="392">
        <v>7</v>
      </c>
      <c r="H14" s="393">
        <f t="shared" si="0"/>
        <v>-7</v>
      </c>
      <c r="I14" s="338" t="s">
        <v>642</v>
      </c>
      <c r="J14" s="679">
        <v>42095</v>
      </c>
      <c r="L14" s="210" t="s">
        <v>653</v>
      </c>
      <c r="M14" s="209">
        <v>1429</v>
      </c>
      <c r="N14" s="209">
        <v>1479</v>
      </c>
      <c r="O14" s="209">
        <v>2908</v>
      </c>
      <c r="P14" s="209">
        <v>907</v>
      </c>
      <c r="Q14" s="209">
        <v>1004</v>
      </c>
      <c r="R14" s="209">
        <v>1911</v>
      </c>
      <c r="S14" s="209">
        <v>1300</v>
      </c>
      <c r="T14" s="209">
        <v>1461</v>
      </c>
      <c r="U14" s="209">
        <v>2761</v>
      </c>
      <c r="V14" s="209">
        <v>1495</v>
      </c>
      <c r="W14" s="209">
        <v>1034</v>
      </c>
      <c r="X14" s="209">
        <v>2529</v>
      </c>
      <c r="Y14" s="209">
        <v>1562</v>
      </c>
      <c r="Z14" s="209">
        <v>1406</v>
      </c>
      <c r="AA14" s="209">
        <v>2968</v>
      </c>
      <c r="AB14" s="209">
        <v>319</v>
      </c>
      <c r="AC14" s="209">
        <v>259</v>
      </c>
      <c r="AD14" s="209">
        <v>578</v>
      </c>
      <c r="AE14" s="209">
        <v>13655</v>
      </c>
      <c r="AF14"/>
      <c r="AG14"/>
      <c r="AH14"/>
      <c r="AI14"/>
      <c r="AJ14"/>
      <c r="AK14"/>
      <c r="AL14"/>
      <c r="AM14"/>
      <c r="AN14"/>
      <c r="AO14"/>
      <c r="AP14"/>
      <c r="AQ14"/>
      <c r="AR14"/>
    </row>
    <row r="15" spans="1:44">
      <c r="A15" s="337" t="s">
        <v>7</v>
      </c>
      <c r="B15" s="334" t="s">
        <v>14</v>
      </c>
      <c r="C15" s="338" t="s">
        <v>39</v>
      </c>
      <c r="D15" s="391" t="str">
        <f ca="1">IFERROR(OFFSET(Camp_List[P_Code],MATCH(Data_Demography_t[[#This Row],[Camp]],Camp_List[Camp Name],0)-1,0,1,1),"")</f>
        <v>MMR012CMP015</v>
      </c>
      <c r="E15" s="394" t="s">
        <v>750</v>
      </c>
      <c r="F15" s="381" t="s">
        <v>749</v>
      </c>
      <c r="G15" s="392">
        <v>14</v>
      </c>
      <c r="H15" s="393">
        <f t="shared" si="0"/>
        <v>14</v>
      </c>
      <c r="I15" s="338" t="s">
        <v>642</v>
      </c>
      <c r="J15" s="679">
        <v>42095</v>
      </c>
      <c r="L15" s="210" t="s">
        <v>654</v>
      </c>
      <c r="M15" s="209">
        <v>1150</v>
      </c>
      <c r="N15" s="209">
        <v>1179</v>
      </c>
      <c r="O15" s="209">
        <v>2329</v>
      </c>
      <c r="P15" s="209">
        <v>835</v>
      </c>
      <c r="Q15" s="209">
        <v>957</v>
      </c>
      <c r="R15" s="209">
        <v>1792</v>
      </c>
      <c r="S15" s="209">
        <v>1190</v>
      </c>
      <c r="T15" s="209">
        <v>1316</v>
      </c>
      <c r="U15" s="209">
        <v>2506</v>
      </c>
      <c r="V15" s="209">
        <v>1214</v>
      </c>
      <c r="W15" s="209">
        <v>799</v>
      </c>
      <c r="X15" s="209">
        <v>2013</v>
      </c>
      <c r="Y15" s="209">
        <v>1353</v>
      </c>
      <c r="Z15" s="209">
        <v>1331</v>
      </c>
      <c r="AA15" s="209">
        <v>2684</v>
      </c>
      <c r="AB15" s="209">
        <v>183</v>
      </c>
      <c r="AC15" s="209">
        <v>197</v>
      </c>
      <c r="AD15" s="209">
        <v>380</v>
      </c>
      <c r="AE15" s="209">
        <v>11704</v>
      </c>
      <c r="AF15"/>
      <c r="AG15"/>
      <c r="AH15"/>
      <c r="AI15"/>
      <c r="AJ15"/>
      <c r="AK15"/>
      <c r="AL15"/>
      <c r="AM15"/>
      <c r="AN15"/>
      <c r="AO15"/>
      <c r="AP15"/>
      <c r="AQ15"/>
      <c r="AR15"/>
    </row>
    <row r="16" spans="1:44">
      <c r="A16" s="337" t="s">
        <v>7</v>
      </c>
      <c r="B16" s="334" t="s">
        <v>14</v>
      </c>
      <c r="C16" s="338" t="s">
        <v>39</v>
      </c>
      <c r="D16" s="338" t="str">
        <f ca="1">IFERROR(OFFSET(Camp_List[P_Code],MATCH(Data_Demography_t[[#This Row],[Camp]],Camp_List[Camp Name],0)-1,0,1,1),"")</f>
        <v>MMR012CMP015</v>
      </c>
      <c r="E16" s="339" t="s">
        <v>914</v>
      </c>
      <c r="F16" s="338" t="s">
        <v>748</v>
      </c>
      <c r="G16" s="335">
        <v>10</v>
      </c>
      <c r="H16" s="168">
        <f t="shared" si="0"/>
        <v>-10</v>
      </c>
      <c r="I16" s="338" t="s">
        <v>642</v>
      </c>
      <c r="J16" s="680">
        <v>42095</v>
      </c>
      <c r="L16" s="210" t="s">
        <v>67</v>
      </c>
      <c r="M16" s="209">
        <v>1293</v>
      </c>
      <c r="N16" s="209">
        <v>1277</v>
      </c>
      <c r="O16" s="209">
        <v>2570</v>
      </c>
      <c r="P16" s="209">
        <v>844</v>
      </c>
      <c r="Q16" s="209">
        <v>852</v>
      </c>
      <c r="R16" s="209">
        <v>1696</v>
      </c>
      <c r="S16" s="209">
        <v>1219</v>
      </c>
      <c r="T16" s="209">
        <v>1337</v>
      </c>
      <c r="U16" s="209">
        <v>2556</v>
      </c>
      <c r="V16" s="209">
        <v>1275</v>
      </c>
      <c r="W16" s="209">
        <v>901</v>
      </c>
      <c r="X16" s="209">
        <v>2176</v>
      </c>
      <c r="Y16" s="209">
        <v>1475</v>
      </c>
      <c r="Z16" s="209">
        <v>1335</v>
      </c>
      <c r="AA16" s="209">
        <v>2810</v>
      </c>
      <c r="AB16" s="209">
        <v>180</v>
      </c>
      <c r="AC16" s="209">
        <v>190</v>
      </c>
      <c r="AD16" s="209">
        <v>370</v>
      </c>
      <c r="AE16" s="209">
        <v>12178</v>
      </c>
      <c r="AF16"/>
      <c r="AG16"/>
      <c r="AH16"/>
      <c r="AI16"/>
      <c r="AJ16"/>
      <c r="AK16"/>
      <c r="AL16"/>
      <c r="AM16"/>
      <c r="AN16"/>
      <c r="AO16"/>
      <c r="AP16"/>
      <c r="AQ16"/>
      <c r="AR16"/>
    </row>
    <row r="17" spans="1:44">
      <c r="A17" s="337" t="s">
        <v>7</v>
      </c>
      <c r="B17" s="334" t="s">
        <v>14</v>
      </c>
      <c r="C17" s="338" t="s">
        <v>39</v>
      </c>
      <c r="D17" s="338" t="str">
        <f ca="1">IFERROR(OFFSET(Camp_List[P_Code],MATCH(Data_Demography_t[[#This Row],[Camp]],Camp_List[Camp Name],0)-1,0,1,1),"")</f>
        <v>MMR012CMP015</v>
      </c>
      <c r="E17" s="339" t="s">
        <v>914</v>
      </c>
      <c r="F17" s="381" t="s">
        <v>749</v>
      </c>
      <c r="G17" s="335">
        <v>5</v>
      </c>
      <c r="H17" s="168">
        <f t="shared" si="0"/>
        <v>5</v>
      </c>
      <c r="I17" s="338" t="s">
        <v>642</v>
      </c>
      <c r="J17" s="680">
        <v>42095</v>
      </c>
      <c r="L17" s="210" t="s">
        <v>61</v>
      </c>
      <c r="M17" s="209">
        <v>240</v>
      </c>
      <c r="N17" s="209">
        <v>263</v>
      </c>
      <c r="O17" s="209">
        <v>503</v>
      </c>
      <c r="P17" s="209"/>
      <c r="Q17" s="209">
        <v>112</v>
      </c>
      <c r="R17" s="209">
        <v>112</v>
      </c>
      <c r="S17" s="209">
        <v>136</v>
      </c>
      <c r="T17" s="209">
        <v>145</v>
      </c>
      <c r="U17" s="209">
        <v>281</v>
      </c>
      <c r="V17" s="209">
        <v>322</v>
      </c>
      <c r="W17" s="209">
        <v>151</v>
      </c>
      <c r="X17" s="209">
        <v>473</v>
      </c>
      <c r="Y17" s="209">
        <v>311</v>
      </c>
      <c r="Z17" s="209">
        <v>294</v>
      </c>
      <c r="AA17" s="209">
        <v>605</v>
      </c>
      <c r="AB17" s="209">
        <v>41</v>
      </c>
      <c r="AC17" s="209">
        <v>34</v>
      </c>
      <c r="AD17" s="209">
        <v>75</v>
      </c>
      <c r="AE17" s="209">
        <v>2049</v>
      </c>
      <c r="AF17"/>
      <c r="AG17"/>
      <c r="AH17"/>
      <c r="AI17"/>
      <c r="AJ17"/>
      <c r="AK17"/>
      <c r="AL17"/>
      <c r="AM17"/>
      <c r="AN17"/>
      <c r="AO17"/>
      <c r="AP17"/>
      <c r="AQ17"/>
      <c r="AR17"/>
    </row>
    <row r="18" spans="1:44">
      <c r="A18" s="337" t="s">
        <v>7</v>
      </c>
      <c r="B18" s="334" t="s">
        <v>14</v>
      </c>
      <c r="C18" s="338" t="s">
        <v>39</v>
      </c>
      <c r="D18" s="338" t="str">
        <f ca="1">IFERROR(OFFSET(Camp_List[P_Code],MATCH(Data_Demography_t[[#This Row],[Camp]],Camp_List[Camp Name],0)-1,0,1,1),"")</f>
        <v>MMR012CMP015</v>
      </c>
      <c r="E18" s="339" t="s">
        <v>677</v>
      </c>
      <c r="F18" s="338" t="s">
        <v>748</v>
      </c>
      <c r="G18" s="335">
        <v>7</v>
      </c>
      <c r="H18" s="168">
        <f t="shared" si="0"/>
        <v>-7</v>
      </c>
      <c r="I18" s="338" t="s">
        <v>642</v>
      </c>
      <c r="J18" s="680">
        <v>42095</v>
      </c>
      <c r="L18" s="210" t="s">
        <v>63</v>
      </c>
      <c r="M18" s="209">
        <v>708</v>
      </c>
      <c r="N18" s="209">
        <v>652</v>
      </c>
      <c r="O18" s="209">
        <v>1360</v>
      </c>
      <c r="P18" s="209"/>
      <c r="Q18" s="209">
        <v>648</v>
      </c>
      <c r="R18" s="209">
        <v>648</v>
      </c>
      <c r="S18" s="209">
        <v>802</v>
      </c>
      <c r="T18" s="209">
        <v>809</v>
      </c>
      <c r="U18" s="209">
        <v>1611</v>
      </c>
      <c r="V18" s="209">
        <v>1505</v>
      </c>
      <c r="W18" s="209">
        <v>727</v>
      </c>
      <c r="X18" s="209">
        <v>2232</v>
      </c>
      <c r="Y18" s="209">
        <v>1057</v>
      </c>
      <c r="Z18" s="209">
        <v>971</v>
      </c>
      <c r="AA18" s="209">
        <v>2028</v>
      </c>
      <c r="AB18" s="209">
        <v>159</v>
      </c>
      <c r="AC18" s="209">
        <v>151</v>
      </c>
      <c r="AD18" s="209">
        <v>310</v>
      </c>
      <c r="AE18" s="209">
        <v>8189</v>
      </c>
      <c r="AF18"/>
      <c r="AG18"/>
      <c r="AH18"/>
      <c r="AI18"/>
      <c r="AJ18"/>
      <c r="AK18"/>
      <c r="AL18"/>
      <c r="AM18"/>
      <c r="AN18"/>
      <c r="AO18"/>
      <c r="AP18"/>
      <c r="AQ18"/>
      <c r="AR18"/>
    </row>
    <row r="19" spans="1:44">
      <c r="A19" s="337" t="s">
        <v>7</v>
      </c>
      <c r="B19" s="334" t="s">
        <v>14</v>
      </c>
      <c r="C19" s="338" t="s">
        <v>39</v>
      </c>
      <c r="D19" s="338" t="str">
        <f ca="1">IFERROR(OFFSET(Camp_List[P_Code],MATCH(Data_Demography_t[[#This Row],[Camp]],Camp_List[Camp Name],0)-1,0,1,1),"")</f>
        <v>MMR012CMP015</v>
      </c>
      <c r="E19" s="339" t="s">
        <v>915</v>
      </c>
      <c r="F19" s="381" t="s">
        <v>749</v>
      </c>
      <c r="G19" s="335">
        <v>6</v>
      </c>
      <c r="H19" s="168">
        <f t="shared" si="0"/>
        <v>6</v>
      </c>
      <c r="I19" s="338" t="s">
        <v>642</v>
      </c>
      <c r="J19" s="680">
        <v>42095</v>
      </c>
      <c r="L19" s="210" t="s">
        <v>64</v>
      </c>
      <c r="M19" s="209">
        <v>438</v>
      </c>
      <c r="N19" s="209">
        <v>444</v>
      </c>
      <c r="O19" s="209">
        <v>882</v>
      </c>
      <c r="P19" s="209">
        <v>273</v>
      </c>
      <c r="Q19" s="209">
        <v>320</v>
      </c>
      <c r="R19" s="209">
        <v>593</v>
      </c>
      <c r="S19" s="209">
        <v>358</v>
      </c>
      <c r="T19" s="209">
        <v>391</v>
      </c>
      <c r="U19" s="209">
        <v>749</v>
      </c>
      <c r="V19" s="209">
        <v>465</v>
      </c>
      <c r="W19" s="209">
        <v>336</v>
      </c>
      <c r="X19" s="209">
        <v>801</v>
      </c>
      <c r="Y19" s="209">
        <v>604</v>
      </c>
      <c r="Z19" s="209">
        <v>581</v>
      </c>
      <c r="AA19" s="209">
        <v>1185</v>
      </c>
      <c r="AB19" s="209">
        <v>73</v>
      </c>
      <c r="AC19" s="209">
        <v>59</v>
      </c>
      <c r="AD19" s="209">
        <v>132</v>
      </c>
      <c r="AE19" s="209">
        <v>4342</v>
      </c>
      <c r="AF19"/>
      <c r="AG19"/>
      <c r="AH19"/>
      <c r="AI19"/>
      <c r="AJ19"/>
      <c r="AK19"/>
      <c r="AL19"/>
      <c r="AM19"/>
      <c r="AN19"/>
      <c r="AO19"/>
      <c r="AP19"/>
      <c r="AQ19"/>
      <c r="AR19"/>
    </row>
    <row r="20" spans="1:44">
      <c r="A20" s="337" t="s">
        <v>7</v>
      </c>
      <c r="B20" s="334" t="s">
        <v>14</v>
      </c>
      <c r="C20" s="338" t="s">
        <v>39</v>
      </c>
      <c r="D20" s="338" t="str">
        <f ca="1">IFERROR(OFFSET(Camp_List[P_Code],MATCH(Data_Demography_t[[#This Row],[Camp]],Camp_List[Camp Name],0)-1,0,1,1),"")</f>
        <v>MMR012CMP015</v>
      </c>
      <c r="E20" s="339" t="s">
        <v>915</v>
      </c>
      <c r="F20" s="338" t="s">
        <v>748</v>
      </c>
      <c r="G20" s="335">
        <v>18</v>
      </c>
      <c r="H20" s="168">
        <f t="shared" si="0"/>
        <v>-18</v>
      </c>
      <c r="I20" s="338" t="s">
        <v>642</v>
      </c>
      <c r="J20" s="680">
        <v>42095</v>
      </c>
      <c r="L20" s="210" t="s">
        <v>647</v>
      </c>
      <c r="M20" s="209">
        <v>336</v>
      </c>
      <c r="N20" s="209">
        <v>304</v>
      </c>
      <c r="O20" s="209">
        <v>640</v>
      </c>
      <c r="P20" s="209">
        <v>224</v>
      </c>
      <c r="Q20" s="209">
        <v>218</v>
      </c>
      <c r="R20" s="209">
        <v>442</v>
      </c>
      <c r="S20" s="209">
        <v>276</v>
      </c>
      <c r="T20" s="209">
        <v>295</v>
      </c>
      <c r="U20" s="209">
        <v>571</v>
      </c>
      <c r="V20" s="209">
        <v>348</v>
      </c>
      <c r="W20" s="209">
        <v>288</v>
      </c>
      <c r="X20" s="209">
        <v>636</v>
      </c>
      <c r="Y20" s="209">
        <v>483</v>
      </c>
      <c r="Z20" s="209">
        <v>439</v>
      </c>
      <c r="AA20" s="209">
        <v>922</v>
      </c>
      <c r="AB20" s="209">
        <v>67</v>
      </c>
      <c r="AC20" s="209">
        <v>74</v>
      </c>
      <c r="AD20" s="209">
        <v>141</v>
      </c>
      <c r="AE20" s="209">
        <v>3352</v>
      </c>
      <c r="AF20"/>
      <c r="AG20"/>
      <c r="AH20"/>
      <c r="AI20"/>
      <c r="AJ20"/>
      <c r="AK20"/>
      <c r="AL20"/>
      <c r="AM20"/>
      <c r="AN20"/>
      <c r="AO20"/>
      <c r="AP20"/>
      <c r="AQ20"/>
      <c r="AR20"/>
    </row>
    <row r="21" spans="1:44">
      <c r="A21" s="337" t="s">
        <v>7</v>
      </c>
      <c r="B21" s="334" t="s">
        <v>14</v>
      </c>
      <c r="C21" s="338" t="s">
        <v>39</v>
      </c>
      <c r="D21" s="338" t="str">
        <f ca="1">IFERROR(OFFSET(Camp_List[P_Code],MATCH(Data_Demography_t[[#This Row],[Camp]],Camp_List[Camp Name],0)-1,0,1,1),"")</f>
        <v>MMR012CMP015</v>
      </c>
      <c r="E21" s="339" t="s">
        <v>915</v>
      </c>
      <c r="F21" s="381" t="s">
        <v>749</v>
      </c>
      <c r="G21" s="335">
        <v>13</v>
      </c>
      <c r="H21" s="168">
        <f t="shared" si="0"/>
        <v>13</v>
      </c>
      <c r="I21" s="338" t="s">
        <v>642</v>
      </c>
      <c r="J21" s="680">
        <v>42095</v>
      </c>
      <c r="L21" s="210" t="s">
        <v>652</v>
      </c>
      <c r="M21" s="209">
        <v>415</v>
      </c>
      <c r="N21" s="209">
        <v>352</v>
      </c>
      <c r="O21" s="209">
        <v>767</v>
      </c>
      <c r="P21" s="209">
        <v>224</v>
      </c>
      <c r="Q21" s="209">
        <v>259</v>
      </c>
      <c r="R21" s="209">
        <v>483</v>
      </c>
      <c r="S21" s="209">
        <v>365</v>
      </c>
      <c r="T21" s="209">
        <v>429</v>
      </c>
      <c r="U21" s="209">
        <v>794</v>
      </c>
      <c r="V21" s="209">
        <v>291</v>
      </c>
      <c r="W21" s="209">
        <v>243</v>
      </c>
      <c r="X21" s="209">
        <v>534</v>
      </c>
      <c r="Y21" s="209">
        <v>375</v>
      </c>
      <c r="Z21" s="209">
        <v>364</v>
      </c>
      <c r="AA21" s="209">
        <v>739</v>
      </c>
      <c r="AB21" s="209">
        <v>27</v>
      </c>
      <c r="AC21" s="209">
        <v>45</v>
      </c>
      <c r="AD21" s="209">
        <v>72</v>
      </c>
      <c r="AE21" s="209">
        <v>3389</v>
      </c>
      <c r="AF21"/>
      <c r="AG21"/>
      <c r="AH21"/>
      <c r="AI21"/>
      <c r="AJ21"/>
      <c r="AK21"/>
      <c r="AL21"/>
      <c r="AM21"/>
      <c r="AN21"/>
      <c r="AO21"/>
      <c r="AP21"/>
      <c r="AQ21"/>
      <c r="AR21"/>
    </row>
    <row r="22" spans="1:44">
      <c r="A22" s="337" t="s">
        <v>7</v>
      </c>
      <c r="B22" s="334" t="s">
        <v>14</v>
      </c>
      <c r="C22" s="338" t="s">
        <v>39</v>
      </c>
      <c r="D22" s="338" t="str">
        <f ca="1">IFERROR(OFFSET(Camp_List[P_Code],MATCH(Data_Demography_t[[#This Row],[Camp]],Camp_List[Camp Name],0)-1,0,1,1),"")</f>
        <v>MMR012CMP015</v>
      </c>
      <c r="E22" s="336" t="s">
        <v>916</v>
      </c>
      <c r="F22" s="338" t="s">
        <v>748</v>
      </c>
      <c r="G22" s="335">
        <v>16</v>
      </c>
      <c r="H22" s="168">
        <f t="shared" si="0"/>
        <v>-16</v>
      </c>
      <c r="I22" s="338" t="s">
        <v>642</v>
      </c>
      <c r="J22" s="680">
        <v>42095</v>
      </c>
      <c r="L22" s="210" t="s">
        <v>657</v>
      </c>
      <c r="M22" s="209">
        <v>56</v>
      </c>
      <c r="N22" s="209">
        <v>65</v>
      </c>
      <c r="O22" s="209">
        <v>121</v>
      </c>
      <c r="P22" s="209">
        <v>95</v>
      </c>
      <c r="Q22" s="209">
        <v>72</v>
      </c>
      <c r="R22" s="209">
        <v>167</v>
      </c>
      <c r="S22" s="209">
        <v>73</v>
      </c>
      <c r="T22" s="209">
        <v>84</v>
      </c>
      <c r="U22" s="209">
        <v>157</v>
      </c>
      <c r="V22" s="209">
        <v>117</v>
      </c>
      <c r="W22" s="209">
        <v>92</v>
      </c>
      <c r="X22" s="209">
        <v>209</v>
      </c>
      <c r="Y22" s="209">
        <v>264</v>
      </c>
      <c r="Z22" s="209">
        <v>265</v>
      </c>
      <c r="AA22" s="209">
        <v>529</v>
      </c>
      <c r="AB22" s="209">
        <v>59</v>
      </c>
      <c r="AC22" s="209">
        <v>40</v>
      </c>
      <c r="AD22" s="209">
        <v>99</v>
      </c>
      <c r="AE22" s="209">
        <v>1282</v>
      </c>
      <c r="AF22"/>
      <c r="AG22"/>
      <c r="AH22"/>
      <c r="AI22"/>
      <c r="AJ22"/>
      <c r="AK22"/>
      <c r="AL22"/>
      <c r="AM22"/>
      <c r="AN22"/>
      <c r="AO22"/>
      <c r="AP22"/>
      <c r="AQ22"/>
      <c r="AR22"/>
    </row>
    <row r="23" spans="1:44">
      <c r="A23" s="337" t="s">
        <v>7</v>
      </c>
      <c r="B23" s="334" t="s">
        <v>14</v>
      </c>
      <c r="C23" s="338" t="s">
        <v>39</v>
      </c>
      <c r="D23" s="338" t="str">
        <f ca="1">IFERROR(OFFSET(Camp_List[P_Code],MATCH(Data_Demography_t[[#This Row],[Camp]],Camp_List[Camp Name],0)-1,0,1,1),"")</f>
        <v>MMR012CMP015</v>
      </c>
      <c r="E23" s="336" t="s">
        <v>916</v>
      </c>
      <c r="F23" s="381" t="s">
        <v>749</v>
      </c>
      <c r="G23" s="335">
        <v>23</v>
      </c>
      <c r="H23" s="168">
        <f t="shared" si="0"/>
        <v>23</v>
      </c>
      <c r="I23" s="338" t="s">
        <v>642</v>
      </c>
      <c r="J23" s="680">
        <v>42095</v>
      </c>
      <c r="L23" s="210" t="s">
        <v>658</v>
      </c>
      <c r="M23" s="209">
        <v>122</v>
      </c>
      <c r="N23" s="209">
        <v>112</v>
      </c>
      <c r="O23" s="209">
        <v>234</v>
      </c>
      <c r="P23" s="209">
        <v>144</v>
      </c>
      <c r="Q23" s="209">
        <v>148</v>
      </c>
      <c r="R23" s="209">
        <v>292</v>
      </c>
      <c r="S23" s="209">
        <v>128</v>
      </c>
      <c r="T23" s="209">
        <v>127</v>
      </c>
      <c r="U23" s="209">
        <v>255</v>
      </c>
      <c r="V23" s="209">
        <v>199</v>
      </c>
      <c r="W23" s="209">
        <v>184</v>
      </c>
      <c r="X23" s="209">
        <v>383</v>
      </c>
      <c r="Y23" s="209">
        <v>445</v>
      </c>
      <c r="Z23" s="209">
        <v>434</v>
      </c>
      <c r="AA23" s="209">
        <v>879</v>
      </c>
      <c r="AB23" s="209">
        <v>92</v>
      </c>
      <c r="AC23" s="209">
        <v>65</v>
      </c>
      <c r="AD23" s="209">
        <v>157</v>
      </c>
      <c r="AE23" s="209">
        <v>2200</v>
      </c>
      <c r="AF23"/>
      <c r="AG23"/>
      <c r="AH23"/>
      <c r="AI23"/>
      <c r="AJ23"/>
      <c r="AK23"/>
      <c r="AL23"/>
      <c r="AM23"/>
      <c r="AN23"/>
      <c r="AO23"/>
      <c r="AP23"/>
      <c r="AQ23"/>
      <c r="AR23"/>
    </row>
    <row r="24" spans="1:44" ht="15" customHeight="1">
      <c r="A24" s="337" t="s">
        <v>7</v>
      </c>
      <c r="B24" s="334" t="s">
        <v>14</v>
      </c>
      <c r="C24" s="338" t="s">
        <v>39</v>
      </c>
      <c r="D24" s="338" t="str">
        <f ca="1">IFERROR(OFFSET(Camp_List[P_Code],MATCH(Data_Demography_t[[#This Row],[Camp]],Camp_List[Camp Name],0)-1,0,1,1),"")</f>
        <v>MMR012CMP015</v>
      </c>
      <c r="E24" s="339" t="s">
        <v>892</v>
      </c>
      <c r="F24" s="338" t="s">
        <v>748</v>
      </c>
      <c r="G24" s="335">
        <v>1</v>
      </c>
      <c r="H24" s="168">
        <f t="shared" si="0"/>
        <v>-1</v>
      </c>
      <c r="I24" s="338" t="s">
        <v>642</v>
      </c>
      <c r="J24" s="680">
        <v>42095</v>
      </c>
      <c r="L24" s="210" t="s">
        <v>70</v>
      </c>
      <c r="M24" s="209">
        <v>564</v>
      </c>
      <c r="N24" s="209">
        <v>523</v>
      </c>
      <c r="O24" s="209">
        <v>1087</v>
      </c>
      <c r="P24" s="209">
        <v>409</v>
      </c>
      <c r="Q24" s="209">
        <v>399</v>
      </c>
      <c r="R24" s="209">
        <v>808</v>
      </c>
      <c r="S24" s="209">
        <v>470</v>
      </c>
      <c r="T24" s="209">
        <v>490</v>
      </c>
      <c r="U24" s="209">
        <v>960</v>
      </c>
      <c r="V24" s="209">
        <v>508</v>
      </c>
      <c r="W24" s="209">
        <v>399</v>
      </c>
      <c r="X24" s="209">
        <v>907</v>
      </c>
      <c r="Y24" s="209">
        <v>887</v>
      </c>
      <c r="Z24" s="209">
        <v>810</v>
      </c>
      <c r="AA24" s="209">
        <v>1697</v>
      </c>
      <c r="AB24" s="209">
        <v>97</v>
      </c>
      <c r="AC24" s="209">
        <v>100</v>
      </c>
      <c r="AD24" s="209">
        <v>197</v>
      </c>
      <c r="AE24" s="209">
        <v>5656</v>
      </c>
      <c r="AF24"/>
      <c r="AG24"/>
      <c r="AH24"/>
      <c r="AI24"/>
      <c r="AJ24"/>
      <c r="AK24"/>
      <c r="AL24"/>
      <c r="AM24"/>
      <c r="AN24"/>
      <c r="AO24"/>
      <c r="AP24"/>
      <c r="AQ24"/>
      <c r="AR24"/>
    </row>
    <row r="25" spans="1:44">
      <c r="A25" s="337" t="s">
        <v>7</v>
      </c>
      <c r="B25" s="334" t="s">
        <v>14</v>
      </c>
      <c r="C25" s="338" t="s">
        <v>39</v>
      </c>
      <c r="D25" s="338" t="str">
        <f ca="1">IFERROR(OFFSET(Camp_List[P_Code],MATCH(Data_Demography_t[[#This Row],[Camp]],Camp_List[Camp Name],0)-1,0,1,1),"")</f>
        <v>MMR012CMP015</v>
      </c>
      <c r="E25" s="339" t="s">
        <v>892</v>
      </c>
      <c r="F25" s="381" t="s">
        <v>749</v>
      </c>
      <c r="G25" s="335">
        <v>2</v>
      </c>
      <c r="H25" s="168">
        <f t="shared" si="0"/>
        <v>2</v>
      </c>
      <c r="I25" s="338" t="s">
        <v>642</v>
      </c>
      <c r="J25" s="680">
        <v>42095</v>
      </c>
      <c r="L25" s="210" t="s">
        <v>78</v>
      </c>
      <c r="M25" s="209">
        <v>24</v>
      </c>
      <c r="N25" s="209">
        <v>25</v>
      </c>
      <c r="O25" s="209">
        <v>49</v>
      </c>
      <c r="P25" s="209">
        <v>34</v>
      </c>
      <c r="Q25" s="209">
        <v>39</v>
      </c>
      <c r="R25" s="209">
        <v>73</v>
      </c>
      <c r="S25" s="209">
        <v>31</v>
      </c>
      <c r="T25" s="209">
        <v>25</v>
      </c>
      <c r="U25" s="209">
        <v>56</v>
      </c>
      <c r="V25" s="209">
        <v>53</v>
      </c>
      <c r="W25" s="209">
        <v>50</v>
      </c>
      <c r="X25" s="209">
        <v>103</v>
      </c>
      <c r="Y25" s="209">
        <v>80</v>
      </c>
      <c r="Z25" s="209">
        <v>79</v>
      </c>
      <c r="AA25" s="209">
        <v>159</v>
      </c>
      <c r="AB25" s="209">
        <v>13</v>
      </c>
      <c r="AC25" s="209">
        <v>9</v>
      </c>
      <c r="AD25" s="209">
        <v>22</v>
      </c>
      <c r="AE25" s="209">
        <v>462</v>
      </c>
      <c r="AF25"/>
      <c r="AG25"/>
      <c r="AH25"/>
      <c r="AI25"/>
      <c r="AJ25"/>
      <c r="AK25"/>
      <c r="AL25"/>
      <c r="AM25"/>
      <c r="AN25"/>
      <c r="AO25"/>
      <c r="AP25"/>
      <c r="AQ25"/>
      <c r="AR25"/>
    </row>
    <row r="26" spans="1:44">
      <c r="A26" s="379" t="s">
        <v>7</v>
      </c>
      <c r="B26" s="380" t="s">
        <v>19</v>
      </c>
      <c r="C26" s="393" t="s">
        <v>61</v>
      </c>
      <c r="D26" s="391" t="str">
        <f ca="1">IFERROR(OFFSET(Camp_List[P_Code],MATCH(Data_Demography_t[[#This Row],[Camp]],Camp_List[Camp Name],0)-1,0,1,1),"")</f>
        <v>MMR012CMP039</v>
      </c>
      <c r="E26" s="394" t="s">
        <v>750</v>
      </c>
      <c r="F26" s="338" t="s">
        <v>748</v>
      </c>
      <c r="G26" s="392">
        <v>263</v>
      </c>
      <c r="H26" s="393">
        <f t="shared" si="0"/>
        <v>-263</v>
      </c>
      <c r="I26" s="338" t="s">
        <v>642</v>
      </c>
      <c r="J26" s="680">
        <v>42086</v>
      </c>
      <c r="L26" s="210" t="s">
        <v>247</v>
      </c>
      <c r="M26" s="209">
        <v>63</v>
      </c>
      <c r="N26" s="209">
        <v>50</v>
      </c>
      <c r="O26" s="209">
        <v>113</v>
      </c>
      <c r="P26" s="209">
        <v>36</v>
      </c>
      <c r="Q26" s="209">
        <v>40</v>
      </c>
      <c r="R26" s="209">
        <v>76</v>
      </c>
      <c r="S26" s="209">
        <v>44</v>
      </c>
      <c r="T26" s="209">
        <v>41</v>
      </c>
      <c r="U26" s="209">
        <v>85</v>
      </c>
      <c r="V26" s="209">
        <v>51</v>
      </c>
      <c r="W26" s="209">
        <v>40</v>
      </c>
      <c r="X26" s="209">
        <v>91</v>
      </c>
      <c r="Y26" s="209">
        <v>124</v>
      </c>
      <c r="Z26" s="209">
        <v>121</v>
      </c>
      <c r="AA26" s="209">
        <v>245</v>
      </c>
      <c r="AB26" s="209">
        <v>23</v>
      </c>
      <c r="AC26" s="209">
        <v>7</v>
      </c>
      <c r="AD26" s="209">
        <v>30</v>
      </c>
      <c r="AE26" s="209">
        <v>640</v>
      </c>
      <c r="AF26"/>
      <c r="AG26"/>
      <c r="AH26"/>
      <c r="AI26"/>
      <c r="AJ26"/>
      <c r="AK26"/>
      <c r="AL26"/>
      <c r="AM26"/>
      <c r="AN26"/>
      <c r="AO26"/>
      <c r="AP26"/>
      <c r="AQ26"/>
      <c r="AR26"/>
    </row>
    <row r="27" spans="1:44">
      <c r="A27" s="379" t="s">
        <v>7</v>
      </c>
      <c r="B27" s="380" t="s">
        <v>19</v>
      </c>
      <c r="C27" s="393" t="s">
        <v>61</v>
      </c>
      <c r="D27" s="391" t="str">
        <f ca="1">IFERROR(OFFSET(Camp_List[P_Code],MATCH(Data_Demography_t[[#This Row],[Camp]],Camp_List[Camp Name],0)-1,0,1,1),"")</f>
        <v>MMR012CMP039</v>
      </c>
      <c r="E27" s="394" t="s">
        <v>750</v>
      </c>
      <c r="F27" s="381" t="s">
        <v>749</v>
      </c>
      <c r="G27" s="392">
        <v>240</v>
      </c>
      <c r="H27" s="393">
        <f t="shared" si="0"/>
        <v>240</v>
      </c>
      <c r="I27" s="338" t="s">
        <v>642</v>
      </c>
      <c r="J27" s="680">
        <v>42086</v>
      </c>
      <c r="L27" s="210" t="s">
        <v>68</v>
      </c>
      <c r="M27" s="209">
        <v>951</v>
      </c>
      <c r="N27" s="209">
        <v>842</v>
      </c>
      <c r="O27" s="209">
        <v>1793</v>
      </c>
      <c r="P27" s="209">
        <v>924</v>
      </c>
      <c r="Q27" s="209">
        <v>960</v>
      </c>
      <c r="R27" s="209">
        <v>1884</v>
      </c>
      <c r="S27" s="209">
        <v>987</v>
      </c>
      <c r="T27" s="209">
        <v>1027</v>
      </c>
      <c r="U27" s="209">
        <v>2014</v>
      </c>
      <c r="V27" s="209">
        <v>1217</v>
      </c>
      <c r="W27" s="209">
        <v>1002</v>
      </c>
      <c r="X27" s="209">
        <v>2219</v>
      </c>
      <c r="Y27" s="209">
        <v>1821</v>
      </c>
      <c r="Z27" s="209">
        <v>1554</v>
      </c>
      <c r="AA27" s="209">
        <v>3375</v>
      </c>
      <c r="AB27" s="209">
        <v>170</v>
      </c>
      <c r="AC27" s="209">
        <v>208</v>
      </c>
      <c r="AD27" s="209">
        <v>378</v>
      </c>
      <c r="AE27" s="209">
        <v>11663</v>
      </c>
      <c r="AF27"/>
      <c r="AG27"/>
      <c r="AH27"/>
      <c r="AI27"/>
      <c r="AJ27"/>
      <c r="AK27"/>
      <c r="AL27"/>
      <c r="AM27"/>
      <c r="AN27"/>
      <c r="AO27"/>
      <c r="AP27"/>
      <c r="AQ27"/>
      <c r="AR27"/>
    </row>
    <row r="28" spans="1:44">
      <c r="A28" s="337" t="s">
        <v>7</v>
      </c>
      <c r="B28" s="334" t="s">
        <v>19</v>
      </c>
      <c r="C28" s="338" t="s">
        <v>61</v>
      </c>
      <c r="D28" s="338" t="str">
        <f ca="1">IFERROR(OFFSET(Camp_List[P_Code],MATCH(Data_Demography_t[[#This Row],[Camp]],Camp_List[Camp Name],0)-1,0,1,1),"")</f>
        <v>MMR012CMP039</v>
      </c>
      <c r="E28" s="339" t="s">
        <v>914</v>
      </c>
      <c r="F28" s="338" t="s">
        <v>748</v>
      </c>
      <c r="G28" s="335">
        <v>145</v>
      </c>
      <c r="H28" s="168">
        <f t="shared" si="0"/>
        <v>-145</v>
      </c>
      <c r="I28" s="338" t="s">
        <v>642</v>
      </c>
      <c r="J28" s="679">
        <v>42086</v>
      </c>
      <c r="L28" s="210" t="s">
        <v>648</v>
      </c>
      <c r="M28" s="209">
        <v>419</v>
      </c>
      <c r="N28" s="209">
        <v>395</v>
      </c>
      <c r="O28" s="209">
        <v>814</v>
      </c>
      <c r="P28" s="209"/>
      <c r="Q28" s="209">
        <v>360</v>
      </c>
      <c r="R28" s="209">
        <v>360</v>
      </c>
      <c r="S28" s="209">
        <v>387</v>
      </c>
      <c r="T28" s="209">
        <v>457</v>
      </c>
      <c r="U28" s="209">
        <v>844</v>
      </c>
      <c r="V28" s="209">
        <v>872</v>
      </c>
      <c r="W28" s="209">
        <v>418</v>
      </c>
      <c r="X28" s="209">
        <v>1290</v>
      </c>
      <c r="Y28" s="209">
        <v>704</v>
      </c>
      <c r="Z28" s="209">
        <v>686</v>
      </c>
      <c r="AA28" s="209">
        <v>1390</v>
      </c>
      <c r="AB28" s="209">
        <v>78</v>
      </c>
      <c r="AC28" s="209">
        <v>75</v>
      </c>
      <c r="AD28" s="209">
        <v>153</v>
      </c>
      <c r="AE28" s="209">
        <v>4851</v>
      </c>
      <c r="AF28"/>
      <c r="AG28"/>
      <c r="AH28"/>
      <c r="AI28"/>
      <c r="AJ28"/>
      <c r="AK28"/>
      <c r="AL28"/>
      <c r="AM28"/>
      <c r="AN28"/>
      <c r="AO28"/>
      <c r="AP28"/>
      <c r="AQ28"/>
      <c r="AR28"/>
    </row>
    <row r="29" spans="1:44">
      <c r="A29" s="337" t="s">
        <v>7</v>
      </c>
      <c r="B29" s="334" t="s">
        <v>19</v>
      </c>
      <c r="C29" s="338" t="s">
        <v>61</v>
      </c>
      <c r="D29" s="338" t="str">
        <f ca="1">IFERROR(OFFSET(Camp_List[P_Code],MATCH(Data_Demography_t[[#This Row],[Camp]],Camp_List[Camp Name],0)-1,0,1,1),"")</f>
        <v>MMR012CMP039</v>
      </c>
      <c r="E29" s="339" t="s">
        <v>914</v>
      </c>
      <c r="F29" s="381" t="s">
        <v>749</v>
      </c>
      <c r="G29" s="335">
        <v>136</v>
      </c>
      <c r="H29" s="168">
        <f t="shared" si="0"/>
        <v>136</v>
      </c>
      <c r="I29" s="338" t="s">
        <v>642</v>
      </c>
      <c r="J29" s="679">
        <v>42086</v>
      </c>
      <c r="L29" s="210" t="s">
        <v>649</v>
      </c>
      <c r="M29" s="209">
        <v>686</v>
      </c>
      <c r="N29" s="209">
        <v>669</v>
      </c>
      <c r="O29" s="209">
        <v>1355</v>
      </c>
      <c r="P29" s="209"/>
      <c r="Q29" s="209">
        <v>504</v>
      </c>
      <c r="R29" s="209">
        <v>504</v>
      </c>
      <c r="S29" s="209">
        <v>614</v>
      </c>
      <c r="T29" s="209">
        <v>655</v>
      </c>
      <c r="U29" s="209">
        <v>1269</v>
      </c>
      <c r="V29" s="209">
        <v>1264</v>
      </c>
      <c r="W29" s="209">
        <v>631</v>
      </c>
      <c r="X29" s="209">
        <v>1895</v>
      </c>
      <c r="Y29" s="209">
        <v>838</v>
      </c>
      <c r="Z29" s="209">
        <v>843</v>
      </c>
      <c r="AA29" s="209">
        <v>1681</v>
      </c>
      <c r="AB29" s="209">
        <v>110</v>
      </c>
      <c r="AC29" s="209">
        <v>103</v>
      </c>
      <c r="AD29" s="209">
        <v>213</v>
      </c>
      <c r="AE29" s="209">
        <v>6917</v>
      </c>
      <c r="AF29"/>
      <c r="AG29"/>
      <c r="AH29"/>
      <c r="AI29"/>
      <c r="AJ29"/>
      <c r="AK29"/>
      <c r="AL29"/>
      <c r="AM29"/>
      <c r="AN29"/>
      <c r="AO29"/>
      <c r="AP29"/>
      <c r="AQ29"/>
      <c r="AR29"/>
    </row>
    <row r="30" spans="1:44">
      <c r="A30" s="337" t="s">
        <v>7</v>
      </c>
      <c r="B30" s="334" t="s">
        <v>19</v>
      </c>
      <c r="C30" s="338" t="s">
        <v>61</v>
      </c>
      <c r="D30" s="338" t="str">
        <f ca="1">IFERROR(OFFSET(Camp_List[P_Code],MATCH(Data_Demography_t[[#This Row],[Camp]],Camp_List[Camp Name],0)-1,0,1,1),"")</f>
        <v>MMR012CMP039</v>
      </c>
      <c r="E30" s="339" t="s">
        <v>677</v>
      </c>
      <c r="F30" s="338" t="s">
        <v>748</v>
      </c>
      <c r="G30" s="335">
        <v>112</v>
      </c>
      <c r="H30" s="168">
        <f t="shared" si="0"/>
        <v>-112</v>
      </c>
      <c r="I30" s="338" t="s">
        <v>642</v>
      </c>
      <c r="J30" s="679">
        <v>42086</v>
      </c>
      <c r="L30" s="589" t="s">
        <v>900</v>
      </c>
      <c r="M30" s="209">
        <v>271</v>
      </c>
      <c r="N30" s="209">
        <v>246</v>
      </c>
      <c r="O30" s="209">
        <v>517</v>
      </c>
      <c r="P30" s="209">
        <v>220</v>
      </c>
      <c r="Q30" s="209">
        <v>210</v>
      </c>
      <c r="R30" s="209">
        <v>430</v>
      </c>
      <c r="S30" s="209">
        <v>268</v>
      </c>
      <c r="T30" s="209">
        <v>251</v>
      </c>
      <c r="U30" s="209">
        <v>519</v>
      </c>
      <c r="V30" s="209">
        <v>206</v>
      </c>
      <c r="W30" s="209">
        <v>178</v>
      </c>
      <c r="X30" s="209">
        <v>384</v>
      </c>
      <c r="Y30" s="209">
        <v>509</v>
      </c>
      <c r="Z30" s="209">
        <v>420</v>
      </c>
      <c r="AA30" s="209">
        <v>929</v>
      </c>
      <c r="AB30" s="209">
        <v>55</v>
      </c>
      <c r="AC30" s="209">
        <v>65</v>
      </c>
      <c r="AD30" s="209">
        <v>120</v>
      </c>
      <c r="AE30" s="209">
        <v>2899</v>
      </c>
      <c r="AF30"/>
      <c r="AG30"/>
      <c r="AH30"/>
      <c r="AI30"/>
      <c r="AJ30"/>
      <c r="AK30"/>
      <c r="AL30"/>
      <c r="AM30"/>
      <c r="AN30"/>
      <c r="AO30"/>
      <c r="AP30"/>
      <c r="AQ30"/>
      <c r="AR30"/>
    </row>
    <row r="31" spans="1:44">
      <c r="A31" s="337" t="s">
        <v>7</v>
      </c>
      <c r="B31" s="334" t="s">
        <v>19</v>
      </c>
      <c r="C31" s="338" t="s">
        <v>61</v>
      </c>
      <c r="D31" s="338" t="str">
        <f ca="1">IFERROR(OFFSET(Camp_List[P_Code],MATCH(Data_Demography_t[[#This Row],[Camp]],Camp_List[Camp Name],0)-1,0,1,1),"")</f>
        <v>MMR012CMP039</v>
      </c>
      <c r="E31" s="339" t="s">
        <v>915</v>
      </c>
      <c r="F31" s="381" t="s">
        <v>749</v>
      </c>
      <c r="G31" s="335">
        <v>114</v>
      </c>
      <c r="H31" s="168">
        <f t="shared" si="0"/>
        <v>114</v>
      </c>
      <c r="I31" s="338" t="s">
        <v>642</v>
      </c>
      <c r="J31" s="679">
        <v>42086</v>
      </c>
      <c r="L31" s="210" t="s">
        <v>37</v>
      </c>
      <c r="M31" s="209">
        <v>5</v>
      </c>
      <c r="N31" s="209">
        <v>8</v>
      </c>
      <c r="O31" s="209">
        <v>13</v>
      </c>
      <c r="P31" s="209">
        <v>11</v>
      </c>
      <c r="Q31" s="209">
        <v>17</v>
      </c>
      <c r="R31" s="209">
        <v>28</v>
      </c>
      <c r="S31" s="209">
        <v>9</v>
      </c>
      <c r="T31" s="209">
        <v>14</v>
      </c>
      <c r="U31" s="209">
        <v>23</v>
      </c>
      <c r="V31" s="209">
        <v>11</v>
      </c>
      <c r="W31" s="209">
        <v>13</v>
      </c>
      <c r="X31" s="209">
        <v>24</v>
      </c>
      <c r="Y31" s="209">
        <v>38</v>
      </c>
      <c r="Z31" s="209">
        <v>45</v>
      </c>
      <c r="AA31" s="209">
        <v>83</v>
      </c>
      <c r="AB31" s="209">
        <v>13</v>
      </c>
      <c r="AC31" s="209">
        <v>14</v>
      </c>
      <c r="AD31" s="209">
        <v>27</v>
      </c>
      <c r="AE31" s="209">
        <v>198</v>
      </c>
      <c r="AF31"/>
      <c r="AG31"/>
      <c r="AH31"/>
      <c r="AI31"/>
      <c r="AJ31"/>
      <c r="AK31"/>
      <c r="AL31"/>
      <c r="AM31"/>
      <c r="AN31"/>
      <c r="AO31"/>
      <c r="AP31"/>
      <c r="AQ31"/>
      <c r="AR31"/>
    </row>
    <row r="32" spans="1:44">
      <c r="A32" s="337" t="s">
        <v>7</v>
      </c>
      <c r="B32" s="334" t="s">
        <v>19</v>
      </c>
      <c r="C32" s="338" t="s">
        <v>61</v>
      </c>
      <c r="D32" s="338" t="str">
        <f ca="1">IFERROR(OFFSET(Camp_List[P_Code],MATCH(Data_Demography_t[[#This Row],[Camp]],Camp_List[Camp Name],0)-1,0,1,1),"")</f>
        <v>MMR012CMP039</v>
      </c>
      <c r="E32" s="339" t="s">
        <v>915</v>
      </c>
      <c r="F32" s="338" t="s">
        <v>748</v>
      </c>
      <c r="G32" s="335">
        <v>151</v>
      </c>
      <c r="H32" s="168">
        <f t="shared" si="0"/>
        <v>-151</v>
      </c>
      <c r="I32" s="338" t="s">
        <v>642</v>
      </c>
      <c r="J32" s="679">
        <v>42086</v>
      </c>
      <c r="L32" s="210" t="s">
        <v>38</v>
      </c>
      <c r="M32" s="209">
        <v>266</v>
      </c>
      <c r="N32" s="209">
        <v>238</v>
      </c>
      <c r="O32" s="209">
        <v>504</v>
      </c>
      <c r="P32" s="209">
        <v>209</v>
      </c>
      <c r="Q32" s="209">
        <v>193</v>
      </c>
      <c r="R32" s="209">
        <v>402</v>
      </c>
      <c r="S32" s="209">
        <v>259</v>
      </c>
      <c r="T32" s="209">
        <v>237</v>
      </c>
      <c r="U32" s="209">
        <v>496</v>
      </c>
      <c r="V32" s="209">
        <v>195</v>
      </c>
      <c r="W32" s="209">
        <v>165</v>
      </c>
      <c r="X32" s="209">
        <v>360</v>
      </c>
      <c r="Y32" s="209">
        <v>471</v>
      </c>
      <c r="Z32" s="209">
        <v>375</v>
      </c>
      <c r="AA32" s="209">
        <v>846</v>
      </c>
      <c r="AB32" s="209">
        <v>42</v>
      </c>
      <c r="AC32" s="209">
        <v>51</v>
      </c>
      <c r="AD32" s="209">
        <v>93</v>
      </c>
      <c r="AE32" s="209">
        <v>2701</v>
      </c>
      <c r="AF32"/>
      <c r="AG32"/>
      <c r="AH32"/>
      <c r="AI32"/>
      <c r="AJ32"/>
      <c r="AK32"/>
      <c r="AL32"/>
      <c r="AM32"/>
      <c r="AN32"/>
    </row>
    <row r="33" spans="1:40">
      <c r="A33" s="337" t="s">
        <v>7</v>
      </c>
      <c r="B33" s="334" t="s">
        <v>19</v>
      </c>
      <c r="C33" s="338" t="s">
        <v>61</v>
      </c>
      <c r="D33" s="338" t="str">
        <f ca="1">IFERROR(OFFSET(Camp_List[P_Code],MATCH(Data_Demography_t[[#This Row],[Camp]],Camp_List[Camp Name],0)-1,0,1,1),"")</f>
        <v>MMR012CMP039</v>
      </c>
      <c r="E33" s="339" t="s">
        <v>915</v>
      </c>
      <c r="F33" s="381" t="s">
        <v>749</v>
      </c>
      <c r="G33" s="335">
        <v>208</v>
      </c>
      <c r="H33" s="168">
        <f t="shared" si="0"/>
        <v>208</v>
      </c>
      <c r="I33" s="338" t="s">
        <v>642</v>
      </c>
      <c r="J33" s="679">
        <v>42086</v>
      </c>
      <c r="L33" s="589" t="s">
        <v>215</v>
      </c>
      <c r="M33" s="209">
        <v>11375</v>
      </c>
      <c r="N33" s="209">
        <v>11133</v>
      </c>
      <c r="O33" s="209">
        <v>22508</v>
      </c>
      <c r="P33" s="209">
        <v>6028</v>
      </c>
      <c r="Q33" s="209">
        <v>8482</v>
      </c>
      <c r="R33" s="209">
        <v>14510</v>
      </c>
      <c r="S33" s="209">
        <v>10618</v>
      </c>
      <c r="T33" s="209">
        <v>11310</v>
      </c>
      <c r="U33" s="209">
        <v>21928</v>
      </c>
      <c r="V33" s="209">
        <v>13597</v>
      </c>
      <c r="W33" s="209">
        <v>8827</v>
      </c>
      <c r="X33" s="209">
        <v>22424</v>
      </c>
      <c r="Y33" s="209">
        <v>15241</v>
      </c>
      <c r="Z33" s="209">
        <v>14289</v>
      </c>
      <c r="AA33" s="209">
        <v>29530</v>
      </c>
      <c r="AB33" s="209">
        <v>2047</v>
      </c>
      <c r="AC33" s="209">
        <v>2005</v>
      </c>
      <c r="AD33" s="209">
        <v>4052</v>
      </c>
      <c r="AE33" s="209">
        <v>114952</v>
      </c>
      <c r="AF33"/>
      <c r="AG33"/>
      <c r="AH33"/>
      <c r="AI33"/>
      <c r="AJ33"/>
      <c r="AK33"/>
      <c r="AL33"/>
      <c r="AM33"/>
      <c r="AN33"/>
    </row>
    <row r="34" spans="1:40">
      <c r="A34" s="337" t="s">
        <v>7</v>
      </c>
      <c r="B34" s="334" t="s">
        <v>19</v>
      </c>
      <c r="C34" s="338" t="s">
        <v>61</v>
      </c>
      <c r="D34" s="338" t="str">
        <f ca="1">IFERROR(OFFSET(Camp_List[P_Code],MATCH(Data_Demography_t[[#This Row],[Camp]],Camp_List[Camp Name],0)-1,0,1,1),"")</f>
        <v>MMR012CMP039</v>
      </c>
      <c r="E34" s="336" t="s">
        <v>916</v>
      </c>
      <c r="F34" s="338" t="s">
        <v>748</v>
      </c>
      <c r="G34" s="335">
        <v>294</v>
      </c>
      <c r="H34" s="168">
        <f t="shared" si="0"/>
        <v>-294</v>
      </c>
      <c r="I34" s="338" t="s">
        <v>642</v>
      </c>
      <c r="J34" s="679">
        <v>42086</v>
      </c>
      <c r="P34"/>
      <c r="Q34"/>
      <c r="R34"/>
      <c r="S34"/>
      <c r="T34"/>
      <c r="U34"/>
      <c r="V34"/>
      <c r="W34"/>
      <c r="X34"/>
      <c r="Y34"/>
      <c r="Z34"/>
      <c r="AA34"/>
      <c r="AB34"/>
    </row>
    <row r="35" spans="1:40">
      <c r="A35" s="337" t="s">
        <v>7</v>
      </c>
      <c r="B35" s="334" t="s">
        <v>19</v>
      </c>
      <c r="C35" s="338" t="s">
        <v>61</v>
      </c>
      <c r="D35" s="338" t="str">
        <f ca="1">IFERROR(OFFSET(Camp_List[P_Code],MATCH(Data_Demography_t[[#This Row],[Camp]],Camp_List[Camp Name],0)-1,0,1,1),"")</f>
        <v>MMR012CMP039</v>
      </c>
      <c r="E35" s="336" t="s">
        <v>916</v>
      </c>
      <c r="F35" s="381" t="s">
        <v>749</v>
      </c>
      <c r="G35" s="335">
        <v>311</v>
      </c>
      <c r="H35" s="168">
        <f t="shared" si="0"/>
        <v>311</v>
      </c>
      <c r="I35" s="338" t="s">
        <v>642</v>
      </c>
      <c r="J35" s="679">
        <v>42086</v>
      </c>
      <c r="L35" s="211" t="s">
        <v>1</v>
      </c>
      <c r="M35" s="31" t="s">
        <v>672</v>
      </c>
      <c r="P35"/>
      <c r="Q35"/>
      <c r="R35"/>
      <c r="S35"/>
      <c r="T35"/>
      <c r="U35"/>
      <c r="V35"/>
      <c r="W35"/>
      <c r="X35"/>
      <c r="Y35"/>
      <c r="Z35"/>
      <c r="AA35"/>
      <c r="AB35"/>
    </row>
    <row r="36" spans="1:40">
      <c r="A36" s="337" t="s">
        <v>7</v>
      </c>
      <c r="B36" s="334" t="s">
        <v>19</v>
      </c>
      <c r="C36" s="338" t="s">
        <v>61</v>
      </c>
      <c r="D36" s="338" t="str">
        <f ca="1">IFERROR(OFFSET(Camp_List[P_Code],MATCH(Data_Demography_t[[#This Row],[Camp]],Camp_List[Camp Name],0)-1,0,1,1),"")</f>
        <v>MMR012CMP039</v>
      </c>
      <c r="E36" s="339" t="s">
        <v>892</v>
      </c>
      <c r="F36" s="338" t="s">
        <v>748</v>
      </c>
      <c r="G36" s="335">
        <v>34</v>
      </c>
      <c r="H36" s="168">
        <f t="shared" si="0"/>
        <v>-34</v>
      </c>
      <c r="I36" s="338" t="s">
        <v>642</v>
      </c>
      <c r="J36" s="679">
        <v>42086</v>
      </c>
      <c r="L36" s="304" t="s">
        <v>550</v>
      </c>
      <c r="M36" s="127" t="s">
        <v>672</v>
      </c>
      <c r="N36"/>
      <c r="O36"/>
      <c r="P36"/>
      <c r="Q36"/>
      <c r="R36"/>
      <c r="S36"/>
      <c r="T36"/>
      <c r="U36"/>
      <c r="V36"/>
      <c r="W36"/>
      <c r="X36"/>
      <c r="Y36"/>
      <c r="Z36"/>
      <c r="AA36"/>
      <c r="AB36"/>
    </row>
    <row r="37" spans="1:40">
      <c r="A37" s="337" t="s">
        <v>7</v>
      </c>
      <c r="B37" s="334" t="s">
        <v>19</v>
      </c>
      <c r="C37" s="338" t="s">
        <v>61</v>
      </c>
      <c r="D37" s="338" t="str">
        <f ca="1">IFERROR(OFFSET(Camp_List[P_Code],MATCH(Data_Demography_t[[#This Row],[Camp]],Camp_List[Camp Name],0)-1,0,1,1),"")</f>
        <v>MMR012CMP039</v>
      </c>
      <c r="E37" s="339" t="s">
        <v>892</v>
      </c>
      <c r="F37" s="381" t="s">
        <v>749</v>
      </c>
      <c r="G37" s="335">
        <v>41</v>
      </c>
      <c r="H37" s="168">
        <f t="shared" si="0"/>
        <v>41</v>
      </c>
      <c r="I37" s="338" t="s">
        <v>642</v>
      </c>
      <c r="J37" s="679">
        <v>42086</v>
      </c>
      <c r="L37"/>
      <c r="M37"/>
      <c r="N37"/>
      <c r="O37"/>
      <c r="P37"/>
      <c r="Q37"/>
      <c r="R37"/>
      <c r="S37"/>
      <c r="T37"/>
      <c r="U37"/>
      <c r="V37"/>
      <c r="W37"/>
      <c r="X37"/>
      <c r="Y37"/>
      <c r="Z37"/>
      <c r="AA37"/>
      <c r="AB37"/>
    </row>
    <row r="38" spans="1:40">
      <c r="A38" s="539" t="s">
        <v>7</v>
      </c>
      <c r="B38" s="540" t="s">
        <v>19</v>
      </c>
      <c r="C38" s="168" t="s">
        <v>648</v>
      </c>
      <c r="D38" s="395" t="str">
        <f ca="1">IFERROR(OFFSET(Camp_List[P_Code],MATCH(Data_Demography_t[[#This Row],[Camp]],Camp_List[Camp Name],0)-1,0,1,1),"")</f>
        <v>MMR012CMP113</v>
      </c>
      <c r="E38" s="541" t="s">
        <v>750</v>
      </c>
      <c r="F38" s="542" t="s">
        <v>748</v>
      </c>
      <c r="G38" s="335">
        <v>395</v>
      </c>
      <c r="H38" s="168">
        <f t="shared" si="0"/>
        <v>-395</v>
      </c>
      <c r="I38" s="168" t="s">
        <v>290</v>
      </c>
      <c r="J38" s="679">
        <v>42087</v>
      </c>
      <c r="L38" s="211" t="s">
        <v>760</v>
      </c>
      <c r="M38" s="211" t="s">
        <v>688</v>
      </c>
      <c r="N38" s="208"/>
      <c r="O38" s="208"/>
      <c r="P38"/>
      <c r="Q38"/>
      <c r="R38"/>
      <c r="S38"/>
      <c r="T38"/>
      <c r="U38"/>
      <c r="V38"/>
      <c r="W38"/>
      <c r="X38"/>
      <c r="Y38"/>
      <c r="Z38"/>
      <c r="AA38"/>
      <c r="AB38"/>
    </row>
    <row r="39" spans="1:40">
      <c r="A39" s="539" t="s">
        <v>7</v>
      </c>
      <c r="B39" s="540" t="s">
        <v>19</v>
      </c>
      <c r="C39" s="168" t="s">
        <v>648</v>
      </c>
      <c r="D39" s="395" t="str">
        <f ca="1">IFERROR(OFFSET(Camp_List[P_Code],MATCH(Data_Demography_t[[#This Row],[Camp]],Camp_List[Camp Name],0)-1,0,1,1),"")</f>
        <v>MMR012CMP113</v>
      </c>
      <c r="E39" s="541" t="s">
        <v>750</v>
      </c>
      <c r="F39" s="542" t="s">
        <v>749</v>
      </c>
      <c r="G39" s="335">
        <v>419</v>
      </c>
      <c r="H39" s="168">
        <f t="shared" si="0"/>
        <v>419</v>
      </c>
      <c r="I39" s="168" t="s">
        <v>290</v>
      </c>
      <c r="J39" s="679">
        <v>42087</v>
      </c>
      <c r="L39" s="211" t="s">
        <v>214</v>
      </c>
      <c r="M39" s="60" t="s">
        <v>749</v>
      </c>
      <c r="N39" s="306" t="s">
        <v>748</v>
      </c>
      <c r="O39" s="306" t="s">
        <v>215</v>
      </c>
      <c r="P39"/>
      <c r="Q39"/>
      <c r="R39"/>
      <c r="S39"/>
      <c r="T39"/>
      <c r="U39"/>
      <c r="V39"/>
      <c r="W39"/>
      <c r="X39"/>
      <c r="Y39"/>
      <c r="Z39"/>
      <c r="AA39"/>
      <c r="AB39"/>
    </row>
    <row r="40" spans="1:40">
      <c r="A40" s="539" t="s">
        <v>7</v>
      </c>
      <c r="B40" s="540" t="s">
        <v>19</v>
      </c>
      <c r="C40" s="168" t="s">
        <v>648</v>
      </c>
      <c r="D40" s="395" t="str">
        <f ca="1">IFERROR(OFFSET(Camp_List[P_Code],MATCH(Data_Demography_t[[#This Row],[Camp]],Camp_List[Camp Name],0)-1,0,1,1),"")</f>
        <v>MMR012CMP113</v>
      </c>
      <c r="E40" s="541" t="s">
        <v>914</v>
      </c>
      <c r="F40" s="542" t="s">
        <v>748</v>
      </c>
      <c r="G40" s="335">
        <v>457</v>
      </c>
      <c r="H40" s="168">
        <f t="shared" si="0"/>
        <v>-457</v>
      </c>
      <c r="I40" s="168" t="s">
        <v>290</v>
      </c>
      <c r="J40" s="679">
        <v>42087</v>
      </c>
      <c r="L40" s="565" t="s">
        <v>750</v>
      </c>
      <c r="M40" s="305">
        <v>11375</v>
      </c>
      <c r="N40" s="305">
        <v>-11133</v>
      </c>
      <c r="O40" s="305">
        <v>242</v>
      </c>
      <c r="P40"/>
      <c r="Q40"/>
      <c r="R40"/>
      <c r="S40"/>
      <c r="T40"/>
      <c r="U40"/>
      <c r="V40"/>
      <c r="W40"/>
      <c r="X40"/>
      <c r="Y40"/>
      <c r="Z40"/>
      <c r="AA40"/>
      <c r="AB40"/>
    </row>
    <row r="41" spans="1:40">
      <c r="A41" s="539" t="s">
        <v>7</v>
      </c>
      <c r="B41" s="540" t="s">
        <v>19</v>
      </c>
      <c r="C41" s="168" t="s">
        <v>648</v>
      </c>
      <c r="D41" s="395" t="str">
        <f ca="1">IFERROR(OFFSET(Camp_List[P_Code],MATCH(Data_Demography_t[[#This Row],[Camp]],Camp_List[Camp Name],0)-1,0,1,1),"")</f>
        <v>MMR012CMP113</v>
      </c>
      <c r="E41" s="541" t="s">
        <v>914</v>
      </c>
      <c r="F41" s="542" t="s">
        <v>749</v>
      </c>
      <c r="G41" s="335">
        <v>387</v>
      </c>
      <c r="H41" s="168">
        <f t="shared" si="0"/>
        <v>387</v>
      </c>
      <c r="I41" s="168" t="s">
        <v>290</v>
      </c>
      <c r="J41" s="679">
        <v>42087</v>
      </c>
      <c r="L41" s="207" t="s">
        <v>677</v>
      </c>
      <c r="M41" s="209">
        <v>6028</v>
      </c>
      <c r="N41" s="209">
        <v>-8482</v>
      </c>
      <c r="O41" s="209">
        <v>-2454</v>
      </c>
      <c r="P41"/>
      <c r="Q41"/>
      <c r="R41"/>
    </row>
    <row r="42" spans="1:40">
      <c r="A42" s="539" t="s">
        <v>7</v>
      </c>
      <c r="B42" s="540" t="s">
        <v>19</v>
      </c>
      <c r="C42" s="168" t="s">
        <v>648</v>
      </c>
      <c r="D42" s="395" t="str">
        <f ca="1">IFERROR(OFFSET(Camp_List[P_Code],MATCH(Data_Demography_t[[#This Row],[Camp]],Camp_List[Camp Name],0)-1,0,1,1),"")</f>
        <v>MMR012CMP113</v>
      </c>
      <c r="E42" s="541" t="s">
        <v>677</v>
      </c>
      <c r="F42" s="542" t="s">
        <v>748</v>
      </c>
      <c r="G42" s="335">
        <v>360</v>
      </c>
      <c r="H42" s="168">
        <f t="shared" si="0"/>
        <v>-360</v>
      </c>
      <c r="I42" s="168" t="s">
        <v>290</v>
      </c>
      <c r="J42" s="679">
        <v>42087</v>
      </c>
      <c r="L42" s="207" t="s">
        <v>914</v>
      </c>
      <c r="M42" s="209">
        <v>10618</v>
      </c>
      <c r="N42" s="209">
        <v>-11310</v>
      </c>
      <c r="O42" s="209">
        <v>-692</v>
      </c>
      <c r="P42"/>
      <c r="Q42"/>
      <c r="R42"/>
    </row>
    <row r="43" spans="1:40">
      <c r="A43" s="539" t="s">
        <v>7</v>
      </c>
      <c r="B43" s="540" t="s">
        <v>19</v>
      </c>
      <c r="C43" s="168" t="s">
        <v>648</v>
      </c>
      <c r="D43" s="395" t="str">
        <f ca="1">IFERROR(OFFSET(Camp_List[P_Code],MATCH(Data_Demography_t[[#This Row],[Camp]],Camp_List[Camp Name],0)-1,0,1,1),"")</f>
        <v>MMR012CMP113</v>
      </c>
      <c r="E43" s="541" t="s">
        <v>915</v>
      </c>
      <c r="F43" s="542" t="s">
        <v>749</v>
      </c>
      <c r="G43" s="335">
        <v>359</v>
      </c>
      <c r="H43" s="168">
        <f t="shared" si="0"/>
        <v>359</v>
      </c>
      <c r="I43" s="168" t="s">
        <v>290</v>
      </c>
      <c r="J43" s="679">
        <v>42087</v>
      </c>
      <c r="L43" s="207" t="s">
        <v>915</v>
      </c>
      <c r="M43" s="209">
        <v>13597</v>
      </c>
      <c r="N43" s="209">
        <v>-8827</v>
      </c>
      <c r="O43" s="209">
        <v>4770</v>
      </c>
      <c r="P43"/>
    </row>
    <row r="44" spans="1:40">
      <c r="A44" s="539" t="s">
        <v>7</v>
      </c>
      <c r="B44" s="540" t="s">
        <v>19</v>
      </c>
      <c r="C44" s="168" t="s">
        <v>648</v>
      </c>
      <c r="D44" s="395" t="str">
        <f ca="1">IFERROR(OFFSET(Camp_List[P_Code],MATCH(Data_Demography_t[[#This Row],[Camp]],Camp_List[Camp Name],0)-1,0,1,1),"")</f>
        <v>MMR012CMP113</v>
      </c>
      <c r="E44" s="541" t="s">
        <v>915</v>
      </c>
      <c r="F44" s="542" t="s">
        <v>748</v>
      </c>
      <c r="G44" s="335">
        <v>418</v>
      </c>
      <c r="H44" s="168">
        <f t="shared" si="0"/>
        <v>-418</v>
      </c>
      <c r="I44" s="168" t="s">
        <v>290</v>
      </c>
      <c r="J44" s="679">
        <v>42087</v>
      </c>
      <c r="L44" s="207" t="s">
        <v>916</v>
      </c>
      <c r="M44" s="209">
        <v>15241</v>
      </c>
      <c r="N44" s="209">
        <v>-14289</v>
      </c>
      <c r="O44" s="209">
        <v>952</v>
      </c>
      <c r="P44"/>
    </row>
    <row r="45" spans="1:40">
      <c r="A45" s="539" t="s">
        <v>7</v>
      </c>
      <c r="B45" s="540" t="s">
        <v>19</v>
      </c>
      <c r="C45" s="168" t="s">
        <v>648</v>
      </c>
      <c r="D45" s="395" t="str">
        <f ca="1">IFERROR(OFFSET(Camp_List[P_Code],MATCH(Data_Demography_t[[#This Row],[Camp]],Camp_List[Camp Name],0)-1,0,1,1),"")</f>
        <v>MMR012CMP113</v>
      </c>
      <c r="E45" s="541" t="s">
        <v>915</v>
      </c>
      <c r="F45" s="542" t="s">
        <v>749</v>
      </c>
      <c r="G45" s="335">
        <v>513</v>
      </c>
      <c r="H45" s="168">
        <f t="shared" si="0"/>
        <v>513</v>
      </c>
      <c r="I45" s="168" t="s">
        <v>290</v>
      </c>
      <c r="J45" s="679">
        <v>42087</v>
      </c>
      <c r="L45" s="207" t="s">
        <v>892</v>
      </c>
      <c r="M45" s="209">
        <v>2047</v>
      </c>
      <c r="N45" s="209">
        <v>-2005</v>
      </c>
      <c r="O45" s="209">
        <v>42</v>
      </c>
      <c r="P45"/>
    </row>
    <row r="46" spans="1:40">
      <c r="A46" s="539" t="s">
        <v>7</v>
      </c>
      <c r="B46" s="540" t="s">
        <v>19</v>
      </c>
      <c r="C46" s="168" t="s">
        <v>648</v>
      </c>
      <c r="D46" s="395" t="str">
        <f ca="1">IFERROR(OFFSET(Camp_List[P_Code],MATCH(Data_Demography_t[[#This Row],[Camp]],Camp_List[Camp Name],0)-1,0,1,1),"")</f>
        <v>MMR012CMP113</v>
      </c>
      <c r="E46" s="541" t="s">
        <v>916</v>
      </c>
      <c r="F46" s="542" t="s">
        <v>748</v>
      </c>
      <c r="G46" s="335">
        <v>686</v>
      </c>
      <c r="H46" s="168">
        <f t="shared" si="0"/>
        <v>-686</v>
      </c>
      <c r="I46" s="168" t="s">
        <v>290</v>
      </c>
      <c r="J46" s="679">
        <v>42087</v>
      </c>
      <c r="L46" s="565" t="s">
        <v>215</v>
      </c>
      <c r="M46" s="305">
        <v>58906</v>
      </c>
      <c r="N46" s="305">
        <v>-56046</v>
      </c>
      <c r="O46" s="305">
        <v>2860</v>
      </c>
      <c r="P46"/>
    </row>
    <row r="47" spans="1:40">
      <c r="A47" s="539" t="s">
        <v>7</v>
      </c>
      <c r="B47" s="540" t="s">
        <v>19</v>
      </c>
      <c r="C47" s="168" t="s">
        <v>648</v>
      </c>
      <c r="D47" s="395" t="str">
        <f ca="1">IFERROR(OFFSET(Camp_List[P_Code],MATCH(Data_Demography_t[[#This Row],[Camp]],Camp_List[Camp Name],0)-1,0,1,1),"")</f>
        <v>MMR012CMP113</v>
      </c>
      <c r="E47" s="541" t="s">
        <v>916</v>
      </c>
      <c r="F47" s="542" t="s">
        <v>749</v>
      </c>
      <c r="G47" s="335">
        <v>704</v>
      </c>
      <c r="H47" s="168">
        <f t="shared" si="0"/>
        <v>704</v>
      </c>
      <c r="I47" s="168" t="s">
        <v>290</v>
      </c>
      <c r="J47" s="679">
        <v>42087</v>
      </c>
      <c r="L47"/>
      <c r="M47"/>
      <c r="N47"/>
      <c r="O47"/>
      <c r="P47"/>
    </row>
    <row r="48" spans="1:40">
      <c r="A48" s="539" t="s">
        <v>7</v>
      </c>
      <c r="B48" s="540" t="s">
        <v>19</v>
      </c>
      <c r="C48" s="168" t="s">
        <v>648</v>
      </c>
      <c r="D48" s="395" t="str">
        <f ca="1">IFERROR(OFFSET(Camp_List[P_Code],MATCH(Data_Demography_t[[#This Row],[Camp]],Camp_List[Camp Name],0)-1,0,1,1),"")</f>
        <v>MMR012CMP113</v>
      </c>
      <c r="E48" s="541" t="s">
        <v>892</v>
      </c>
      <c r="F48" s="542" t="s">
        <v>748</v>
      </c>
      <c r="G48" s="335">
        <v>75</v>
      </c>
      <c r="H48" s="168">
        <f t="shared" si="0"/>
        <v>-75</v>
      </c>
      <c r="I48" s="168" t="s">
        <v>290</v>
      </c>
      <c r="J48" s="679">
        <v>42087</v>
      </c>
      <c r="L48"/>
      <c r="M48"/>
      <c r="N48"/>
      <c r="O48"/>
      <c r="P48"/>
    </row>
    <row r="49" spans="1:16">
      <c r="A49" s="539" t="s">
        <v>7</v>
      </c>
      <c r="B49" s="540" t="s">
        <v>19</v>
      </c>
      <c r="C49" s="168" t="s">
        <v>648</v>
      </c>
      <c r="D49" s="395" t="str">
        <f ca="1">IFERROR(OFFSET(Camp_List[P_Code],MATCH(Data_Demography_t[[#This Row],[Camp]],Camp_List[Camp Name],0)-1,0,1,1),"")</f>
        <v>MMR012CMP113</v>
      </c>
      <c r="E49" s="541" t="s">
        <v>892</v>
      </c>
      <c r="F49" s="542" t="s">
        <v>749</v>
      </c>
      <c r="G49" s="335">
        <v>78</v>
      </c>
      <c r="H49" s="168">
        <f t="shared" si="0"/>
        <v>78</v>
      </c>
      <c r="I49" s="168" t="s">
        <v>290</v>
      </c>
      <c r="J49" s="679">
        <v>42087</v>
      </c>
      <c r="L49"/>
      <c r="M49"/>
      <c r="N49"/>
      <c r="O49"/>
      <c r="P49"/>
    </row>
    <row r="50" spans="1:16">
      <c r="A50" s="539" t="s">
        <v>7</v>
      </c>
      <c r="B50" s="540" t="s">
        <v>19</v>
      </c>
      <c r="C50" s="168" t="s">
        <v>649</v>
      </c>
      <c r="D50" s="395" t="str">
        <f ca="1">IFERROR(OFFSET(Camp_List[P_Code],MATCH(Data_Demography_t[[#This Row],[Camp]],Camp_List[Camp Name],0)-1,0,1,1),"")</f>
        <v>MMR012CMP114</v>
      </c>
      <c r="E50" s="541" t="s">
        <v>750</v>
      </c>
      <c r="F50" s="542" t="s">
        <v>748</v>
      </c>
      <c r="G50" s="335">
        <v>669</v>
      </c>
      <c r="H50" s="168">
        <f t="shared" si="0"/>
        <v>-669</v>
      </c>
      <c r="I50" s="168" t="s">
        <v>290</v>
      </c>
      <c r="J50" s="679">
        <v>42088</v>
      </c>
      <c r="L50"/>
      <c r="M50"/>
      <c r="N50"/>
      <c r="O50"/>
      <c r="P50"/>
    </row>
    <row r="51" spans="1:16">
      <c r="A51" s="539" t="s">
        <v>7</v>
      </c>
      <c r="B51" s="540" t="s">
        <v>19</v>
      </c>
      <c r="C51" s="168" t="s">
        <v>649</v>
      </c>
      <c r="D51" s="395" t="str">
        <f ca="1">IFERROR(OFFSET(Camp_List[P_Code],MATCH(Data_Demography_t[[#This Row],[Camp]],Camp_List[Camp Name],0)-1,0,1,1),"")</f>
        <v>MMR012CMP114</v>
      </c>
      <c r="E51" s="541" t="s">
        <v>750</v>
      </c>
      <c r="F51" s="542" t="s">
        <v>749</v>
      </c>
      <c r="G51" s="335">
        <v>686</v>
      </c>
      <c r="H51" s="168">
        <f t="shared" si="0"/>
        <v>686</v>
      </c>
      <c r="I51" s="168" t="s">
        <v>290</v>
      </c>
      <c r="J51" s="679">
        <v>42088</v>
      </c>
      <c r="L51"/>
      <c r="M51"/>
      <c r="N51"/>
      <c r="O51"/>
      <c r="P51"/>
    </row>
    <row r="52" spans="1:16">
      <c r="A52" s="539" t="s">
        <v>7</v>
      </c>
      <c r="B52" s="540" t="s">
        <v>19</v>
      </c>
      <c r="C52" s="168" t="s">
        <v>649</v>
      </c>
      <c r="D52" s="395" t="str">
        <f ca="1">IFERROR(OFFSET(Camp_List[P_Code],MATCH(Data_Demography_t[[#This Row],[Camp]],Camp_List[Camp Name],0)-1,0,1,1),"")</f>
        <v>MMR012CMP114</v>
      </c>
      <c r="E52" s="541" t="s">
        <v>914</v>
      </c>
      <c r="F52" s="542" t="s">
        <v>748</v>
      </c>
      <c r="G52" s="335">
        <v>655</v>
      </c>
      <c r="H52" s="168">
        <f t="shared" si="0"/>
        <v>-655</v>
      </c>
      <c r="I52" s="168" t="s">
        <v>290</v>
      </c>
      <c r="J52" s="679">
        <v>42088</v>
      </c>
    </row>
    <row r="53" spans="1:16">
      <c r="A53" s="539" t="s">
        <v>7</v>
      </c>
      <c r="B53" s="540" t="s">
        <v>19</v>
      </c>
      <c r="C53" s="168" t="s">
        <v>649</v>
      </c>
      <c r="D53" s="395" t="str">
        <f ca="1">IFERROR(OFFSET(Camp_List[P_Code],MATCH(Data_Demography_t[[#This Row],[Camp]],Camp_List[Camp Name],0)-1,0,1,1),"")</f>
        <v>MMR012CMP114</v>
      </c>
      <c r="E53" s="541" t="s">
        <v>914</v>
      </c>
      <c r="F53" s="542" t="s">
        <v>749</v>
      </c>
      <c r="G53" s="335">
        <v>614</v>
      </c>
      <c r="H53" s="168">
        <f t="shared" si="0"/>
        <v>614</v>
      </c>
      <c r="I53" s="168" t="s">
        <v>290</v>
      </c>
      <c r="J53" s="679">
        <v>42088</v>
      </c>
    </row>
    <row r="54" spans="1:16">
      <c r="A54" s="539" t="s">
        <v>7</v>
      </c>
      <c r="B54" s="540" t="s">
        <v>19</v>
      </c>
      <c r="C54" s="168" t="s">
        <v>649</v>
      </c>
      <c r="D54" s="395" t="str">
        <f ca="1">IFERROR(OFFSET(Camp_List[P_Code],MATCH(Data_Demography_t[[#This Row],[Camp]],Camp_List[Camp Name],0)-1,0,1,1),"")</f>
        <v>MMR012CMP114</v>
      </c>
      <c r="E54" s="541" t="s">
        <v>677</v>
      </c>
      <c r="F54" s="542" t="s">
        <v>748</v>
      </c>
      <c r="G54" s="335">
        <v>504</v>
      </c>
      <c r="H54" s="168">
        <f t="shared" si="0"/>
        <v>-504</v>
      </c>
      <c r="I54" s="168" t="s">
        <v>290</v>
      </c>
      <c r="J54" s="679">
        <v>42088</v>
      </c>
    </row>
    <row r="55" spans="1:16">
      <c r="A55" s="539" t="s">
        <v>7</v>
      </c>
      <c r="B55" s="540" t="s">
        <v>19</v>
      </c>
      <c r="C55" s="168" t="s">
        <v>649</v>
      </c>
      <c r="D55" s="395" t="str">
        <f ca="1">IFERROR(OFFSET(Camp_List[P_Code],MATCH(Data_Demography_t[[#This Row],[Camp]],Camp_List[Camp Name],0)-1,0,1,1),"")</f>
        <v>MMR012CMP114</v>
      </c>
      <c r="E55" s="541" t="s">
        <v>915</v>
      </c>
      <c r="F55" s="542" t="s">
        <v>749</v>
      </c>
      <c r="G55" s="335">
        <v>498</v>
      </c>
      <c r="H55" s="168">
        <f t="shared" si="0"/>
        <v>498</v>
      </c>
      <c r="I55" s="168" t="s">
        <v>290</v>
      </c>
      <c r="J55" s="679">
        <v>42088</v>
      </c>
    </row>
    <row r="56" spans="1:16">
      <c r="A56" s="539" t="s">
        <v>7</v>
      </c>
      <c r="B56" s="540" t="s">
        <v>19</v>
      </c>
      <c r="C56" s="168" t="s">
        <v>649</v>
      </c>
      <c r="D56" s="395" t="str">
        <f ca="1">IFERROR(OFFSET(Camp_List[P_Code],MATCH(Data_Demography_t[[#This Row],[Camp]],Camp_List[Camp Name],0)-1,0,1,1),"")</f>
        <v>MMR012CMP114</v>
      </c>
      <c r="E56" s="541" t="s">
        <v>915</v>
      </c>
      <c r="F56" s="542" t="s">
        <v>748</v>
      </c>
      <c r="G56" s="335">
        <v>631</v>
      </c>
      <c r="H56" s="168">
        <f t="shared" si="0"/>
        <v>-631</v>
      </c>
      <c r="I56" s="168" t="s">
        <v>290</v>
      </c>
      <c r="J56" s="679">
        <v>42088</v>
      </c>
    </row>
    <row r="57" spans="1:16">
      <c r="A57" s="539" t="s">
        <v>7</v>
      </c>
      <c r="B57" s="540" t="s">
        <v>19</v>
      </c>
      <c r="C57" s="168" t="s">
        <v>649</v>
      </c>
      <c r="D57" s="395" t="str">
        <f ca="1">IFERROR(OFFSET(Camp_List[P_Code],MATCH(Data_Demography_t[[#This Row],[Camp]],Camp_List[Camp Name],0)-1,0,1,1),"")</f>
        <v>MMR012CMP114</v>
      </c>
      <c r="E57" s="541" t="s">
        <v>915</v>
      </c>
      <c r="F57" s="542" t="s">
        <v>749</v>
      </c>
      <c r="G57" s="335">
        <v>766</v>
      </c>
      <c r="H57" s="168">
        <f t="shared" si="0"/>
        <v>766</v>
      </c>
      <c r="I57" s="168" t="s">
        <v>290</v>
      </c>
      <c r="J57" s="679">
        <v>42088</v>
      </c>
    </row>
    <row r="58" spans="1:16">
      <c r="A58" s="539" t="s">
        <v>7</v>
      </c>
      <c r="B58" s="540" t="s">
        <v>19</v>
      </c>
      <c r="C58" s="168" t="s">
        <v>649</v>
      </c>
      <c r="D58" s="395" t="str">
        <f ca="1">IFERROR(OFFSET(Camp_List[P_Code],MATCH(Data_Demography_t[[#This Row],[Camp]],Camp_List[Camp Name],0)-1,0,1,1),"")</f>
        <v>MMR012CMP114</v>
      </c>
      <c r="E58" s="541" t="s">
        <v>916</v>
      </c>
      <c r="F58" s="542" t="s">
        <v>748</v>
      </c>
      <c r="G58" s="335">
        <v>843</v>
      </c>
      <c r="H58" s="168">
        <f t="shared" si="0"/>
        <v>-843</v>
      </c>
      <c r="I58" s="168" t="s">
        <v>290</v>
      </c>
      <c r="J58" s="679">
        <v>42088</v>
      </c>
    </row>
    <row r="59" spans="1:16">
      <c r="A59" s="539" t="s">
        <v>7</v>
      </c>
      <c r="B59" s="540" t="s">
        <v>19</v>
      </c>
      <c r="C59" s="168" t="s">
        <v>649</v>
      </c>
      <c r="D59" s="395" t="str">
        <f ca="1">IFERROR(OFFSET(Camp_List[P_Code],MATCH(Data_Demography_t[[#This Row],[Camp]],Camp_List[Camp Name],0)-1,0,1,1),"")</f>
        <v>MMR012CMP114</v>
      </c>
      <c r="E59" s="541" t="s">
        <v>916</v>
      </c>
      <c r="F59" s="542" t="s">
        <v>749</v>
      </c>
      <c r="G59" s="335">
        <v>838</v>
      </c>
      <c r="H59" s="168">
        <f t="shared" si="0"/>
        <v>838</v>
      </c>
      <c r="I59" s="168" t="s">
        <v>290</v>
      </c>
      <c r="J59" s="679">
        <v>42088</v>
      </c>
    </row>
    <row r="60" spans="1:16">
      <c r="A60" s="539" t="s">
        <v>7</v>
      </c>
      <c r="B60" s="540" t="s">
        <v>19</v>
      </c>
      <c r="C60" s="168" t="s">
        <v>649</v>
      </c>
      <c r="D60" s="395" t="str">
        <f ca="1">IFERROR(OFFSET(Camp_List[P_Code],MATCH(Data_Demography_t[[#This Row],[Camp]],Camp_List[Camp Name],0)-1,0,1,1),"")</f>
        <v>MMR012CMP114</v>
      </c>
      <c r="E60" s="541" t="s">
        <v>892</v>
      </c>
      <c r="F60" s="542" t="s">
        <v>748</v>
      </c>
      <c r="G60" s="335">
        <v>103</v>
      </c>
      <c r="H60" s="168">
        <f t="shared" si="0"/>
        <v>-103</v>
      </c>
      <c r="I60" s="168" t="s">
        <v>290</v>
      </c>
      <c r="J60" s="679">
        <v>42088</v>
      </c>
    </row>
    <row r="61" spans="1:16">
      <c r="A61" s="539" t="s">
        <v>7</v>
      </c>
      <c r="B61" s="540" t="s">
        <v>19</v>
      </c>
      <c r="C61" s="168" t="s">
        <v>649</v>
      </c>
      <c r="D61" s="395" t="str">
        <f ca="1">IFERROR(OFFSET(Camp_List[P_Code],MATCH(Data_Demography_t[[#This Row],[Camp]],Camp_List[Camp Name],0)-1,0,1,1),"")</f>
        <v>MMR012CMP114</v>
      </c>
      <c r="E61" s="541" t="s">
        <v>892</v>
      </c>
      <c r="F61" s="542" t="s">
        <v>749</v>
      </c>
      <c r="G61" s="335">
        <v>110</v>
      </c>
      <c r="H61" s="168">
        <f t="shared" si="0"/>
        <v>110</v>
      </c>
      <c r="I61" s="168" t="s">
        <v>290</v>
      </c>
      <c r="J61" s="679">
        <v>42088</v>
      </c>
    </row>
    <row r="62" spans="1:16">
      <c r="A62" s="379" t="s">
        <v>7</v>
      </c>
      <c r="B62" s="380" t="s">
        <v>19</v>
      </c>
      <c r="C62" s="383" t="s">
        <v>63</v>
      </c>
      <c r="D62" s="395" t="str">
        <f ca="1">IFERROR(OFFSET(Camp_List[P_Code],MATCH(Data_Demography_t[[#This Row],[Camp]],Camp_List[Camp Name],0)-1,0,1,1),"")</f>
        <v>MMR012CMP041</v>
      </c>
      <c r="E62" s="394" t="s">
        <v>750</v>
      </c>
      <c r="F62" s="385" t="s">
        <v>748</v>
      </c>
      <c r="G62" s="335">
        <v>652</v>
      </c>
      <c r="H62" s="168">
        <f t="shared" si="0"/>
        <v>-652</v>
      </c>
      <c r="I62" s="383" t="s">
        <v>290</v>
      </c>
      <c r="J62" s="679">
        <v>42082</v>
      </c>
    </row>
    <row r="63" spans="1:16">
      <c r="A63" s="379" t="s">
        <v>7</v>
      </c>
      <c r="B63" s="380" t="s">
        <v>19</v>
      </c>
      <c r="C63" s="383" t="s">
        <v>63</v>
      </c>
      <c r="D63" s="383" t="str">
        <f ca="1">IFERROR(OFFSET(Camp_List[P_Code],MATCH(Data_Demography_t[[#This Row],[Camp]],Camp_List[Camp Name],0)-1,0,1,1),"")</f>
        <v>MMR012CMP041</v>
      </c>
      <c r="E63" s="394" t="s">
        <v>750</v>
      </c>
      <c r="F63" s="385" t="s">
        <v>749</v>
      </c>
      <c r="G63" s="347">
        <v>708</v>
      </c>
      <c r="H63" s="168">
        <f t="shared" si="0"/>
        <v>708</v>
      </c>
      <c r="I63" s="383" t="s">
        <v>290</v>
      </c>
      <c r="J63" s="679">
        <v>42082</v>
      </c>
    </row>
    <row r="64" spans="1:16">
      <c r="A64" s="337" t="s">
        <v>7</v>
      </c>
      <c r="B64" s="334" t="s">
        <v>19</v>
      </c>
      <c r="C64" s="338" t="s">
        <v>63</v>
      </c>
      <c r="D64" s="338" t="str">
        <f ca="1">IFERROR(OFFSET(Camp_List[P_Code],MATCH(Data_Demography_t[[#This Row],[Camp]],Camp_List[Camp Name],0)-1,0,1,1),"")</f>
        <v>MMR012CMP041</v>
      </c>
      <c r="E64" s="339" t="s">
        <v>914</v>
      </c>
      <c r="F64" s="338" t="s">
        <v>748</v>
      </c>
      <c r="G64" s="335">
        <v>809</v>
      </c>
      <c r="H64" s="168">
        <f t="shared" si="0"/>
        <v>-809</v>
      </c>
      <c r="I64" s="338" t="s">
        <v>290</v>
      </c>
      <c r="J64" s="680">
        <v>42082</v>
      </c>
      <c r="L64"/>
      <c r="M64"/>
    </row>
    <row r="65" spans="1:13">
      <c r="A65" s="337" t="s">
        <v>7</v>
      </c>
      <c r="B65" s="334" t="s">
        <v>19</v>
      </c>
      <c r="C65" s="338" t="s">
        <v>63</v>
      </c>
      <c r="D65" s="338" t="str">
        <f ca="1">IFERROR(OFFSET(Camp_List[P_Code],MATCH(Data_Demography_t[[#This Row],[Camp]],Camp_List[Camp Name],0)-1,0,1,1),"")</f>
        <v>MMR012CMP041</v>
      </c>
      <c r="E65" s="339" t="s">
        <v>914</v>
      </c>
      <c r="F65" s="381" t="s">
        <v>749</v>
      </c>
      <c r="G65" s="335">
        <v>802</v>
      </c>
      <c r="H65" s="168">
        <f t="shared" si="0"/>
        <v>802</v>
      </c>
      <c r="I65" s="338" t="s">
        <v>290</v>
      </c>
      <c r="J65" s="680">
        <v>42082</v>
      </c>
      <c r="L65"/>
      <c r="M65"/>
    </row>
    <row r="66" spans="1:13">
      <c r="A66" s="337" t="s">
        <v>7</v>
      </c>
      <c r="B66" s="334" t="s">
        <v>19</v>
      </c>
      <c r="C66" s="338" t="s">
        <v>63</v>
      </c>
      <c r="D66" s="338" t="str">
        <f ca="1">IFERROR(OFFSET(Camp_List[P_Code],MATCH(Data_Demography_t[[#This Row],[Camp]],Camp_List[Camp Name],0)-1,0,1,1),"")</f>
        <v>MMR012CMP041</v>
      </c>
      <c r="E66" s="339" t="s">
        <v>677</v>
      </c>
      <c r="F66" s="338" t="s">
        <v>748</v>
      </c>
      <c r="G66" s="335">
        <v>648</v>
      </c>
      <c r="H66" s="168">
        <f t="shared" ref="H66:H129" si="1">IF(F66="M",-G66,G66)</f>
        <v>-648</v>
      </c>
      <c r="I66" s="338" t="s">
        <v>290</v>
      </c>
      <c r="J66" s="680">
        <v>42082</v>
      </c>
      <c r="L66"/>
      <c r="M66"/>
    </row>
    <row r="67" spans="1:13">
      <c r="A67" s="337" t="s">
        <v>7</v>
      </c>
      <c r="B67" s="334" t="s">
        <v>19</v>
      </c>
      <c r="C67" s="338" t="s">
        <v>63</v>
      </c>
      <c r="D67" s="338" t="str">
        <f ca="1">IFERROR(OFFSET(Camp_List[P_Code],MATCH(Data_Demography_t[[#This Row],[Camp]],Camp_List[Camp Name],0)-1,0,1,1),"")</f>
        <v>MMR012CMP041</v>
      </c>
      <c r="E67" s="339" t="s">
        <v>915</v>
      </c>
      <c r="F67" s="381" t="s">
        <v>749</v>
      </c>
      <c r="G67" s="335">
        <v>629</v>
      </c>
      <c r="H67" s="168">
        <f t="shared" si="1"/>
        <v>629</v>
      </c>
      <c r="I67" s="338" t="s">
        <v>290</v>
      </c>
      <c r="J67" s="680">
        <v>42082</v>
      </c>
      <c r="L67"/>
      <c r="M67"/>
    </row>
    <row r="68" spans="1:13">
      <c r="A68" s="337" t="s">
        <v>7</v>
      </c>
      <c r="B68" s="334" t="s">
        <v>19</v>
      </c>
      <c r="C68" s="338" t="s">
        <v>63</v>
      </c>
      <c r="D68" s="338" t="str">
        <f ca="1">IFERROR(OFFSET(Camp_List[P_Code],MATCH(Data_Demography_t[[#This Row],[Camp]],Camp_List[Camp Name],0)-1,0,1,1),"")</f>
        <v>MMR012CMP041</v>
      </c>
      <c r="E68" s="339" t="s">
        <v>915</v>
      </c>
      <c r="F68" s="338" t="s">
        <v>748</v>
      </c>
      <c r="G68" s="335">
        <v>727</v>
      </c>
      <c r="H68" s="168">
        <f t="shared" si="1"/>
        <v>-727</v>
      </c>
      <c r="I68" s="338" t="s">
        <v>290</v>
      </c>
      <c r="J68" s="680">
        <v>42082</v>
      </c>
      <c r="L68"/>
      <c r="M68"/>
    </row>
    <row r="69" spans="1:13">
      <c r="A69" s="337" t="s">
        <v>7</v>
      </c>
      <c r="B69" s="334" t="s">
        <v>19</v>
      </c>
      <c r="C69" s="338" t="s">
        <v>63</v>
      </c>
      <c r="D69" s="338" t="str">
        <f ca="1">IFERROR(OFFSET(Camp_List[P_Code],MATCH(Data_Demography_t[[#This Row],[Camp]],Camp_List[Camp Name],0)-1,0,1,1),"")</f>
        <v>MMR012CMP041</v>
      </c>
      <c r="E69" s="339" t="s">
        <v>915</v>
      </c>
      <c r="F69" s="381" t="s">
        <v>749</v>
      </c>
      <c r="G69" s="335">
        <v>876</v>
      </c>
      <c r="H69" s="168">
        <f t="shared" si="1"/>
        <v>876</v>
      </c>
      <c r="I69" s="338" t="s">
        <v>290</v>
      </c>
      <c r="J69" s="680">
        <v>42082</v>
      </c>
      <c r="L69"/>
      <c r="M69"/>
    </row>
    <row r="70" spans="1:13">
      <c r="A70" s="337" t="s">
        <v>7</v>
      </c>
      <c r="B70" s="334" t="s">
        <v>19</v>
      </c>
      <c r="C70" s="338" t="s">
        <v>63</v>
      </c>
      <c r="D70" s="338" t="str">
        <f ca="1">IFERROR(OFFSET(Camp_List[P_Code],MATCH(Data_Demography_t[[#This Row],[Camp]],Camp_List[Camp Name],0)-1,0,1,1),"")</f>
        <v>MMR012CMP041</v>
      </c>
      <c r="E70" s="336" t="s">
        <v>916</v>
      </c>
      <c r="F70" s="338" t="s">
        <v>748</v>
      </c>
      <c r="G70" s="335">
        <v>971</v>
      </c>
      <c r="H70" s="168">
        <f t="shared" si="1"/>
        <v>-971</v>
      </c>
      <c r="I70" s="338" t="s">
        <v>290</v>
      </c>
      <c r="J70" s="680">
        <v>42082</v>
      </c>
      <c r="L70"/>
      <c r="M70"/>
    </row>
    <row r="71" spans="1:13">
      <c r="A71" s="337" t="s">
        <v>7</v>
      </c>
      <c r="B71" s="334" t="s">
        <v>19</v>
      </c>
      <c r="C71" s="338" t="s">
        <v>63</v>
      </c>
      <c r="D71" s="338" t="str">
        <f ca="1">IFERROR(OFFSET(Camp_List[P_Code],MATCH(Data_Demography_t[[#This Row],[Camp]],Camp_List[Camp Name],0)-1,0,1,1),"")</f>
        <v>MMR012CMP041</v>
      </c>
      <c r="E71" s="336" t="s">
        <v>916</v>
      </c>
      <c r="F71" s="381" t="s">
        <v>749</v>
      </c>
      <c r="G71" s="335">
        <v>1057</v>
      </c>
      <c r="H71" s="168">
        <f t="shared" si="1"/>
        <v>1057</v>
      </c>
      <c r="I71" s="338" t="s">
        <v>290</v>
      </c>
      <c r="J71" s="680">
        <v>42082</v>
      </c>
      <c r="L71"/>
      <c r="M71"/>
    </row>
    <row r="72" spans="1:13">
      <c r="A72" s="337" t="s">
        <v>7</v>
      </c>
      <c r="B72" s="334" t="s">
        <v>19</v>
      </c>
      <c r="C72" s="338" t="s">
        <v>63</v>
      </c>
      <c r="D72" s="338" t="str">
        <f ca="1">IFERROR(OFFSET(Camp_List[P_Code],MATCH(Data_Demography_t[[#This Row],[Camp]],Camp_List[Camp Name],0)-1,0,1,1),"")</f>
        <v>MMR012CMP041</v>
      </c>
      <c r="E72" s="339" t="s">
        <v>892</v>
      </c>
      <c r="F72" s="338" t="s">
        <v>748</v>
      </c>
      <c r="G72" s="335">
        <v>151</v>
      </c>
      <c r="H72" s="168">
        <f t="shared" si="1"/>
        <v>-151</v>
      </c>
      <c r="I72" s="338" t="s">
        <v>290</v>
      </c>
      <c r="J72" s="680">
        <v>42082</v>
      </c>
      <c r="L72"/>
      <c r="M72"/>
    </row>
    <row r="73" spans="1:13">
      <c r="A73" s="337" t="s">
        <v>7</v>
      </c>
      <c r="B73" s="334" t="s">
        <v>19</v>
      </c>
      <c r="C73" s="338" t="s">
        <v>63</v>
      </c>
      <c r="D73" s="338" t="str">
        <f ca="1">IFERROR(OFFSET(Camp_List[P_Code],MATCH(Data_Demography_t[[#This Row],[Camp]],Camp_List[Camp Name],0)-1,0,1,1),"")</f>
        <v>MMR012CMP041</v>
      </c>
      <c r="E73" s="339" t="s">
        <v>892</v>
      </c>
      <c r="F73" s="381" t="s">
        <v>749</v>
      </c>
      <c r="G73" s="335">
        <v>159</v>
      </c>
      <c r="H73" s="168">
        <f t="shared" si="1"/>
        <v>159</v>
      </c>
      <c r="I73" s="338" t="s">
        <v>290</v>
      </c>
      <c r="J73" s="680">
        <v>42082</v>
      </c>
      <c r="L73"/>
      <c r="M73"/>
    </row>
    <row r="74" spans="1:13">
      <c r="A74" s="337" t="s">
        <v>7</v>
      </c>
      <c r="B74" s="370" t="s">
        <v>900</v>
      </c>
      <c r="C74" s="381" t="s">
        <v>37</v>
      </c>
      <c r="D74" s="338" t="str">
        <f ca="1">IFERROR(OFFSET(Camp_List[P_Code],MATCH(Data_Demography_t[[#This Row],[Camp]],Camp_List[Camp Name],0)-1,0,1,1),"")</f>
        <v>MMR012CMP013</v>
      </c>
      <c r="E74" s="353" t="s">
        <v>750</v>
      </c>
      <c r="F74" s="351" t="s">
        <v>748</v>
      </c>
      <c r="G74" s="335">
        <v>8</v>
      </c>
      <c r="H74" s="168">
        <f t="shared" si="1"/>
        <v>-8</v>
      </c>
      <c r="I74" s="381" t="s">
        <v>730</v>
      </c>
      <c r="J74" s="681">
        <v>42130</v>
      </c>
    </row>
    <row r="75" spans="1:13">
      <c r="A75" s="337" t="s">
        <v>7</v>
      </c>
      <c r="B75" s="370" t="s">
        <v>900</v>
      </c>
      <c r="C75" s="381" t="s">
        <v>37</v>
      </c>
      <c r="D75" s="338" t="str">
        <f ca="1">IFERROR(OFFSET(Camp_List[P_Code],MATCH(Data_Demography_t[[#This Row],[Camp]],Camp_List[Camp Name],0)-1,0,1,1),"")</f>
        <v>MMR012CMP013</v>
      </c>
      <c r="E75" s="353" t="s">
        <v>750</v>
      </c>
      <c r="F75" s="351" t="s">
        <v>749</v>
      </c>
      <c r="G75" s="335">
        <v>5</v>
      </c>
      <c r="H75" s="168">
        <f t="shared" si="1"/>
        <v>5</v>
      </c>
      <c r="I75" s="381" t="s">
        <v>730</v>
      </c>
      <c r="J75" s="681">
        <v>42130</v>
      </c>
    </row>
    <row r="76" spans="1:13">
      <c r="A76" s="379" t="s">
        <v>7</v>
      </c>
      <c r="B76" s="380" t="s">
        <v>900</v>
      </c>
      <c r="C76" s="383" t="s">
        <v>37</v>
      </c>
      <c r="D76" s="383" t="str">
        <f ca="1">IFERROR(OFFSET(Camp_List[P_Code],MATCH(Data_Demography_t[[#This Row],[Camp]],Camp_List[Camp Name],0)-1,0,1,1),"")</f>
        <v>MMR012CMP013</v>
      </c>
      <c r="E76" s="339" t="s">
        <v>914</v>
      </c>
      <c r="F76" s="385" t="s">
        <v>748</v>
      </c>
      <c r="G76" s="347">
        <v>14</v>
      </c>
      <c r="H76" s="168">
        <f t="shared" si="1"/>
        <v>-14</v>
      </c>
      <c r="I76" s="383" t="s">
        <v>730</v>
      </c>
      <c r="J76" s="679">
        <v>42130</v>
      </c>
      <c r="L76"/>
      <c r="M76"/>
    </row>
    <row r="77" spans="1:13">
      <c r="A77" s="379" t="s">
        <v>7</v>
      </c>
      <c r="B77" s="380" t="s">
        <v>900</v>
      </c>
      <c r="C77" s="383" t="s">
        <v>37</v>
      </c>
      <c r="D77" s="383" t="str">
        <f ca="1">IFERROR(OFFSET(Camp_List[P_Code],MATCH(Data_Demography_t[[#This Row],[Camp]],Camp_List[Camp Name],0)-1,0,1,1),"")</f>
        <v>MMR012CMP013</v>
      </c>
      <c r="E77" s="339" t="s">
        <v>914</v>
      </c>
      <c r="F77" s="385" t="s">
        <v>749</v>
      </c>
      <c r="G77" s="347">
        <v>9</v>
      </c>
      <c r="H77" s="168">
        <f t="shared" si="1"/>
        <v>9</v>
      </c>
      <c r="I77" s="383" t="s">
        <v>730</v>
      </c>
      <c r="J77" s="679">
        <v>42130</v>
      </c>
      <c r="L77"/>
      <c r="M77"/>
    </row>
    <row r="78" spans="1:13">
      <c r="A78" s="379" t="s">
        <v>7</v>
      </c>
      <c r="B78" s="380" t="s">
        <v>900</v>
      </c>
      <c r="C78" s="383" t="s">
        <v>37</v>
      </c>
      <c r="D78" s="383" t="str">
        <f ca="1">IFERROR(OFFSET(Camp_List[P_Code],MATCH(Data_Demography_t[[#This Row],[Camp]],Camp_List[Camp Name],0)-1,0,1,1),"")</f>
        <v>MMR012CMP013</v>
      </c>
      <c r="E78" s="339" t="s">
        <v>677</v>
      </c>
      <c r="F78" s="385" t="s">
        <v>748</v>
      </c>
      <c r="G78" s="347">
        <v>17</v>
      </c>
      <c r="H78" s="168">
        <f t="shared" si="1"/>
        <v>-17</v>
      </c>
      <c r="I78" s="383" t="s">
        <v>730</v>
      </c>
      <c r="J78" s="679">
        <v>42130</v>
      </c>
      <c r="L78"/>
      <c r="M78"/>
    </row>
    <row r="79" spans="1:13">
      <c r="A79" s="379" t="s">
        <v>7</v>
      </c>
      <c r="B79" s="380" t="s">
        <v>900</v>
      </c>
      <c r="C79" s="383" t="s">
        <v>37</v>
      </c>
      <c r="D79" s="383" t="str">
        <f ca="1">IFERROR(OFFSET(Camp_List[P_Code],MATCH(Data_Demography_t[[#This Row],[Camp]],Camp_List[Camp Name],0)-1,0,1,1),"")</f>
        <v>MMR012CMP013</v>
      </c>
      <c r="E79" s="339" t="s">
        <v>677</v>
      </c>
      <c r="F79" s="385" t="s">
        <v>749</v>
      </c>
      <c r="G79" s="347">
        <v>11</v>
      </c>
      <c r="H79" s="168">
        <f t="shared" si="1"/>
        <v>11</v>
      </c>
      <c r="I79" s="383" t="s">
        <v>730</v>
      </c>
      <c r="J79" s="679">
        <v>42130</v>
      </c>
      <c r="L79"/>
      <c r="M79"/>
    </row>
    <row r="80" spans="1:13">
      <c r="A80" s="379" t="s">
        <v>7</v>
      </c>
      <c r="B80" s="380" t="s">
        <v>900</v>
      </c>
      <c r="C80" s="383" t="s">
        <v>37</v>
      </c>
      <c r="D80" s="383" t="str">
        <f ca="1">IFERROR(OFFSET(Camp_List[P_Code],MATCH(Data_Demography_t[[#This Row],[Camp]],Camp_List[Camp Name],0)-1,0,1,1),"")</f>
        <v>MMR012CMP013</v>
      </c>
      <c r="E80" s="339" t="s">
        <v>915</v>
      </c>
      <c r="F80" s="385" t="s">
        <v>748</v>
      </c>
      <c r="G80" s="347">
        <v>13</v>
      </c>
      <c r="H80" s="168">
        <f t="shared" si="1"/>
        <v>-13</v>
      </c>
      <c r="I80" s="383" t="s">
        <v>730</v>
      </c>
      <c r="J80" s="679">
        <v>42130</v>
      </c>
      <c r="L80"/>
      <c r="M80"/>
    </row>
    <row r="81" spans="1:13">
      <c r="A81" s="379" t="s">
        <v>7</v>
      </c>
      <c r="B81" s="380" t="s">
        <v>900</v>
      </c>
      <c r="C81" s="383" t="s">
        <v>37</v>
      </c>
      <c r="D81" s="383" t="str">
        <f ca="1">IFERROR(OFFSET(Camp_List[P_Code],MATCH(Data_Demography_t[[#This Row],[Camp]],Camp_List[Camp Name],0)-1,0,1,1),"")</f>
        <v>MMR012CMP013</v>
      </c>
      <c r="E81" s="339" t="s">
        <v>915</v>
      </c>
      <c r="F81" s="385" t="s">
        <v>749</v>
      </c>
      <c r="G81" s="347">
        <v>11</v>
      </c>
      <c r="H81" s="168">
        <f t="shared" si="1"/>
        <v>11</v>
      </c>
      <c r="I81" s="383" t="s">
        <v>730</v>
      </c>
      <c r="J81" s="679">
        <v>42130</v>
      </c>
      <c r="L81"/>
      <c r="M81"/>
    </row>
    <row r="82" spans="1:13">
      <c r="A82" s="379" t="s">
        <v>7</v>
      </c>
      <c r="B82" s="380" t="s">
        <v>900</v>
      </c>
      <c r="C82" s="383" t="s">
        <v>37</v>
      </c>
      <c r="D82" s="383" t="str">
        <f ca="1">IFERROR(OFFSET(Camp_List[P_Code],MATCH(Data_Demography_t[[#This Row],[Camp]],Camp_List[Camp Name],0)-1,0,1,1),"")</f>
        <v>MMR012CMP013</v>
      </c>
      <c r="E82" s="336" t="s">
        <v>916</v>
      </c>
      <c r="F82" s="385" t="s">
        <v>748</v>
      </c>
      <c r="G82" s="347">
        <v>45</v>
      </c>
      <c r="H82" s="168">
        <f t="shared" si="1"/>
        <v>-45</v>
      </c>
      <c r="I82" s="383" t="s">
        <v>730</v>
      </c>
      <c r="J82" s="679">
        <v>42130</v>
      </c>
      <c r="L82"/>
      <c r="M82"/>
    </row>
    <row r="83" spans="1:13">
      <c r="A83" s="379" t="s">
        <v>7</v>
      </c>
      <c r="B83" s="380" t="s">
        <v>900</v>
      </c>
      <c r="C83" s="383" t="s">
        <v>37</v>
      </c>
      <c r="D83" s="383" t="str">
        <f ca="1">IFERROR(OFFSET(Camp_List[P_Code],MATCH(Data_Demography_t[[#This Row],[Camp]],Camp_List[Camp Name],0)-1,0,1,1),"")</f>
        <v>MMR012CMP013</v>
      </c>
      <c r="E83" s="336" t="s">
        <v>916</v>
      </c>
      <c r="F83" s="385" t="s">
        <v>749</v>
      </c>
      <c r="G83" s="347">
        <v>38</v>
      </c>
      <c r="H83" s="168">
        <f t="shared" si="1"/>
        <v>38</v>
      </c>
      <c r="I83" s="383" t="s">
        <v>730</v>
      </c>
      <c r="J83" s="679">
        <v>42130</v>
      </c>
      <c r="L83"/>
      <c r="M83"/>
    </row>
    <row r="84" spans="1:13">
      <c r="A84" s="379" t="s">
        <v>7</v>
      </c>
      <c r="B84" s="380" t="s">
        <v>900</v>
      </c>
      <c r="C84" s="383" t="s">
        <v>37</v>
      </c>
      <c r="D84" s="383" t="str">
        <f ca="1">IFERROR(OFFSET(Camp_List[P_Code],MATCH(Data_Demography_t[[#This Row],[Camp]],Camp_List[Camp Name],0)-1,0,1,1),"")</f>
        <v>MMR012CMP013</v>
      </c>
      <c r="E84" s="339" t="s">
        <v>892</v>
      </c>
      <c r="F84" s="385" t="s">
        <v>748</v>
      </c>
      <c r="G84" s="347">
        <v>14</v>
      </c>
      <c r="H84" s="168">
        <f t="shared" si="1"/>
        <v>-14</v>
      </c>
      <c r="I84" s="383" t="s">
        <v>730</v>
      </c>
      <c r="J84" s="679">
        <v>42130</v>
      </c>
      <c r="L84"/>
      <c r="M84"/>
    </row>
    <row r="85" spans="1:13">
      <c r="A85" s="379" t="s">
        <v>7</v>
      </c>
      <c r="B85" s="380" t="s">
        <v>900</v>
      </c>
      <c r="C85" s="383" t="s">
        <v>37</v>
      </c>
      <c r="D85" s="383" t="str">
        <f ca="1">IFERROR(OFFSET(Camp_List[P_Code],MATCH(Data_Demography_t[[#This Row],[Camp]],Camp_List[Camp Name],0)-1,0,1,1),"")</f>
        <v>MMR012CMP013</v>
      </c>
      <c r="E85" s="339" t="s">
        <v>892</v>
      </c>
      <c r="F85" s="385" t="s">
        <v>749</v>
      </c>
      <c r="G85" s="347">
        <v>13</v>
      </c>
      <c r="H85" s="168">
        <f t="shared" si="1"/>
        <v>13</v>
      </c>
      <c r="I85" s="383" t="s">
        <v>730</v>
      </c>
      <c r="J85" s="679">
        <v>42130</v>
      </c>
      <c r="L85"/>
      <c r="M85"/>
    </row>
    <row r="86" spans="1:13">
      <c r="A86" s="337" t="s">
        <v>7</v>
      </c>
      <c r="B86" s="334" t="s">
        <v>19</v>
      </c>
      <c r="C86" s="334" t="s">
        <v>64</v>
      </c>
      <c r="D86" s="391" t="str">
        <f ca="1">IFERROR(OFFSET(Camp_List[P_Code],MATCH(Data_Demography_t[[#This Row],[Camp]],Camp_List[Camp Name],0)-1,0,1,1),"")</f>
        <v>MMR012CMP042</v>
      </c>
      <c r="E86" s="353" t="s">
        <v>750</v>
      </c>
      <c r="F86" s="351" t="s">
        <v>748</v>
      </c>
      <c r="G86" s="392">
        <v>444</v>
      </c>
      <c r="H86" s="393">
        <f t="shared" si="1"/>
        <v>-444</v>
      </c>
      <c r="I86" s="334" t="s">
        <v>642</v>
      </c>
      <c r="J86" s="680">
        <v>42100</v>
      </c>
      <c r="L86"/>
      <c r="M86"/>
    </row>
    <row r="87" spans="1:13">
      <c r="A87" s="337" t="s">
        <v>7</v>
      </c>
      <c r="B87" s="334" t="s">
        <v>19</v>
      </c>
      <c r="C87" s="334" t="s">
        <v>64</v>
      </c>
      <c r="D87" s="391" t="str">
        <f ca="1">IFERROR(OFFSET(Camp_List[P_Code],MATCH(Data_Demography_t[[#This Row],[Camp]],Camp_List[Camp Name],0)-1,0,1,1),"")</f>
        <v>MMR012CMP042</v>
      </c>
      <c r="E87" s="353" t="s">
        <v>750</v>
      </c>
      <c r="F87" s="351" t="s">
        <v>749</v>
      </c>
      <c r="G87" s="392">
        <v>438</v>
      </c>
      <c r="H87" s="393">
        <f t="shared" si="1"/>
        <v>438</v>
      </c>
      <c r="I87" s="334" t="s">
        <v>642</v>
      </c>
      <c r="J87" s="680">
        <v>42100</v>
      </c>
      <c r="L87"/>
      <c r="M87"/>
    </row>
    <row r="88" spans="1:13">
      <c r="A88" s="337" t="s">
        <v>7</v>
      </c>
      <c r="B88" s="370" t="s">
        <v>19</v>
      </c>
      <c r="C88" s="381" t="s">
        <v>64</v>
      </c>
      <c r="D88" s="391" t="str">
        <f ca="1">IFERROR(OFFSET(Camp_List[P_Code],MATCH(Data_Demography_t[[#This Row],[Camp]],Camp_List[Camp Name],0)-1,0,1,1),"")</f>
        <v>MMR012CMP042</v>
      </c>
      <c r="E88" s="353" t="s">
        <v>914</v>
      </c>
      <c r="F88" s="351" t="s">
        <v>748</v>
      </c>
      <c r="G88" s="392">
        <v>391</v>
      </c>
      <c r="H88" s="393">
        <f t="shared" si="1"/>
        <v>-391</v>
      </c>
      <c r="I88" s="390" t="s">
        <v>642</v>
      </c>
      <c r="J88" s="681">
        <v>42100</v>
      </c>
      <c r="L88"/>
      <c r="M88"/>
    </row>
    <row r="89" spans="1:13">
      <c r="A89" s="337" t="s">
        <v>7</v>
      </c>
      <c r="B89" s="370" t="s">
        <v>19</v>
      </c>
      <c r="C89" s="381" t="s">
        <v>64</v>
      </c>
      <c r="D89" s="391" t="str">
        <f ca="1">IFERROR(OFFSET(Camp_List[P_Code],MATCH(Data_Demography_t[[#This Row],[Camp]],Camp_List[Camp Name],0)-1,0,1,1),"")</f>
        <v>MMR012CMP042</v>
      </c>
      <c r="E89" s="353" t="s">
        <v>914</v>
      </c>
      <c r="F89" s="351" t="s">
        <v>749</v>
      </c>
      <c r="G89" s="392">
        <v>358</v>
      </c>
      <c r="H89" s="393">
        <f t="shared" si="1"/>
        <v>358</v>
      </c>
      <c r="I89" s="390" t="s">
        <v>642</v>
      </c>
      <c r="J89" s="681">
        <v>42100</v>
      </c>
      <c r="L89"/>
      <c r="M89"/>
    </row>
    <row r="90" spans="1:13">
      <c r="A90" s="337" t="s">
        <v>7</v>
      </c>
      <c r="B90" s="370" t="s">
        <v>19</v>
      </c>
      <c r="C90" s="381" t="s">
        <v>64</v>
      </c>
      <c r="D90" s="391" t="str">
        <f ca="1">IFERROR(OFFSET(Camp_List[P_Code],MATCH(Data_Demography_t[[#This Row],[Camp]],Camp_List[Camp Name],0)-1,0,1,1),"")</f>
        <v>MMR012CMP042</v>
      </c>
      <c r="E90" s="353" t="s">
        <v>677</v>
      </c>
      <c r="F90" s="351" t="s">
        <v>748</v>
      </c>
      <c r="G90" s="392">
        <v>320</v>
      </c>
      <c r="H90" s="393">
        <f t="shared" si="1"/>
        <v>-320</v>
      </c>
      <c r="I90" s="390" t="s">
        <v>642</v>
      </c>
      <c r="J90" s="681">
        <v>42100</v>
      </c>
      <c r="L90"/>
      <c r="M90"/>
    </row>
    <row r="91" spans="1:13">
      <c r="A91" s="337" t="s">
        <v>7</v>
      </c>
      <c r="B91" s="370" t="s">
        <v>19</v>
      </c>
      <c r="C91" s="381" t="s">
        <v>64</v>
      </c>
      <c r="D91" s="391" t="str">
        <f ca="1">IFERROR(OFFSET(Camp_List[P_Code],MATCH(Data_Demography_t[[#This Row],[Camp]],Camp_List[Camp Name],0)-1,0,1,1),"")</f>
        <v>MMR012CMP042</v>
      </c>
      <c r="E91" s="353" t="s">
        <v>677</v>
      </c>
      <c r="F91" s="351" t="s">
        <v>749</v>
      </c>
      <c r="G91" s="392">
        <v>273</v>
      </c>
      <c r="H91" s="393">
        <f t="shared" si="1"/>
        <v>273</v>
      </c>
      <c r="I91" s="390" t="s">
        <v>642</v>
      </c>
      <c r="J91" s="681">
        <v>42100</v>
      </c>
      <c r="L91"/>
      <c r="M91"/>
    </row>
    <row r="92" spans="1:13">
      <c r="A92" s="337" t="s">
        <v>7</v>
      </c>
      <c r="B92" s="370" t="s">
        <v>19</v>
      </c>
      <c r="C92" s="381" t="s">
        <v>64</v>
      </c>
      <c r="D92" s="391" t="str">
        <f ca="1">IFERROR(OFFSET(Camp_List[P_Code],MATCH(Data_Demography_t[[#This Row],[Camp]],Camp_List[Camp Name],0)-1,0,1,1),"")</f>
        <v>MMR012CMP042</v>
      </c>
      <c r="E92" s="353" t="s">
        <v>915</v>
      </c>
      <c r="F92" s="351" t="s">
        <v>748</v>
      </c>
      <c r="G92" s="392">
        <v>336</v>
      </c>
      <c r="H92" s="393">
        <f t="shared" si="1"/>
        <v>-336</v>
      </c>
      <c r="I92" s="390" t="s">
        <v>642</v>
      </c>
      <c r="J92" s="681">
        <v>42100</v>
      </c>
      <c r="L92"/>
      <c r="M92"/>
    </row>
    <row r="93" spans="1:13">
      <c r="A93" s="337" t="s">
        <v>7</v>
      </c>
      <c r="B93" s="370" t="s">
        <v>19</v>
      </c>
      <c r="C93" s="381" t="s">
        <v>64</v>
      </c>
      <c r="D93" s="391" t="str">
        <f ca="1">IFERROR(OFFSET(Camp_List[P_Code],MATCH(Data_Demography_t[[#This Row],[Camp]],Camp_List[Camp Name],0)-1,0,1,1),"")</f>
        <v>MMR012CMP042</v>
      </c>
      <c r="E93" s="353" t="s">
        <v>915</v>
      </c>
      <c r="F93" s="351" t="s">
        <v>749</v>
      </c>
      <c r="G93" s="392">
        <v>465</v>
      </c>
      <c r="H93" s="393">
        <f t="shared" si="1"/>
        <v>465</v>
      </c>
      <c r="I93" s="390" t="s">
        <v>642</v>
      </c>
      <c r="J93" s="681">
        <v>42100</v>
      </c>
      <c r="L93"/>
      <c r="M93"/>
    </row>
    <row r="94" spans="1:13">
      <c r="A94" s="337" t="s">
        <v>7</v>
      </c>
      <c r="B94" s="370" t="s">
        <v>19</v>
      </c>
      <c r="C94" s="381" t="s">
        <v>64</v>
      </c>
      <c r="D94" s="391" t="str">
        <f ca="1">IFERROR(OFFSET(Camp_List[P_Code],MATCH(Data_Demography_t[[#This Row],[Camp]],Camp_List[Camp Name],0)-1,0,1,1),"")</f>
        <v>MMR012CMP042</v>
      </c>
      <c r="E94" s="353" t="s">
        <v>916</v>
      </c>
      <c r="F94" s="351" t="s">
        <v>748</v>
      </c>
      <c r="G94" s="392">
        <v>581</v>
      </c>
      <c r="H94" s="393">
        <f t="shared" si="1"/>
        <v>-581</v>
      </c>
      <c r="I94" s="390" t="s">
        <v>642</v>
      </c>
      <c r="J94" s="681">
        <v>42100</v>
      </c>
      <c r="L94"/>
      <c r="M94"/>
    </row>
    <row r="95" spans="1:13">
      <c r="A95" s="337" t="s">
        <v>7</v>
      </c>
      <c r="B95" s="370" t="s">
        <v>19</v>
      </c>
      <c r="C95" s="381" t="s">
        <v>64</v>
      </c>
      <c r="D95" s="391" t="str">
        <f ca="1">IFERROR(OFFSET(Camp_List[P_Code],MATCH(Data_Demography_t[[#This Row],[Camp]],Camp_List[Camp Name],0)-1,0,1,1),"")</f>
        <v>MMR012CMP042</v>
      </c>
      <c r="E95" s="353" t="s">
        <v>916</v>
      </c>
      <c r="F95" s="351" t="s">
        <v>749</v>
      </c>
      <c r="G95" s="392">
        <v>604</v>
      </c>
      <c r="H95" s="393">
        <f t="shared" si="1"/>
        <v>604</v>
      </c>
      <c r="I95" s="390" t="s">
        <v>642</v>
      </c>
      <c r="J95" s="681">
        <v>42100</v>
      </c>
    </row>
    <row r="96" spans="1:13">
      <c r="A96" s="337" t="s">
        <v>7</v>
      </c>
      <c r="B96" s="370" t="s">
        <v>19</v>
      </c>
      <c r="C96" s="381" t="s">
        <v>64</v>
      </c>
      <c r="D96" s="391" t="str">
        <f ca="1">IFERROR(OFFSET(Camp_List[P_Code],MATCH(Data_Demography_t[[#This Row],[Camp]],Camp_List[Camp Name],0)-1,0,1,1),"")</f>
        <v>MMR012CMP042</v>
      </c>
      <c r="E96" s="353" t="s">
        <v>892</v>
      </c>
      <c r="F96" s="351" t="s">
        <v>748</v>
      </c>
      <c r="G96" s="392">
        <v>59</v>
      </c>
      <c r="H96" s="393">
        <f t="shared" si="1"/>
        <v>-59</v>
      </c>
      <c r="I96" s="390" t="s">
        <v>642</v>
      </c>
      <c r="J96" s="681">
        <v>42100</v>
      </c>
    </row>
    <row r="97" spans="1:10">
      <c r="A97" s="337" t="s">
        <v>7</v>
      </c>
      <c r="B97" s="370" t="s">
        <v>19</v>
      </c>
      <c r="C97" s="381" t="s">
        <v>64</v>
      </c>
      <c r="D97" s="391" t="str">
        <f ca="1">IFERROR(OFFSET(Camp_List[P_Code],MATCH(Data_Demography_t[[#This Row],[Camp]],Camp_List[Camp Name],0)-1,0,1,1),"")</f>
        <v>MMR012CMP042</v>
      </c>
      <c r="E97" s="353" t="s">
        <v>892</v>
      </c>
      <c r="F97" s="351" t="s">
        <v>749</v>
      </c>
      <c r="G97" s="392">
        <v>73</v>
      </c>
      <c r="H97" s="393">
        <f t="shared" si="1"/>
        <v>73</v>
      </c>
      <c r="I97" s="390" t="s">
        <v>642</v>
      </c>
      <c r="J97" s="681">
        <v>42100</v>
      </c>
    </row>
    <row r="98" spans="1:10">
      <c r="A98" s="337" t="s">
        <v>7</v>
      </c>
      <c r="B98" s="334" t="s">
        <v>14</v>
      </c>
      <c r="C98" s="334" t="s">
        <v>42</v>
      </c>
      <c r="D98" s="338" t="str">
        <f ca="1">IFERROR(OFFSET(Camp_List[P_Code],MATCH(Data_Demography_t[[#This Row],[Camp]],Camp_List[Camp Name],0)-1,0,1,1),"")</f>
        <v>MMR012CMP018</v>
      </c>
      <c r="E98" s="339" t="s">
        <v>750</v>
      </c>
      <c r="F98" s="340" t="s">
        <v>748</v>
      </c>
      <c r="G98" s="335">
        <v>612</v>
      </c>
      <c r="H98" s="168">
        <f t="shared" si="1"/>
        <v>-612</v>
      </c>
      <c r="I98" s="334" t="s">
        <v>753</v>
      </c>
      <c r="J98" s="680">
        <v>42173</v>
      </c>
    </row>
    <row r="99" spans="1:10">
      <c r="A99" s="337" t="s">
        <v>7</v>
      </c>
      <c r="B99" s="334" t="s">
        <v>14</v>
      </c>
      <c r="C99" s="334" t="s">
        <v>42</v>
      </c>
      <c r="D99" s="338" t="str">
        <f ca="1">IFERROR(OFFSET(Camp_List[P_Code],MATCH(Data_Demography_t[[#This Row],[Camp]],Camp_List[Camp Name],0)-1,0,1,1),"")</f>
        <v>MMR012CMP018</v>
      </c>
      <c r="E99" s="339" t="s">
        <v>750</v>
      </c>
      <c r="F99" s="340" t="s">
        <v>749</v>
      </c>
      <c r="G99" s="335">
        <v>589</v>
      </c>
      <c r="H99" s="168">
        <f t="shared" si="1"/>
        <v>589</v>
      </c>
      <c r="I99" s="334" t="s">
        <v>753</v>
      </c>
      <c r="J99" s="680">
        <v>42173</v>
      </c>
    </row>
    <row r="100" spans="1:10">
      <c r="A100" s="337" t="s">
        <v>7</v>
      </c>
      <c r="B100" s="334" t="s">
        <v>14</v>
      </c>
      <c r="C100" s="334" t="s">
        <v>42</v>
      </c>
      <c r="D100" s="338" t="str">
        <f ca="1">IFERROR(OFFSET(Camp_List[P_Code],MATCH(Data_Demography_t[[#This Row],[Camp]],Camp_List[Camp Name],0)-1,0,1,1),"")</f>
        <v>MMR012CMP018</v>
      </c>
      <c r="E100" s="339" t="s">
        <v>914</v>
      </c>
      <c r="F100" s="340" t="s">
        <v>748</v>
      </c>
      <c r="G100" s="335">
        <v>456</v>
      </c>
      <c r="H100" s="168">
        <f t="shared" si="1"/>
        <v>-456</v>
      </c>
      <c r="I100" s="334" t="s">
        <v>753</v>
      </c>
      <c r="J100" s="680">
        <v>42173</v>
      </c>
    </row>
    <row r="101" spans="1:10">
      <c r="A101" s="337" t="s">
        <v>7</v>
      </c>
      <c r="B101" s="334" t="s">
        <v>14</v>
      </c>
      <c r="C101" s="334" t="s">
        <v>42</v>
      </c>
      <c r="D101" s="338" t="str">
        <f ca="1">IFERROR(OFFSET(Camp_List[P_Code],MATCH(Data_Demography_t[[#This Row],[Camp]],Camp_List[Camp Name],0)-1,0,1,1),"")</f>
        <v>MMR012CMP018</v>
      </c>
      <c r="E101" s="339" t="s">
        <v>914</v>
      </c>
      <c r="F101" s="340" t="s">
        <v>749</v>
      </c>
      <c r="G101" s="335">
        <v>523</v>
      </c>
      <c r="H101" s="168">
        <f t="shared" si="1"/>
        <v>523</v>
      </c>
      <c r="I101" s="334" t="s">
        <v>753</v>
      </c>
      <c r="J101" s="680">
        <v>42173</v>
      </c>
    </row>
    <row r="102" spans="1:10">
      <c r="A102" s="337" t="s">
        <v>7</v>
      </c>
      <c r="B102" s="334" t="s">
        <v>14</v>
      </c>
      <c r="C102" s="334" t="s">
        <v>42</v>
      </c>
      <c r="D102" s="338" t="str">
        <f ca="1">IFERROR(OFFSET(Camp_List[P_Code],MATCH(Data_Demography_t[[#This Row],[Camp]],Camp_List[Camp Name],0)-1,0,1,1),"")</f>
        <v>MMR012CMP018</v>
      </c>
      <c r="E102" s="339" t="s">
        <v>677</v>
      </c>
      <c r="F102" s="340" t="s">
        <v>748</v>
      </c>
      <c r="G102" s="335">
        <v>355</v>
      </c>
      <c r="H102" s="168">
        <f t="shared" si="1"/>
        <v>-355</v>
      </c>
      <c r="I102" s="334" t="s">
        <v>753</v>
      </c>
      <c r="J102" s="680">
        <v>42173</v>
      </c>
    </row>
    <row r="103" spans="1:10">
      <c r="A103" s="337" t="s">
        <v>7</v>
      </c>
      <c r="B103" s="334" t="s">
        <v>14</v>
      </c>
      <c r="C103" s="334" t="s">
        <v>42</v>
      </c>
      <c r="D103" s="338" t="str">
        <f ca="1">IFERROR(OFFSET(Camp_List[P_Code],MATCH(Data_Demography_t[[#This Row],[Camp]],Camp_List[Camp Name],0)-1,0,1,1),"")</f>
        <v>MMR012CMP018</v>
      </c>
      <c r="E103" s="339" t="s">
        <v>677</v>
      </c>
      <c r="F103" s="340" t="s">
        <v>749</v>
      </c>
      <c r="G103" s="335">
        <v>297</v>
      </c>
      <c r="H103" s="168">
        <f t="shared" si="1"/>
        <v>297</v>
      </c>
      <c r="I103" s="334" t="s">
        <v>753</v>
      </c>
      <c r="J103" s="680">
        <v>42173</v>
      </c>
    </row>
    <row r="104" spans="1:10">
      <c r="A104" s="337" t="s">
        <v>7</v>
      </c>
      <c r="B104" s="334" t="s">
        <v>14</v>
      </c>
      <c r="C104" s="334" t="s">
        <v>42</v>
      </c>
      <c r="D104" s="338" t="str">
        <f ca="1">IFERROR(OFFSET(Camp_List[P_Code],MATCH(Data_Demography_t[[#This Row],[Camp]],Camp_List[Camp Name],0)-1,0,1,1),"")</f>
        <v>MMR012CMP018</v>
      </c>
      <c r="E104" s="339" t="s">
        <v>915</v>
      </c>
      <c r="F104" s="340" t="s">
        <v>748</v>
      </c>
      <c r="G104" s="335">
        <v>345</v>
      </c>
      <c r="H104" s="168">
        <f t="shared" si="1"/>
        <v>-345</v>
      </c>
      <c r="I104" s="334" t="s">
        <v>753</v>
      </c>
      <c r="J104" s="680">
        <v>42173</v>
      </c>
    </row>
    <row r="105" spans="1:10">
      <c r="A105" s="337" t="s">
        <v>7</v>
      </c>
      <c r="B105" s="334" t="s">
        <v>14</v>
      </c>
      <c r="C105" s="334" t="s">
        <v>42</v>
      </c>
      <c r="D105" s="338" t="str">
        <f ca="1">IFERROR(OFFSET(Camp_List[P_Code],MATCH(Data_Demography_t[[#This Row],[Camp]],Camp_List[Camp Name],0)-1,0,1,1),"")</f>
        <v>MMR012CMP018</v>
      </c>
      <c r="E105" s="339" t="s">
        <v>915</v>
      </c>
      <c r="F105" s="340" t="s">
        <v>749</v>
      </c>
      <c r="G105" s="335">
        <v>482</v>
      </c>
      <c r="H105" s="168">
        <f t="shared" si="1"/>
        <v>482</v>
      </c>
      <c r="I105" s="334" t="s">
        <v>753</v>
      </c>
      <c r="J105" s="680">
        <v>42173</v>
      </c>
    </row>
    <row r="106" spans="1:10">
      <c r="A106" s="337" t="s">
        <v>7</v>
      </c>
      <c r="B106" s="334" t="s">
        <v>14</v>
      </c>
      <c r="C106" s="334" t="s">
        <v>42</v>
      </c>
      <c r="D106" s="338" t="str">
        <f ca="1">IFERROR(OFFSET(Camp_List[P_Code],MATCH(Data_Demography_t[[#This Row],[Camp]],Camp_List[Camp Name],0)-1,0,1,1),"")</f>
        <v>MMR012CMP018</v>
      </c>
      <c r="E106" s="339" t="s">
        <v>916</v>
      </c>
      <c r="F106" s="340" t="s">
        <v>748</v>
      </c>
      <c r="G106" s="335">
        <v>599</v>
      </c>
      <c r="H106" s="168">
        <f t="shared" si="1"/>
        <v>-599</v>
      </c>
      <c r="I106" s="334" t="s">
        <v>753</v>
      </c>
      <c r="J106" s="680">
        <v>42173</v>
      </c>
    </row>
    <row r="107" spans="1:10">
      <c r="A107" s="337" t="s">
        <v>7</v>
      </c>
      <c r="B107" s="334" t="s">
        <v>14</v>
      </c>
      <c r="C107" s="334" t="s">
        <v>42</v>
      </c>
      <c r="D107" s="338" t="str">
        <f ca="1">IFERROR(OFFSET(Camp_List[P_Code],MATCH(Data_Demography_t[[#This Row],[Camp]],Camp_List[Camp Name],0)-1,0,1,1),"")</f>
        <v>MMR012CMP018</v>
      </c>
      <c r="E107" s="339" t="s">
        <v>916</v>
      </c>
      <c r="F107" s="340" t="s">
        <v>749</v>
      </c>
      <c r="G107" s="335">
        <v>602</v>
      </c>
      <c r="H107" s="168">
        <f t="shared" si="1"/>
        <v>602</v>
      </c>
      <c r="I107" s="334" t="s">
        <v>753</v>
      </c>
      <c r="J107" s="680">
        <v>42173</v>
      </c>
    </row>
    <row r="108" spans="1:10">
      <c r="A108" s="337" t="s">
        <v>7</v>
      </c>
      <c r="B108" s="334" t="s">
        <v>14</v>
      </c>
      <c r="C108" s="334" t="s">
        <v>42</v>
      </c>
      <c r="D108" s="395" t="str">
        <f ca="1">IFERROR(OFFSET(Camp_List[P_Code],MATCH(Data_Demography_t[[#This Row],[Camp]],Camp_List[Camp Name],0)-1,0,1,1),"")</f>
        <v>MMR012CMP018</v>
      </c>
      <c r="E108" s="339" t="s">
        <v>892</v>
      </c>
      <c r="F108" s="340" t="s">
        <v>748</v>
      </c>
      <c r="G108" s="335">
        <v>104</v>
      </c>
      <c r="H108" s="168">
        <f t="shared" si="1"/>
        <v>-104</v>
      </c>
      <c r="I108" s="334" t="s">
        <v>753</v>
      </c>
      <c r="J108" s="680">
        <v>42173</v>
      </c>
    </row>
    <row r="109" spans="1:10">
      <c r="A109" s="337" t="s">
        <v>7</v>
      </c>
      <c r="B109" s="334" t="s">
        <v>14</v>
      </c>
      <c r="C109" s="334" t="s">
        <v>42</v>
      </c>
      <c r="D109" s="395" t="str">
        <f ca="1">IFERROR(OFFSET(Camp_List[P_Code],MATCH(Data_Demography_t[[#This Row],[Camp]],Camp_List[Camp Name],0)-1,0,1,1),"")</f>
        <v>MMR012CMP018</v>
      </c>
      <c r="E109" s="339" t="s">
        <v>892</v>
      </c>
      <c r="F109" s="340" t="s">
        <v>749</v>
      </c>
      <c r="G109" s="335">
        <v>96</v>
      </c>
      <c r="H109" s="168">
        <f t="shared" si="1"/>
        <v>96</v>
      </c>
      <c r="I109" s="334" t="s">
        <v>753</v>
      </c>
      <c r="J109" s="680">
        <v>42173</v>
      </c>
    </row>
    <row r="110" spans="1:10">
      <c r="A110" s="337" t="s">
        <v>7</v>
      </c>
      <c r="B110" s="334" t="s">
        <v>19</v>
      </c>
      <c r="C110" s="338" t="s">
        <v>647</v>
      </c>
      <c r="D110" s="338" t="str">
        <f ca="1">IFERROR(OFFSET(Camp_List[P_Code],MATCH(Data_Demography_t[[#This Row],[Camp]],Camp_List[Camp Name],0)-1,0,1,1),"")</f>
        <v>MMR012CMP092</v>
      </c>
      <c r="E110" s="339" t="s">
        <v>750</v>
      </c>
      <c r="F110" s="340" t="s">
        <v>748</v>
      </c>
      <c r="G110" s="335">
        <v>304</v>
      </c>
      <c r="H110" s="168">
        <f t="shared" si="1"/>
        <v>-304</v>
      </c>
      <c r="I110" s="338" t="s">
        <v>753</v>
      </c>
      <c r="J110" s="679">
        <v>42163</v>
      </c>
    </row>
    <row r="111" spans="1:10">
      <c r="A111" s="337" t="s">
        <v>7</v>
      </c>
      <c r="B111" s="334" t="s">
        <v>19</v>
      </c>
      <c r="C111" s="338" t="s">
        <v>647</v>
      </c>
      <c r="D111" s="338" t="str">
        <f ca="1">IFERROR(OFFSET(Camp_List[P_Code],MATCH(Data_Demography_t[[#This Row],[Camp]],Camp_List[Camp Name],0)-1,0,1,1),"")</f>
        <v>MMR012CMP092</v>
      </c>
      <c r="E111" s="339" t="s">
        <v>750</v>
      </c>
      <c r="F111" s="340" t="s">
        <v>749</v>
      </c>
      <c r="G111" s="335">
        <v>336</v>
      </c>
      <c r="H111" s="168">
        <f t="shared" si="1"/>
        <v>336</v>
      </c>
      <c r="I111" s="338" t="s">
        <v>753</v>
      </c>
      <c r="J111" s="679">
        <v>42163</v>
      </c>
    </row>
    <row r="112" spans="1:10">
      <c r="A112" s="337" t="s">
        <v>7</v>
      </c>
      <c r="B112" s="334" t="s">
        <v>19</v>
      </c>
      <c r="C112" s="338" t="s">
        <v>647</v>
      </c>
      <c r="D112" s="338" t="str">
        <f ca="1">IFERROR(OFFSET(Camp_List[P_Code],MATCH(Data_Demography_t[[#This Row],[Camp]],Camp_List[Camp Name],0)-1,0,1,1),"")</f>
        <v>MMR012CMP092</v>
      </c>
      <c r="E112" s="339" t="s">
        <v>914</v>
      </c>
      <c r="F112" s="340" t="s">
        <v>748</v>
      </c>
      <c r="G112" s="335">
        <v>295</v>
      </c>
      <c r="H112" s="168">
        <f t="shared" si="1"/>
        <v>-295</v>
      </c>
      <c r="I112" s="338" t="s">
        <v>753</v>
      </c>
      <c r="J112" s="679">
        <v>42163</v>
      </c>
    </row>
    <row r="113" spans="1:10">
      <c r="A113" s="337" t="s">
        <v>7</v>
      </c>
      <c r="B113" s="334" t="s">
        <v>19</v>
      </c>
      <c r="C113" s="338" t="s">
        <v>647</v>
      </c>
      <c r="D113" s="338" t="str">
        <f ca="1">IFERROR(OFFSET(Camp_List[P_Code],MATCH(Data_Demography_t[[#This Row],[Camp]],Camp_List[Camp Name],0)-1,0,1,1),"")</f>
        <v>MMR012CMP092</v>
      </c>
      <c r="E113" s="339" t="s">
        <v>914</v>
      </c>
      <c r="F113" s="340" t="s">
        <v>749</v>
      </c>
      <c r="G113" s="335">
        <v>276</v>
      </c>
      <c r="H113" s="168">
        <f t="shared" si="1"/>
        <v>276</v>
      </c>
      <c r="I113" s="338" t="s">
        <v>753</v>
      </c>
      <c r="J113" s="679">
        <v>42163</v>
      </c>
    </row>
    <row r="114" spans="1:10">
      <c r="A114" s="337" t="s">
        <v>7</v>
      </c>
      <c r="B114" s="334" t="s">
        <v>19</v>
      </c>
      <c r="C114" s="338" t="s">
        <v>647</v>
      </c>
      <c r="D114" s="338" t="str">
        <f ca="1">IFERROR(OFFSET(Camp_List[P_Code],MATCH(Data_Demography_t[[#This Row],[Camp]],Camp_List[Camp Name],0)-1,0,1,1),"")</f>
        <v>MMR012CMP092</v>
      </c>
      <c r="E114" s="339" t="s">
        <v>677</v>
      </c>
      <c r="F114" s="340" t="s">
        <v>748</v>
      </c>
      <c r="G114" s="335">
        <v>218</v>
      </c>
      <c r="H114" s="168">
        <f t="shared" si="1"/>
        <v>-218</v>
      </c>
      <c r="I114" s="338" t="s">
        <v>753</v>
      </c>
      <c r="J114" s="679">
        <v>42163</v>
      </c>
    </row>
    <row r="115" spans="1:10">
      <c r="A115" s="337" t="s">
        <v>7</v>
      </c>
      <c r="B115" s="334" t="s">
        <v>19</v>
      </c>
      <c r="C115" s="338" t="s">
        <v>647</v>
      </c>
      <c r="D115" s="338" t="str">
        <f ca="1">IFERROR(OFFSET(Camp_List[P_Code],MATCH(Data_Demography_t[[#This Row],[Camp]],Camp_List[Camp Name],0)-1,0,1,1),"")</f>
        <v>MMR012CMP092</v>
      </c>
      <c r="E115" s="339" t="s">
        <v>677</v>
      </c>
      <c r="F115" s="340" t="s">
        <v>749</v>
      </c>
      <c r="G115" s="335">
        <v>224</v>
      </c>
      <c r="H115" s="168">
        <f t="shared" si="1"/>
        <v>224</v>
      </c>
      <c r="I115" s="338" t="s">
        <v>753</v>
      </c>
      <c r="J115" s="679">
        <v>42163</v>
      </c>
    </row>
    <row r="116" spans="1:10">
      <c r="A116" s="337" t="s">
        <v>7</v>
      </c>
      <c r="B116" s="334" t="s">
        <v>19</v>
      </c>
      <c r="C116" s="338" t="s">
        <v>647</v>
      </c>
      <c r="D116" s="338" t="str">
        <f ca="1">IFERROR(OFFSET(Camp_List[P_Code],MATCH(Data_Demography_t[[#This Row],[Camp]],Camp_List[Camp Name],0)-1,0,1,1),"")</f>
        <v>MMR012CMP092</v>
      </c>
      <c r="E116" s="339" t="s">
        <v>915</v>
      </c>
      <c r="F116" s="340" t="s">
        <v>748</v>
      </c>
      <c r="G116" s="335">
        <v>288</v>
      </c>
      <c r="H116" s="168">
        <f t="shared" si="1"/>
        <v>-288</v>
      </c>
      <c r="I116" s="338" t="s">
        <v>753</v>
      </c>
      <c r="J116" s="679">
        <v>42163</v>
      </c>
    </row>
    <row r="117" spans="1:10">
      <c r="A117" s="337" t="s">
        <v>7</v>
      </c>
      <c r="B117" s="334" t="s">
        <v>19</v>
      </c>
      <c r="C117" s="338" t="s">
        <v>647</v>
      </c>
      <c r="D117" s="338" t="str">
        <f ca="1">IFERROR(OFFSET(Camp_List[P_Code],MATCH(Data_Demography_t[[#This Row],[Camp]],Camp_List[Camp Name],0)-1,0,1,1),"")</f>
        <v>MMR012CMP092</v>
      </c>
      <c r="E117" s="339" t="s">
        <v>915</v>
      </c>
      <c r="F117" s="340" t="s">
        <v>749</v>
      </c>
      <c r="G117" s="335">
        <v>348</v>
      </c>
      <c r="H117" s="168">
        <f t="shared" si="1"/>
        <v>348</v>
      </c>
      <c r="I117" s="338" t="s">
        <v>753</v>
      </c>
      <c r="J117" s="679">
        <v>42163</v>
      </c>
    </row>
    <row r="118" spans="1:10">
      <c r="A118" s="337" t="s">
        <v>7</v>
      </c>
      <c r="B118" s="334" t="s">
        <v>19</v>
      </c>
      <c r="C118" s="338" t="s">
        <v>647</v>
      </c>
      <c r="D118" s="338" t="str">
        <f ca="1">IFERROR(OFFSET(Camp_List[P_Code],MATCH(Data_Demography_t[[#This Row],[Camp]],Camp_List[Camp Name],0)-1,0,1,1),"")</f>
        <v>MMR012CMP092</v>
      </c>
      <c r="E118" s="339" t="s">
        <v>916</v>
      </c>
      <c r="F118" s="340" t="s">
        <v>748</v>
      </c>
      <c r="G118" s="335">
        <v>439</v>
      </c>
      <c r="H118" s="168">
        <f t="shared" si="1"/>
        <v>-439</v>
      </c>
      <c r="I118" s="338" t="s">
        <v>753</v>
      </c>
      <c r="J118" s="679">
        <v>42163</v>
      </c>
    </row>
    <row r="119" spans="1:10">
      <c r="A119" s="337" t="s">
        <v>7</v>
      </c>
      <c r="B119" s="334" t="s">
        <v>19</v>
      </c>
      <c r="C119" s="338" t="s">
        <v>647</v>
      </c>
      <c r="D119" s="338" t="str">
        <f ca="1">IFERROR(OFFSET(Camp_List[P_Code],MATCH(Data_Demography_t[[#This Row],[Camp]],Camp_List[Camp Name],0)-1,0,1,1),"")</f>
        <v>MMR012CMP092</v>
      </c>
      <c r="E119" s="339" t="s">
        <v>916</v>
      </c>
      <c r="F119" s="340" t="s">
        <v>749</v>
      </c>
      <c r="G119" s="335">
        <v>483</v>
      </c>
      <c r="H119" s="168">
        <f t="shared" si="1"/>
        <v>483</v>
      </c>
      <c r="I119" s="338" t="s">
        <v>753</v>
      </c>
      <c r="J119" s="679">
        <v>42163</v>
      </c>
    </row>
    <row r="120" spans="1:10">
      <c r="A120" s="337" t="s">
        <v>7</v>
      </c>
      <c r="B120" s="334" t="s">
        <v>19</v>
      </c>
      <c r="C120" s="338" t="s">
        <v>647</v>
      </c>
      <c r="D120" s="338" t="str">
        <f ca="1">IFERROR(OFFSET(Camp_List[P_Code],MATCH(Data_Demography_t[[#This Row],[Camp]],Camp_List[Camp Name],0)-1,0,1,1),"")</f>
        <v>MMR012CMP092</v>
      </c>
      <c r="E120" s="339" t="s">
        <v>892</v>
      </c>
      <c r="F120" s="340" t="s">
        <v>748</v>
      </c>
      <c r="G120" s="335">
        <v>74</v>
      </c>
      <c r="H120" s="168">
        <f t="shared" si="1"/>
        <v>-74</v>
      </c>
      <c r="I120" s="338" t="s">
        <v>753</v>
      </c>
      <c r="J120" s="679">
        <v>42163</v>
      </c>
    </row>
    <row r="121" spans="1:10">
      <c r="A121" s="337" t="s">
        <v>7</v>
      </c>
      <c r="B121" s="334" t="s">
        <v>19</v>
      </c>
      <c r="C121" s="338" t="s">
        <v>647</v>
      </c>
      <c r="D121" s="338" t="str">
        <f ca="1">IFERROR(OFFSET(Camp_List[P_Code],MATCH(Data_Demography_t[[#This Row],[Camp]],Camp_List[Camp Name],0)-1,0,1,1),"")</f>
        <v>MMR012CMP092</v>
      </c>
      <c r="E121" s="339" t="s">
        <v>892</v>
      </c>
      <c r="F121" s="340" t="s">
        <v>749</v>
      </c>
      <c r="G121" s="335">
        <v>67</v>
      </c>
      <c r="H121" s="168">
        <f t="shared" si="1"/>
        <v>67</v>
      </c>
      <c r="I121" s="338" t="s">
        <v>753</v>
      </c>
      <c r="J121" s="679">
        <v>42163</v>
      </c>
    </row>
    <row r="122" spans="1:10">
      <c r="A122" s="337" t="s">
        <v>7</v>
      </c>
      <c r="B122" s="334" t="s">
        <v>14</v>
      </c>
      <c r="C122" s="338" t="s">
        <v>41</v>
      </c>
      <c r="D122" s="338" t="str">
        <f ca="1">IFERROR(OFFSET(Camp_List[P_Code],MATCH(Data_Demography_t[[#This Row],[Camp]],Camp_List[Camp Name],0)-1,0,1,1),"")</f>
        <v>MMR012CMP017</v>
      </c>
      <c r="E122" s="336" t="s">
        <v>750</v>
      </c>
      <c r="F122" s="338" t="s">
        <v>748</v>
      </c>
      <c r="G122" s="335">
        <v>1000</v>
      </c>
      <c r="H122" s="168">
        <f t="shared" si="1"/>
        <v>-1000</v>
      </c>
      <c r="I122" s="338" t="s">
        <v>642</v>
      </c>
      <c r="J122" s="679">
        <v>42097</v>
      </c>
    </row>
    <row r="123" spans="1:10">
      <c r="A123" s="337" t="s">
        <v>7</v>
      </c>
      <c r="B123" s="334" t="s">
        <v>14</v>
      </c>
      <c r="C123" s="338" t="s">
        <v>41</v>
      </c>
      <c r="D123" s="338" t="str">
        <f ca="1">IFERROR(OFFSET(Camp_List[P_Code],MATCH(Data_Demography_t[[#This Row],[Camp]],Camp_List[Camp Name],0)-1,0,1,1),"")</f>
        <v>MMR012CMP017</v>
      </c>
      <c r="E123" s="336" t="s">
        <v>750</v>
      </c>
      <c r="F123" s="381" t="s">
        <v>749</v>
      </c>
      <c r="G123" s="335">
        <v>939</v>
      </c>
      <c r="H123" s="168">
        <f t="shared" si="1"/>
        <v>939</v>
      </c>
      <c r="I123" s="338" t="s">
        <v>642</v>
      </c>
      <c r="J123" s="679">
        <v>42097</v>
      </c>
    </row>
    <row r="124" spans="1:10">
      <c r="A124" s="337" t="s">
        <v>7</v>
      </c>
      <c r="B124" s="334" t="s">
        <v>14</v>
      </c>
      <c r="C124" s="338" t="s">
        <v>41</v>
      </c>
      <c r="D124" s="338" t="str">
        <f ca="1">IFERROR(OFFSET(Camp_List[P_Code],MATCH(Data_Demography_t[[#This Row],[Camp]],Camp_List[Camp Name],0)-1,0,1,1),"")</f>
        <v>MMR012CMP017</v>
      </c>
      <c r="E124" s="339" t="s">
        <v>914</v>
      </c>
      <c r="F124" s="338" t="s">
        <v>748</v>
      </c>
      <c r="G124" s="335">
        <v>740</v>
      </c>
      <c r="H124" s="168">
        <f t="shared" si="1"/>
        <v>-740</v>
      </c>
      <c r="I124" s="338" t="s">
        <v>642</v>
      </c>
      <c r="J124" s="679">
        <v>42097</v>
      </c>
    </row>
    <row r="125" spans="1:10">
      <c r="A125" s="337" t="s">
        <v>7</v>
      </c>
      <c r="B125" s="334" t="s">
        <v>14</v>
      </c>
      <c r="C125" s="338" t="s">
        <v>41</v>
      </c>
      <c r="D125" s="338" t="str">
        <f ca="1">IFERROR(OFFSET(Camp_List[P_Code],MATCH(Data_Demography_t[[#This Row],[Camp]],Camp_List[Camp Name],0)-1,0,1,1),"")</f>
        <v>MMR012CMP017</v>
      </c>
      <c r="E125" s="339" t="s">
        <v>914</v>
      </c>
      <c r="F125" s="381" t="s">
        <v>749</v>
      </c>
      <c r="G125" s="335">
        <v>743</v>
      </c>
      <c r="H125" s="168">
        <f t="shared" si="1"/>
        <v>743</v>
      </c>
      <c r="I125" s="338" t="s">
        <v>642</v>
      </c>
      <c r="J125" s="679">
        <v>42097</v>
      </c>
    </row>
    <row r="126" spans="1:10">
      <c r="A126" s="337" t="s">
        <v>7</v>
      </c>
      <c r="B126" s="334" t="s">
        <v>14</v>
      </c>
      <c r="C126" s="338" t="s">
        <v>41</v>
      </c>
      <c r="D126" s="338" t="str">
        <f ca="1">IFERROR(OFFSET(Camp_List[P_Code],MATCH(Data_Demography_t[[#This Row],[Camp]],Camp_List[Camp Name],0)-1,0,1,1),"")</f>
        <v>MMR012CMP017</v>
      </c>
      <c r="E126" s="339" t="s">
        <v>677</v>
      </c>
      <c r="F126" s="340" t="s">
        <v>748</v>
      </c>
      <c r="G126" s="335">
        <v>522</v>
      </c>
      <c r="H126" s="168">
        <f t="shared" si="1"/>
        <v>-522</v>
      </c>
      <c r="I126" s="338" t="s">
        <v>642</v>
      </c>
      <c r="J126" s="679">
        <v>42097</v>
      </c>
    </row>
    <row r="127" spans="1:10">
      <c r="A127" s="337" t="s">
        <v>7</v>
      </c>
      <c r="B127" s="334" t="s">
        <v>14</v>
      </c>
      <c r="C127" s="338" t="s">
        <v>41</v>
      </c>
      <c r="D127" s="338" t="str">
        <f ca="1">IFERROR(OFFSET(Camp_List[P_Code],MATCH(Data_Demography_t[[#This Row],[Camp]],Camp_List[Camp Name],0)-1,0,1,1),"")</f>
        <v>MMR012CMP017</v>
      </c>
      <c r="E127" s="339" t="s">
        <v>677</v>
      </c>
      <c r="F127" s="340" t="s">
        <v>749</v>
      </c>
      <c r="G127" s="335">
        <v>383</v>
      </c>
      <c r="H127" s="168">
        <f t="shared" si="1"/>
        <v>383</v>
      </c>
      <c r="I127" s="338" t="s">
        <v>642</v>
      </c>
      <c r="J127" s="679">
        <v>42097</v>
      </c>
    </row>
    <row r="128" spans="1:10">
      <c r="A128" s="337" t="s">
        <v>7</v>
      </c>
      <c r="B128" s="334" t="s">
        <v>14</v>
      </c>
      <c r="C128" s="338" t="s">
        <v>41</v>
      </c>
      <c r="D128" s="338" t="str">
        <f ca="1">IFERROR(OFFSET(Camp_List[P_Code],MATCH(Data_Demography_t[[#This Row],[Camp]],Camp_List[Camp Name],0)-1,0,1,1),"")</f>
        <v>MMR012CMP017</v>
      </c>
      <c r="E128" s="339" t="s">
        <v>915</v>
      </c>
      <c r="F128" s="340" t="s">
        <v>748</v>
      </c>
      <c r="G128" s="335">
        <v>509</v>
      </c>
      <c r="H128" s="168">
        <f t="shared" si="1"/>
        <v>-509</v>
      </c>
      <c r="I128" s="338" t="s">
        <v>642</v>
      </c>
      <c r="J128" s="679">
        <v>42097</v>
      </c>
    </row>
    <row r="129" spans="1:11">
      <c r="A129" s="337" t="s">
        <v>7</v>
      </c>
      <c r="B129" s="334" t="s">
        <v>14</v>
      </c>
      <c r="C129" s="338" t="s">
        <v>41</v>
      </c>
      <c r="D129" s="338" t="str">
        <f ca="1">IFERROR(OFFSET(Camp_List[P_Code],MATCH(Data_Demography_t[[#This Row],[Camp]],Camp_List[Camp Name],0)-1,0,1,1),"")</f>
        <v>MMR012CMP017</v>
      </c>
      <c r="E129" s="339" t="s">
        <v>915</v>
      </c>
      <c r="F129" s="340" t="s">
        <v>749</v>
      </c>
      <c r="G129" s="335">
        <v>758</v>
      </c>
      <c r="H129" s="168">
        <f t="shared" si="1"/>
        <v>758</v>
      </c>
      <c r="I129" s="338" t="s">
        <v>642</v>
      </c>
      <c r="J129" s="679">
        <v>42097</v>
      </c>
    </row>
    <row r="130" spans="1:11">
      <c r="A130" s="337" t="s">
        <v>7</v>
      </c>
      <c r="B130" s="334" t="s">
        <v>14</v>
      </c>
      <c r="C130" s="338" t="s">
        <v>41</v>
      </c>
      <c r="D130" s="338" t="str">
        <f ca="1">IFERROR(OFFSET(Camp_List[P_Code],MATCH(Data_Demography_t[[#This Row],[Camp]],Camp_List[Camp Name],0)-1,0,1,1),"")</f>
        <v>MMR012CMP017</v>
      </c>
      <c r="E130" s="339" t="s">
        <v>916</v>
      </c>
      <c r="F130" s="340" t="s">
        <v>748</v>
      </c>
      <c r="G130" s="335">
        <v>850</v>
      </c>
      <c r="H130" s="168">
        <f t="shared" ref="H130:H193" si="2">IF(F130="M",-G130,G130)</f>
        <v>-850</v>
      </c>
      <c r="I130" s="338" t="s">
        <v>642</v>
      </c>
      <c r="J130" s="679">
        <v>42097</v>
      </c>
    </row>
    <row r="131" spans="1:11">
      <c r="A131" s="337" t="s">
        <v>7</v>
      </c>
      <c r="B131" s="334" t="s">
        <v>14</v>
      </c>
      <c r="C131" s="338" t="s">
        <v>41</v>
      </c>
      <c r="D131" s="338" t="str">
        <f ca="1">IFERROR(OFFSET(Camp_List[P_Code],MATCH(Data_Demography_t[[#This Row],[Camp]],Camp_List[Camp Name],0)-1,0,1,1),"")</f>
        <v>MMR012CMP017</v>
      </c>
      <c r="E131" s="339" t="s">
        <v>916</v>
      </c>
      <c r="F131" s="340" t="s">
        <v>749</v>
      </c>
      <c r="G131" s="335">
        <v>747</v>
      </c>
      <c r="H131" s="168">
        <f t="shared" si="2"/>
        <v>747</v>
      </c>
      <c r="I131" s="338" t="s">
        <v>642</v>
      </c>
      <c r="J131" s="679">
        <v>42097</v>
      </c>
    </row>
    <row r="132" spans="1:11">
      <c r="A132" s="337" t="s">
        <v>7</v>
      </c>
      <c r="B132" s="334" t="s">
        <v>14</v>
      </c>
      <c r="C132" s="338" t="s">
        <v>41</v>
      </c>
      <c r="D132" s="338" t="str">
        <f ca="1">IFERROR(OFFSET(Camp_List[P_Code],MATCH(Data_Demography_t[[#This Row],[Camp]],Camp_List[Camp Name],0)-1,0,1,1),"")</f>
        <v>MMR012CMP017</v>
      </c>
      <c r="E132" s="339" t="s">
        <v>892</v>
      </c>
      <c r="F132" s="340" t="s">
        <v>748</v>
      </c>
      <c r="G132" s="335">
        <v>117</v>
      </c>
      <c r="H132" s="168">
        <f t="shared" si="2"/>
        <v>-117</v>
      </c>
      <c r="I132" s="338" t="s">
        <v>642</v>
      </c>
      <c r="J132" s="679">
        <v>42097</v>
      </c>
    </row>
    <row r="133" spans="1:11">
      <c r="A133" s="337" t="s">
        <v>7</v>
      </c>
      <c r="B133" s="334" t="s">
        <v>14</v>
      </c>
      <c r="C133" s="338" t="s">
        <v>41</v>
      </c>
      <c r="D133" s="338" t="str">
        <f ca="1">IFERROR(OFFSET(Camp_List[P_Code],MATCH(Data_Demography_t[[#This Row],[Camp]],Camp_List[Camp Name],0)-1,0,1,1),"")</f>
        <v>MMR012CMP017</v>
      </c>
      <c r="E133" s="339" t="s">
        <v>892</v>
      </c>
      <c r="F133" s="340" t="s">
        <v>749</v>
      </c>
      <c r="G133" s="335">
        <v>94</v>
      </c>
      <c r="H133" s="168">
        <f t="shared" si="2"/>
        <v>94</v>
      </c>
      <c r="I133" s="338" t="s">
        <v>642</v>
      </c>
      <c r="J133" s="679">
        <v>42097</v>
      </c>
    </row>
    <row r="134" spans="1:11">
      <c r="A134" s="337" t="s">
        <v>7</v>
      </c>
      <c r="B134" s="334" t="s">
        <v>19</v>
      </c>
      <c r="C134" s="338" t="s">
        <v>652</v>
      </c>
      <c r="D134" s="338" t="str">
        <f ca="1">IFERROR(OFFSET(Camp_List[P_Code],MATCH(Data_Demography_t[[#This Row],[Camp]],Camp_List[Camp Name],0)-1,0,1,1),"")</f>
        <v>MMR012CMP098</v>
      </c>
      <c r="E134" s="353" t="s">
        <v>750</v>
      </c>
      <c r="F134" s="351" t="s">
        <v>748</v>
      </c>
      <c r="G134" s="335">
        <v>352</v>
      </c>
      <c r="H134" s="168">
        <f t="shared" si="2"/>
        <v>-352</v>
      </c>
      <c r="I134" s="338" t="s">
        <v>290</v>
      </c>
      <c r="J134" s="679">
        <v>42080</v>
      </c>
    </row>
    <row r="135" spans="1:11">
      <c r="A135" s="337" t="s">
        <v>7</v>
      </c>
      <c r="B135" s="334" t="s">
        <v>19</v>
      </c>
      <c r="C135" s="338" t="s">
        <v>652</v>
      </c>
      <c r="D135" s="338" t="str">
        <f ca="1">IFERROR(OFFSET(Camp_List[P_Code],MATCH(Data_Demography_t[[#This Row],[Camp]],Camp_List[Camp Name],0)-1,0,1,1),"")</f>
        <v>MMR012CMP098</v>
      </c>
      <c r="E135" s="353" t="s">
        <v>750</v>
      </c>
      <c r="F135" s="351" t="s">
        <v>749</v>
      </c>
      <c r="G135" s="335">
        <v>415</v>
      </c>
      <c r="H135" s="168">
        <f t="shared" si="2"/>
        <v>415</v>
      </c>
      <c r="I135" s="338" t="s">
        <v>290</v>
      </c>
      <c r="J135" s="679">
        <v>42080</v>
      </c>
    </row>
    <row r="136" spans="1:11">
      <c r="A136" s="337" t="s">
        <v>7</v>
      </c>
      <c r="B136" s="334" t="s">
        <v>19</v>
      </c>
      <c r="C136" s="338" t="s">
        <v>652</v>
      </c>
      <c r="D136" s="391" t="str">
        <f ca="1">IFERROR(OFFSET(Camp_List[P_Code],MATCH(Data_Demography_t[[#This Row],[Camp]],Camp_List[Camp Name],0)-1,0,1,1),"")</f>
        <v>MMR012CMP098</v>
      </c>
      <c r="E136" s="353" t="s">
        <v>914</v>
      </c>
      <c r="F136" s="351" t="s">
        <v>748</v>
      </c>
      <c r="G136" s="392">
        <v>429</v>
      </c>
      <c r="H136" s="393">
        <f t="shared" si="2"/>
        <v>-429</v>
      </c>
      <c r="I136" s="338" t="s">
        <v>290</v>
      </c>
      <c r="J136" s="679">
        <v>42080</v>
      </c>
    </row>
    <row r="137" spans="1:11">
      <c r="A137" s="337" t="s">
        <v>7</v>
      </c>
      <c r="B137" s="334" t="s">
        <v>19</v>
      </c>
      <c r="C137" s="338" t="s">
        <v>652</v>
      </c>
      <c r="D137" s="391" t="str">
        <f ca="1">IFERROR(OFFSET(Camp_List[P_Code],MATCH(Data_Demography_t[[#This Row],[Camp]],Camp_List[Camp Name],0)-1,0,1,1),"")</f>
        <v>MMR012CMP098</v>
      </c>
      <c r="E137" s="353" t="s">
        <v>914</v>
      </c>
      <c r="F137" s="351" t="s">
        <v>749</v>
      </c>
      <c r="G137" s="392">
        <v>365</v>
      </c>
      <c r="H137" s="393">
        <f t="shared" si="2"/>
        <v>365</v>
      </c>
      <c r="I137" s="338" t="s">
        <v>290</v>
      </c>
      <c r="J137" s="679">
        <v>42080</v>
      </c>
    </row>
    <row r="138" spans="1:11" s="286" customFormat="1">
      <c r="A138" s="337" t="s">
        <v>7</v>
      </c>
      <c r="B138" s="334" t="s">
        <v>19</v>
      </c>
      <c r="C138" s="338" t="s">
        <v>652</v>
      </c>
      <c r="D138" s="338" t="str">
        <f ca="1">IFERROR(OFFSET(Camp_List[P_Code],MATCH(Data_Demography_t[[#This Row],[Camp]],Camp_List[Camp Name],0)-1,0,1,1),"")</f>
        <v>MMR012CMP098</v>
      </c>
      <c r="E138" s="353" t="s">
        <v>677</v>
      </c>
      <c r="F138" s="351" t="s">
        <v>748</v>
      </c>
      <c r="G138" s="335">
        <v>259</v>
      </c>
      <c r="H138" s="168">
        <f t="shared" si="2"/>
        <v>-259</v>
      </c>
      <c r="I138" s="338" t="s">
        <v>290</v>
      </c>
      <c r="J138" s="679">
        <v>42080</v>
      </c>
      <c r="K138" s="352"/>
    </row>
    <row r="139" spans="1:11" s="286" customFormat="1">
      <c r="A139" s="337" t="s">
        <v>7</v>
      </c>
      <c r="B139" s="334" t="s">
        <v>19</v>
      </c>
      <c r="C139" s="338" t="s">
        <v>652</v>
      </c>
      <c r="D139" s="338" t="str">
        <f ca="1">IFERROR(OFFSET(Camp_List[P_Code],MATCH(Data_Demography_t[[#This Row],[Camp]],Camp_List[Camp Name],0)-1,0,1,1),"")</f>
        <v>MMR012CMP098</v>
      </c>
      <c r="E139" s="353" t="s">
        <v>677</v>
      </c>
      <c r="F139" s="351" t="s">
        <v>749</v>
      </c>
      <c r="G139" s="335">
        <v>224</v>
      </c>
      <c r="H139" s="168">
        <f t="shared" si="2"/>
        <v>224</v>
      </c>
      <c r="I139" s="338" t="s">
        <v>290</v>
      </c>
      <c r="J139" s="679">
        <v>42080</v>
      </c>
      <c r="K139" s="352"/>
    </row>
    <row r="140" spans="1:11" s="286" customFormat="1">
      <c r="A140" s="337" t="s">
        <v>7</v>
      </c>
      <c r="B140" s="334" t="s">
        <v>19</v>
      </c>
      <c r="C140" s="338" t="s">
        <v>652</v>
      </c>
      <c r="D140" s="338" t="str">
        <f ca="1">IFERROR(OFFSET(Camp_List[P_Code],MATCH(Data_Demography_t[[#This Row],[Camp]],Camp_List[Camp Name],0)-1,0,1,1),"")</f>
        <v>MMR012CMP098</v>
      </c>
      <c r="E140" s="339" t="s">
        <v>915</v>
      </c>
      <c r="F140" s="338" t="s">
        <v>748</v>
      </c>
      <c r="G140" s="335">
        <v>243</v>
      </c>
      <c r="H140" s="168">
        <f t="shared" si="2"/>
        <v>-243</v>
      </c>
      <c r="I140" s="338" t="s">
        <v>290</v>
      </c>
      <c r="J140" s="679">
        <v>42080</v>
      </c>
      <c r="K140" s="352"/>
    </row>
    <row r="141" spans="1:11" s="286" customFormat="1">
      <c r="A141" s="337" t="s">
        <v>7</v>
      </c>
      <c r="B141" s="334" t="s">
        <v>19</v>
      </c>
      <c r="C141" s="338" t="s">
        <v>652</v>
      </c>
      <c r="D141" s="338" t="str">
        <f ca="1">IFERROR(OFFSET(Camp_List[P_Code],MATCH(Data_Demography_t[[#This Row],[Camp]],Camp_List[Camp Name],0)-1,0,1,1),"")</f>
        <v>MMR012CMP098</v>
      </c>
      <c r="E141" s="339" t="s">
        <v>915</v>
      </c>
      <c r="F141" s="381" t="s">
        <v>749</v>
      </c>
      <c r="G141" s="335">
        <v>291</v>
      </c>
      <c r="H141" s="168">
        <f t="shared" si="2"/>
        <v>291</v>
      </c>
      <c r="I141" s="338" t="s">
        <v>290</v>
      </c>
      <c r="J141" s="679">
        <v>42080</v>
      </c>
      <c r="K141" s="352"/>
    </row>
    <row r="142" spans="1:11" s="286" customFormat="1">
      <c r="A142" s="337" t="s">
        <v>7</v>
      </c>
      <c r="B142" s="334" t="s">
        <v>19</v>
      </c>
      <c r="C142" s="338" t="s">
        <v>652</v>
      </c>
      <c r="D142" s="338" t="str">
        <f ca="1">IFERROR(OFFSET(Camp_List[P_Code],MATCH(Data_Demography_t[[#This Row],[Camp]],Camp_List[Camp Name],0)-1,0,1,1),"")</f>
        <v>MMR012CMP098</v>
      </c>
      <c r="E142" s="339" t="s">
        <v>916</v>
      </c>
      <c r="F142" s="338" t="s">
        <v>748</v>
      </c>
      <c r="G142" s="335">
        <v>364</v>
      </c>
      <c r="H142" s="168">
        <f t="shared" si="2"/>
        <v>-364</v>
      </c>
      <c r="I142" s="338" t="s">
        <v>290</v>
      </c>
      <c r="J142" s="679">
        <v>42080</v>
      </c>
      <c r="K142" s="352"/>
    </row>
    <row r="143" spans="1:11" s="286" customFormat="1">
      <c r="A143" s="337" t="s">
        <v>7</v>
      </c>
      <c r="B143" s="334" t="s">
        <v>19</v>
      </c>
      <c r="C143" s="338" t="s">
        <v>652</v>
      </c>
      <c r="D143" s="338" t="str">
        <f ca="1">IFERROR(OFFSET(Camp_List[P_Code],MATCH(Data_Demography_t[[#This Row],[Camp]],Camp_List[Camp Name],0)-1,0,1,1),"")</f>
        <v>MMR012CMP098</v>
      </c>
      <c r="E143" s="339" t="s">
        <v>916</v>
      </c>
      <c r="F143" s="381" t="s">
        <v>749</v>
      </c>
      <c r="G143" s="335">
        <v>375</v>
      </c>
      <c r="H143" s="168">
        <f t="shared" si="2"/>
        <v>375</v>
      </c>
      <c r="I143" s="338" t="s">
        <v>290</v>
      </c>
      <c r="J143" s="679">
        <v>42080</v>
      </c>
      <c r="K143" s="352"/>
    </row>
    <row r="144" spans="1:11" s="286" customFormat="1">
      <c r="A144" s="337" t="s">
        <v>7</v>
      </c>
      <c r="B144" s="334" t="s">
        <v>19</v>
      </c>
      <c r="C144" s="338" t="s">
        <v>652</v>
      </c>
      <c r="D144" s="338" t="str">
        <f ca="1">IFERROR(OFFSET(Camp_List[P_Code],MATCH(Data_Demography_t[[#This Row],[Camp]],Camp_List[Camp Name],0)-1,0,1,1),"")</f>
        <v>MMR012CMP098</v>
      </c>
      <c r="E144" s="339" t="s">
        <v>892</v>
      </c>
      <c r="F144" s="338" t="s">
        <v>748</v>
      </c>
      <c r="G144" s="335">
        <v>45</v>
      </c>
      <c r="H144" s="168">
        <f t="shared" si="2"/>
        <v>-45</v>
      </c>
      <c r="I144" s="338" t="s">
        <v>290</v>
      </c>
      <c r="J144" s="679">
        <v>42080</v>
      </c>
      <c r="K144" s="352"/>
    </row>
    <row r="145" spans="1:11" s="286" customFormat="1">
      <c r="A145" s="337" t="s">
        <v>7</v>
      </c>
      <c r="B145" s="334" t="s">
        <v>19</v>
      </c>
      <c r="C145" s="338" t="s">
        <v>652</v>
      </c>
      <c r="D145" s="338" t="str">
        <f ca="1">IFERROR(OFFSET(Camp_List[P_Code],MATCH(Data_Demography_t[[#This Row],[Camp]],Camp_List[Camp Name],0)-1,0,1,1),"")</f>
        <v>MMR012CMP098</v>
      </c>
      <c r="E145" s="339" t="s">
        <v>892</v>
      </c>
      <c r="F145" s="381" t="s">
        <v>749</v>
      </c>
      <c r="G145" s="335">
        <v>27</v>
      </c>
      <c r="H145" s="168">
        <f t="shared" si="2"/>
        <v>27</v>
      </c>
      <c r="I145" s="338" t="s">
        <v>290</v>
      </c>
      <c r="J145" s="679">
        <v>42080</v>
      </c>
      <c r="K145" s="352"/>
    </row>
    <row r="146" spans="1:11" s="286" customFormat="1">
      <c r="A146" s="379" t="s">
        <v>7</v>
      </c>
      <c r="B146" s="380" t="s">
        <v>19</v>
      </c>
      <c r="C146" s="383" t="s">
        <v>653</v>
      </c>
      <c r="D146" s="383" t="str">
        <f ca="1">IFERROR(OFFSET(Camp_List[P_Code],MATCH(Data_Demography_t[[#This Row],[Camp]],Camp_List[Camp Name],0)-1,0,1,1),"")</f>
        <v>MMR012CMP115</v>
      </c>
      <c r="E146" s="384" t="s">
        <v>750</v>
      </c>
      <c r="F146" s="385" t="s">
        <v>748</v>
      </c>
      <c r="G146" s="347">
        <v>1479</v>
      </c>
      <c r="H146" s="168">
        <f t="shared" si="2"/>
        <v>-1479</v>
      </c>
      <c r="I146" s="383" t="s">
        <v>290</v>
      </c>
      <c r="J146" s="679">
        <v>42101</v>
      </c>
      <c r="K146" s="352"/>
    </row>
    <row r="147" spans="1:11" s="286" customFormat="1">
      <c r="A147" s="379" t="s">
        <v>7</v>
      </c>
      <c r="B147" s="380" t="s">
        <v>19</v>
      </c>
      <c r="C147" s="383" t="s">
        <v>653</v>
      </c>
      <c r="D147" s="383" t="str">
        <f ca="1">IFERROR(OFFSET(Camp_List[P_Code],MATCH(Data_Demography_t[[#This Row],[Camp]],Camp_List[Camp Name],0)-1,0,1,1),"")</f>
        <v>MMR012CMP115</v>
      </c>
      <c r="E147" s="384" t="s">
        <v>750</v>
      </c>
      <c r="F147" s="385" t="s">
        <v>749</v>
      </c>
      <c r="G147" s="347">
        <v>1429</v>
      </c>
      <c r="H147" s="168">
        <f t="shared" si="2"/>
        <v>1429</v>
      </c>
      <c r="I147" s="383" t="s">
        <v>290</v>
      </c>
      <c r="J147" s="679">
        <v>42101</v>
      </c>
      <c r="K147" s="352"/>
    </row>
    <row r="148" spans="1:11" s="286" customFormat="1">
      <c r="A148" s="379" t="s">
        <v>7</v>
      </c>
      <c r="B148" s="380" t="s">
        <v>19</v>
      </c>
      <c r="C148" s="383" t="s">
        <v>653</v>
      </c>
      <c r="D148" s="383" t="str">
        <f ca="1">IFERROR(OFFSET(Camp_List[P_Code],MATCH(Data_Demography_t[[#This Row],[Camp]],Camp_List[Camp Name],0)-1,0,1,1),"")</f>
        <v>MMR012CMP115</v>
      </c>
      <c r="E148" s="384" t="s">
        <v>914</v>
      </c>
      <c r="F148" s="385" t="s">
        <v>748</v>
      </c>
      <c r="G148" s="347">
        <v>1461</v>
      </c>
      <c r="H148" s="168">
        <f t="shared" si="2"/>
        <v>-1461</v>
      </c>
      <c r="I148" s="383" t="s">
        <v>290</v>
      </c>
      <c r="J148" s="679">
        <v>42101</v>
      </c>
      <c r="K148" s="352"/>
    </row>
    <row r="149" spans="1:11" s="286" customFormat="1">
      <c r="A149" s="379" t="s">
        <v>7</v>
      </c>
      <c r="B149" s="380" t="s">
        <v>19</v>
      </c>
      <c r="C149" s="383" t="s">
        <v>653</v>
      </c>
      <c r="D149" s="383" t="str">
        <f ca="1">IFERROR(OFFSET(Camp_List[P_Code],MATCH(Data_Demography_t[[#This Row],[Camp]],Camp_List[Camp Name],0)-1,0,1,1),"")</f>
        <v>MMR012CMP115</v>
      </c>
      <c r="E149" s="384" t="s">
        <v>914</v>
      </c>
      <c r="F149" s="385" t="s">
        <v>749</v>
      </c>
      <c r="G149" s="347">
        <v>1300</v>
      </c>
      <c r="H149" s="168">
        <f t="shared" si="2"/>
        <v>1300</v>
      </c>
      <c r="I149" s="383" t="s">
        <v>290</v>
      </c>
      <c r="J149" s="679">
        <v>42101</v>
      </c>
      <c r="K149" s="352"/>
    </row>
    <row r="150" spans="1:11" s="286" customFormat="1">
      <c r="A150" s="379" t="s">
        <v>7</v>
      </c>
      <c r="B150" s="380" t="s">
        <v>19</v>
      </c>
      <c r="C150" s="383" t="s">
        <v>653</v>
      </c>
      <c r="D150" s="383" t="str">
        <f ca="1">IFERROR(OFFSET(Camp_List[P_Code],MATCH(Data_Demography_t[[#This Row],[Camp]],Camp_List[Camp Name],0)-1,0,1,1),"")</f>
        <v>MMR012CMP115</v>
      </c>
      <c r="E150" s="384" t="s">
        <v>677</v>
      </c>
      <c r="F150" s="385" t="s">
        <v>748</v>
      </c>
      <c r="G150" s="347">
        <v>1004</v>
      </c>
      <c r="H150" s="168">
        <f t="shared" si="2"/>
        <v>-1004</v>
      </c>
      <c r="I150" s="383" t="s">
        <v>290</v>
      </c>
      <c r="J150" s="679">
        <v>42101</v>
      </c>
      <c r="K150" s="352"/>
    </row>
    <row r="151" spans="1:11" s="286" customFormat="1">
      <c r="A151" s="379" t="s">
        <v>7</v>
      </c>
      <c r="B151" s="380" t="s">
        <v>19</v>
      </c>
      <c r="C151" s="383" t="s">
        <v>653</v>
      </c>
      <c r="D151" s="383" t="str">
        <f ca="1">IFERROR(OFFSET(Camp_List[P_Code],MATCH(Data_Demography_t[[#This Row],[Camp]],Camp_List[Camp Name],0)-1,0,1,1),"")</f>
        <v>MMR012CMP115</v>
      </c>
      <c r="E151" s="384" t="s">
        <v>677</v>
      </c>
      <c r="F151" s="385" t="s">
        <v>749</v>
      </c>
      <c r="G151" s="347">
        <v>907</v>
      </c>
      <c r="H151" s="168">
        <f t="shared" si="2"/>
        <v>907</v>
      </c>
      <c r="I151" s="383" t="s">
        <v>290</v>
      </c>
      <c r="J151" s="679">
        <v>42101</v>
      </c>
      <c r="K151" s="352"/>
    </row>
    <row r="152" spans="1:11">
      <c r="A152" s="337" t="s">
        <v>7</v>
      </c>
      <c r="B152" s="334" t="s">
        <v>19</v>
      </c>
      <c r="C152" s="338" t="s">
        <v>653</v>
      </c>
      <c r="D152" s="338" t="str">
        <f ca="1">IFERROR(OFFSET(Camp_List[P_Code],MATCH(Data_Demography_t[[#This Row],[Camp]],Camp_List[Camp Name],0)-1,0,1,1),"")</f>
        <v>MMR012CMP115</v>
      </c>
      <c r="E152" s="353" t="s">
        <v>915</v>
      </c>
      <c r="F152" s="351" t="s">
        <v>748</v>
      </c>
      <c r="G152" s="335">
        <v>1034</v>
      </c>
      <c r="H152" s="168">
        <f t="shared" si="2"/>
        <v>-1034</v>
      </c>
      <c r="I152" s="338" t="s">
        <v>290</v>
      </c>
      <c r="J152" s="679">
        <v>42101</v>
      </c>
    </row>
    <row r="153" spans="1:11">
      <c r="A153" s="337" t="s">
        <v>7</v>
      </c>
      <c r="B153" s="334" t="s">
        <v>19</v>
      </c>
      <c r="C153" s="338" t="s">
        <v>653</v>
      </c>
      <c r="D153" s="338" t="str">
        <f ca="1">IFERROR(OFFSET(Camp_List[P_Code],MATCH(Data_Demography_t[[#This Row],[Camp]],Camp_List[Camp Name],0)-1,0,1,1),"")</f>
        <v>MMR012CMP115</v>
      </c>
      <c r="E153" s="353" t="s">
        <v>915</v>
      </c>
      <c r="F153" s="351" t="s">
        <v>749</v>
      </c>
      <c r="G153" s="335">
        <v>1495</v>
      </c>
      <c r="H153" s="168">
        <f t="shared" si="2"/>
        <v>1495</v>
      </c>
      <c r="I153" s="338" t="s">
        <v>290</v>
      </c>
      <c r="J153" s="679">
        <v>42101</v>
      </c>
    </row>
    <row r="154" spans="1:11">
      <c r="A154" s="337" t="s">
        <v>7</v>
      </c>
      <c r="B154" s="334" t="s">
        <v>19</v>
      </c>
      <c r="C154" s="338" t="s">
        <v>653</v>
      </c>
      <c r="D154" s="338" t="str">
        <f ca="1">IFERROR(OFFSET(Camp_List[P_Code],MATCH(Data_Demography_t[[#This Row],[Camp]],Camp_List[Camp Name],0)-1,0,1,1),"")</f>
        <v>MMR012CMP115</v>
      </c>
      <c r="E154" s="353" t="s">
        <v>916</v>
      </c>
      <c r="F154" s="351" t="s">
        <v>748</v>
      </c>
      <c r="G154" s="335">
        <v>1406</v>
      </c>
      <c r="H154" s="168">
        <f t="shared" si="2"/>
        <v>-1406</v>
      </c>
      <c r="I154" s="338" t="s">
        <v>290</v>
      </c>
      <c r="J154" s="679">
        <v>42101</v>
      </c>
    </row>
    <row r="155" spans="1:11">
      <c r="A155" s="337" t="s">
        <v>7</v>
      </c>
      <c r="B155" s="334" t="s">
        <v>19</v>
      </c>
      <c r="C155" s="338" t="s">
        <v>653</v>
      </c>
      <c r="D155" s="338" t="str">
        <f ca="1">IFERROR(OFFSET(Camp_List[P_Code],MATCH(Data_Demography_t[[#This Row],[Camp]],Camp_List[Camp Name],0)-1,0,1,1),"")</f>
        <v>MMR012CMP115</v>
      </c>
      <c r="E155" s="353" t="s">
        <v>916</v>
      </c>
      <c r="F155" s="351" t="s">
        <v>749</v>
      </c>
      <c r="G155" s="335">
        <v>1562</v>
      </c>
      <c r="H155" s="168">
        <f t="shared" si="2"/>
        <v>1562</v>
      </c>
      <c r="I155" s="338" t="s">
        <v>290</v>
      </c>
      <c r="J155" s="679">
        <v>42101</v>
      </c>
    </row>
    <row r="156" spans="1:11">
      <c r="A156" s="337" t="s">
        <v>7</v>
      </c>
      <c r="B156" s="334" t="s">
        <v>19</v>
      </c>
      <c r="C156" s="338" t="s">
        <v>653</v>
      </c>
      <c r="D156" s="338" t="str">
        <f ca="1">IFERROR(OFFSET(Camp_List[P_Code],MATCH(Data_Demography_t[[#This Row],[Camp]],Camp_List[Camp Name],0)-1,0,1,1),"")</f>
        <v>MMR012CMP115</v>
      </c>
      <c r="E156" s="353" t="s">
        <v>892</v>
      </c>
      <c r="F156" s="351" t="s">
        <v>748</v>
      </c>
      <c r="G156" s="335">
        <v>259</v>
      </c>
      <c r="H156" s="168">
        <f t="shared" si="2"/>
        <v>-259</v>
      </c>
      <c r="I156" s="338" t="s">
        <v>290</v>
      </c>
      <c r="J156" s="679">
        <v>42101</v>
      </c>
    </row>
    <row r="157" spans="1:11">
      <c r="A157" s="337" t="s">
        <v>7</v>
      </c>
      <c r="B157" s="334" t="s">
        <v>19</v>
      </c>
      <c r="C157" s="338" t="s">
        <v>653</v>
      </c>
      <c r="D157" s="338" t="str">
        <f ca="1">IFERROR(OFFSET(Camp_List[P_Code],MATCH(Data_Demography_t[[#This Row],[Camp]],Camp_List[Camp Name],0)-1,0,1,1),"")</f>
        <v>MMR012CMP115</v>
      </c>
      <c r="E157" s="353" t="s">
        <v>892</v>
      </c>
      <c r="F157" s="351" t="s">
        <v>749</v>
      </c>
      <c r="G157" s="335">
        <v>319</v>
      </c>
      <c r="H157" s="168">
        <f t="shared" si="2"/>
        <v>319</v>
      </c>
      <c r="I157" s="338" t="s">
        <v>290</v>
      </c>
      <c r="J157" s="679">
        <v>42101</v>
      </c>
    </row>
    <row r="158" spans="1:11">
      <c r="A158" s="337" t="s">
        <v>7</v>
      </c>
      <c r="B158" s="334" t="s">
        <v>19</v>
      </c>
      <c r="C158" s="334" t="s">
        <v>654</v>
      </c>
      <c r="D158" s="338" t="str">
        <f ca="1">IFERROR(OFFSET(Camp_List[P_Code],MATCH(Data_Demography_t[[#This Row],[Camp]],Camp_List[Camp Name],0)-1,0,1,1),"")</f>
        <v>MMR012CMP116</v>
      </c>
      <c r="E158" s="339" t="s">
        <v>750</v>
      </c>
      <c r="F158" s="338" t="s">
        <v>748</v>
      </c>
      <c r="G158" s="335">
        <v>1179</v>
      </c>
      <c r="H158" s="168">
        <f t="shared" si="2"/>
        <v>-1179</v>
      </c>
      <c r="I158" s="334" t="s">
        <v>642</v>
      </c>
      <c r="J158" s="680">
        <v>42102</v>
      </c>
    </row>
    <row r="159" spans="1:11">
      <c r="A159" s="337" t="s">
        <v>7</v>
      </c>
      <c r="B159" s="334" t="s">
        <v>19</v>
      </c>
      <c r="C159" s="334" t="s">
        <v>654</v>
      </c>
      <c r="D159" s="338" t="str">
        <f ca="1">IFERROR(OFFSET(Camp_List[P_Code],MATCH(Data_Demography_t[[#This Row],[Camp]],Camp_List[Camp Name],0)-1,0,1,1),"")</f>
        <v>MMR012CMP116</v>
      </c>
      <c r="E159" s="339" t="s">
        <v>750</v>
      </c>
      <c r="F159" s="381" t="s">
        <v>749</v>
      </c>
      <c r="G159" s="335">
        <v>1150</v>
      </c>
      <c r="H159" s="168">
        <f t="shared" si="2"/>
        <v>1150</v>
      </c>
      <c r="I159" s="334" t="s">
        <v>642</v>
      </c>
      <c r="J159" s="680">
        <v>42102</v>
      </c>
    </row>
    <row r="160" spans="1:11">
      <c r="A160" s="337" t="s">
        <v>7</v>
      </c>
      <c r="B160" s="334" t="s">
        <v>19</v>
      </c>
      <c r="C160" s="334" t="s">
        <v>654</v>
      </c>
      <c r="D160" s="338" t="str">
        <f ca="1">IFERROR(OFFSET(Camp_List[P_Code],MATCH(Data_Demography_t[[#This Row],[Camp]],Camp_List[Camp Name],0)-1,0,1,1),"")</f>
        <v>MMR012CMP116</v>
      </c>
      <c r="E160" s="339" t="s">
        <v>914</v>
      </c>
      <c r="F160" s="338" t="s">
        <v>748</v>
      </c>
      <c r="G160" s="335">
        <v>1316</v>
      </c>
      <c r="H160" s="168">
        <f t="shared" si="2"/>
        <v>-1316</v>
      </c>
      <c r="I160" s="334" t="s">
        <v>642</v>
      </c>
      <c r="J160" s="680">
        <v>42102</v>
      </c>
    </row>
    <row r="161" spans="1:10">
      <c r="A161" s="337" t="s">
        <v>7</v>
      </c>
      <c r="B161" s="334" t="s">
        <v>19</v>
      </c>
      <c r="C161" s="334" t="s">
        <v>654</v>
      </c>
      <c r="D161" s="338" t="str">
        <f ca="1">IFERROR(OFFSET(Camp_List[P_Code],MATCH(Data_Demography_t[[#This Row],[Camp]],Camp_List[Camp Name],0)-1,0,1,1),"")</f>
        <v>MMR012CMP116</v>
      </c>
      <c r="E161" s="339" t="s">
        <v>914</v>
      </c>
      <c r="F161" s="381" t="s">
        <v>749</v>
      </c>
      <c r="G161" s="335">
        <v>1190</v>
      </c>
      <c r="H161" s="168">
        <f t="shared" si="2"/>
        <v>1190</v>
      </c>
      <c r="I161" s="334" t="s">
        <v>642</v>
      </c>
      <c r="J161" s="680">
        <v>42102</v>
      </c>
    </row>
    <row r="162" spans="1:10">
      <c r="A162" s="337" t="s">
        <v>7</v>
      </c>
      <c r="B162" s="334" t="s">
        <v>19</v>
      </c>
      <c r="C162" s="334" t="s">
        <v>654</v>
      </c>
      <c r="D162" s="338" t="str">
        <f ca="1">IFERROR(OFFSET(Camp_List[P_Code],MATCH(Data_Demography_t[[#This Row],[Camp]],Camp_List[Camp Name],0)-1,0,1,1),"")</f>
        <v>MMR012CMP116</v>
      </c>
      <c r="E162" s="336" t="s">
        <v>677</v>
      </c>
      <c r="F162" s="338" t="s">
        <v>748</v>
      </c>
      <c r="G162" s="335">
        <v>957</v>
      </c>
      <c r="H162" s="168">
        <f t="shared" si="2"/>
        <v>-957</v>
      </c>
      <c r="I162" s="334" t="s">
        <v>642</v>
      </c>
      <c r="J162" s="680">
        <v>42102</v>
      </c>
    </row>
    <row r="163" spans="1:10">
      <c r="A163" s="337" t="s">
        <v>7</v>
      </c>
      <c r="B163" s="334" t="s">
        <v>19</v>
      </c>
      <c r="C163" s="334" t="s">
        <v>654</v>
      </c>
      <c r="D163" s="338" t="str">
        <f ca="1">IFERROR(OFFSET(Camp_List[P_Code],MATCH(Data_Demography_t[[#This Row],[Camp]],Camp_List[Camp Name],0)-1,0,1,1),"")</f>
        <v>MMR012CMP116</v>
      </c>
      <c r="E163" s="336" t="s">
        <v>677</v>
      </c>
      <c r="F163" s="381" t="s">
        <v>749</v>
      </c>
      <c r="G163" s="335">
        <v>835</v>
      </c>
      <c r="H163" s="168">
        <f t="shared" si="2"/>
        <v>835</v>
      </c>
      <c r="I163" s="334" t="s">
        <v>642</v>
      </c>
      <c r="J163" s="680">
        <v>42102</v>
      </c>
    </row>
    <row r="164" spans="1:10">
      <c r="A164" s="337" t="s">
        <v>7</v>
      </c>
      <c r="B164" s="334" t="s">
        <v>19</v>
      </c>
      <c r="C164" s="334" t="s">
        <v>654</v>
      </c>
      <c r="D164" s="338" t="str">
        <f ca="1">IFERROR(OFFSET(Camp_List[P_Code],MATCH(Data_Demography_t[[#This Row],[Camp]],Camp_List[Camp Name],0)-1,0,1,1),"")</f>
        <v>MMR012CMP116</v>
      </c>
      <c r="E164" s="339" t="s">
        <v>915</v>
      </c>
      <c r="F164" s="338" t="s">
        <v>748</v>
      </c>
      <c r="G164" s="335">
        <v>799</v>
      </c>
      <c r="H164" s="168">
        <f t="shared" si="2"/>
        <v>-799</v>
      </c>
      <c r="I164" s="334" t="s">
        <v>642</v>
      </c>
      <c r="J164" s="680">
        <v>42102</v>
      </c>
    </row>
    <row r="165" spans="1:10">
      <c r="A165" s="337" t="s">
        <v>7</v>
      </c>
      <c r="B165" s="334" t="s">
        <v>19</v>
      </c>
      <c r="C165" s="334" t="s">
        <v>654</v>
      </c>
      <c r="D165" s="338" t="str">
        <f ca="1">IFERROR(OFFSET(Camp_List[P_Code],MATCH(Data_Demography_t[[#This Row],[Camp]],Camp_List[Camp Name],0)-1,0,1,1),"")</f>
        <v>MMR012CMP116</v>
      </c>
      <c r="E165" s="339" t="s">
        <v>915</v>
      </c>
      <c r="F165" s="381" t="s">
        <v>749</v>
      </c>
      <c r="G165" s="335">
        <v>1214</v>
      </c>
      <c r="H165" s="168">
        <f t="shared" si="2"/>
        <v>1214</v>
      </c>
      <c r="I165" s="334" t="s">
        <v>642</v>
      </c>
      <c r="J165" s="680">
        <v>42102</v>
      </c>
    </row>
    <row r="166" spans="1:10">
      <c r="A166" s="379" t="s">
        <v>7</v>
      </c>
      <c r="B166" s="380" t="s">
        <v>19</v>
      </c>
      <c r="C166" s="383" t="s">
        <v>654</v>
      </c>
      <c r="D166" s="383" t="str">
        <f ca="1">IFERROR(OFFSET(Camp_List[P_Code],MATCH(Data_Demography_t[[#This Row],[Camp]],Camp_List[Camp Name],0)-1,0,1,1),"")</f>
        <v>MMR012CMP116</v>
      </c>
      <c r="E166" s="384" t="s">
        <v>916</v>
      </c>
      <c r="F166" s="385" t="s">
        <v>748</v>
      </c>
      <c r="G166" s="347">
        <v>1331</v>
      </c>
      <c r="H166" s="168">
        <f t="shared" si="2"/>
        <v>-1331</v>
      </c>
      <c r="I166" s="383" t="s">
        <v>642</v>
      </c>
      <c r="J166" s="679">
        <v>42102</v>
      </c>
    </row>
    <row r="167" spans="1:10">
      <c r="A167" s="379" t="s">
        <v>7</v>
      </c>
      <c r="B167" s="380" t="s">
        <v>19</v>
      </c>
      <c r="C167" s="383" t="s">
        <v>654</v>
      </c>
      <c r="D167" s="383" t="str">
        <f ca="1">IFERROR(OFFSET(Camp_List[P_Code],MATCH(Data_Demography_t[[#This Row],[Camp]],Camp_List[Camp Name],0)-1,0,1,1),"")</f>
        <v>MMR012CMP116</v>
      </c>
      <c r="E167" s="384" t="s">
        <v>916</v>
      </c>
      <c r="F167" s="385" t="s">
        <v>749</v>
      </c>
      <c r="G167" s="347">
        <v>1353</v>
      </c>
      <c r="H167" s="168">
        <f t="shared" si="2"/>
        <v>1353</v>
      </c>
      <c r="I167" s="383" t="s">
        <v>642</v>
      </c>
      <c r="J167" s="679">
        <v>42102</v>
      </c>
    </row>
    <row r="168" spans="1:10">
      <c r="A168" s="379" t="s">
        <v>7</v>
      </c>
      <c r="B168" s="380" t="s">
        <v>19</v>
      </c>
      <c r="C168" s="383" t="s">
        <v>654</v>
      </c>
      <c r="D168" s="383" t="str">
        <f ca="1">IFERROR(OFFSET(Camp_List[P_Code],MATCH(Data_Demography_t[[#This Row],[Camp]],Camp_List[Camp Name],0)-1,0,1,1),"")</f>
        <v>MMR012CMP116</v>
      </c>
      <c r="E168" s="384" t="s">
        <v>892</v>
      </c>
      <c r="F168" s="385" t="s">
        <v>748</v>
      </c>
      <c r="G168" s="347">
        <v>197</v>
      </c>
      <c r="H168" s="168">
        <f t="shared" si="2"/>
        <v>-197</v>
      </c>
      <c r="I168" s="383" t="s">
        <v>642</v>
      </c>
      <c r="J168" s="679">
        <v>42102</v>
      </c>
    </row>
    <row r="169" spans="1:10">
      <c r="A169" s="379" t="s">
        <v>7</v>
      </c>
      <c r="B169" s="380" t="s">
        <v>19</v>
      </c>
      <c r="C169" s="383" t="s">
        <v>654</v>
      </c>
      <c r="D169" s="383" t="str">
        <f ca="1">IFERROR(OFFSET(Camp_List[P_Code],MATCH(Data_Demography_t[[#This Row],[Camp]],Camp_List[Camp Name],0)-1,0,1,1),"")</f>
        <v>MMR012CMP116</v>
      </c>
      <c r="E169" s="384" t="s">
        <v>892</v>
      </c>
      <c r="F169" s="385" t="s">
        <v>749</v>
      </c>
      <c r="G169" s="347">
        <v>183</v>
      </c>
      <c r="H169" s="168">
        <f t="shared" si="2"/>
        <v>183</v>
      </c>
      <c r="I169" s="383" t="s">
        <v>642</v>
      </c>
      <c r="J169" s="679">
        <v>42102</v>
      </c>
    </row>
    <row r="170" spans="1:10">
      <c r="A170" s="337" t="s">
        <v>7</v>
      </c>
      <c r="B170" s="334" t="s">
        <v>19</v>
      </c>
      <c r="C170" s="338" t="s">
        <v>657</v>
      </c>
      <c r="D170" s="338" t="str">
        <f ca="1">IFERROR(OFFSET(Camp_List[P_Code],MATCH(Data_Demography_t[[#This Row],[Camp]],Camp_List[Camp Name],0)-1,0,1,1),"")</f>
        <v>MMR012CMP111</v>
      </c>
      <c r="E170" s="353" t="s">
        <v>750</v>
      </c>
      <c r="F170" s="351" t="s">
        <v>748</v>
      </c>
      <c r="G170" s="335">
        <v>65</v>
      </c>
      <c r="H170" s="168">
        <f t="shared" si="2"/>
        <v>-65</v>
      </c>
      <c r="I170" s="338" t="s">
        <v>753</v>
      </c>
      <c r="J170" s="679">
        <v>42088</v>
      </c>
    </row>
    <row r="171" spans="1:10">
      <c r="A171" s="337" t="s">
        <v>7</v>
      </c>
      <c r="B171" s="334" t="s">
        <v>19</v>
      </c>
      <c r="C171" s="338" t="s">
        <v>657</v>
      </c>
      <c r="D171" s="338" t="str">
        <f ca="1">IFERROR(OFFSET(Camp_List[P_Code],MATCH(Data_Demography_t[[#This Row],[Camp]],Camp_List[Camp Name],0)-1,0,1,1),"")</f>
        <v>MMR012CMP111</v>
      </c>
      <c r="E171" s="353" t="s">
        <v>750</v>
      </c>
      <c r="F171" s="351" t="s">
        <v>749</v>
      </c>
      <c r="G171" s="335">
        <v>56</v>
      </c>
      <c r="H171" s="168">
        <f t="shared" si="2"/>
        <v>56</v>
      </c>
      <c r="I171" s="338" t="s">
        <v>753</v>
      </c>
      <c r="J171" s="679">
        <v>42088</v>
      </c>
    </row>
    <row r="172" spans="1:10">
      <c r="A172" s="337" t="s">
        <v>7</v>
      </c>
      <c r="B172" s="334" t="s">
        <v>19</v>
      </c>
      <c r="C172" s="338" t="s">
        <v>657</v>
      </c>
      <c r="D172" s="338" t="str">
        <f ca="1">IFERROR(OFFSET(Camp_List[P_Code],MATCH(Data_Demography_t[[#This Row],[Camp]],Camp_List[Camp Name],0)-1,0,1,1),"")</f>
        <v>MMR012CMP111</v>
      </c>
      <c r="E172" s="353" t="s">
        <v>914</v>
      </c>
      <c r="F172" s="351" t="s">
        <v>748</v>
      </c>
      <c r="G172" s="335">
        <v>84</v>
      </c>
      <c r="H172" s="168">
        <f t="shared" si="2"/>
        <v>-84</v>
      </c>
      <c r="I172" s="338" t="s">
        <v>753</v>
      </c>
      <c r="J172" s="679">
        <v>42088</v>
      </c>
    </row>
    <row r="173" spans="1:10">
      <c r="A173" s="337" t="s">
        <v>7</v>
      </c>
      <c r="B173" s="334" t="s">
        <v>19</v>
      </c>
      <c r="C173" s="338" t="s">
        <v>657</v>
      </c>
      <c r="D173" s="338" t="str">
        <f ca="1">IFERROR(OFFSET(Camp_List[P_Code],MATCH(Data_Demography_t[[#This Row],[Camp]],Camp_List[Camp Name],0)-1,0,1,1),"")</f>
        <v>MMR012CMP111</v>
      </c>
      <c r="E173" s="353" t="s">
        <v>914</v>
      </c>
      <c r="F173" s="351" t="s">
        <v>749</v>
      </c>
      <c r="G173" s="335">
        <v>73</v>
      </c>
      <c r="H173" s="168">
        <f t="shared" si="2"/>
        <v>73</v>
      </c>
      <c r="I173" s="338" t="s">
        <v>753</v>
      </c>
      <c r="J173" s="679">
        <v>42088</v>
      </c>
    </row>
    <row r="174" spans="1:10">
      <c r="A174" s="337" t="s">
        <v>7</v>
      </c>
      <c r="B174" s="334" t="s">
        <v>19</v>
      </c>
      <c r="C174" s="338" t="s">
        <v>657</v>
      </c>
      <c r="D174" s="338" t="str">
        <f ca="1">IFERROR(OFFSET(Camp_List[P_Code],MATCH(Data_Demography_t[[#This Row],[Camp]],Camp_List[Camp Name],0)-1,0,1,1),"")</f>
        <v>MMR012CMP111</v>
      </c>
      <c r="E174" s="353" t="s">
        <v>677</v>
      </c>
      <c r="F174" s="351" t="s">
        <v>748</v>
      </c>
      <c r="G174" s="335">
        <v>72</v>
      </c>
      <c r="H174" s="168">
        <f t="shared" si="2"/>
        <v>-72</v>
      </c>
      <c r="I174" s="338" t="s">
        <v>753</v>
      </c>
      <c r="J174" s="679">
        <v>42088</v>
      </c>
    </row>
    <row r="175" spans="1:10">
      <c r="A175" s="337" t="s">
        <v>7</v>
      </c>
      <c r="B175" s="334" t="s">
        <v>19</v>
      </c>
      <c r="C175" s="338" t="s">
        <v>657</v>
      </c>
      <c r="D175" s="338" t="str">
        <f ca="1">IFERROR(OFFSET(Camp_List[P_Code],MATCH(Data_Demography_t[[#This Row],[Camp]],Camp_List[Camp Name],0)-1,0,1,1),"")</f>
        <v>MMR012CMP111</v>
      </c>
      <c r="E175" s="353" t="s">
        <v>677</v>
      </c>
      <c r="F175" s="351" t="s">
        <v>749</v>
      </c>
      <c r="G175" s="335">
        <v>95</v>
      </c>
      <c r="H175" s="168">
        <f t="shared" si="2"/>
        <v>95</v>
      </c>
      <c r="I175" s="338" t="s">
        <v>753</v>
      </c>
      <c r="J175" s="679">
        <v>42088</v>
      </c>
    </row>
    <row r="176" spans="1:10">
      <c r="A176" s="337" t="s">
        <v>7</v>
      </c>
      <c r="B176" s="334" t="s">
        <v>19</v>
      </c>
      <c r="C176" s="338" t="s">
        <v>657</v>
      </c>
      <c r="D176" s="391" t="str">
        <f ca="1">IFERROR(OFFSET(Camp_List[P_Code],MATCH(Data_Demography_t[[#This Row],[Camp]],Camp_List[Camp Name],0)-1,0,1,1),"")</f>
        <v>MMR012CMP111</v>
      </c>
      <c r="E176" s="353" t="s">
        <v>915</v>
      </c>
      <c r="F176" s="351" t="s">
        <v>748</v>
      </c>
      <c r="G176" s="392">
        <v>92</v>
      </c>
      <c r="H176" s="393">
        <f t="shared" si="2"/>
        <v>-92</v>
      </c>
      <c r="I176" s="338" t="s">
        <v>753</v>
      </c>
      <c r="J176" s="679">
        <v>42088</v>
      </c>
    </row>
    <row r="177" spans="1:10">
      <c r="A177" s="337" t="s">
        <v>7</v>
      </c>
      <c r="B177" s="334" t="s">
        <v>19</v>
      </c>
      <c r="C177" s="338" t="s">
        <v>657</v>
      </c>
      <c r="D177" s="391" t="str">
        <f ca="1">IFERROR(OFFSET(Camp_List[P_Code],MATCH(Data_Demography_t[[#This Row],[Camp]],Camp_List[Camp Name],0)-1,0,1,1),"")</f>
        <v>MMR012CMP111</v>
      </c>
      <c r="E177" s="353" t="s">
        <v>915</v>
      </c>
      <c r="F177" s="351" t="s">
        <v>749</v>
      </c>
      <c r="G177" s="392">
        <v>117</v>
      </c>
      <c r="H177" s="393">
        <f t="shared" si="2"/>
        <v>117</v>
      </c>
      <c r="I177" s="338" t="s">
        <v>753</v>
      </c>
      <c r="J177" s="679">
        <v>42088</v>
      </c>
    </row>
    <row r="178" spans="1:10">
      <c r="A178" s="337" t="s">
        <v>7</v>
      </c>
      <c r="B178" s="334" t="s">
        <v>19</v>
      </c>
      <c r="C178" s="338" t="s">
        <v>657</v>
      </c>
      <c r="D178" s="338" t="str">
        <f ca="1">IFERROR(OFFSET(Camp_List[P_Code],MATCH(Data_Demography_t[[#This Row],[Camp]],Camp_List[Camp Name],0)-1,0,1,1),"")</f>
        <v>MMR012CMP111</v>
      </c>
      <c r="E178" s="353" t="s">
        <v>916</v>
      </c>
      <c r="F178" s="351" t="s">
        <v>748</v>
      </c>
      <c r="G178" s="335">
        <v>265</v>
      </c>
      <c r="H178" s="168">
        <f t="shared" si="2"/>
        <v>-265</v>
      </c>
      <c r="I178" s="338" t="s">
        <v>753</v>
      </c>
      <c r="J178" s="679">
        <v>42088</v>
      </c>
    </row>
    <row r="179" spans="1:10">
      <c r="A179" s="337" t="s">
        <v>7</v>
      </c>
      <c r="B179" s="334" t="s">
        <v>19</v>
      </c>
      <c r="C179" s="338" t="s">
        <v>657</v>
      </c>
      <c r="D179" s="338" t="str">
        <f ca="1">IFERROR(OFFSET(Camp_List[P_Code],MATCH(Data_Demography_t[[#This Row],[Camp]],Camp_List[Camp Name],0)-1,0,1,1),"")</f>
        <v>MMR012CMP111</v>
      </c>
      <c r="E179" s="353" t="s">
        <v>916</v>
      </c>
      <c r="F179" s="351" t="s">
        <v>749</v>
      </c>
      <c r="G179" s="335">
        <v>264</v>
      </c>
      <c r="H179" s="168">
        <f t="shared" si="2"/>
        <v>264</v>
      </c>
      <c r="I179" s="338" t="s">
        <v>753</v>
      </c>
      <c r="J179" s="679">
        <v>42088</v>
      </c>
    </row>
    <row r="180" spans="1:10">
      <c r="A180" s="337" t="s">
        <v>7</v>
      </c>
      <c r="B180" s="334" t="s">
        <v>19</v>
      </c>
      <c r="C180" s="334" t="s">
        <v>657</v>
      </c>
      <c r="D180" s="338" t="str">
        <f ca="1">IFERROR(OFFSET(Camp_List[P_Code],MATCH(Data_Demography_t[[#This Row],[Camp]],Camp_List[Camp Name],0)-1,0,1,1),"")</f>
        <v>MMR012CMP111</v>
      </c>
      <c r="E180" s="339" t="s">
        <v>892</v>
      </c>
      <c r="F180" s="338" t="s">
        <v>748</v>
      </c>
      <c r="G180" s="335">
        <v>40</v>
      </c>
      <c r="H180" s="168">
        <f t="shared" si="2"/>
        <v>-40</v>
      </c>
      <c r="I180" s="334" t="s">
        <v>753</v>
      </c>
      <c r="J180" s="680">
        <v>42088</v>
      </c>
    </row>
    <row r="181" spans="1:10">
      <c r="A181" s="337" t="s">
        <v>7</v>
      </c>
      <c r="B181" s="334" t="s">
        <v>19</v>
      </c>
      <c r="C181" s="334" t="s">
        <v>657</v>
      </c>
      <c r="D181" s="338" t="str">
        <f ca="1">IFERROR(OFFSET(Camp_List[P_Code],MATCH(Data_Demography_t[[#This Row],[Camp]],Camp_List[Camp Name],0)-1,0,1,1),"")</f>
        <v>MMR012CMP111</v>
      </c>
      <c r="E181" s="339" t="s">
        <v>892</v>
      </c>
      <c r="F181" s="381" t="s">
        <v>749</v>
      </c>
      <c r="G181" s="335">
        <v>59</v>
      </c>
      <c r="H181" s="168">
        <f t="shared" si="2"/>
        <v>59</v>
      </c>
      <c r="I181" s="334" t="s">
        <v>753</v>
      </c>
      <c r="J181" s="680">
        <v>42088</v>
      </c>
    </row>
    <row r="182" spans="1:10">
      <c r="A182" s="337" t="s">
        <v>7</v>
      </c>
      <c r="B182" s="338" t="s">
        <v>19</v>
      </c>
      <c r="C182" s="338" t="s">
        <v>658</v>
      </c>
      <c r="D182" s="338" t="str">
        <f ca="1">IFERROR(OFFSET(Camp_List[P_Code],MATCH(Data_Demography_t[[#This Row],[Camp]],Camp_List[Camp Name],0)-1,0,1,1),"")</f>
        <v>MMR012CMP112</v>
      </c>
      <c r="E182" s="353" t="s">
        <v>750</v>
      </c>
      <c r="F182" s="351" t="s">
        <v>748</v>
      </c>
      <c r="G182" s="335">
        <v>112</v>
      </c>
      <c r="H182" s="168">
        <f t="shared" si="2"/>
        <v>-112</v>
      </c>
      <c r="I182" s="338" t="s">
        <v>287</v>
      </c>
      <c r="J182" s="679">
        <v>42081</v>
      </c>
    </row>
    <row r="183" spans="1:10">
      <c r="A183" s="337" t="s">
        <v>7</v>
      </c>
      <c r="B183" s="338" t="s">
        <v>19</v>
      </c>
      <c r="C183" s="338" t="s">
        <v>658</v>
      </c>
      <c r="D183" s="338" t="str">
        <f ca="1">IFERROR(OFFSET(Camp_List[P_Code],MATCH(Data_Demography_t[[#This Row],[Camp]],Camp_List[Camp Name],0)-1,0,1,1),"")</f>
        <v>MMR012CMP112</v>
      </c>
      <c r="E183" s="353" t="s">
        <v>750</v>
      </c>
      <c r="F183" s="351" t="s">
        <v>749</v>
      </c>
      <c r="G183" s="335">
        <v>122</v>
      </c>
      <c r="H183" s="168">
        <f t="shared" si="2"/>
        <v>122</v>
      </c>
      <c r="I183" s="338" t="s">
        <v>287</v>
      </c>
      <c r="J183" s="679">
        <v>42081</v>
      </c>
    </row>
    <row r="184" spans="1:10">
      <c r="A184" s="337" t="s">
        <v>7</v>
      </c>
      <c r="B184" s="338" t="s">
        <v>19</v>
      </c>
      <c r="C184" s="338" t="s">
        <v>658</v>
      </c>
      <c r="D184" s="338" t="str">
        <f ca="1">IFERROR(OFFSET(Camp_List[P_Code],MATCH(Data_Demography_t[[#This Row],[Camp]],Camp_List[Camp Name],0)-1,0,1,1),"")</f>
        <v>MMR012CMP112</v>
      </c>
      <c r="E184" s="353" t="s">
        <v>914</v>
      </c>
      <c r="F184" s="351" t="s">
        <v>748</v>
      </c>
      <c r="G184" s="335">
        <v>127</v>
      </c>
      <c r="H184" s="168">
        <f t="shared" si="2"/>
        <v>-127</v>
      </c>
      <c r="I184" s="338" t="s">
        <v>287</v>
      </c>
      <c r="J184" s="679">
        <v>42081</v>
      </c>
    </row>
    <row r="185" spans="1:10">
      <c r="A185" s="337" t="s">
        <v>7</v>
      </c>
      <c r="B185" s="338" t="s">
        <v>19</v>
      </c>
      <c r="C185" s="338" t="s">
        <v>658</v>
      </c>
      <c r="D185" s="338" t="str">
        <f ca="1">IFERROR(OFFSET(Camp_List[P_Code],MATCH(Data_Demography_t[[#This Row],[Camp]],Camp_List[Camp Name],0)-1,0,1,1),"")</f>
        <v>MMR012CMP112</v>
      </c>
      <c r="E185" s="353" t="s">
        <v>914</v>
      </c>
      <c r="F185" s="351" t="s">
        <v>749</v>
      </c>
      <c r="G185" s="335">
        <v>128</v>
      </c>
      <c r="H185" s="168">
        <f t="shared" si="2"/>
        <v>128</v>
      </c>
      <c r="I185" s="338" t="s">
        <v>287</v>
      </c>
      <c r="J185" s="679">
        <v>42081</v>
      </c>
    </row>
    <row r="186" spans="1:10">
      <c r="A186" s="337" t="s">
        <v>7</v>
      </c>
      <c r="B186" s="338" t="s">
        <v>19</v>
      </c>
      <c r="C186" s="338" t="s">
        <v>658</v>
      </c>
      <c r="D186" s="338" t="str">
        <f ca="1">IFERROR(OFFSET(Camp_List[P_Code],MATCH(Data_Demography_t[[#This Row],[Camp]],Camp_List[Camp Name],0)-1,0,1,1),"")</f>
        <v>MMR012CMP112</v>
      </c>
      <c r="E186" s="353" t="s">
        <v>677</v>
      </c>
      <c r="F186" s="351" t="s">
        <v>748</v>
      </c>
      <c r="G186" s="335">
        <v>148</v>
      </c>
      <c r="H186" s="168">
        <f t="shared" si="2"/>
        <v>-148</v>
      </c>
      <c r="I186" s="338" t="s">
        <v>287</v>
      </c>
      <c r="J186" s="679">
        <v>42081</v>
      </c>
    </row>
    <row r="187" spans="1:10">
      <c r="A187" s="337" t="s">
        <v>7</v>
      </c>
      <c r="B187" s="338" t="s">
        <v>19</v>
      </c>
      <c r="C187" s="338" t="s">
        <v>658</v>
      </c>
      <c r="D187" s="338" t="str">
        <f ca="1">IFERROR(OFFSET(Camp_List[P_Code],MATCH(Data_Demography_t[[#This Row],[Camp]],Camp_List[Camp Name],0)-1,0,1,1),"")</f>
        <v>MMR012CMP112</v>
      </c>
      <c r="E187" s="353" t="s">
        <v>677</v>
      </c>
      <c r="F187" s="351" t="s">
        <v>749</v>
      </c>
      <c r="G187" s="335">
        <v>144</v>
      </c>
      <c r="H187" s="168">
        <f t="shared" si="2"/>
        <v>144</v>
      </c>
      <c r="I187" s="338" t="s">
        <v>287</v>
      </c>
      <c r="J187" s="679">
        <v>42081</v>
      </c>
    </row>
    <row r="188" spans="1:10">
      <c r="A188" s="337" t="s">
        <v>7</v>
      </c>
      <c r="B188" s="338" t="s">
        <v>19</v>
      </c>
      <c r="C188" s="338" t="s">
        <v>658</v>
      </c>
      <c r="D188" s="338" t="str">
        <f ca="1">IFERROR(OFFSET(Camp_List[P_Code],MATCH(Data_Demography_t[[#This Row],[Camp]],Camp_List[Camp Name],0)-1,0,1,1),"")</f>
        <v>MMR012CMP112</v>
      </c>
      <c r="E188" s="353" t="s">
        <v>915</v>
      </c>
      <c r="F188" s="351" t="s">
        <v>748</v>
      </c>
      <c r="G188" s="335">
        <v>184</v>
      </c>
      <c r="H188" s="168">
        <f t="shared" si="2"/>
        <v>-184</v>
      </c>
      <c r="I188" s="338" t="s">
        <v>287</v>
      </c>
      <c r="J188" s="679">
        <v>42081</v>
      </c>
    </row>
    <row r="189" spans="1:10">
      <c r="A189" s="337" t="s">
        <v>7</v>
      </c>
      <c r="B189" s="338" t="s">
        <v>19</v>
      </c>
      <c r="C189" s="338" t="s">
        <v>658</v>
      </c>
      <c r="D189" s="338" t="str">
        <f ca="1">IFERROR(OFFSET(Camp_List[P_Code],MATCH(Data_Demography_t[[#This Row],[Camp]],Camp_List[Camp Name],0)-1,0,1,1),"")</f>
        <v>MMR012CMP112</v>
      </c>
      <c r="E189" s="353" t="s">
        <v>915</v>
      </c>
      <c r="F189" s="351" t="s">
        <v>749</v>
      </c>
      <c r="G189" s="335">
        <v>199</v>
      </c>
      <c r="H189" s="168">
        <f t="shared" si="2"/>
        <v>199</v>
      </c>
      <c r="I189" s="338" t="s">
        <v>287</v>
      </c>
      <c r="J189" s="679">
        <v>42081</v>
      </c>
    </row>
    <row r="190" spans="1:10">
      <c r="A190" s="337" t="s">
        <v>7</v>
      </c>
      <c r="B190" s="338" t="s">
        <v>19</v>
      </c>
      <c r="C190" s="338" t="s">
        <v>658</v>
      </c>
      <c r="D190" s="338" t="str">
        <f ca="1">IFERROR(OFFSET(Camp_List[P_Code],MATCH(Data_Demography_t[[#This Row],[Camp]],Camp_List[Camp Name],0)-1,0,1,1),"")</f>
        <v>MMR012CMP112</v>
      </c>
      <c r="E190" s="353" t="s">
        <v>916</v>
      </c>
      <c r="F190" s="351" t="s">
        <v>748</v>
      </c>
      <c r="G190" s="335">
        <v>434</v>
      </c>
      <c r="H190" s="168">
        <f t="shared" si="2"/>
        <v>-434</v>
      </c>
      <c r="I190" s="338" t="s">
        <v>287</v>
      </c>
      <c r="J190" s="679">
        <v>42081</v>
      </c>
    </row>
    <row r="191" spans="1:10">
      <c r="A191" s="337" t="s">
        <v>7</v>
      </c>
      <c r="B191" s="338" t="s">
        <v>19</v>
      </c>
      <c r="C191" s="338" t="s">
        <v>658</v>
      </c>
      <c r="D191" s="338" t="str">
        <f ca="1">IFERROR(OFFSET(Camp_List[P_Code],MATCH(Data_Demography_t[[#This Row],[Camp]],Camp_List[Camp Name],0)-1,0,1,1),"")</f>
        <v>MMR012CMP112</v>
      </c>
      <c r="E191" s="353" t="s">
        <v>916</v>
      </c>
      <c r="F191" s="351" t="s">
        <v>749</v>
      </c>
      <c r="G191" s="335">
        <v>445</v>
      </c>
      <c r="H191" s="168">
        <f t="shared" si="2"/>
        <v>445</v>
      </c>
      <c r="I191" s="338" t="s">
        <v>287</v>
      </c>
      <c r="J191" s="679">
        <v>42081</v>
      </c>
    </row>
    <row r="192" spans="1:10">
      <c r="A192" s="337" t="s">
        <v>7</v>
      </c>
      <c r="B192" s="334" t="s">
        <v>19</v>
      </c>
      <c r="C192" s="338" t="s">
        <v>658</v>
      </c>
      <c r="D192" s="338" t="str">
        <f ca="1">IFERROR(OFFSET(Camp_List[P_Code],MATCH(Data_Demography_t[[#This Row],[Camp]],Camp_List[Camp Name],0)-1,0,1,1),"")</f>
        <v>MMR012CMP112</v>
      </c>
      <c r="E192" s="353" t="s">
        <v>892</v>
      </c>
      <c r="F192" s="351" t="s">
        <v>748</v>
      </c>
      <c r="G192" s="335">
        <v>65</v>
      </c>
      <c r="H192" s="168">
        <f t="shared" si="2"/>
        <v>-65</v>
      </c>
      <c r="I192" s="338" t="s">
        <v>287</v>
      </c>
      <c r="J192" s="679">
        <v>42081</v>
      </c>
    </row>
    <row r="193" spans="1:10">
      <c r="A193" s="337" t="s">
        <v>7</v>
      </c>
      <c r="B193" s="334" t="s">
        <v>19</v>
      </c>
      <c r="C193" s="338" t="s">
        <v>658</v>
      </c>
      <c r="D193" s="338" t="str">
        <f ca="1">IFERROR(OFFSET(Camp_List[P_Code],MATCH(Data_Demography_t[[#This Row],[Camp]],Camp_List[Camp Name],0)-1,0,1,1),"")</f>
        <v>MMR012CMP112</v>
      </c>
      <c r="E193" s="353" t="s">
        <v>892</v>
      </c>
      <c r="F193" s="351" t="s">
        <v>749</v>
      </c>
      <c r="G193" s="335">
        <v>92</v>
      </c>
      <c r="H193" s="168">
        <f t="shared" si="2"/>
        <v>92</v>
      </c>
      <c r="I193" s="338" t="s">
        <v>287</v>
      </c>
      <c r="J193" s="679">
        <v>42081</v>
      </c>
    </row>
    <row r="194" spans="1:10">
      <c r="A194" s="337" t="s">
        <v>7</v>
      </c>
      <c r="B194" s="334" t="s">
        <v>19</v>
      </c>
      <c r="C194" s="338" t="s">
        <v>67</v>
      </c>
      <c r="D194" s="338" t="str">
        <f ca="1">IFERROR(OFFSET(Camp_List[P_Code],MATCH(Data_Demography_t[[#This Row],[Camp]],Camp_List[Camp Name],0)-1,0,1,1),"")</f>
        <v>MMR012CMP045</v>
      </c>
      <c r="E194" s="339" t="s">
        <v>750</v>
      </c>
      <c r="F194" s="338" t="s">
        <v>748</v>
      </c>
      <c r="G194" s="335">
        <v>1277</v>
      </c>
      <c r="H194" s="168">
        <f t="shared" ref="H194:H229" si="3">IF(F194="M",-G194,G194)</f>
        <v>-1277</v>
      </c>
      <c r="I194" s="338" t="s">
        <v>290</v>
      </c>
      <c r="J194" s="679">
        <v>42102</v>
      </c>
    </row>
    <row r="195" spans="1:10">
      <c r="A195" s="337" t="s">
        <v>7</v>
      </c>
      <c r="B195" s="334" t="s">
        <v>19</v>
      </c>
      <c r="C195" s="338" t="s">
        <v>67</v>
      </c>
      <c r="D195" s="338" t="str">
        <f ca="1">IFERROR(OFFSET(Camp_List[P_Code],MATCH(Data_Demography_t[[#This Row],[Camp]],Camp_List[Camp Name],0)-1,0,1,1),"")</f>
        <v>MMR012CMP045</v>
      </c>
      <c r="E195" s="339" t="s">
        <v>750</v>
      </c>
      <c r="F195" s="381" t="s">
        <v>749</v>
      </c>
      <c r="G195" s="335">
        <v>1293</v>
      </c>
      <c r="H195" s="168">
        <f t="shared" si="3"/>
        <v>1293</v>
      </c>
      <c r="I195" s="338" t="s">
        <v>290</v>
      </c>
      <c r="J195" s="679">
        <v>42102</v>
      </c>
    </row>
    <row r="196" spans="1:10">
      <c r="A196" s="337" t="s">
        <v>7</v>
      </c>
      <c r="B196" s="334" t="s">
        <v>19</v>
      </c>
      <c r="C196" s="338" t="s">
        <v>67</v>
      </c>
      <c r="D196" s="338" t="str">
        <f ca="1">IFERROR(OFFSET(Camp_List[P_Code],MATCH(Data_Demography_t[[#This Row],[Camp]],Camp_List[Camp Name],0)-1,0,1,1),"")</f>
        <v>MMR012CMP045</v>
      </c>
      <c r="E196" s="339" t="s">
        <v>914</v>
      </c>
      <c r="F196" s="338" t="s">
        <v>748</v>
      </c>
      <c r="G196" s="335">
        <v>1337</v>
      </c>
      <c r="H196" s="168">
        <f t="shared" si="3"/>
        <v>-1337</v>
      </c>
      <c r="I196" s="338" t="s">
        <v>290</v>
      </c>
      <c r="J196" s="679">
        <v>42102</v>
      </c>
    </row>
    <row r="197" spans="1:10">
      <c r="A197" s="337" t="s">
        <v>7</v>
      </c>
      <c r="B197" s="334" t="s">
        <v>19</v>
      </c>
      <c r="C197" s="338" t="s">
        <v>67</v>
      </c>
      <c r="D197" s="338" t="str">
        <f ca="1">IFERROR(OFFSET(Camp_List[P_Code],MATCH(Data_Demography_t[[#This Row],[Camp]],Camp_List[Camp Name],0)-1,0,1,1),"")</f>
        <v>MMR012CMP045</v>
      </c>
      <c r="E197" s="339" t="s">
        <v>914</v>
      </c>
      <c r="F197" s="381" t="s">
        <v>749</v>
      </c>
      <c r="G197" s="335">
        <v>1219</v>
      </c>
      <c r="H197" s="168">
        <f t="shared" si="3"/>
        <v>1219</v>
      </c>
      <c r="I197" s="338" t="s">
        <v>290</v>
      </c>
      <c r="J197" s="679">
        <v>42102</v>
      </c>
    </row>
    <row r="198" spans="1:10">
      <c r="A198" s="337" t="s">
        <v>7</v>
      </c>
      <c r="B198" s="334" t="s">
        <v>19</v>
      </c>
      <c r="C198" s="338" t="s">
        <v>67</v>
      </c>
      <c r="D198" s="338" t="str">
        <f ca="1">IFERROR(OFFSET(Camp_List[P_Code],MATCH(Data_Demography_t[[#This Row],[Camp]],Camp_List[Camp Name],0)-1,0,1,1),"")</f>
        <v>MMR012CMP045</v>
      </c>
      <c r="E198" s="336" t="s">
        <v>677</v>
      </c>
      <c r="F198" s="338" t="s">
        <v>748</v>
      </c>
      <c r="G198" s="335">
        <v>852</v>
      </c>
      <c r="H198" s="168">
        <f t="shared" si="3"/>
        <v>-852</v>
      </c>
      <c r="I198" s="338" t="s">
        <v>290</v>
      </c>
      <c r="J198" s="679">
        <v>42102</v>
      </c>
    </row>
    <row r="199" spans="1:10">
      <c r="A199" s="337" t="s">
        <v>7</v>
      </c>
      <c r="B199" s="334" t="s">
        <v>19</v>
      </c>
      <c r="C199" s="338" t="s">
        <v>67</v>
      </c>
      <c r="D199" s="338" t="str">
        <f ca="1">IFERROR(OFFSET(Camp_List[P_Code],MATCH(Data_Demography_t[[#This Row],[Camp]],Camp_List[Camp Name],0)-1,0,1,1),"")</f>
        <v>MMR012CMP045</v>
      </c>
      <c r="E199" s="336" t="s">
        <v>677</v>
      </c>
      <c r="F199" s="381" t="s">
        <v>749</v>
      </c>
      <c r="G199" s="335">
        <v>844</v>
      </c>
      <c r="H199" s="168">
        <f t="shared" si="3"/>
        <v>844</v>
      </c>
      <c r="I199" s="338" t="s">
        <v>290</v>
      </c>
      <c r="J199" s="679">
        <v>42102</v>
      </c>
    </row>
    <row r="200" spans="1:10">
      <c r="A200" s="337" t="s">
        <v>7</v>
      </c>
      <c r="B200" s="334" t="s">
        <v>19</v>
      </c>
      <c r="C200" s="338" t="s">
        <v>67</v>
      </c>
      <c r="D200" s="395" t="str">
        <f ca="1">IFERROR(OFFSET(Camp_List[P_Code],MATCH(Data_Demography_t[[#This Row],[Camp]],Camp_List[Camp Name],0)-1,0,1,1),"")</f>
        <v>MMR012CMP045</v>
      </c>
      <c r="E200" s="339" t="s">
        <v>915</v>
      </c>
      <c r="F200" s="338" t="s">
        <v>748</v>
      </c>
      <c r="G200" s="335">
        <v>901</v>
      </c>
      <c r="H200" s="168">
        <f t="shared" si="3"/>
        <v>-901</v>
      </c>
      <c r="I200" s="338" t="s">
        <v>290</v>
      </c>
      <c r="J200" s="679">
        <v>42102</v>
      </c>
    </row>
    <row r="201" spans="1:10">
      <c r="A201" s="337" t="s">
        <v>7</v>
      </c>
      <c r="B201" s="334" t="s">
        <v>19</v>
      </c>
      <c r="C201" s="338" t="s">
        <v>67</v>
      </c>
      <c r="D201" s="395" t="str">
        <f ca="1">IFERROR(OFFSET(Camp_List[P_Code],MATCH(Data_Demography_t[[#This Row],[Camp]],Camp_List[Camp Name],0)-1,0,1,1),"")</f>
        <v>MMR012CMP045</v>
      </c>
      <c r="E201" s="339" t="s">
        <v>915</v>
      </c>
      <c r="F201" s="381" t="s">
        <v>749</v>
      </c>
      <c r="G201" s="335">
        <v>1275</v>
      </c>
      <c r="H201" s="168">
        <f t="shared" si="3"/>
        <v>1275</v>
      </c>
      <c r="I201" s="338" t="s">
        <v>290</v>
      </c>
      <c r="J201" s="679">
        <v>42102</v>
      </c>
    </row>
    <row r="202" spans="1:10">
      <c r="A202" s="337" t="s">
        <v>7</v>
      </c>
      <c r="B202" s="334" t="s">
        <v>19</v>
      </c>
      <c r="C202" s="338" t="s">
        <v>67</v>
      </c>
      <c r="D202" s="338" t="str">
        <f ca="1">IFERROR(OFFSET(Camp_List[P_Code],MATCH(Data_Demography_t[[#This Row],[Camp]],Camp_List[Camp Name],0)-1,0,1,1),"")</f>
        <v>MMR012CMP045</v>
      </c>
      <c r="E202" s="339" t="s">
        <v>916</v>
      </c>
      <c r="F202" s="338" t="s">
        <v>748</v>
      </c>
      <c r="G202" s="335">
        <v>1335</v>
      </c>
      <c r="H202" s="168">
        <f t="shared" si="3"/>
        <v>-1335</v>
      </c>
      <c r="I202" s="338" t="s">
        <v>290</v>
      </c>
      <c r="J202" s="679">
        <v>42102</v>
      </c>
    </row>
    <row r="203" spans="1:10">
      <c r="A203" s="337" t="s">
        <v>7</v>
      </c>
      <c r="B203" s="334" t="s">
        <v>19</v>
      </c>
      <c r="C203" s="338" t="s">
        <v>67</v>
      </c>
      <c r="D203" s="338" t="str">
        <f ca="1">IFERROR(OFFSET(Camp_List[P_Code],MATCH(Data_Demography_t[[#This Row],[Camp]],Camp_List[Camp Name],0)-1,0,1,1),"")</f>
        <v>MMR012CMP045</v>
      </c>
      <c r="E203" s="339" t="s">
        <v>916</v>
      </c>
      <c r="F203" s="381" t="s">
        <v>749</v>
      </c>
      <c r="G203" s="335">
        <v>1475</v>
      </c>
      <c r="H203" s="168">
        <f t="shared" si="3"/>
        <v>1475</v>
      </c>
      <c r="I203" s="338" t="s">
        <v>290</v>
      </c>
      <c r="J203" s="679">
        <v>42102</v>
      </c>
    </row>
    <row r="204" spans="1:10">
      <c r="A204" s="337" t="s">
        <v>7</v>
      </c>
      <c r="B204" s="338" t="s">
        <v>19</v>
      </c>
      <c r="C204" s="338" t="s">
        <v>67</v>
      </c>
      <c r="D204" s="338" t="str">
        <f ca="1">IFERROR(OFFSET(Camp_List[P_Code],MATCH(Data_Demography_t[[#This Row],[Camp]],Camp_List[Camp Name],0)-1,0,1,1),"")</f>
        <v>MMR012CMP045</v>
      </c>
      <c r="E204" s="353" t="s">
        <v>892</v>
      </c>
      <c r="F204" s="351" t="s">
        <v>748</v>
      </c>
      <c r="G204" s="335">
        <v>190</v>
      </c>
      <c r="H204" s="168">
        <f t="shared" si="3"/>
        <v>-190</v>
      </c>
      <c r="I204" s="338" t="s">
        <v>290</v>
      </c>
      <c r="J204" s="679">
        <v>42102</v>
      </c>
    </row>
    <row r="205" spans="1:10">
      <c r="A205" s="337" t="s">
        <v>7</v>
      </c>
      <c r="B205" s="338" t="s">
        <v>19</v>
      </c>
      <c r="C205" s="338" t="s">
        <v>67</v>
      </c>
      <c r="D205" s="338" t="str">
        <f ca="1">IFERROR(OFFSET(Camp_List[P_Code],MATCH(Data_Demography_t[[#This Row],[Camp]],Camp_List[Camp Name],0)-1,0,1,1),"")</f>
        <v>MMR012CMP045</v>
      </c>
      <c r="E205" s="353" t="s">
        <v>892</v>
      </c>
      <c r="F205" s="351" t="s">
        <v>749</v>
      </c>
      <c r="G205" s="335">
        <v>180</v>
      </c>
      <c r="H205" s="168">
        <f t="shared" si="3"/>
        <v>180</v>
      </c>
      <c r="I205" s="338" t="s">
        <v>290</v>
      </c>
      <c r="J205" s="679">
        <v>42102</v>
      </c>
    </row>
    <row r="206" spans="1:10">
      <c r="A206" s="337" t="s">
        <v>7</v>
      </c>
      <c r="B206" s="334" t="s">
        <v>19</v>
      </c>
      <c r="C206" s="338" t="s">
        <v>78</v>
      </c>
      <c r="D206" s="338" t="str">
        <f ca="1">IFERROR(OFFSET(Camp_List[P_Code],MATCH(Data_Demography_t[[#This Row],[Camp]],Camp_List[Camp Name],0)-1,0,1,1),"")</f>
        <v>MMR012CMP056</v>
      </c>
      <c r="E206" s="339" t="s">
        <v>750</v>
      </c>
      <c r="F206" s="338" t="s">
        <v>748</v>
      </c>
      <c r="G206" s="335">
        <v>25</v>
      </c>
      <c r="H206" s="168">
        <f t="shared" si="3"/>
        <v>-25</v>
      </c>
      <c r="I206" s="338" t="s">
        <v>642</v>
      </c>
      <c r="J206" s="680">
        <v>42083</v>
      </c>
    </row>
    <row r="207" spans="1:10">
      <c r="A207" s="337" t="s">
        <v>7</v>
      </c>
      <c r="B207" s="334" t="s">
        <v>19</v>
      </c>
      <c r="C207" s="338" t="s">
        <v>78</v>
      </c>
      <c r="D207" s="338" t="str">
        <f ca="1">IFERROR(OFFSET(Camp_List[P_Code],MATCH(Data_Demography_t[[#This Row],[Camp]],Camp_List[Camp Name],0)-1,0,1,1),"")</f>
        <v>MMR012CMP056</v>
      </c>
      <c r="E207" s="339" t="s">
        <v>750</v>
      </c>
      <c r="F207" s="381" t="s">
        <v>749</v>
      </c>
      <c r="G207" s="335">
        <v>24</v>
      </c>
      <c r="H207" s="168">
        <f t="shared" si="3"/>
        <v>24</v>
      </c>
      <c r="I207" s="338" t="s">
        <v>642</v>
      </c>
      <c r="J207" s="680">
        <v>42083</v>
      </c>
    </row>
    <row r="208" spans="1:10">
      <c r="A208" s="337" t="s">
        <v>7</v>
      </c>
      <c r="B208" s="334" t="s">
        <v>19</v>
      </c>
      <c r="C208" s="338" t="s">
        <v>78</v>
      </c>
      <c r="D208" s="338" t="str">
        <f ca="1">IFERROR(OFFSET(Camp_List[P_Code],MATCH(Data_Demography_t[[#This Row],[Camp]],Camp_List[Camp Name],0)-1,0,1,1),"")</f>
        <v>MMR012CMP056</v>
      </c>
      <c r="E208" s="339" t="s">
        <v>914</v>
      </c>
      <c r="F208" s="338" t="s">
        <v>748</v>
      </c>
      <c r="G208" s="335">
        <v>25</v>
      </c>
      <c r="H208" s="168">
        <f t="shared" si="3"/>
        <v>-25</v>
      </c>
      <c r="I208" s="338" t="s">
        <v>642</v>
      </c>
      <c r="J208" s="680">
        <v>42083</v>
      </c>
    </row>
    <row r="209" spans="1:10">
      <c r="A209" s="337" t="s">
        <v>7</v>
      </c>
      <c r="B209" s="334" t="s">
        <v>19</v>
      </c>
      <c r="C209" s="338" t="s">
        <v>78</v>
      </c>
      <c r="D209" s="338" t="str">
        <f ca="1">IFERROR(OFFSET(Camp_List[P_Code],MATCH(Data_Demography_t[[#This Row],[Camp]],Camp_List[Camp Name],0)-1,0,1,1),"")</f>
        <v>MMR012CMP056</v>
      </c>
      <c r="E209" s="339" t="s">
        <v>914</v>
      </c>
      <c r="F209" s="381" t="s">
        <v>749</v>
      </c>
      <c r="G209" s="335">
        <v>31</v>
      </c>
      <c r="H209" s="168">
        <f t="shared" si="3"/>
        <v>31</v>
      </c>
      <c r="I209" s="338" t="s">
        <v>642</v>
      </c>
      <c r="J209" s="680">
        <v>42083</v>
      </c>
    </row>
    <row r="210" spans="1:10">
      <c r="A210" s="337" t="s">
        <v>7</v>
      </c>
      <c r="B210" s="334" t="s">
        <v>19</v>
      </c>
      <c r="C210" s="338" t="s">
        <v>78</v>
      </c>
      <c r="D210" s="338" t="str">
        <f ca="1">IFERROR(OFFSET(Camp_List[P_Code],MATCH(Data_Demography_t[[#This Row],[Camp]],Camp_List[Camp Name],0)-1,0,1,1),"")</f>
        <v>MMR012CMP056</v>
      </c>
      <c r="E210" s="336" t="s">
        <v>677</v>
      </c>
      <c r="F210" s="338" t="s">
        <v>748</v>
      </c>
      <c r="G210" s="335">
        <v>39</v>
      </c>
      <c r="H210" s="168">
        <f t="shared" si="3"/>
        <v>-39</v>
      </c>
      <c r="I210" s="338" t="s">
        <v>642</v>
      </c>
      <c r="J210" s="680">
        <v>42083</v>
      </c>
    </row>
    <row r="211" spans="1:10">
      <c r="A211" s="337" t="s">
        <v>7</v>
      </c>
      <c r="B211" s="334" t="s">
        <v>19</v>
      </c>
      <c r="C211" s="338" t="s">
        <v>78</v>
      </c>
      <c r="D211" s="338" t="str">
        <f ca="1">IFERROR(OFFSET(Camp_List[P_Code],MATCH(Data_Demography_t[[#This Row],[Camp]],Camp_List[Camp Name],0)-1,0,1,1),"")</f>
        <v>MMR012CMP056</v>
      </c>
      <c r="E211" s="336" t="s">
        <v>677</v>
      </c>
      <c r="F211" s="381" t="s">
        <v>749</v>
      </c>
      <c r="G211" s="335">
        <v>34</v>
      </c>
      <c r="H211" s="168">
        <f t="shared" si="3"/>
        <v>34</v>
      </c>
      <c r="I211" s="338" t="s">
        <v>642</v>
      </c>
      <c r="J211" s="680">
        <v>42083</v>
      </c>
    </row>
    <row r="212" spans="1:10">
      <c r="A212" s="337" t="s">
        <v>7</v>
      </c>
      <c r="B212" s="334" t="s">
        <v>19</v>
      </c>
      <c r="C212" s="338" t="s">
        <v>78</v>
      </c>
      <c r="D212" s="338" t="str">
        <f ca="1">IFERROR(OFFSET(Camp_List[P_Code],MATCH(Data_Demography_t[[#This Row],[Camp]],Camp_List[Camp Name],0)-1,0,1,1),"")</f>
        <v>MMR012CMP056</v>
      </c>
      <c r="E212" s="339" t="s">
        <v>915</v>
      </c>
      <c r="F212" s="338" t="s">
        <v>748</v>
      </c>
      <c r="G212" s="335">
        <v>50</v>
      </c>
      <c r="H212" s="168">
        <f t="shared" si="3"/>
        <v>-50</v>
      </c>
      <c r="I212" s="338" t="s">
        <v>642</v>
      </c>
      <c r="J212" s="680">
        <v>42083</v>
      </c>
    </row>
    <row r="213" spans="1:10">
      <c r="A213" s="337" t="s">
        <v>7</v>
      </c>
      <c r="B213" s="334" t="s">
        <v>19</v>
      </c>
      <c r="C213" s="338" t="s">
        <v>78</v>
      </c>
      <c r="D213" s="338" t="str">
        <f ca="1">IFERROR(OFFSET(Camp_List[P_Code],MATCH(Data_Demography_t[[#This Row],[Camp]],Camp_List[Camp Name],0)-1,0,1,1),"")</f>
        <v>MMR012CMP056</v>
      </c>
      <c r="E213" s="339" t="s">
        <v>915</v>
      </c>
      <c r="F213" s="381" t="s">
        <v>749</v>
      </c>
      <c r="G213" s="335">
        <v>53</v>
      </c>
      <c r="H213" s="168">
        <f t="shared" si="3"/>
        <v>53</v>
      </c>
      <c r="I213" s="338" t="s">
        <v>642</v>
      </c>
      <c r="J213" s="680">
        <v>42083</v>
      </c>
    </row>
    <row r="214" spans="1:10">
      <c r="A214" s="337" t="s">
        <v>7</v>
      </c>
      <c r="B214" s="334" t="s">
        <v>19</v>
      </c>
      <c r="C214" s="338" t="s">
        <v>78</v>
      </c>
      <c r="D214" s="338" t="str">
        <f ca="1">IFERROR(OFFSET(Camp_List[P_Code],MATCH(Data_Demography_t[[#This Row],[Camp]],Camp_List[Camp Name],0)-1,0,1,1),"")</f>
        <v>MMR012CMP056</v>
      </c>
      <c r="E214" s="339" t="s">
        <v>916</v>
      </c>
      <c r="F214" s="338" t="s">
        <v>748</v>
      </c>
      <c r="G214" s="335">
        <v>79</v>
      </c>
      <c r="H214" s="168">
        <f t="shared" si="3"/>
        <v>-79</v>
      </c>
      <c r="I214" s="338" t="s">
        <v>642</v>
      </c>
      <c r="J214" s="680">
        <v>42083</v>
      </c>
    </row>
    <row r="215" spans="1:10">
      <c r="A215" s="337" t="s">
        <v>7</v>
      </c>
      <c r="B215" s="334" t="s">
        <v>19</v>
      </c>
      <c r="C215" s="338" t="s">
        <v>78</v>
      </c>
      <c r="D215" s="338" t="str">
        <f ca="1">IFERROR(OFFSET(Camp_List[P_Code],MATCH(Data_Demography_t[[#This Row],[Camp]],Camp_List[Camp Name],0)-1,0,1,1),"")</f>
        <v>MMR012CMP056</v>
      </c>
      <c r="E215" s="339" t="s">
        <v>916</v>
      </c>
      <c r="F215" s="381" t="s">
        <v>749</v>
      </c>
      <c r="G215" s="335">
        <v>80</v>
      </c>
      <c r="H215" s="168">
        <f t="shared" si="3"/>
        <v>80</v>
      </c>
      <c r="I215" s="338" t="s">
        <v>642</v>
      </c>
      <c r="J215" s="680">
        <v>42083</v>
      </c>
    </row>
    <row r="216" spans="1:10">
      <c r="A216" s="337" t="s">
        <v>7</v>
      </c>
      <c r="B216" s="334" t="s">
        <v>19</v>
      </c>
      <c r="C216" s="338" t="s">
        <v>78</v>
      </c>
      <c r="D216" s="338" t="str">
        <f ca="1">IFERROR(OFFSET(Camp_List[P_Code],MATCH(Data_Demography_t[[#This Row],[Camp]],Camp_List[Camp Name],0)-1,0,1,1),"")</f>
        <v>MMR012CMP056</v>
      </c>
      <c r="E216" s="339" t="s">
        <v>892</v>
      </c>
      <c r="F216" s="338" t="s">
        <v>748</v>
      </c>
      <c r="G216" s="335">
        <v>9</v>
      </c>
      <c r="H216" s="168">
        <f t="shared" si="3"/>
        <v>-9</v>
      </c>
      <c r="I216" s="338" t="s">
        <v>642</v>
      </c>
      <c r="J216" s="679">
        <v>42083</v>
      </c>
    </row>
    <row r="217" spans="1:10">
      <c r="A217" s="337" t="s">
        <v>7</v>
      </c>
      <c r="B217" s="334" t="s">
        <v>19</v>
      </c>
      <c r="C217" s="338" t="s">
        <v>78</v>
      </c>
      <c r="D217" s="338" t="str">
        <f ca="1">IFERROR(OFFSET(Camp_List[P_Code],MATCH(Data_Demography_t[[#This Row],[Camp]],Camp_List[Camp Name],0)-1,0,1,1),"")</f>
        <v>MMR012CMP056</v>
      </c>
      <c r="E217" s="339" t="s">
        <v>892</v>
      </c>
      <c r="F217" s="381" t="s">
        <v>749</v>
      </c>
      <c r="G217" s="335">
        <v>13</v>
      </c>
      <c r="H217" s="168">
        <f t="shared" si="3"/>
        <v>13</v>
      </c>
      <c r="I217" s="338" t="s">
        <v>642</v>
      </c>
      <c r="J217" s="679">
        <v>42083</v>
      </c>
    </row>
    <row r="218" spans="1:10">
      <c r="A218" s="337" t="s">
        <v>7</v>
      </c>
      <c r="B218" s="334" t="s">
        <v>19</v>
      </c>
      <c r="C218" s="338" t="s">
        <v>247</v>
      </c>
      <c r="D218" s="338" t="str">
        <f ca="1">IFERROR(OFFSET(Camp_List[P_Code],MATCH(Data_Demography_t[[#This Row],[Camp]],Camp_List[Camp Name],0)-1,0,1,1),"")</f>
        <v>MMR012CMP093</v>
      </c>
      <c r="E218" s="339" t="s">
        <v>750</v>
      </c>
      <c r="F218" s="338" t="s">
        <v>748</v>
      </c>
      <c r="G218" s="335">
        <v>50</v>
      </c>
      <c r="H218" s="168">
        <f t="shared" si="3"/>
        <v>-50</v>
      </c>
      <c r="I218" s="338" t="s">
        <v>642</v>
      </c>
      <c r="J218" s="680">
        <v>42083</v>
      </c>
    </row>
    <row r="219" spans="1:10">
      <c r="A219" s="337" t="s">
        <v>7</v>
      </c>
      <c r="B219" s="334" t="s">
        <v>19</v>
      </c>
      <c r="C219" s="338" t="s">
        <v>247</v>
      </c>
      <c r="D219" s="338" t="str">
        <f ca="1">IFERROR(OFFSET(Camp_List[P_Code],MATCH(Data_Demography_t[[#This Row],[Camp]],Camp_List[Camp Name],0)-1,0,1,1),"")</f>
        <v>MMR012CMP093</v>
      </c>
      <c r="E219" s="339" t="s">
        <v>750</v>
      </c>
      <c r="F219" s="381" t="s">
        <v>749</v>
      </c>
      <c r="G219" s="335">
        <v>63</v>
      </c>
      <c r="H219" s="168">
        <f t="shared" si="3"/>
        <v>63</v>
      </c>
      <c r="I219" s="338" t="s">
        <v>642</v>
      </c>
      <c r="J219" s="680">
        <v>42083</v>
      </c>
    </row>
    <row r="220" spans="1:10">
      <c r="A220" s="337" t="s">
        <v>7</v>
      </c>
      <c r="B220" s="334" t="s">
        <v>19</v>
      </c>
      <c r="C220" s="338" t="s">
        <v>247</v>
      </c>
      <c r="D220" s="338" t="str">
        <f ca="1">IFERROR(OFFSET(Camp_List[P_Code],MATCH(Data_Demography_t[[#This Row],[Camp]],Camp_List[Camp Name],0)-1,0,1,1),"")</f>
        <v>MMR012CMP093</v>
      </c>
      <c r="E220" s="339" t="s">
        <v>914</v>
      </c>
      <c r="F220" s="338" t="s">
        <v>748</v>
      </c>
      <c r="G220" s="335">
        <v>41</v>
      </c>
      <c r="H220" s="168">
        <f t="shared" si="3"/>
        <v>-41</v>
      </c>
      <c r="I220" s="338" t="s">
        <v>642</v>
      </c>
      <c r="J220" s="680">
        <v>42083</v>
      </c>
    </row>
    <row r="221" spans="1:10">
      <c r="A221" s="337" t="s">
        <v>7</v>
      </c>
      <c r="B221" s="334" t="s">
        <v>19</v>
      </c>
      <c r="C221" s="338" t="s">
        <v>247</v>
      </c>
      <c r="D221" s="338" t="str">
        <f ca="1">IFERROR(OFFSET(Camp_List[P_Code],MATCH(Data_Demography_t[[#This Row],[Camp]],Camp_List[Camp Name],0)-1,0,1,1),"")</f>
        <v>MMR012CMP093</v>
      </c>
      <c r="E221" s="339" t="s">
        <v>914</v>
      </c>
      <c r="F221" s="381" t="s">
        <v>749</v>
      </c>
      <c r="G221" s="335">
        <v>44</v>
      </c>
      <c r="H221" s="168">
        <f t="shared" si="3"/>
        <v>44</v>
      </c>
      <c r="I221" s="338" t="s">
        <v>642</v>
      </c>
      <c r="J221" s="680">
        <v>42083</v>
      </c>
    </row>
    <row r="222" spans="1:10">
      <c r="A222" s="337" t="s">
        <v>7</v>
      </c>
      <c r="B222" s="334" t="s">
        <v>19</v>
      </c>
      <c r="C222" s="338" t="s">
        <v>247</v>
      </c>
      <c r="D222" s="338" t="str">
        <f ca="1">IFERROR(OFFSET(Camp_List[P_Code],MATCH(Data_Demography_t[[#This Row],[Camp]],Camp_List[Camp Name],0)-1,0,1,1),"")</f>
        <v>MMR012CMP093</v>
      </c>
      <c r="E222" s="336" t="s">
        <v>677</v>
      </c>
      <c r="F222" s="338" t="s">
        <v>748</v>
      </c>
      <c r="G222" s="335">
        <v>40</v>
      </c>
      <c r="H222" s="168">
        <f t="shared" si="3"/>
        <v>-40</v>
      </c>
      <c r="I222" s="338" t="s">
        <v>642</v>
      </c>
      <c r="J222" s="680">
        <v>42083</v>
      </c>
    </row>
    <row r="223" spans="1:10">
      <c r="A223" s="337" t="s">
        <v>7</v>
      </c>
      <c r="B223" s="334" t="s">
        <v>19</v>
      </c>
      <c r="C223" s="338" t="s">
        <v>247</v>
      </c>
      <c r="D223" s="338" t="str">
        <f ca="1">IFERROR(OFFSET(Camp_List[P_Code],MATCH(Data_Demography_t[[#This Row],[Camp]],Camp_List[Camp Name],0)-1,0,1,1),"")</f>
        <v>MMR012CMP093</v>
      </c>
      <c r="E223" s="336" t="s">
        <v>677</v>
      </c>
      <c r="F223" s="381" t="s">
        <v>749</v>
      </c>
      <c r="G223" s="335">
        <v>36</v>
      </c>
      <c r="H223" s="168">
        <f t="shared" si="3"/>
        <v>36</v>
      </c>
      <c r="I223" s="338" t="s">
        <v>642</v>
      </c>
      <c r="J223" s="680">
        <v>42083</v>
      </c>
    </row>
    <row r="224" spans="1:10">
      <c r="A224" s="337" t="s">
        <v>7</v>
      </c>
      <c r="B224" s="334" t="s">
        <v>19</v>
      </c>
      <c r="C224" s="338" t="s">
        <v>247</v>
      </c>
      <c r="D224" s="338" t="str">
        <f ca="1">IFERROR(OFFSET(Camp_List[P_Code],MATCH(Data_Demography_t[[#This Row],[Camp]],Camp_List[Camp Name],0)-1,0,1,1),"")</f>
        <v>MMR012CMP093</v>
      </c>
      <c r="E224" s="339" t="s">
        <v>915</v>
      </c>
      <c r="F224" s="338" t="s">
        <v>748</v>
      </c>
      <c r="G224" s="335">
        <v>40</v>
      </c>
      <c r="H224" s="168">
        <f t="shared" si="3"/>
        <v>-40</v>
      </c>
      <c r="I224" s="338" t="s">
        <v>642</v>
      </c>
      <c r="J224" s="680">
        <v>42083</v>
      </c>
    </row>
    <row r="225" spans="1:10">
      <c r="A225" s="337" t="s">
        <v>7</v>
      </c>
      <c r="B225" s="334" t="s">
        <v>19</v>
      </c>
      <c r="C225" s="338" t="s">
        <v>247</v>
      </c>
      <c r="D225" s="338" t="str">
        <f ca="1">IFERROR(OFFSET(Camp_List[P_Code],MATCH(Data_Demography_t[[#This Row],[Camp]],Camp_List[Camp Name],0)-1,0,1,1),"")</f>
        <v>MMR012CMP093</v>
      </c>
      <c r="E225" s="339" t="s">
        <v>915</v>
      </c>
      <c r="F225" s="381" t="s">
        <v>749</v>
      </c>
      <c r="G225" s="335">
        <v>51</v>
      </c>
      <c r="H225" s="168">
        <f t="shared" si="3"/>
        <v>51</v>
      </c>
      <c r="I225" s="338" t="s">
        <v>642</v>
      </c>
      <c r="J225" s="680">
        <v>42083</v>
      </c>
    </row>
    <row r="226" spans="1:10">
      <c r="A226" s="337" t="s">
        <v>7</v>
      </c>
      <c r="B226" s="334" t="s">
        <v>19</v>
      </c>
      <c r="C226" s="338" t="s">
        <v>247</v>
      </c>
      <c r="D226" s="391" t="str">
        <f ca="1">IFERROR(OFFSET(Camp_List[P_Code],MATCH(Data_Demography_t[[#This Row],[Camp]],Camp_List[Camp Name],0)-1,0,1,1),"")</f>
        <v>MMR012CMP093</v>
      </c>
      <c r="E226" s="339" t="s">
        <v>916</v>
      </c>
      <c r="F226" s="338" t="s">
        <v>748</v>
      </c>
      <c r="G226" s="392">
        <v>121</v>
      </c>
      <c r="H226" s="393">
        <f t="shared" si="3"/>
        <v>-121</v>
      </c>
      <c r="I226" s="338" t="s">
        <v>642</v>
      </c>
      <c r="J226" s="680">
        <v>42083</v>
      </c>
    </row>
    <row r="227" spans="1:10">
      <c r="A227" s="337" t="s">
        <v>7</v>
      </c>
      <c r="B227" s="334" t="s">
        <v>19</v>
      </c>
      <c r="C227" s="338" t="s">
        <v>247</v>
      </c>
      <c r="D227" s="391" t="str">
        <f ca="1">IFERROR(OFFSET(Camp_List[P_Code],MATCH(Data_Demography_t[[#This Row],[Camp]],Camp_List[Camp Name],0)-1,0,1,1),"")</f>
        <v>MMR012CMP093</v>
      </c>
      <c r="E227" s="339" t="s">
        <v>916</v>
      </c>
      <c r="F227" s="381" t="s">
        <v>749</v>
      </c>
      <c r="G227" s="392">
        <v>124</v>
      </c>
      <c r="H227" s="393">
        <f t="shared" si="3"/>
        <v>124</v>
      </c>
      <c r="I227" s="338" t="s">
        <v>642</v>
      </c>
      <c r="J227" s="680">
        <v>42083</v>
      </c>
    </row>
    <row r="228" spans="1:10">
      <c r="A228" s="337" t="s">
        <v>7</v>
      </c>
      <c r="B228" s="334" t="s">
        <v>19</v>
      </c>
      <c r="C228" s="338" t="s">
        <v>247</v>
      </c>
      <c r="D228" s="338" t="str">
        <f ca="1">IFERROR(OFFSET(Camp_List[P_Code],MATCH(Data_Demography_t[[#This Row],[Camp]],Camp_List[Camp Name],0)-1,0,1,1),"")</f>
        <v>MMR012CMP093</v>
      </c>
      <c r="E228" s="339" t="s">
        <v>892</v>
      </c>
      <c r="F228" s="338" t="s">
        <v>748</v>
      </c>
      <c r="G228" s="335">
        <v>7</v>
      </c>
      <c r="H228" s="168">
        <f t="shared" si="3"/>
        <v>-7</v>
      </c>
      <c r="I228" s="338" t="s">
        <v>642</v>
      </c>
      <c r="J228" s="680">
        <v>42083</v>
      </c>
    </row>
    <row r="229" spans="1:10">
      <c r="A229" s="337" t="s">
        <v>7</v>
      </c>
      <c r="B229" s="334" t="s">
        <v>19</v>
      </c>
      <c r="C229" s="338" t="s">
        <v>247</v>
      </c>
      <c r="D229" s="338" t="str">
        <f ca="1">IFERROR(OFFSET(Camp_List[P_Code],MATCH(Data_Demography_t[[#This Row],[Camp]],Camp_List[Camp Name],0)-1,0,1,1),"")</f>
        <v>MMR012CMP093</v>
      </c>
      <c r="E229" s="339" t="s">
        <v>892</v>
      </c>
      <c r="F229" s="381" t="s">
        <v>749</v>
      </c>
      <c r="G229" s="335">
        <v>23</v>
      </c>
      <c r="H229" s="168">
        <f t="shared" si="3"/>
        <v>23</v>
      </c>
      <c r="I229" s="338" t="s">
        <v>642</v>
      </c>
      <c r="J229" s="680">
        <v>42083</v>
      </c>
    </row>
    <row r="230" spans="1:10">
      <c r="A230" s="337" t="s">
        <v>7</v>
      </c>
      <c r="B230" s="334" t="s">
        <v>14</v>
      </c>
      <c r="C230" s="338" t="s">
        <v>43</v>
      </c>
      <c r="D230" s="395" t="str">
        <f ca="1">IFERROR(OFFSET(Camp_List[P_Code],MATCH(Data_Demography_t[[#This Row],[Camp]],Camp_List[Camp Name],0)-1,0,1,1),"")</f>
        <v>MMR012CMP019</v>
      </c>
      <c r="E230" s="339" t="s">
        <v>750</v>
      </c>
      <c r="F230" s="338" t="s">
        <v>748</v>
      </c>
      <c r="G230" s="335">
        <v>231</v>
      </c>
      <c r="H230" s="168">
        <f t="shared" ref="H230:H231" si="4">IF(F230="M",-G230,G230)</f>
        <v>-231</v>
      </c>
      <c r="I230" s="338" t="s">
        <v>753</v>
      </c>
      <c r="J230" s="680">
        <v>42212</v>
      </c>
    </row>
    <row r="231" spans="1:10">
      <c r="A231" s="337" t="s">
        <v>7</v>
      </c>
      <c r="B231" s="334" t="s">
        <v>14</v>
      </c>
      <c r="C231" s="338" t="s">
        <v>43</v>
      </c>
      <c r="D231" s="395" t="str">
        <f ca="1">IFERROR(OFFSET(Camp_List[P_Code],MATCH(Data_Demography_t[[#This Row],[Camp]],Camp_List[Camp Name],0)-1,0,1,1),"")</f>
        <v>MMR012CMP019</v>
      </c>
      <c r="E231" s="339" t="s">
        <v>750</v>
      </c>
      <c r="F231" s="381" t="s">
        <v>749</v>
      </c>
      <c r="G231" s="335">
        <v>196</v>
      </c>
      <c r="H231" s="168">
        <f t="shared" si="4"/>
        <v>196</v>
      </c>
      <c r="I231" s="338" t="s">
        <v>753</v>
      </c>
      <c r="J231" s="680">
        <v>42212</v>
      </c>
    </row>
    <row r="232" spans="1:10">
      <c r="A232" s="337" t="s">
        <v>7</v>
      </c>
      <c r="B232" s="334" t="s">
        <v>14</v>
      </c>
      <c r="C232" s="338" t="s">
        <v>43</v>
      </c>
      <c r="D232" s="338" t="str">
        <f ca="1">IFERROR(OFFSET(Camp_List[P_Code],MATCH(Data_Demography_t[[#This Row],[Camp]],Camp_List[Camp Name],0)-1,0,1,1),"")</f>
        <v>MMR012CMP019</v>
      </c>
      <c r="E232" s="339" t="s">
        <v>914</v>
      </c>
      <c r="F232" s="338" t="s">
        <v>748</v>
      </c>
      <c r="G232" s="335">
        <v>218</v>
      </c>
      <c r="H232" s="168">
        <f t="shared" ref="H232:H277" si="5">IF(F232="M",-G232,G232)</f>
        <v>-218</v>
      </c>
      <c r="I232" s="338" t="s">
        <v>753</v>
      </c>
      <c r="J232" s="680">
        <v>42212</v>
      </c>
    </row>
    <row r="233" spans="1:10">
      <c r="A233" s="337" t="s">
        <v>7</v>
      </c>
      <c r="B233" s="334" t="s">
        <v>14</v>
      </c>
      <c r="C233" s="338" t="s">
        <v>43</v>
      </c>
      <c r="D233" s="338" t="str">
        <f ca="1">IFERROR(OFFSET(Camp_List[P_Code],MATCH(Data_Demography_t[[#This Row],[Camp]],Camp_List[Camp Name],0)-1,0,1,1),"")</f>
        <v>MMR012CMP019</v>
      </c>
      <c r="E233" s="339" t="s">
        <v>914</v>
      </c>
      <c r="F233" s="381" t="s">
        <v>749</v>
      </c>
      <c r="G233" s="335">
        <v>204</v>
      </c>
      <c r="H233" s="168">
        <f t="shared" si="5"/>
        <v>204</v>
      </c>
      <c r="I233" s="338" t="s">
        <v>753</v>
      </c>
      <c r="J233" s="680">
        <v>42212</v>
      </c>
    </row>
    <row r="234" spans="1:10">
      <c r="A234" s="337" t="s">
        <v>7</v>
      </c>
      <c r="B234" s="334" t="s">
        <v>14</v>
      </c>
      <c r="C234" s="338" t="s">
        <v>43</v>
      </c>
      <c r="D234" s="338" t="str">
        <f ca="1">IFERROR(OFFSET(Camp_List[P_Code],MATCH(Data_Demography_t[[#This Row],[Camp]],Camp_List[Camp Name],0)-1,0,1,1),"")</f>
        <v>MMR012CMP019</v>
      </c>
      <c r="E234" s="336" t="s">
        <v>677</v>
      </c>
      <c r="F234" s="338" t="s">
        <v>748</v>
      </c>
      <c r="G234" s="335">
        <v>199</v>
      </c>
      <c r="H234" s="168">
        <f t="shared" si="5"/>
        <v>-199</v>
      </c>
      <c r="I234" s="338" t="s">
        <v>753</v>
      </c>
      <c r="J234" s="680">
        <v>42212</v>
      </c>
    </row>
    <row r="235" spans="1:10">
      <c r="A235" s="337" t="s">
        <v>7</v>
      </c>
      <c r="B235" s="334" t="s">
        <v>14</v>
      </c>
      <c r="C235" s="338" t="s">
        <v>43</v>
      </c>
      <c r="D235" s="338" t="str">
        <f ca="1">IFERROR(OFFSET(Camp_List[P_Code],MATCH(Data_Demography_t[[#This Row],[Camp]],Camp_List[Camp Name],0)-1,0,1,1),"")</f>
        <v>MMR012CMP019</v>
      </c>
      <c r="E235" s="336" t="s">
        <v>677</v>
      </c>
      <c r="F235" s="381" t="s">
        <v>749</v>
      </c>
      <c r="G235" s="335">
        <v>179</v>
      </c>
      <c r="H235" s="168">
        <f t="shared" si="5"/>
        <v>179</v>
      </c>
      <c r="I235" s="338" t="s">
        <v>753</v>
      </c>
      <c r="J235" s="680">
        <v>42212</v>
      </c>
    </row>
    <row r="236" spans="1:10">
      <c r="A236" s="337" t="s">
        <v>7</v>
      </c>
      <c r="B236" s="334" t="s">
        <v>14</v>
      </c>
      <c r="C236" s="338" t="s">
        <v>43</v>
      </c>
      <c r="D236" s="338" t="str">
        <f ca="1">IFERROR(OFFSET(Camp_List[P_Code],MATCH(Data_Demography_t[[#This Row],[Camp]],Camp_List[Camp Name],0)-1,0,1,1),"")</f>
        <v>MMR012CMP019</v>
      </c>
      <c r="E236" s="339" t="s">
        <v>915</v>
      </c>
      <c r="F236" s="338" t="s">
        <v>748</v>
      </c>
      <c r="G236" s="335">
        <v>216</v>
      </c>
      <c r="H236" s="168">
        <f t="shared" si="5"/>
        <v>-216</v>
      </c>
      <c r="I236" s="338" t="s">
        <v>753</v>
      </c>
      <c r="J236" s="680">
        <v>42212</v>
      </c>
    </row>
    <row r="237" spans="1:10">
      <c r="A237" s="337" t="s">
        <v>7</v>
      </c>
      <c r="B237" s="334" t="s">
        <v>14</v>
      </c>
      <c r="C237" s="338" t="s">
        <v>43</v>
      </c>
      <c r="D237" s="338" t="str">
        <f ca="1">IFERROR(OFFSET(Camp_List[P_Code],MATCH(Data_Demography_t[[#This Row],[Camp]],Camp_List[Camp Name],0)-1,0,1,1),"")</f>
        <v>MMR012CMP019</v>
      </c>
      <c r="E237" s="339" t="s">
        <v>915</v>
      </c>
      <c r="F237" s="381" t="s">
        <v>749</v>
      </c>
      <c r="G237" s="335">
        <v>248</v>
      </c>
      <c r="H237" s="168">
        <f t="shared" si="5"/>
        <v>248</v>
      </c>
      <c r="I237" s="338" t="s">
        <v>753</v>
      </c>
      <c r="J237" s="680">
        <v>42212</v>
      </c>
    </row>
    <row r="238" spans="1:10">
      <c r="A238" s="337" t="s">
        <v>7</v>
      </c>
      <c r="B238" s="334" t="s">
        <v>14</v>
      </c>
      <c r="C238" s="338" t="s">
        <v>43</v>
      </c>
      <c r="D238" s="338" t="str">
        <f ca="1">IFERROR(OFFSET(Camp_List[P_Code],MATCH(Data_Demography_t[[#This Row],[Camp]],Camp_List[Camp Name],0)-1,0,1,1),"")</f>
        <v>MMR012CMP019</v>
      </c>
      <c r="E238" s="339" t="s">
        <v>916</v>
      </c>
      <c r="F238" s="338" t="s">
        <v>748</v>
      </c>
      <c r="G238" s="335">
        <v>422</v>
      </c>
      <c r="H238" s="168">
        <f t="shared" si="5"/>
        <v>-422</v>
      </c>
      <c r="I238" s="338" t="s">
        <v>753</v>
      </c>
      <c r="J238" s="680">
        <v>42212</v>
      </c>
    </row>
    <row r="239" spans="1:10">
      <c r="A239" s="337" t="s">
        <v>7</v>
      </c>
      <c r="B239" s="334" t="s">
        <v>14</v>
      </c>
      <c r="C239" s="338" t="s">
        <v>43</v>
      </c>
      <c r="D239" s="338" t="str">
        <f ca="1">IFERROR(OFFSET(Camp_List[P_Code],MATCH(Data_Demography_t[[#This Row],[Camp]],Camp_List[Camp Name],0)-1,0,1,1),"")</f>
        <v>MMR012CMP019</v>
      </c>
      <c r="E239" s="339" t="s">
        <v>916</v>
      </c>
      <c r="F239" s="381" t="s">
        <v>749</v>
      </c>
      <c r="G239" s="335">
        <v>454</v>
      </c>
      <c r="H239" s="168">
        <f t="shared" si="5"/>
        <v>454</v>
      </c>
      <c r="I239" s="338" t="s">
        <v>753</v>
      </c>
      <c r="J239" s="680">
        <v>42212</v>
      </c>
    </row>
    <row r="240" spans="1:10">
      <c r="A240" s="337" t="s">
        <v>7</v>
      </c>
      <c r="B240" s="334" t="s">
        <v>14</v>
      </c>
      <c r="C240" s="338" t="s">
        <v>43</v>
      </c>
      <c r="D240" s="338" t="str">
        <f ca="1">IFERROR(OFFSET(Camp_List[P_Code],MATCH(Data_Demography_t[[#This Row],[Camp]],Camp_List[Camp Name],0)-1,0,1,1),"")</f>
        <v>MMR012CMP019</v>
      </c>
      <c r="E240" s="339" t="s">
        <v>892</v>
      </c>
      <c r="F240" s="340" t="s">
        <v>748</v>
      </c>
      <c r="G240" s="335">
        <v>40</v>
      </c>
      <c r="H240" s="168">
        <f t="shared" si="5"/>
        <v>-40</v>
      </c>
      <c r="I240" s="338" t="s">
        <v>753</v>
      </c>
      <c r="J240" s="680">
        <v>42212</v>
      </c>
    </row>
    <row r="241" spans="1:10">
      <c r="A241" s="337" t="s">
        <v>7</v>
      </c>
      <c r="B241" s="334" t="s">
        <v>14</v>
      </c>
      <c r="C241" s="338" t="s">
        <v>43</v>
      </c>
      <c r="D241" s="338" t="str">
        <f ca="1">IFERROR(OFFSET(Camp_List[P_Code],MATCH(Data_Demography_t[[#This Row],[Camp]],Camp_List[Camp Name],0)-1,0,1,1),"")</f>
        <v>MMR012CMP019</v>
      </c>
      <c r="E241" s="339" t="s">
        <v>892</v>
      </c>
      <c r="F241" s="340" t="s">
        <v>749</v>
      </c>
      <c r="G241" s="335">
        <v>61</v>
      </c>
      <c r="H241" s="168">
        <f t="shared" si="5"/>
        <v>61</v>
      </c>
      <c r="I241" s="338" t="s">
        <v>753</v>
      </c>
      <c r="J241" s="680">
        <v>42212</v>
      </c>
    </row>
    <row r="242" spans="1:10">
      <c r="A242" s="337" t="s">
        <v>7</v>
      </c>
      <c r="B242" s="370" t="s">
        <v>900</v>
      </c>
      <c r="C242" s="381" t="s">
        <v>38</v>
      </c>
      <c r="D242" s="391" t="str">
        <f ca="1">IFERROR(OFFSET(Camp_List[P_Code],MATCH(Data_Demography_t[[#This Row],[Camp]],Camp_List[Camp Name],0)-1,0,1,1),"")</f>
        <v>MMR012CMP014</v>
      </c>
      <c r="E242" s="339" t="s">
        <v>750</v>
      </c>
      <c r="F242" s="338" t="s">
        <v>748</v>
      </c>
      <c r="G242" s="392">
        <v>238</v>
      </c>
      <c r="H242" s="393">
        <f t="shared" si="5"/>
        <v>-238</v>
      </c>
      <c r="I242" s="390" t="s">
        <v>730</v>
      </c>
      <c r="J242" s="682">
        <v>42128</v>
      </c>
    </row>
    <row r="243" spans="1:10">
      <c r="A243" s="337" t="s">
        <v>7</v>
      </c>
      <c r="B243" s="370" t="s">
        <v>900</v>
      </c>
      <c r="C243" s="381" t="s">
        <v>38</v>
      </c>
      <c r="D243" s="391" t="str">
        <f ca="1">IFERROR(OFFSET(Camp_List[P_Code],MATCH(Data_Demography_t[[#This Row],[Camp]],Camp_List[Camp Name],0)-1,0,1,1),"")</f>
        <v>MMR012CMP014</v>
      </c>
      <c r="E243" s="339" t="s">
        <v>750</v>
      </c>
      <c r="F243" s="381" t="s">
        <v>749</v>
      </c>
      <c r="G243" s="392">
        <v>266</v>
      </c>
      <c r="H243" s="393">
        <f t="shared" si="5"/>
        <v>266</v>
      </c>
      <c r="I243" s="390" t="s">
        <v>730</v>
      </c>
      <c r="J243" s="682">
        <v>42128</v>
      </c>
    </row>
    <row r="244" spans="1:10">
      <c r="A244" s="337" t="s">
        <v>7</v>
      </c>
      <c r="B244" s="370" t="s">
        <v>900</v>
      </c>
      <c r="C244" s="381" t="s">
        <v>38</v>
      </c>
      <c r="D244" s="391" t="str">
        <f ca="1">IFERROR(OFFSET(Camp_List[P_Code],MATCH(Data_Demography_t[[#This Row],[Camp]],Camp_List[Camp Name],0)-1,0,1,1),"")</f>
        <v>MMR012CMP014</v>
      </c>
      <c r="E244" s="339" t="s">
        <v>914</v>
      </c>
      <c r="F244" s="338" t="s">
        <v>748</v>
      </c>
      <c r="G244" s="392">
        <v>237</v>
      </c>
      <c r="H244" s="393">
        <f t="shared" si="5"/>
        <v>-237</v>
      </c>
      <c r="I244" s="390" t="s">
        <v>730</v>
      </c>
      <c r="J244" s="682">
        <v>42128</v>
      </c>
    </row>
    <row r="245" spans="1:10">
      <c r="A245" s="337" t="s">
        <v>7</v>
      </c>
      <c r="B245" s="370" t="s">
        <v>900</v>
      </c>
      <c r="C245" s="381" t="s">
        <v>38</v>
      </c>
      <c r="D245" s="391" t="str">
        <f ca="1">IFERROR(OFFSET(Camp_List[P_Code],MATCH(Data_Demography_t[[#This Row],[Camp]],Camp_List[Camp Name],0)-1,0,1,1),"")</f>
        <v>MMR012CMP014</v>
      </c>
      <c r="E245" s="339" t="s">
        <v>914</v>
      </c>
      <c r="F245" s="381" t="s">
        <v>749</v>
      </c>
      <c r="G245" s="392">
        <v>259</v>
      </c>
      <c r="H245" s="393">
        <f t="shared" si="5"/>
        <v>259</v>
      </c>
      <c r="I245" s="390" t="s">
        <v>730</v>
      </c>
      <c r="J245" s="682">
        <v>42128</v>
      </c>
    </row>
    <row r="246" spans="1:10">
      <c r="A246" s="337" t="s">
        <v>7</v>
      </c>
      <c r="B246" s="370" t="s">
        <v>900</v>
      </c>
      <c r="C246" s="381" t="s">
        <v>38</v>
      </c>
      <c r="D246" s="391" t="str">
        <f ca="1">IFERROR(OFFSET(Camp_List[P_Code],MATCH(Data_Demography_t[[#This Row],[Camp]],Camp_List[Camp Name],0)-1,0,1,1),"")</f>
        <v>MMR012CMP014</v>
      </c>
      <c r="E246" s="336" t="s">
        <v>677</v>
      </c>
      <c r="F246" s="338" t="s">
        <v>748</v>
      </c>
      <c r="G246" s="392">
        <v>193</v>
      </c>
      <c r="H246" s="393">
        <f t="shared" si="5"/>
        <v>-193</v>
      </c>
      <c r="I246" s="390" t="s">
        <v>730</v>
      </c>
      <c r="J246" s="682">
        <v>42128</v>
      </c>
    </row>
    <row r="247" spans="1:10">
      <c r="A247" s="337" t="s">
        <v>7</v>
      </c>
      <c r="B247" s="370" t="s">
        <v>900</v>
      </c>
      <c r="C247" s="381" t="s">
        <v>38</v>
      </c>
      <c r="D247" s="391" t="str">
        <f ca="1">IFERROR(OFFSET(Camp_List[P_Code],MATCH(Data_Demography_t[[#This Row],[Camp]],Camp_List[Camp Name],0)-1,0,1,1),"")</f>
        <v>MMR012CMP014</v>
      </c>
      <c r="E247" s="336" t="s">
        <v>677</v>
      </c>
      <c r="F247" s="381" t="s">
        <v>749</v>
      </c>
      <c r="G247" s="392">
        <v>209</v>
      </c>
      <c r="H247" s="393">
        <f t="shared" si="5"/>
        <v>209</v>
      </c>
      <c r="I247" s="390" t="s">
        <v>730</v>
      </c>
      <c r="J247" s="682">
        <v>42128</v>
      </c>
    </row>
    <row r="248" spans="1:10">
      <c r="A248" s="337" t="s">
        <v>7</v>
      </c>
      <c r="B248" s="370" t="s">
        <v>900</v>
      </c>
      <c r="C248" s="381" t="s">
        <v>38</v>
      </c>
      <c r="D248" s="391" t="str">
        <f ca="1">IFERROR(OFFSET(Camp_List[P_Code],MATCH(Data_Demography_t[[#This Row],[Camp]],Camp_List[Camp Name],0)-1,0,1,1),"")</f>
        <v>MMR012CMP014</v>
      </c>
      <c r="E248" s="339" t="s">
        <v>915</v>
      </c>
      <c r="F248" s="338" t="s">
        <v>748</v>
      </c>
      <c r="G248" s="392">
        <v>165</v>
      </c>
      <c r="H248" s="393">
        <f t="shared" si="5"/>
        <v>-165</v>
      </c>
      <c r="I248" s="390" t="s">
        <v>730</v>
      </c>
      <c r="J248" s="682">
        <v>42128</v>
      </c>
    </row>
    <row r="249" spans="1:10">
      <c r="A249" s="337" t="s">
        <v>7</v>
      </c>
      <c r="B249" s="370" t="s">
        <v>900</v>
      </c>
      <c r="C249" s="381" t="s">
        <v>38</v>
      </c>
      <c r="D249" s="338" t="str">
        <f ca="1">IFERROR(OFFSET(Camp_List[P_Code],MATCH(Data_Demography_t[[#This Row],[Camp]],Camp_List[Camp Name],0)-1,0,1,1),"")</f>
        <v>MMR012CMP014</v>
      </c>
      <c r="E249" s="339" t="s">
        <v>915</v>
      </c>
      <c r="F249" s="381" t="s">
        <v>749</v>
      </c>
      <c r="G249" s="335">
        <v>195</v>
      </c>
      <c r="H249" s="168">
        <f t="shared" si="5"/>
        <v>195</v>
      </c>
      <c r="I249" s="390" t="s">
        <v>730</v>
      </c>
      <c r="J249" s="682">
        <v>42128</v>
      </c>
    </row>
    <row r="250" spans="1:10">
      <c r="A250" s="337" t="s">
        <v>7</v>
      </c>
      <c r="B250" s="370" t="s">
        <v>900</v>
      </c>
      <c r="C250" s="381" t="s">
        <v>38</v>
      </c>
      <c r="D250" s="338" t="str">
        <f ca="1">IFERROR(OFFSET(Camp_List[P_Code],MATCH(Data_Demography_t[[#This Row],[Camp]],Camp_List[Camp Name],0)-1,0,1,1),"")</f>
        <v>MMR012CMP014</v>
      </c>
      <c r="E250" s="339" t="s">
        <v>916</v>
      </c>
      <c r="F250" s="338" t="s">
        <v>748</v>
      </c>
      <c r="G250" s="335">
        <v>375</v>
      </c>
      <c r="H250" s="168">
        <f t="shared" si="5"/>
        <v>-375</v>
      </c>
      <c r="I250" s="390" t="s">
        <v>730</v>
      </c>
      <c r="J250" s="682">
        <v>42128</v>
      </c>
    </row>
    <row r="251" spans="1:10">
      <c r="A251" s="337" t="s">
        <v>7</v>
      </c>
      <c r="B251" s="370" t="s">
        <v>900</v>
      </c>
      <c r="C251" s="381" t="s">
        <v>38</v>
      </c>
      <c r="D251" s="391" t="str">
        <f ca="1">IFERROR(OFFSET(Camp_List[P_Code],MATCH(Data_Demography_t[[#This Row],[Camp]],Camp_List[Camp Name],0)-1,0,1,1),"")</f>
        <v>MMR012CMP014</v>
      </c>
      <c r="E251" s="339" t="s">
        <v>916</v>
      </c>
      <c r="F251" s="381" t="s">
        <v>749</v>
      </c>
      <c r="G251" s="392">
        <v>471</v>
      </c>
      <c r="H251" s="393">
        <f t="shared" si="5"/>
        <v>471</v>
      </c>
      <c r="I251" s="390" t="s">
        <v>730</v>
      </c>
      <c r="J251" s="682">
        <v>42128</v>
      </c>
    </row>
    <row r="252" spans="1:10">
      <c r="A252" s="337" t="s">
        <v>7</v>
      </c>
      <c r="B252" s="334" t="s">
        <v>900</v>
      </c>
      <c r="C252" s="338" t="s">
        <v>38</v>
      </c>
      <c r="D252" s="338" t="str">
        <f ca="1">IFERROR(OFFSET(Camp_List[P_Code],MATCH(Data_Demography_t[[#This Row],[Camp]],Camp_List[Camp Name],0)-1,0,1,1),"")</f>
        <v>MMR012CMP014</v>
      </c>
      <c r="E252" s="339" t="s">
        <v>892</v>
      </c>
      <c r="F252" s="340" t="s">
        <v>748</v>
      </c>
      <c r="G252" s="335">
        <v>51</v>
      </c>
      <c r="H252" s="168">
        <f t="shared" si="5"/>
        <v>-51</v>
      </c>
      <c r="I252" s="338" t="s">
        <v>730</v>
      </c>
      <c r="J252" s="679">
        <v>42128</v>
      </c>
    </row>
    <row r="253" spans="1:10">
      <c r="A253" s="337" t="s">
        <v>7</v>
      </c>
      <c r="B253" s="334" t="s">
        <v>900</v>
      </c>
      <c r="C253" s="338" t="s">
        <v>38</v>
      </c>
      <c r="D253" s="338" t="str">
        <f ca="1">IFERROR(OFFSET(Camp_List[P_Code],MATCH(Data_Demography_t[[#This Row],[Camp]],Camp_List[Camp Name],0)-1,0,1,1),"")</f>
        <v>MMR012CMP014</v>
      </c>
      <c r="E253" s="339" t="s">
        <v>892</v>
      </c>
      <c r="F253" s="340" t="s">
        <v>749</v>
      </c>
      <c r="G253" s="335">
        <v>42</v>
      </c>
      <c r="H253" s="168">
        <f t="shared" si="5"/>
        <v>42</v>
      </c>
      <c r="I253" s="338" t="s">
        <v>730</v>
      </c>
      <c r="J253" s="679">
        <v>42128</v>
      </c>
    </row>
    <row r="254" spans="1:10">
      <c r="A254" s="337" t="s">
        <v>7</v>
      </c>
      <c r="B254" s="334" t="s">
        <v>19</v>
      </c>
      <c r="C254" s="338" t="s">
        <v>68</v>
      </c>
      <c r="D254" s="338" t="str">
        <f ca="1">IFERROR(OFFSET(Camp_List[P_Code],MATCH(Data_Demography_t[[#This Row],[Camp]],Camp_List[Camp Name],0)-1,0,1,1),"")</f>
        <v>MMR012CMP046</v>
      </c>
      <c r="E254" s="339" t="s">
        <v>750</v>
      </c>
      <c r="F254" s="338" t="s">
        <v>748</v>
      </c>
      <c r="G254" s="335">
        <v>842</v>
      </c>
      <c r="H254" s="168">
        <f t="shared" si="5"/>
        <v>-842</v>
      </c>
      <c r="I254" s="338" t="s">
        <v>642</v>
      </c>
      <c r="J254" s="679">
        <v>42113</v>
      </c>
    </row>
    <row r="255" spans="1:10">
      <c r="A255" s="337" t="s">
        <v>7</v>
      </c>
      <c r="B255" s="334" t="s">
        <v>19</v>
      </c>
      <c r="C255" s="338" t="s">
        <v>68</v>
      </c>
      <c r="D255" s="338" t="str">
        <f ca="1">IFERROR(OFFSET(Camp_List[P_Code],MATCH(Data_Demography_t[[#This Row],[Camp]],Camp_List[Camp Name],0)-1,0,1,1),"")</f>
        <v>MMR012CMP046</v>
      </c>
      <c r="E255" s="339" t="s">
        <v>750</v>
      </c>
      <c r="F255" s="381" t="s">
        <v>749</v>
      </c>
      <c r="G255" s="335">
        <v>951</v>
      </c>
      <c r="H255" s="168">
        <f t="shared" si="5"/>
        <v>951</v>
      </c>
      <c r="I255" s="338" t="s">
        <v>642</v>
      </c>
      <c r="J255" s="679">
        <v>42113</v>
      </c>
    </row>
    <row r="256" spans="1:10">
      <c r="A256" s="337" t="s">
        <v>7</v>
      </c>
      <c r="B256" s="334" t="s">
        <v>19</v>
      </c>
      <c r="C256" s="338" t="s">
        <v>68</v>
      </c>
      <c r="D256" s="338" t="str">
        <f ca="1">IFERROR(OFFSET(Camp_List[P_Code],MATCH(Data_Demography_t[[#This Row],[Camp]],Camp_List[Camp Name],0)-1,0,1,1),"")</f>
        <v>MMR012CMP046</v>
      </c>
      <c r="E256" s="339" t="s">
        <v>914</v>
      </c>
      <c r="F256" s="338" t="s">
        <v>748</v>
      </c>
      <c r="G256" s="335">
        <v>1027</v>
      </c>
      <c r="H256" s="168">
        <f t="shared" si="5"/>
        <v>-1027</v>
      </c>
      <c r="I256" s="338" t="s">
        <v>642</v>
      </c>
      <c r="J256" s="679">
        <v>42113</v>
      </c>
    </row>
    <row r="257" spans="1:10">
      <c r="A257" s="337" t="s">
        <v>7</v>
      </c>
      <c r="B257" s="334" t="s">
        <v>19</v>
      </c>
      <c r="C257" s="338" t="s">
        <v>68</v>
      </c>
      <c r="D257" s="338" t="str">
        <f ca="1">IFERROR(OFFSET(Camp_List[P_Code],MATCH(Data_Demography_t[[#This Row],[Camp]],Camp_List[Camp Name],0)-1,0,1,1),"")</f>
        <v>MMR012CMP046</v>
      </c>
      <c r="E257" s="339" t="s">
        <v>914</v>
      </c>
      <c r="F257" s="381" t="s">
        <v>749</v>
      </c>
      <c r="G257" s="335">
        <v>987</v>
      </c>
      <c r="H257" s="168">
        <f t="shared" si="5"/>
        <v>987</v>
      </c>
      <c r="I257" s="338" t="s">
        <v>642</v>
      </c>
      <c r="J257" s="679">
        <v>42113</v>
      </c>
    </row>
    <row r="258" spans="1:10">
      <c r="A258" s="337" t="s">
        <v>7</v>
      </c>
      <c r="B258" s="334" t="s">
        <v>19</v>
      </c>
      <c r="C258" s="338" t="s">
        <v>68</v>
      </c>
      <c r="D258" s="338" t="str">
        <f ca="1">IFERROR(OFFSET(Camp_List[P_Code],MATCH(Data_Demography_t[[#This Row],[Camp]],Camp_List[Camp Name],0)-1,0,1,1),"")</f>
        <v>MMR012CMP046</v>
      </c>
      <c r="E258" s="336" t="s">
        <v>677</v>
      </c>
      <c r="F258" s="338" t="s">
        <v>748</v>
      </c>
      <c r="G258" s="335">
        <v>960</v>
      </c>
      <c r="H258" s="168">
        <f t="shared" si="5"/>
        <v>-960</v>
      </c>
      <c r="I258" s="338" t="s">
        <v>642</v>
      </c>
      <c r="J258" s="679">
        <v>42113</v>
      </c>
    </row>
    <row r="259" spans="1:10">
      <c r="A259" s="337" t="s">
        <v>7</v>
      </c>
      <c r="B259" s="334" t="s">
        <v>19</v>
      </c>
      <c r="C259" s="338" t="s">
        <v>68</v>
      </c>
      <c r="D259" s="338" t="str">
        <f ca="1">IFERROR(OFFSET(Camp_List[P_Code],MATCH(Data_Demography_t[[#This Row],[Camp]],Camp_List[Camp Name],0)-1,0,1,1),"")</f>
        <v>MMR012CMP046</v>
      </c>
      <c r="E259" s="336" t="s">
        <v>677</v>
      </c>
      <c r="F259" s="381" t="s">
        <v>749</v>
      </c>
      <c r="G259" s="335">
        <v>924</v>
      </c>
      <c r="H259" s="168">
        <f t="shared" si="5"/>
        <v>924</v>
      </c>
      <c r="I259" s="338" t="s">
        <v>642</v>
      </c>
      <c r="J259" s="679">
        <v>42113</v>
      </c>
    </row>
    <row r="260" spans="1:10">
      <c r="A260" s="337" t="s">
        <v>7</v>
      </c>
      <c r="B260" s="334" t="s">
        <v>19</v>
      </c>
      <c r="C260" s="338" t="s">
        <v>68</v>
      </c>
      <c r="D260" s="338" t="str">
        <f ca="1">IFERROR(OFFSET(Camp_List[P_Code],MATCH(Data_Demography_t[[#This Row],[Camp]],Camp_List[Camp Name],0)-1,0,1,1),"")</f>
        <v>MMR012CMP046</v>
      </c>
      <c r="E260" s="339" t="s">
        <v>915</v>
      </c>
      <c r="F260" s="338" t="s">
        <v>748</v>
      </c>
      <c r="G260" s="335">
        <v>1002</v>
      </c>
      <c r="H260" s="168">
        <f t="shared" si="5"/>
        <v>-1002</v>
      </c>
      <c r="I260" s="338" t="s">
        <v>642</v>
      </c>
      <c r="J260" s="679">
        <v>42113</v>
      </c>
    </row>
    <row r="261" spans="1:10">
      <c r="A261" s="337" t="s">
        <v>7</v>
      </c>
      <c r="B261" s="334" t="s">
        <v>19</v>
      </c>
      <c r="C261" s="338" t="s">
        <v>68</v>
      </c>
      <c r="D261" s="338" t="str">
        <f ca="1">IFERROR(OFFSET(Camp_List[P_Code],MATCH(Data_Demography_t[[#This Row],[Camp]],Camp_List[Camp Name],0)-1,0,1,1),"")</f>
        <v>MMR012CMP046</v>
      </c>
      <c r="E261" s="339" t="s">
        <v>915</v>
      </c>
      <c r="F261" s="381" t="s">
        <v>749</v>
      </c>
      <c r="G261" s="335">
        <v>1217</v>
      </c>
      <c r="H261" s="168">
        <f t="shared" si="5"/>
        <v>1217</v>
      </c>
      <c r="I261" s="338" t="s">
        <v>642</v>
      </c>
      <c r="J261" s="679">
        <v>42113</v>
      </c>
    </row>
    <row r="262" spans="1:10">
      <c r="A262" s="337" t="s">
        <v>7</v>
      </c>
      <c r="B262" s="334" t="s">
        <v>19</v>
      </c>
      <c r="C262" s="338" t="s">
        <v>68</v>
      </c>
      <c r="D262" s="391" t="str">
        <f ca="1">IFERROR(OFFSET(Camp_List[P_Code],MATCH(Data_Demography_t[[#This Row],[Camp]],Camp_List[Camp Name],0)-1,0,1,1),"")</f>
        <v>MMR012CMP046</v>
      </c>
      <c r="E262" s="339" t="s">
        <v>916</v>
      </c>
      <c r="F262" s="338" t="s">
        <v>748</v>
      </c>
      <c r="G262" s="392">
        <v>1554</v>
      </c>
      <c r="H262" s="393">
        <f t="shared" si="5"/>
        <v>-1554</v>
      </c>
      <c r="I262" s="338" t="s">
        <v>642</v>
      </c>
      <c r="J262" s="679">
        <v>42113</v>
      </c>
    </row>
    <row r="263" spans="1:10">
      <c r="A263" s="337" t="s">
        <v>7</v>
      </c>
      <c r="B263" s="334" t="s">
        <v>19</v>
      </c>
      <c r="C263" s="338" t="s">
        <v>68</v>
      </c>
      <c r="D263" s="391" t="str">
        <f ca="1">IFERROR(OFFSET(Camp_List[P_Code],MATCH(Data_Demography_t[[#This Row],[Camp]],Camp_List[Camp Name],0)-1,0,1,1),"")</f>
        <v>MMR012CMP046</v>
      </c>
      <c r="E263" s="339" t="s">
        <v>916</v>
      </c>
      <c r="F263" s="381" t="s">
        <v>749</v>
      </c>
      <c r="G263" s="392">
        <v>1821</v>
      </c>
      <c r="H263" s="393">
        <f t="shared" si="5"/>
        <v>1821</v>
      </c>
      <c r="I263" s="338" t="s">
        <v>642</v>
      </c>
      <c r="J263" s="679">
        <v>42113</v>
      </c>
    </row>
    <row r="264" spans="1:10">
      <c r="A264" s="337" t="s">
        <v>7</v>
      </c>
      <c r="B264" s="370" t="s">
        <v>19</v>
      </c>
      <c r="C264" s="381" t="s">
        <v>68</v>
      </c>
      <c r="D264" s="391" t="str">
        <f ca="1">IFERROR(OFFSET(Camp_List[P_Code],MATCH(Data_Demography_t[[#This Row],[Camp]],Camp_List[Camp Name],0)-1,0,1,1),"")</f>
        <v>MMR012CMP046</v>
      </c>
      <c r="E264" s="339" t="s">
        <v>892</v>
      </c>
      <c r="F264" s="338" t="s">
        <v>748</v>
      </c>
      <c r="G264" s="392">
        <v>208</v>
      </c>
      <c r="H264" s="393">
        <f t="shared" si="5"/>
        <v>-208</v>
      </c>
      <c r="I264" s="390" t="s">
        <v>642</v>
      </c>
      <c r="J264" s="682">
        <v>42113</v>
      </c>
    </row>
    <row r="265" spans="1:10">
      <c r="A265" s="337" t="s">
        <v>7</v>
      </c>
      <c r="B265" s="370" t="s">
        <v>19</v>
      </c>
      <c r="C265" s="381" t="s">
        <v>68</v>
      </c>
      <c r="D265" s="391" t="str">
        <f ca="1">IFERROR(OFFSET(Camp_List[P_Code],MATCH(Data_Demography_t[[#This Row],[Camp]],Camp_List[Camp Name],0)-1,0,1,1),"")</f>
        <v>MMR012CMP046</v>
      </c>
      <c r="E265" s="339" t="s">
        <v>892</v>
      </c>
      <c r="F265" s="381" t="s">
        <v>749</v>
      </c>
      <c r="G265" s="392">
        <v>170</v>
      </c>
      <c r="H265" s="393">
        <f t="shared" si="5"/>
        <v>170</v>
      </c>
      <c r="I265" s="390" t="s">
        <v>642</v>
      </c>
      <c r="J265" s="682">
        <v>42113</v>
      </c>
    </row>
    <row r="266" spans="1:10">
      <c r="A266" s="337" t="s">
        <v>7</v>
      </c>
      <c r="B266" s="334" t="s">
        <v>19</v>
      </c>
      <c r="C266" s="338" t="s">
        <v>70</v>
      </c>
      <c r="D266" s="338" t="str">
        <f ca="1">IFERROR(OFFSET(Camp_List[P_Code],MATCH(Data_Demography_t[[#This Row],[Camp]],Camp_List[Camp Name],0)-1,0,1,1),"")</f>
        <v>MMR012CMP048</v>
      </c>
      <c r="E266" s="339" t="s">
        <v>750</v>
      </c>
      <c r="F266" s="340" t="s">
        <v>748</v>
      </c>
      <c r="G266" s="335">
        <v>523</v>
      </c>
      <c r="H266" s="168">
        <f t="shared" si="5"/>
        <v>-523</v>
      </c>
      <c r="I266" s="338" t="s">
        <v>753</v>
      </c>
      <c r="J266" s="679">
        <v>42171</v>
      </c>
    </row>
    <row r="267" spans="1:10">
      <c r="A267" s="337" t="s">
        <v>7</v>
      </c>
      <c r="B267" s="334" t="s">
        <v>19</v>
      </c>
      <c r="C267" s="338" t="s">
        <v>70</v>
      </c>
      <c r="D267" s="338" t="str">
        <f ca="1">IFERROR(OFFSET(Camp_List[P_Code],MATCH(Data_Demography_t[[#This Row],[Camp]],Camp_List[Camp Name],0)-1,0,1,1),"")</f>
        <v>MMR012CMP048</v>
      </c>
      <c r="E267" s="339" t="s">
        <v>750</v>
      </c>
      <c r="F267" s="340" t="s">
        <v>749</v>
      </c>
      <c r="G267" s="335">
        <v>564</v>
      </c>
      <c r="H267" s="168">
        <f t="shared" si="5"/>
        <v>564</v>
      </c>
      <c r="I267" s="338" t="s">
        <v>753</v>
      </c>
      <c r="J267" s="679">
        <v>42171</v>
      </c>
    </row>
    <row r="268" spans="1:10">
      <c r="A268" s="337" t="s">
        <v>7</v>
      </c>
      <c r="B268" s="334" t="s">
        <v>19</v>
      </c>
      <c r="C268" s="338" t="s">
        <v>70</v>
      </c>
      <c r="D268" s="338" t="str">
        <f ca="1">IFERROR(OFFSET(Camp_List[P_Code],MATCH(Data_Demography_t[[#This Row],[Camp]],Camp_List[Camp Name],0)-1,0,1,1),"")</f>
        <v>MMR012CMP048</v>
      </c>
      <c r="E268" s="339" t="s">
        <v>914</v>
      </c>
      <c r="F268" s="340" t="s">
        <v>748</v>
      </c>
      <c r="G268" s="335">
        <v>490</v>
      </c>
      <c r="H268" s="168">
        <f t="shared" si="5"/>
        <v>-490</v>
      </c>
      <c r="I268" s="338" t="s">
        <v>753</v>
      </c>
      <c r="J268" s="679">
        <v>42171</v>
      </c>
    </row>
    <row r="269" spans="1:10">
      <c r="A269" s="337" t="s">
        <v>7</v>
      </c>
      <c r="B269" s="334" t="s">
        <v>19</v>
      </c>
      <c r="C269" s="338" t="s">
        <v>70</v>
      </c>
      <c r="D269" s="338" t="str">
        <f ca="1">IFERROR(OFFSET(Camp_List[P_Code],MATCH(Data_Demography_t[[#This Row],[Camp]],Camp_List[Camp Name],0)-1,0,1,1),"")</f>
        <v>MMR012CMP048</v>
      </c>
      <c r="E269" s="339" t="s">
        <v>914</v>
      </c>
      <c r="F269" s="340" t="s">
        <v>749</v>
      </c>
      <c r="G269" s="335">
        <v>470</v>
      </c>
      <c r="H269" s="168">
        <f t="shared" si="5"/>
        <v>470</v>
      </c>
      <c r="I269" s="338" t="s">
        <v>753</v>
      </c>
      <c r="J269" s="679">
        <v>42171</v>
      </c>
    </row>
    <row r="270" spans="1:10">
      <c r="A270" s="337" t="s">
        <v>7</v>
      </c>
      <c r="B270" s="334" t="s">
        <v>19</v>
      </c>
      <c r="C270" s="338" t="s">
        <v>70</v>
      </c>
      <c r="D270" s="338" t="str">
        <f ca="1">IFERROR(OFFSET(Camp_List[P_Code],MATCH(Data_Demography_t[[#This Row],[Camp]],Camp_List[Camp Name],0)-1,0,1,1),"")</f>
        <v>MMR012CMP048</v>
      </c>
      <c r="E270" s="339" t="s">
        <v>677</v>
      </c>
      <c r="F270" s="340" t="s">
        <v>748</v>
      </c>
      <c r="G270" s="335">
        <v>399</v>
      </c>
      <c r="H270" s="168">
        <f t="shared" si="5"/>
        <v>-399</v>
      </c>
      <c r="I270" s="338" t="s">
        <v>753</v>
      </c>
      <c r="J270" s="679">
        <v>42171</v>
      </c>
    </row>
    <row r="271" spans="1:10">
      <c r="A271" s="337" t="s">
        <v>7</v>
      </c>
      <c r="B271" s="334" t="s">
        <v>19</v>
      </c>
      <c r="C271" s="338" t="s">
        <v>70</v>
      </c>
      <c r="D271" s="338" t="str">
        <f ca="1">IFERROR(OFFSET(Camp_List[P_Code],MATCH(Data_Demography_t[[#This Row],[Camp]],Camp_List[Camp Name],0)-1,0,1,1),"")</f>
        <v>MMR012CMP048</v>
      </c>
      <c r="E271" s="339" t="s">
        <v>677</v>
      </c>
      <c r="F271" s="340" t="s">
        <v>749</v>
      </c>
      <c r="G271" s="335">
        <v>409</v>
      </c>
      <c r="H271" s="168">
        <f t="shared" si="5"/>
        <v>409</v>
      </c>
      <c r="I271" s="338" t="s">
        <v>753</v>
      </c>
      <c r="J271" s="679">
        <v>42171</v>
      </c>
    </row>
    <row r="272" spans="1:10">
      <c r="A272" s="337" t="s">
        <v>7</v>
      </c>
      <c r="B272" s="334" t="s">
        <v>19</v>
      </c>
      <c r="C272" s="338" t="s">
        <v>70</v>
      </c>
      <c r="D272" s="338" t="str">
        <f ca="1">IFERROR(OFFSET(Camp_List[P_Code],MATCH(Data_Demography_t[[#This Row],[Camp]],Camp_List[Camp Name],0)-1,0,1,1),"")</f>
        <v>MMR012CMP048</v>
      </c>
      <c r="E272" s="339" t="s">
        <v>915</v>
      </c>
      <c r="F272" s="340" t="s">
        <v>748</v>
      </c>
      <c r="G272" s="335">
        <v>399</v>
      </c>
      <c r="H272" s="168">
        <f t="shared" si="5"/>
        <v>-399</v>
      </c>
      <c r="I272" s="338" t="s">
        <v>753</v>
      </c>
      <c r="J272" s="679">
        <v>42171</v>
      </c>
    </row>
    <row r="273" spans="1:10">
      <c r="A273" s="337" t="s">
        <v>7</v>
      </c>
      <c r="B273" s="334" t="s">
        <v>19</v>
      </c>
      <c r="C273" s="338" t="s">
        <v>70</v>
      </c>
      <c r="D273" s="338" t="str">
        <f ca="1">IFERROR(OFFSET(Camp_List[P_Code],MATCH(Data_Demography_t[[#This Row],[Camp]],Camp_List[Camp Name],0)-1,0,1,1),"")</f>
        <v>MMR012CMP048</v>
      </c>
      <c r="E273" s="339" t="s">
        <v>915</v>
      </c>
      <c r="F273" s="340" t="s">
        <v>749</v>
      </c>
      <c r="G273" s="335">
        <v>508</v>
      </c>
      <c r="H273" s="168">
        <f t="shared" si="5"/>
        <v>508</v>
      </c>
      <c r="I273" s="338" t="s">
        <v>753</v>
      </c>
      <c r="J273" s="679">
        <v>42171</v>
      </c>
    </row>
    <row r="274" spans="1:10">
      <c r="A274" s="337" t="s">
        <v>7</v>
      </c>
      <c r="B274" s="334" t="s">
        <v>19</v>
      </c>
      <c r="C274" s="338" t="s">
        <v>70</v>
      </c>
      <c r="D274" s="338" t="str">
        <f ca="1">IFERROR(OFFSET(Camp_List[P_Code],MATCH(Data_Demography_t[[#This Row],[Camp]],Camp_List[Camp Name],0)-1,0,1,1),"")</f>
        <v>MMR012CMP048</v>
      </c>
      <c r="E274" s="339" t="s">
        <v>916</v>
      </c>
      <c r="F274" s="340" t="s">
        <v>748</v>
      </c>
      <c r="G274" s="335">
        <v>810</v>
      </c>
      <c r="H274" s="168">
        <f t="shared" si="5"/>
        <v>-810</v>
      </c>
      <c r="I274" s="338" t="s">
        <v>753</v>
      </c>
      <c r="J274" s="679">
        <v>42171</v>
      </c>
    </row>
    <row r="275" spans="1:10">
      <c r="A275" s="337" t="s">
        <v>7</v>
      </c>
      <c r="B275" s="334" t="s">
        <v>19</v>
      </c>
      <c r="C275" s="338" t="s">
        <v>70</v>
      </c>
      <c r="D275" s="338" t="str">
        <f ca="1">IFERROR(OFFSET(Camp_List[P_Code],MATCH(Data_Demography_t[[#This Row],[Camp]],Camp_List[Camp Name],0)-1,0,1,1),"")</f>
        <v>MMR012CMP048</v>
      </c>
      <c r="E275" s="339" t="s">
        <v>916</v>
      </c>
      <c r="F275" s="340" t="s">
        <v>749</v>
      </c>
      <c r="G275" s="335">
        <v>887</v>
      </c>
      <c r="H275" s="168">
        <f t="shared" si="5"/>
        <v>887</v>
      </c>
      <c r="I275" s="338" t="s">
        <v>753</v>
      </c>
      <c r="J275" s="679">
        <v>42171</v>
      </c>
    </row>
    <row r="276" spans="1:10">
      <c r="A276" s="337" t="s">
        <v>7</v>
      </c>
      <c r="B276" s="334" t="s">
        <v>19</v>
      </c>
      <c r="C276" s="338" t="s">
        <v>70</v>
      </c>
      <c r="D276" s="338" t="str">
        <f ca="1">IFERROR(OFFSET(Camp_List[P_Code],MATCH(Data_Demography_t[[#This Row],[Camp]],Camp_List[Camp Name],0)-1,0,1,1),"")</f>
        <v>MMR012CMP048</v>
      </c>
      <c r="E276" s="339" t="s">
        <v>892</v>
      </c>
      <c r="F276" s="338" t="s">
        <v>748</v>
      </c>
      <c r="G276" s="335">
        <v>100</v>
      </c>
      <c r="H276" s="168">
        <f t="shared" si="5"/>
        <v>-100</v>
      </c>
      <c r="I276" s="338" t="s">
        <v>753</v>
      </c>
      <c r="J276" s="679">
        <v>42171</v>
      </c>
    </row>
    <row r="277" spans="1:10">
      <c r="A277" s="341" t="s">
        <v>7</v>
      </c>
      <c r="B277" s="378" t="s">
        <v>19</v>
      </c>
      <c r="C277" s="377" t="s">
        <v>70</v>
      </c>
      <c r="D277" s="377" t="str">
        <f ca="1">IFERROR(OFFSET(Camp_List[P_Code],MATCH(Data_Demography_t[[#This Row],[Camp]],Camp_List[Camp Name],0)-1,0,1,1),"")</f>
        <v>MMR012CMP048</v>
      </c>
      <c r="E277" s="343" t="s">
        <v>892</v>
      </c>
      <c r="F277" s="382" t="s">
        <v>749</v>
      </c>
      <c r="G277" s="342">
        <v>97</v>
      </c>
      <c r="H277" s="331">
        <f t="shared" si="5"/>
        <v>97</v>
      </c>
      <c r="I277" s="377" t="s">
        <v>753</v>
      </c>
      <c r="J277" s="683">
        <v>42171</v>
      </c>
    </row>
  </sheetData>
  <sortState ref="A2:F131">
    <sortCondition ref="C5"/>
  </sortState>
  <dataValidations count="4">
    <dataValidation type="list" allowBlank="1" showInputMessage="1" showErrorMessage="1" sqref="A2:A277">
      <formula1>State</formula1>
    </dataValidation>
    <dataValidation type="list" allowBlank="1" showInputMessage="1" showErrorMessage="1" sqref="E2:E277">
      <formula1>Age_Category</formula1>
    </dataValidation>
    <dataValidation type="list" showInputMessage="1" showErrorMessage="1" sqref="B2:B277">
      <formula1>INDIRECT(A2)</formula1>
    </dataValidation>
    <dataValidation type="list" errorStyle="warning" showInputMessage="1" showErrorMessage="1" sqref="C2:C277">
      <formula1>OFFSET(TCL_T1,MATCH(B2,TCL_T,0)-1,1,COUNTIF(TCL_T,B2),1)</formula1>
    </dataValidation>
  </dataValidations>
  <pageMargins left="0.7" right="0.7" top="0.75" bottom="0.75" header="0.3" footer="0.3"/>
  <pageSetup paperSize="9" orientation="portrait" r:id="rId3"/>
  <drawing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5"/>
  <sheetViews>
    <sheetView zoomScale="80" zoomScaleNormal="80" workbookViewId="0">
      <selection activeCell="S12" sqref="S12"/>
    </sheetView>
  </sheetViews>
  <sheetFormatPr defaultColWidth="9.140625" defaultRowHeight="12.75"/>
  <cols>
    <col min="1" max="1" width="7.28515625" style="167" bestFit="1" customWidth="1"/>
    <col min="2" max="2" width="10.5703125" style="167" bestFit="1" customWidth="1"/>
    <col min="3" max="3" width="19.140625" style="167" bestFit="1" customWidth="1"/>
    <col min="4" max="4" width="18.7109375" style="167" customWidth="1"/>
    <col min="5" max="5" width="27.42578125" style="167" customWidth="1"/>
    <col min="6" max="6" width="12" style="167" customWidth="1"/>
    <col min="7" max="7" width="8.42578125" style="167" bestFit="1" customWidth="1"/>
    <col min="8" max="8" width="16" style="330" customWidth="1"/>
    <col min="9" max="9" width="9.140625" style="167"/>
    <col min="10" max="10" width="25.5703125" style="167" customWidth="1"/>
    <col min="11" max="11" width="16.28515625" style="167" customWidth="1"/>
    <col min="12" max="12" width="8.5703125" style="167" customWidth="1"/>
    <col min="13" max="13" width="7" style="167" customWidth="1"/>
    <col min="14" max="14" width="15.28515625" style="167" bestFit="1" customWidth="1"/>
    <col min="15" max="15" width="12.7109375" style="167" bestFit="1" customWidth="1"/>
    <col min="16" max="16" width="7.140625" style="167" customWidth="1"/>
    <col min="17" max="17" width="18" style="167" bestFit="1" customWidth="1"/>
    <col min="18" max="18" width="17.7109375" style="167" bestFit="1" customWidth="1"/>
    <col min="19" max="19" width="12.7109375" style="167" bestFit="1" customWidth="1"/>
    <col min="20" max="20" width="12" style="167" bestFit="1" customWidth="1"/>
    <col min="21" max="21" width="12.28515625" style="167" bestFit="1" customWidth="1"/>
    <col min="22" max="22" width="13.5703125" style="167" bestFit="1" customWidth="1"/>
    <col min="23" max="24" width="19.42578125" style="167" bestFit="1" customWidth="1"/>
    <col min="25" max="26" width="12.5703125" style="167" bestFit="1" customWidth="1"/>
    <col min="27" max="27" width="15.140625" style="167" bestFit="1" customWidth="1"/>
    <col min="28" max="28" width="11.42578125" style="167" bestFit="1" customWidth="1"/>
    <col min="29" max="29" width="12.85546875" style="167" bestFit="1" customWidth="1"/>
    <col min="30" max="30" width="11.85546875" style="167" bestFit="1" customWidth="1"/>
    <col min="31" max="31" width="10.85546875" style="167" bestFit="1" customWidth="1"/>
    <col min="32" max="32" width="12.28515625" style="167" bestFit="1" customWidth="1"/>
    <col min="33" max="33" width="13.5703125" style="167" bestFit="1" customWidth="1"/>
    <col min="34" max="34" width="11.28515625" style="167" bestFit="1" customWidth="1"/>
    <col min="35" max="16384" width="9.140625" style="167"/>
  </cols>
  <sheetData>
    <row r="1" spans="1:34" ht="15">
      <c r="A1" s="684" t="s">
        <v>10</v>
      </c>
      <c r="B1" s="685" t="s">
        <v>1</v>
      </c>
      <c r="C1" s="685" t="s">
        <v>9</v>
      </c>
      <c r="D1" s="685" t="s">
        <v>581</v>
      </c>
      <c r="E1" s="686" t="s">
        <v>761</v>
      </c>
      <c r="F1" s="687" t="s">
        <v>5</v>
      </c>
      <c r="G1" s="687" t="s">
        <v>348</v>
      </c>
      <c r="H1" s="688" t="s">
        <v>904</v>
      </c>
      <c r="J1" s="694" t="s">
        <v>549</v>
      </c>
      <c r="K1" s="694" t="s">
        <v>688</v>
      </c>
      <c r="L1"/>
      <c r="M1"/>
      <c r="N1"/>
      <c r="O1"/>
      <c r="P1"/>
      <c r="Q1"/>
      <c r="R1"/>
      <c r="S1"/>
      <c r="T1"/>
      <c r="U1"/>
      <c r="V1"/>
      <c r="W1"/>
      <c r="X1"/>
      <c r="Y1"/>
      <c r="Z1"/>
      <c r="AA1"/>
      <c r="AB1"/>
      <c r="AC1"/>
      <c r="AD1"/>
      <c r="AE1"/>
      <c r="AF1"/>
      <c r="AG1"/>
      <c r="AH1"/>
    </row>
    <row r="2" spans="1:34" ht="15">
      <c r="A2" s="337" t="s">
        <v>7</v>
      </c>
      <c r="B2" s="356" t="s">
        <v>14</v>
      </c>
      <c r="C2" s="338" t="s">
        <v>40</v>
      </c>
      <c r="D2" s="338" t="str">
        <f ca="1">IFERROR(OFFSET(Camp_List[P_Code],MATCH(Data_Vulnerability_t[[#This Row],[Camp Name]],Camp_List[Camp Name],0)-1,0,1,1),"")</f>
        <v>MMR012CMP016</v>
      </c>
      <c r="E2" s="339" t="s">
        <v>917</v>
      </c>
      <c r="F2" s="168"/>
      <c r="G2" s="334" t="s">
        <v>642</v>
      </c>
      <c r="H2" s="689">
        <v>42100</v>
      </c>
      <c r="J2" s="211" t="s">
        <v>214</v>
      </c>
      <c r="K2" s="31" t="s">
        <v>900</v>
      </c>
      <c r="L2" s="31" t="s">
        <v>14</v>
      </c>
      <c r="M2" s="31" t="s">
        <v>19</v>
      </c>
      <c r="N2" s="31" t="s">
        <v>215</v>
      </c>
      <c r="O2"/>
      <c r="P2"/>
      <c r="Q2"/>
      <c r="R2"/>
      <c r="S2"/>
      <c r="T2"/>
      <c r="U2"/>
      <c r="V2"/>
      <c r="W2"/>
      <c r="X2"/>
      <c r="Y2"/>
      <c r="Z2"/>
      <c r="AA2"/>
      <c r="AB2"/>
      <c r="AC2"/>
      <c r="AD2"/>
      <c r="AE2"/>
      <c r="AF2"/>
      <c r="AG2"/>
      <c r="AH2"/>
    </row>
    <row r="3" spans="1:34" ht="15">
      <c r="A3" s="337" t="s">
        <v>7</v>
      </c>
      <c r="B3" s="356" t="s">
        <v>14</v>
      </c>
      <c r="C3" s="338" t="s">
        <v>40</v>
      </c>
      <c r="D3" s="338" t="str">
        <f ca="1">IFERROR(OFFSET(Camp_List[P_Code],MATCH(Data_Vulnerability_t[[#This Row],[Camp Name]],Camp_List[Camp Name],0)-1,0,1,1),"")</f>
        <v>MMR012CMP016</v>
      </c>
      <c r="E3" s="339" t="s">
        <v>752</v>
      </c>
      <c r="F3" s="168">
        <v>1</v>
      </c>
      <c r="G3" s="334" t="s">
        <v>642</v>
      </c>
      <c r="H3" s="689">
        <v>42100</v>
      </c>
      <c r="J3" s="589" t="s">
        <v>751</v>
      </c>
      <c r="K3" s="241">
        <v>3</v>
      </c>
      <c r="L3" s="241">
        <v>10</v>
      </c>
      <c r="M3" s="241">
        <v>364</v>
      </c>
      <c r="N3" s="241">
        <v>377</v>
      </c>
      <c r="O3"/>
      <c r="P3"/>
      <c r="Q3"/>
      <c r="R3"/>
      <c r="S3"/>
      <c r="T3"/>
      <c r="U3"/>
      <c r="V3"/>
      <c r="W3"/>
      <c r="X3"/>
      <c r="Y3"/>
      <c r="Z3"/>
      <c r="AA3"/>
      <c r="AB3"/>
      <c r="AC3"/>
      <c r="AD3"/>
      <c r="AE3"/>
      <c r="AF3"/>
      <c r="AG3"/>
      <c r="AH3"/>
    </row>
    <row r="4" spans="1:34" ht="15">
      <c r="A4" s="337" t="s">
        <v>7</v>
      </c>
      <c r="B4" s="356" t="s">
        <v>14</v>
      </c>
      <c r="C4" s="338" t="s">
        <v>40</v>
      </c>
      <c r="D4" s="338" t="str">
        <f ca="1">IFERROR(OFFSET(Camp_List[P_Code],MATCH(Data_Vulnerability_t[[#This Row],[Camp Name]],Camp_List[Camp Name],0)-1,0,1,1),"")</f>
        <v>MMR012CMP016</v>
      </c>
      <c r="E4" s="339" t="s">
        <v>751</v>
      </c>
      <c r="F4" s="168"/>
      <c r="G4" s="334" t="s">
        <v>642</v>
      </c>
      <c r="H4" s="689">
        <v>42100</v>
      </c>
      <c r="J4" s="589" t="s">
        <v>752</v>
      </c>
      <c r="K4" s="241">
        <v>12</v>
      </c>
      <c r="L4" s="241">
        <v>11</v>
      </c>
      <c r="M4" s="241">
        <v>217</v>
      </c>
      <c r="N4" s="241">
        <v>240</v>
      </c>
      <c r="O4"/>
      <c r="P4"/>
      <c r="Q4"/>
      <c r="R4"/>
      <c r="S4"/>
      <c r="T4"/>
      <c r="U4"/>
      <c r="V4"/>
      <c r="W4"/>
      <c r="X4"/>
      <c r="Y4"/>
      <c r="Z4"/>
      <c r="AA4"/>
      <c r="AB4"/>
      <c r="AC4"/>
      <c r="AD4"/>
      <c r="AE4"/>
      <c r="AF4"/>
      <c r="AG4"/>
      <c r="AH4"/>
    </row>
    <row r="5" spans="1:34" ht="15">
      <c r="A5" s="337" t="s">
        <v>7</v>
      </c>
      <c r="B5" s="356" t="s">
        <v>14</v>
      </c>
      <c r="C5" s="338" t="s">
        <v>40</v>
      </c>
      <c r="D5" s="338" t="str">
        <f ca="1">IFERROR(OFFSET(Camp_List[P_Code],MATCH(Data_Vulnerability_t[[#This Row],[Camp Name]],Camp_List[Camp Name],0)-1,0,1,1),"")</f>
        <v>MMR012CMP016</v>
      </c>
      <c r="E5" s="339" t="s">
        <v>918</v>
      </c>
      <c r="F5" s="168">
        <v>15</v>
      </c>
      <c r="G5" s="334" t="s">
        <v>642</v>
      </c>
      <c r="H5" s="689">
        <v>42100</v>
      </c>
      <c r="J5" s="589" t="s">
        <v>917</v>
      </c>
      <c r="K5" s="241">
        <v>68</v>
      </c>
      <c r="L5" s="241">
        <v>28</v>
      </c>
      <c r="M5" s="241">
        <v>537</v>
      </c>
      <c r="N5" s="241">
        <v>633</v>
      </c>
      <c r="O5"/>
      <c r="P5"/>
      <c r="Q5"/>
      <c r="R5"/>
      <c r="S5"/>
      <c r="T5"/>
      <c r="U5"/>
      <c r="V5"/>
      <c r="W5"/>
      <c r="X5"/>
      <c r="Y5"/>
      <c r="Z5"/>
      <c r="AA5"/>
      <c r="AB5"/>
      <c r="AC5"/>
      <c r="AD5"/>
      <c r="AE5"/>
      <c r="AF5"/>
      <c r="AG5"/>
      <c r="AH5"/>
    </row>
    <row r="6" spans="1:34" ht="15">
      <c r="A6" s="337" t="s">
        <v>7</v>
      </c>
      <c r="B6" s="356" t="s">
        <v>14</v>
      </c>
      <c r="C6" s="338" t="s">
        <v>40</v>
      </c>
      <c r="D6" s="338" t="str">
        <f ca="1">IFERROR(OFFSET(Camp_List[P_Code],MATCH(Data_Vulnerability_t[[#This Row],[Camp Name]],Camp_List[Camp Name],0)-1,0,1,1),"")</f>
        <v>MMR012CMP016</v>
      </c>
      <c r="E6" s="339" t="s">
        <v>921</v>
      </c>
      <c r="F6" s="168">
        <v>286</v>
      </c>
      <c r="G6" s="334" t="s">
        <v>642</v>
      </c>
      <c r="H6" s="689">
        <v>42100</v>
      </c>
      <c r="J6" s="589" t="s">
        <v>918</v>
      </c>
      <c r="K6" s="241">
        <v>73</v>
      </c>
      <c r="L6" s="241">
        <v>64</v>
      </c>
      <c r="M6" s="241">
        <v>2108</v>
      </c>
      <c r="N6" s="241">
        <v>2245</v>
      </c>
      <c r="O6"/>
      <c r="P6"/>
      <c r="Q6"/>
      <c r="R6"/>
      <c r="S6"/>
      <c r="T6"/>
      <c r="U6"/>
      <c r="V6"/>
      <c r="W6"/>
      <c r="X6"/>
      <c r="Y6"/>
      <c r="Z6"/>
      <c r="AA6"/>
      <c r="AB6"/>
      <c r="AC6"/>
      <c r="AD6"/>
      <c r="AE6"/>
      <c r="AF6"/>
      <c r="AG6"/>
      <c r="AH6"/>
    </row>
    <row r="7" spans="1:34" ht="15">
      <c r="A7" s="337" t="s">
        <v>7</v>
      </c>
      <c r="B7" s="356" t="s">
        <v>14</v>
      </c>
      <c r="C7" s="338" t="s">
        <v>40</v>
      </c>
      <c r="D7" s="338" t="str">
        <f ca="1">IFERROR(OFFSET(Camp_List[P_Code],MATCH(Data_Vulnerability_t[[#This Row],[Camp Name]],Camp_List[Camp Name],0)-1,0,1,1),"")</f>
        <v>MMR012CMP016</v>
      </c>
      <c r="E7" s="339" t="s">
        <v>919</v>
      </c>
      <c r="F7" s="168">
        <v>2</v>
      </c>
      <c r="G7" s="334" t="s">
        <v>642</v>
      </c>
      <c r="H7" s="689">
        <v>42100</v>
      </c>
      <c r="J7" s="589" t="s">
        <v>921</v>
      </c>
      <c r="K7" s="241">
        <v>124</v>
      </c>
      <c r="L7" s="241">
        <v>981</v>
      </c>
      <c r="M7" s="241">
        <v>2104</v>
      </c>
      <c r="N7" s="241">
        <v>3209</v>
      </c>
      <c r="O7"/>
      <c r="P7"/>
      <c r="Q7"/>
      <c r="R7"/>
      <c r="S7"/>
      <c r="T7"/>
      <c r="U7"/>
      <c r="V7"/>
      <c r="W7"/>
      <c r="X7"/>
      <c r="Y7"/>
      <c r="Z7"/>
      <c r="AA7"/>
      <c r="AB7"/>
      <c r="AC7"/>
      <c r="AD7"/>
      <c r="AE7"/>
      <c r="AF7"/>
      <c r="AG7"/>
      <c r="AH7"/>
    </row>
    <row r="8" spans="1:34" ht="15">
      <c r="A8" s="337" t="s">
        <v>7</v>
      </c>
      <c r="B8" s="356" t="s">
        <v>14</v>
      </c>
      <c r="C8" s="338" t="s">
        <v>40</v>
      </c>
      <c r="D8" s="338" t="str">
        <f ca="1">IFERROR(OFFSET(Camp_List[P_Code],MATCH(Data_Vulnerability_t[[#This Row],[Camp Name]],Camp_List[Camp Name],0)-1,0,1,1),"")</f>
        <v>MMR012CMP016</v>
      </c>
      <c r="E8" s="339" t="s">
        <v>922</v>
      </c>
      <c r="F8" s="168">
        <v>33</v>
      </c>
      <c r="G8" s="334" t="s">
        <v>642</v>
      </c>
      <c r="H8" s="689">
        <v>42100</v>
      </c>
      <c r="J8" s="589" t="s">
        <v>919</v>
      </c>
      <c r="K8" s="241">
        <v>65</v>
      </c>
      <c r="L8" s="241">
        <v>73</v>
      </c>
      <c r="M8" s="241">
        <v>477</v>
      </c>
      <c r="N8" s="241">
        <v>615</v>
      </c>
      <c r="O8"/>
      <c r="P8"/>
      <c r="Q8"/>
      <c r="R8"/>
      <c r="S8"/>
      <c r="T8"/>
      <c r="U8"/>
      <c r="V8"/>
      <c r="W8"/>
      <c r="X8"/>
      <c r="Y8"/>
      <c r="Z8"/>
      <c r="AA8"/>
      <c r="AB8"/>
      <c r="AC8"/>
      <c r="AD8"/>
      <c r="AE8"/>
      <c r="AF8"/>
      <c r="AG8"/>
      <c r="AH8"/>
    </row>
    <row r="9" spans="1:34" ht="15">
      <c r="A9" s="337" t="s">
        <v>7</v>
      </c>
      <c r="B9" s="356" t="s">
        <v>14</v>
      </c>
      <c r="C9" s="338" t="s">
        <v>40</v>
      </c>
      <c r="D9" s="338" t="str">
        <f ca="1">IFERROR(OFFSET(Camp_List[P_Code],MATCH(Data_Vulnerability_t[[#This Row],[Camp Name]],Camp_List[Camp Name],0)-1,0,1,1),"")</f>
        <v>MMR012CMP016</v>
      </c>
      <c r="E9" s="339" t="s">
        <v>920</v>
      </c>
      <c r="F9" s="168"/>
      <c r="G9" s="334" t="s">
        <v>642</v>
      </c>
      <c r="H9" s="689">
        <v>42100</v>
      </c>
      <c r="J9" s="589" t="s">
        <v>922</v>
      </c>
      <c r="K9" s="241">
        <v>36</v>
      </c>
      <c r="L9" s="241">
        <v>111</v>
      </c>
      <c r="M9" s="241">
        <v>696</v>
      </c>
      <c r="N9" s="241">
        <v>843</v>
      </c>
      <c r="O9"/>
      <c r="P9"/>
      <c r="Q9"/>
      <c r="R9"/>
      <c r="S9"/>
      <c r="T9"/>
      <c r="U9"/>
      <c r="V9"/>
      <c r="W9"/>
      <c r="X9"/>
      <c r="Y9"/>
      <c r="Z9"/>
      <c r="AA9"/>
      <c r="AB9"/>
      <c r="AC9"/>
      <c r="AD9"/>
      <c r="AE9"/>
      <c r="AF9"/>
      <c r="AG9"/>
      <c r="AH9"/>
    </row>
    <row r="10" spans="1:34" ht="15">
      <c r="A10" s="337" t="s">
        <v>7</v>
      </c>
      <c r="B10" s="356" t="s">
        <v>14</v>
      </c>
      <c r="C10" s="338" t="s">
        <v>39</v>
      </c>
      <c r="D10" s="338" t="str">
        <f ca="1">IFERROR(OFFSET(Camp_List[P_Code],MATCH(Data_Vulnerability_t[[#This Row],[Camp Name]],Camp_List[Camp Name],0)-1,0,1,1),"")</f>
        <v>MMR012CMP015</v>
      </c>
      <c r="E10" s="339" t="s">
        <v>917</v>
      </c>
      <c r="F10" s="168">
        <v>0</v>
      </c>
      <c r="G10" s="334" t="s">
        <v>642</v>
      </c>
      <c r="H10" s="689">
        <v>42064</v>
      </c>
      <c r="J10" s="589" t="s">
        <v>920</v>
      </c>
      <c r="K10" s="241">
        <v>55</v>
      </c>
      <c r="L10" s="241">
        <v>139</v>
      </c>
      <c r="M10" s="241">
        <v>820</v>
      </c>
      <c r="N10" s="241">
        <v>1014</v>
      </c>
      <c r="O10"/>
      <c r="P10"/>
      <c r="Q10"/>
      <c r="R10"/>
      <c r="S10"/>
      <c r="T10"/>
      <c r="U10"/>
      <c r="V10"/>
      <c r="W10"/>
      <c r="X10"/>
      <c r="Y10"/>
      <c r="Z10"/>
      <c r="AA10"/>
      <c r="AB10"/>
      <c r="AC10"/>
      <c r="AD10"/>
      <c r="AE10"/>
      <c r="AF10"/>
      <c r="AG10"/>
      <c r="AH10"/>
    </row>
    <row r="11" spans="1:34" ht="15">
      <c r="A11" s="337" t="s">
        <v>7</v>
      </c>
      <c r="B11" s="356" t="s">
        <v>14</v>
      </c>
      <c r="C11" s="338" t="s">
        <v>39</v>
      </c>
      <c r="D11" s="338" t="str">
        <f ca="1">IFERROR(OFFSET(Camp_List[P_Code],MATCH(Data_Vulnerability_t[[#This Row],[Camp Name]],Camp_List[Camp Name],0)-1,0,1,1),"")</f>
        <v>MMR012CMP015</v>
      </c>
      <c r="E11" s="339" t="s">
        <v>752</v>
      </c>
      <c r="F11" s="168">
        <v>0</v>
      </c>
      <c r="G11" s="334" t="s">
        <v>642</v>
      </c>
      <c r="H11" s="689">
        <v>42064</v>
      </c>
      <c r="J11" s="650" t="s">
        <v>215</v>
      </c>
      <c r="K11" s="651">
        <v>436</v>
      </c>
      <c r="L11" s="563">
        <v>1417</v>
      </c>
      <c r="M11" s="563">
        <v>7323</v>
      </c>
      <c r="N11" s="307">
        <v>9176</v>
      </c>
      <c r="O11"/>
      <c r="P11"/>
      <c r="Q11"/>
      <c r="R11"/>
      <c r="S11"/>
      <c r="T11"/>
      <c r="U11"/>
      <c r="V11"/>
      <c r="W11"/>
      <c r="X11"/>
      <c r="Y11"/>
      <c r="Z11"/>
      <c r="AA11"/>
      <c r="AB11"/>
      <c r="AC11"/>
      <c r="AD11"/>
      <c r="AE11"/>
      <c r="AF11"/>
      <c r="AG11"/>
      <c r="AH11"/>
    </row>
    <row r="12" spans="1:34" ht="12.75" customHeight="1">
      <c r="A12" s="337" t="s">
        <v>7</v>
      </c>
      <c r="B12" s="356" t="s">
        <v>14</v>
      </c>
      <c r="C12" s="338" t="s">
        <v>39</v>
      </c>
      <c r="D12" s="338" t="str">
        <f ca="1">IFERROR(OFFSET(Camp_List[P_Code],MATCH(Data_Vulnerability_t[[#This Row],[Camp Name]],Camp_List[Camp Name],0)-1,0,1,1),"")</f>
        <v>MMR012CMP015</v>
      </c>
      <c r="E12" s="339" t="s">
        <v>751</v>
      </c>
      <c r="F12" s="168">
        <v>0</v>
      </c>
      <c r="G12" s="334" t="s">
        <v>642</v>
      </c>
      <c r="H12" s="689">
        <v>42064</v>
      </c>
      <c r="J12"/>
      <c r="K12"/>
      <c r="M12"/>
    </row>
    <row r="13" spans="1:34" ht="12.75" customHeight="1">
      <c r="A13" s="337" t="s">
        <v>7</v>
      </c>
      <c r="B13" s="356" t="s">
        <v>14</v>
      </c>
      <c r="C13" s="338" t="s">
        <v>39</v>
      </c>
      <c r="D13" s="338" t="str">
        <f ca="1">IFERROR(OFFSET(Camp_List[P_Code],MATCH(Data_Vulnerability_t[[#This Row],[Camp Name]],Camp_List[Camp Name],0)-1,0,1,1),"")</f>
        <v>MMR012CMP015</v>
      </c>
      <c r="E13" s="339" t="s">
        <v>918</v>
      </c>
      <c r="F13" s="168">
        <v>1</v>
      </c>
      <c r="G13" s="334" t="s">
        <v>642</v>
      </c>
      <c r="H13" s="689">
        <v>42064</v>
      </c>
      <c r="J13"/>
      <c r="K13"/>
      <c r="M13"/>
    </row>
    <row r="14" spans="1:34" ht="12.75" customHeight="1">
      <c r="A14" s="337" t="s">
        <v>7</v>
      </c>
      <c r="B14" s="356" t="s">
        <v>14</v>
      </c>
      <c r="C14" s="338" t="s">
        <v>39</v>
      </c>
      <c r="D14" s="338" t="str">
        <f ca="1">IFERROR(OFFSET(Camp_List[P_Code],MATCH(Data_Vulnerability_t[[#This Row],[Camp Name]],Camp_List[Camp Name],0)-1,0,1,1),"")</f>
        <v>MMR012CMP015</v>
      </c>
      <c r="E14" s="339" t="s">
        <v>921</v>
      </c>
      <c r="F14" s="168">
        <v>11</v>
      </c>
      <c r="G14" s="334" t="s">
        <v>642</v>
      </c>
      <c r="H14" s="689">
        <v>42064</v>
      </c>
      <c r="J14"/>
      <c r="K14"/>
      <c r="M14"/>
    </row>
    <row r="15" spans="1:34" ht="12.75" customHeight="1">
      <c r="A15" s="337" t="s">
        <v>7</v>
      </c>
      <c r="B15" s="356" t="s">
        <v>14</v>
      </c>
      <c r="C15" s="338" t="s">
        <v>39</v>
      </c>
      <c r="D15" s="338" t="str">
        <f ca="1">IFERROR(OFFSET(Camp_List[P_Code],MATCH(Data_Vulnerability_t[[#This Row],[Camp Name]],Camp_List[Camp Name],0)-1,0,1,1),"")</f>
        <v>MMR012CMP015</v>
      </c>
      <c r="E15" s="339" t="s">
        <v>919</v>
      </c>
      <c r="F15" s="168">
        <v>0</v>
      </c>
      <c r="G15" s="334" t="s">
        <v>642</v>
      </c>
      <c r="H15" s="689">
        <v>42064</v>
      </c>
      <c r="J15"/>
      <c r="K15"/>
      <c r="L15"/>
      <c r="M15"/>
    </row>
    <row r="16" spans="1:34" ht="12.75" customHeight="1">
      <c r="A16" s="337" t="s">
        <v>7</v>
      </c>
      <c r="B16" s="356" t="s">
        <v>14</v>
      </c>
      <c r="C16" s="338" t="s">
        <v>39</v>
      </c>
      <c r="D16" s="338" t="str">
        <f ca="1">IFERROR(OFFSET(Camp_List[P_Code],MATCH(Data_Vulnerability_t[[#This Row],[Camp Name]],Camp_List[Camp Name],0)-1,0,1,1),"")</f>
        <v>MMR012CMP015</v>
      </c>
      <c r="E16" s="339" t="s">
        <v>922</v>
      </c>
      <c r="F16" s="168">
        <v>4</v>
      </c>
      <c r="G16" s="334" t="s">
        <v>642</v>
      </c>
      <c r="H16" s="689">
        <v>42064</v>
      </c>
      <c r="J16"/>
      <c r="K16"/>
      <c r="L16"/>
      <c r="M16"/>
    </row>
    <row r="17" spans="1:13" ht="12.75" customHeight="1">
      <c r="A17" s="337" t="s">
        <v>7</v>
      </c>
      <c r="B17" s="356" t="s">
        <v>14</v>
      </c>
      <c r="C17" s="338" t="s">
        <v>39</v>
      </c>
      <c r="D17" s="338" t="str">
        <f ca="1">IFERROR(OFFSET(Camp_List[P_Code],MATCH(Data_Vulnerability_t[[#This Row],[Camp Name]],Camp_List[Camp Name],0)-1,0,1,1),"")</f>
        <v>MMR012CMP015</v>
      </c>
      <c r="E17" s="339" t="s">
        <v>920</v>
      </c>
      <c r="F17" s="168">
        <v>2</v>
      </c>
      <c r="G17" s="334" t="s">
        <v>642</v>
      </c>
      <c r="H17" s="689">
        <v>42064</v>
      </c>
      <c r="J17"/>
      <c r="K17"/>
      <c r="L17"/>
      <c r="M17"/>
    </row>
    <row r="18" spans="1:13" ht="12.75" customHeight="1">
      <c r="A18" s="337" t="s">
        <v>7</v>
      </c>
      <c r="B18" s="356" t="s">
        <v>19</v>
      </c>
      <c r="C18" s="338" t="s">
        <v>61</v>
      </c>
      <c r="D18" s="338" t="str">
        <f ca="1">IFERROR(OFFSET(Camp_List[P_Code],MATCH(Data_Vulnerability_t[[#This Row],[Camp Name]],Camp_List[Camp Name],0)-1,0,1,1),"")</f>
        <v>MMR012CMP039</v>
      </c>
      <c r="E18" s="339" t="s">
        <v>917</v>
      </c>
      <c r="F18" s="168">
        <v>1</v>
      </c>
      <c r="G18" s="334" t="s">
        <v>642</v>
      </c>
      <c r="H18" s="689">
        <v>42086</v>
      </c>
      <c r="J18"/>
      <c r="K18"/>
      <c r="L18"/>
      <c r="M18"/>
    </row>
    <row r="19" spans="1:13" ht="12.75" customHeight="1">
      <c r="A19" s="337" t="s">
        <v>7</v>
      </c>
      <c r="B19" s="344" t="s">
        <v>19</v>
      </c>
      <c r="C19" s="338" t="s">
        <v>61</v>
      </c>
      <c r="D19" s="338" t="str">
        <f ca="1">IFERROR(OFFSET(Camp_List[P_Code],MATCH(Data_Vulnerability_t[[#This Row],[Camp Name]],Camp_List[Camp Name],0)-1,0,1,1),"")</f>
        <v>MMR012CMP039</v>
      </c>
      <c r="E19" s="339" t="s">
        <v>752</v>
      </c>
      <c r="F19" s="333">
        <v>10</v>
      </c>
      <c r="G19" s="334" t="s">
        <v>642</v>
      </c>
      <c r="H19" s="689">
        <v>42086</v>
      </c>
      <c r="J19"/>
      <c r="K19"/>
      <c r="L19"/>
      <c r="M19"/>
    </row>
    <row r="20" spans="1:13" ht="12.75" customHeight="1">
      <c r="A20" s="337" t="s">
        <v>7</v>
      </c>
      <c r="B20" s="344" t="s">
        <v>19</v>
      </c>
      <c r="C20" s="338" t="s">
        <v>61</v>
      </c>
      <c r="D20" s="338" t="str">
        <f ca="1">IFERROR(OFFSET(Camp_List[P_Code],MATCH(Data_Vulnerability_t[[#This Row],[Camp Name]],Camp_List[Camp Name],0)-1,0,1,1),"")</f>
        <v>MMR012CMP039</v>
      </c>
      <c r="E20" s="339" t="s">
        <v>751</v>
      </c>
      <c r="F20" s="333">
        <v>5</v>
      </c>
      <c r="G20" s="334" t="s">
        <v>642</v>
      </c>
      <c r="H20" s="689">
        <v>42086</v>
      </c>
      <c r="J20"/>
      <c r="K20"/>
      <c r="L20"/>
    </row>
    <row r="21" spans="1:13" ht="12.75" customHeight="1">
      <c r="A21" s="337" t="s">
        <v>7</v>
      </c>
      <c r="B21" s="356" t="s">
        <v>19</v>
      </c>
      <c r="C21" s="338" t="s">
        <v>61</v>
      </c>
      <c r="D21" s="338" t="str">
        <f ca="1">IFERROR(OFFSET(Camp_List[P_Code],MATCH(Data_Vulnerability_t[[#This Row],[Camp Name]],Camp_List[Camp Name],0)-1,0,1,1),"")</f>
        <v>MMR012CMP039</v>
      </c>
      <c r="E21" s="339" t="s">
        <v>918</v>
      </c>
      <c r="F21" s="168">
        <v>19</v>
      </c>
      <c r="G21" s="334" t="s">
        <v>642</v>
      </c>
      <c r="H21" s="689">
        <v>42086</v>
      </c>
      <c r="J21"/>
      <c r="K21"/>
      <c r="L21"/>
    </row>
    <row r="22" spans="1:13" ht="12.75" customHeight="1">
      <c r="A22" s="337" t="s">
        <v>7</v>
      </c>
      <c r="B22" s="356" t="s">
        <v>19</v>
      </c>
      <c r="C22" s="338" t="s">
        <v>61</v>
      </c>
      <c r="D22" s="338" t="str">
        <f ca="1">IFERROR(OFFSET(Camp_List[P_Code],MATCH(Data_Vulnerability_t[[#This Row],[Camp Name]],Camp_List[Camp Name],0)-1,0,1,1),"")</f>
        <v>MMR012CMP039</v>
      </c>
      <c r="E22" s="339" t="s">
        <v>921</v>
      </c>
      <c r="F22" s="168">
        <v>206</v>
      </c>
      <c r="G22" s="334" t="s">
        <v>642</v>
      </c>
      <c r="H22" s="689">
        <v>42086</v>
      </c>
      <c r="J22"/>
      <c r="K22"/>
      <c r="L22"/>
    </row>
    <row r="23" spans="1:13" ht="12.75" customHeight="1">
      <c r="A23" s="337" t="s">
        <v>7</v>
      </c>
      <c r="B23" s="356" t="s">
        <v>19</v>
      </c>
      <c r="C23" s="338" t="s">
        <v>61</v>
      </c>
      <c r="D23" s="391" t="str">
        <f ca="1">IFERROR(OFFSET(Camp_List[P_Code],MATCH(Data_Vulnerability_t[[#This Row],[Camp Name]],Camp_List[Camp Name],0)-1,0,1,1),"")</f>
        <v>MMR012CMP039</v>
      </c>
      <c r="E23" s="339" t="s">
        <v>919</v>
      </c>
      <c r="F23" s="393">
        <v>11</v>
      </c>
      <c r="G23" s="334" t="s">
        <v>642</v>
      </c>
      <c r="H23" s="689">
        <v>42086</v>
      </c>
      <c r="J23"/>
      <c r="K23"/>
      <c r="L23"/>
    </row>
    <row r="24" spans="1:13" ht="12.75" customHeight="1">
      <c r="A24" s="337" t="s">
        <v>7</v>
      </c>
      <c r="B24" s="356" t="s">
        <v>19</v>
      </c>
      <c r="C24" s="338" t="s">
        <v>61</v>
      </c>
      <c r="D24" s="391" t="str">
        <f ca="1">IFERROR(OFFSET(Camp_List[P_Code],MATCH(Data_Vulnerability_t[[#This Row],[Camp Name]],Camp_List[Camp Name],0)-1,0,1,1),"")</f>
        <v>MMR012CMP039</v>
      </c>
      <c r="E24" s="339" t="s">
        <v>922</v>
      </c>
      <c r="F24" s="393">
        <v>32</v>
      </c>
      <c r="G24" s="334" t="s">
        <v>642</v>
      </c>
      <c r="H24" s="689">
        <v>42086</v>
      </c>
      <c r="J24"/>
      <c r="K24"/>
      <c r="L24"/>
    </row>
    <row r="25" spans="1:13" ht="12.75" customHeight="1">
      <c r="A25" s="337" t="s">
        <v>7</v>
      </c>
      <c r="B25" s="356" t="s">
        <v>19</v>
      </c>
      <c r="C25" s="338" t="s">
        <v>61</v>
      </c>
      <c r="D25" s="338" t="str">
        <f ca="1">IFERROR(OFFSET(Camp_List[P_Code],MATCH(Data_Vulnerability_t[[#This Row],[Camp Name]],Camp_List[Camp Name],0)-1,0,1,1),"")</f>
        <v>MMR012CMP039</v>
      </c>
      <c r="E25" s="339" t="s">
        <v>920</v>
      </c>
      <c r="F25" s="168">
        <v>6</v>
      </c>
      <c r="G25" s="334" t="s">
        <v>642</v>
      </c>
      <c r="H25" s="689">
        <v>42086</v>
      </c>
      <c r="J25"/>
      <c r="K25"/>
      <c r="L25"/>
    </row>
    <row r="26" spans="1:13" ht="12.75" customHeight="1">
      <c r="A26" s="337" t="s">
        <v>7</v>
      </c>
      <c r="B26" s="356" t="s">
        <v>19</v>
      </c>
      <c r="C26" s="338" t="s">
        <v>648</v>
      </c>
      <c r="D26" s="338" t="str">
        <f ca="1">IFERROR(OFFSET(Camp_List[P_Code],MATCH(Data_Vulnerability_t[[#This Row],[Camp Name]],Camp_List[Camp Name],0)-1,0,1,1),"")</f>
        <v>MMR012CMP113</v>
      </c>
      <c r="E26" s="339" t="s">
        <v>917</v>
      </c>
      <c r="F26" s="168">
        <v>20</v>
      </c>
      <c r="G26" s="334" t="s">
        <v>290</v>
      </c>
      <c r="H26" s="689">
        <v>42087</v>
      </c>
      <c r="J26"/>
      <c r="K26"/>
      <c r="L26"/>
    </row>
    <row r="27" spans="1:13" ht="12.75" customHeight="1">
      <c r="A27" s="337" t="s">
        <v>7</v>
      </c>
      <c r="B27" s="356" t="s">
        <v>19</v>
      </c>
      <c r="C27" s="338" t="s">
        <v>648</v>
      </c>
      <c r="D27" s="338" t="str">
        <f ca="1">IFERROR(OFFSET(Camp_List[P_Code],MATCH(Data_Vulnerability_t[[#This Row],[Camp Name]],Camp_List[Camp Name],0)-1,0,1,1),"")</f>
        <v>MMR012CMP113</v>
      </c>
      <c r="E27" s="339" t="s">
        <v>752</v>
      </c>
      <c r="F27" s="168">
        <v>14</v>
      </c>
      <c r="G27" s="334" t="s">
        <v>290</v>
      </c>
      <c r="H27" s="689">
        <v>42087</v>
      </c>
      <c r="J27"/>
      <c r="K27"/>
      <c r="L27"/>
    </row>
    <row r="28" spans="1:13" ht="12.75" customHeight="1">
      <c r="A28" s="337" t="s">
        <v>7</v>
      </c>
      <c r="B28" s="356" t="s">
        <v>19</v>
      </c>
      <c r="C28" s="338" t="s">
        <v>648</v>
      </c>
      <c r="D28" s="338" t="str">
        <f ca="1">IFERROR(OFFSET(Camp_List[P_Code],MATCH(Data_Vulnerability_t[[#This Row],[Camp Name]],Camp_List[Camp Name],0)-1,0,1,1),"")</f>
        <v>MMR012CMP113</v>
      </c>
      <c r="E28" s="339" t="s">
        <v>751</v>
      </c>
      <c r="F28" s="168">
        <v>12</v>
      </c>
      <c r="G28" s="334" t="s">
        <v>290</v>
      </c>
      <c r="H28" s="689">
        <v>42087</v>
      </c>
      <c r="J28"/>
      <c r="K28"/>
      <c r="L28"/>
    </row>
    <row r="29" spans="1:13" ht="15">
      <c r="A29" s="337" t="s">
        <v>7</v>
      </c>
      <c r="B29" s="356" t="s">
        <v>19</v>
      </c>
      <c r="C29" s="338" t="s">
        <v>648</v>
      </c>
      <c r="D29" s="338" t="str">
        <f ca="1">IFERROR(OFFSET(Camp_List[P_Code],MATCH(Data_Vulnerability_t[[#This Row],[Camp Name]],Camp_List[Camp Name],0)-1,0,1,1),"")</f>
        <v>MMR012CMP113</v>
      </c>
      <c r="E29" s="339" t="s">
        <v>918</v>
      </c>
      <c r="F29" s="168">
        <v>124</v>
      </c>
      <c r="G29" s="334" t="s">
        <v>290</v>
      </c>
      <c r="H29" s="689">
        <v>42087</v>
      </c>
      <c r="K29"/>
      <c r="L29"/>
    </row>
    <row r="30" spans="1:13" ht="15">
      <c r="A30" s="337" t="s">
        <v>7</v>
      </c>
      <c r="B30" s="356" t="s">
        <v>19</v>
      </c>
      <c r="C30" s="338" t="s">
        <v>648</v>
      </c>
      <c r="D30" s="338" t="str">
        <f ca="1">IFERROR(OFFSET(Camp_List[P_Code],MATCH(Data_Vulnerability_t[[#This Row],[Camp Name]],Camp_List[Camp Name],0)-1,0,1,1),"")</f>
        <v>MMR012CMP113</v>
      </c>
      <c r="E30" s="339" t="s">
        <v>921</v>
      </c>
      <c r="F30" s="168">
        <v>42</v>
      </c>
      <c r="G30" s="334" t="s">
        <v>290</v>
      </c>
      <c r="H30" s="689">
        <v>42087</v>
      </c>
      <c r="K30"/>
      <c r="L30"/>
    </row>
    <row r="31" spans="1:13" ht="15">
      <c r="A31" s="337" t="s">
        <v>7</v>
      </c>
      <c r="B31" s="356" t="s">
        <v>19</v>
      </c>
      <c r="C31" s="338" t="s">
        <v>648</v>
      </c>
      <c r="D31" s="338" t="str">
        <f ca="1">IFERROR(OFFSET(Camp_List[P_Code],MATCH(Data_Vulnerability_t[[#This Row],[Camp Name]],Camp_List[Camp Name],0)-1,0,1,1),"")</f>
        <v>MMR012CMP113</v>
      </c>
      <c r="E31" s="339" t="s">
        <v>919</v>
      </c>
      <c r="F31" s="168">
        <v>15</v>
      </c>
      <c r="G31" s="334" t="s">
        <v>290</v>
      </c>
      <c r="H31" s="689">
        <v>42087</v>
      </c>
      <c r="K31"/>
      <c r="L31"/>
    </row>
    <row r="32" spans="1:13" ht="15">
      <c r="A32" s="337" t="s">
        <v>7</v>
      </c>
      <c r="B32" s="356" t="s">
        <v>19</v>
      </c>
      <c r="C32" s="338" t="s">
        <v>648</v>
      </c>
      <c r="D32" s="338" t="str">
        <f ca="1">IFERROR(OFFSET(Camp_List[P_Code],MATCH(Data_Vulnerability_t[[#This Row],[Camp Name]],Camp_List[Camp Name],0)-1,0,1,1),"")</f>
        <v>MMR012CMP113</v>
      </c>
      <c r="E32" s="339" t="s">
        <v>922</v>
      </c>
      <c r="F32" s="168">
        <v>28</v>
      </c>
      <c r="G32" s="334" t="s">
        <v>290</v>
      </c>
      <c r="H32" s="689">
        <v>42087</v>
      </c>
      <c r="K32"/>
      <c r="L32"/>
    </row>
    <row r="33" spans="1:12" ht="15">
      <c r="A33" s="337" t="s">
        <v>7</v>
      </c>
      <c r="B33" s="356" t="s">
        <v>19</v>
      </c>
      <c r="C33" s="338" t="s">
        <v>648</v>
      </c>
      <c r="D33" s="338" t="str">
        <f ca="1">IFERROR(OFFSET(Camp_List[P_Code],MATCH(Data_Vulnerability_t[[#This Row],[Camp Name]],Camp_List[Camp Name],0)-1,0,1,1),"")</f>
        <v>MMR012CMP113</v>
      </c>
      <c r="E33" s="339" t="s">
        <v>920</v>
      </c>
      <c r="F33" s="168">
        <v>40</v>
      </c>
      <c r="G33" s="334" t="s">
        <v>290</v>
      </c>
      <c r="H33" s="689">
        <v>42087</v>
      </c>
      <c r="K33"/>
      <c r="L33"/>
    </row>
    <row r="34" spans="1:12" ht="15">
      <c r="A34" s="337" t="s">
        <v>7</v>
      </c>
      <c r="B34" s="356" t="s">
        <v>19</v>
      </c>
      <c r="C34" s="338" t="s">
        <v>649</v>
      </c>
      <c r="D34" s="338" t="str">
        <f ca="1">IFERROR(OFFSET(Camp_List[P_Code],MATCH(Data_Vulnerability_t[[#This Row],[Camp Name]],Camp_List[Camp Name],0)-1,0,1,1),"")</f>
        <v>MMR012CMP114</v>
      </c>
      <c r="E34" s="339" t="s">
        <v>917</v>
      </c>
      <c r="F34" s="168">
        <v>45</v>
      </c>
      <c r="G34" s="334" t="s">
        <v>290</v>
      </c>
      <c r="H34" s="689">
        <v>42082</v>
      </c>
      <c r="K34"/>
      <c r="L34"/>
    </row>
    <row r="35" spans="1:12" ht="15">
      <c r="A35" s="337" t="s">
        <v>7</v>
      </c>
      <c r="B35" s="356" t="s">
        <v>19</v>
      </c>
      <c r="C35" s="338" t="s">
        <v>649</v>
      </c>
      <c r="D35" s="338" t="str">
        <f ca="1">IFERROR(OFFSET(Camp_List[P_Code],MATCH(Data_Vulnerability_t[[#This Row],[Camp Name]],Camp_List[Camp Name],0)-1,0,1,1),"")</f>
        <v>MMR012CMP114</v>
      </c>
      <c r="E35" s="339" t="s">
        <v>752</v>
      </c>
      <c r="F35" s="168">
        <v>14</v>
      </c>
      <c r="G35" s="334" t="s">
        <v>290</v>
      </c>
      <c r="H35" s="689">
        <v>42082</v>
      </c>
      <c r="K35"/>
      <c r="L35"/>
    </row>
    <row r="36" spans="1:12" ht="15">
      <c r="A36" s="337" t="s">
        <v>7</v>
      </c>
      <c r="B36" s="356" t="s">
        <v>19</v>
      </c>
      <c r="C36" s="338" t="s">
        <v>649</v>
      </c>
      <c r="D36" s="338" t="str">
        <f ca="1">IFERROR(OFFSET(Camp_List[P_Code],MATCH(Data_Vulnerability_t[[#This Row],[Camp Name]],Camp_List[Camp Name],0)-1,0,1,1),"")</f>
        <v>MMR012CMP114</v>
      </c>
      <c r="E36" s="339" t="s">
        <v>751</v>
      </c>
      <c r="F36" s="168">
        <v>45</v>
      </c>
      <c r="G36" s="334" t="s">
        <v>290</v>
      </c>
      <c r="H36" s="689">
        <v>42082</v>
      </c>
      <c r="K36"/>
      <c r="L36"/>
    </row>
    <row r="37" spans="1:12" ht="15">
      <c r="A37" s="337" t="s">
        <v>7</v>
      </c>
      <c r="B37" s="356" t="s">
        <v>19</v>
      </c>
      <c r="C37" s="338" t="s">
        <v>649</v>
      </c>
      <c r="D37" s="338" t="str">
        <f ca="1">IFERROR(OFFSET(Camp_List[P_Code],MATCH(Data_Vulnerability_t[[#This Row],[Camp Name]],Camp_List[Camp Name],0)-1,0,1,1),"")</f>
        <v>MMR012CMP114</v>
      </c>
      <c r="E37" s="339" t="s">
        <v>918</v>
      </c>
      <c r="F37" s="168">
        <v>185</v>
      </c>
      <c r="G37" s="334" t="s">
        <v>290</v>
      </c>
      <c r="H37" s="689">
        <v>42082</v>
      </c>
      <c r="K37"/>
      <c r="L37"/>
    </row>
    <row r="38" spans="1:12" ht="15">
      <c r="A38" s="337" t="s">
        <v>7</v>
      </c>
      <c r="B38" s="356" t="s">
        <v>19</v>
      </c>
      <c r="C38" s="338" t="s">
        <v>649</v>
      </c>
      <c r="D38" s="338" t="str">
        <f ca="1">IFERROR(OFFSET(Camp_List[P_Code],MATCH(Data_Vulnerability_t[[#This Row],[Camp Name]],Camp_List[Camp Name],0)-1,0,1,1),"")</f>
        <v>MMR012CMP114</v>
      </c>
      <c r="E38" s="339" t="s">
        <v>921</v>
      </c>
      <c r="F38" s="168">
        <v>21</v>
      </c>
      <c r="G38" s="334" t="s">
        <v>290</v>
      </c>
      <c r="H38" s="689">
        <v>42082</v>
      </c>
      <c r="K38"/>
      <c r="L38"/>
    </row>
    <row r="39" spans="1:12" ht="15">
      <c r="A39" s="337" t="s">
        <v>7</v>
      </c>
      <c r="B39" s="356" t="s">
        <v>19</v>
      </c>
      <c r="C39" s="338" t="s">
        <v>649</v>
      </c>
      <c r="D39" s="338" t="str">
        <f ca="1">IFERROR(OFFSET(Camp_List[P_Code],MATCH(Data_Vulnerability_t[[#This Row],[Camp Name]],Camp_List[Camp Name],0)-1,0,1,1),"")</f>
        <v>MMR012CMP114</v>
      </c>
      <c r="E39" s="339" t="s">
        <v>919</v>
      </c>
      <c r="F39" s="168">
        <v>26</v>
      </c>
      <c r="G39" s="334" t="s">
        <v>290</v>
      </c>
      <c r="H39" s="689">
        <v>42082</v>
      </c>
      <c r="K39"/>
      <c r="L39"/>
    </row>
    <row r="40" spans="1:12" ht="15">
      <c r="A40" s="337" t="s">
        <v>7</v>
      </c>
      <c r="B40" s="356" t="s">
        <v>19</v>
      </c>
      <c r="C40" s="338" t="s">
        <v>649</v>
      </c>
      <c r="D40" s="338" t="str">
        <f ca="1">IFERROR(OFFSET(Camp_List[P_Code],MATCH(Data_Vulnerability_t[[#This Row],[Camp Name]],Camp_List[Camp Name],0)-1,0,1,1),"")</f>
        <v>MMR012CMP114</v>
      </c>
      <c r="E40" s="339" t="s">
        <v>922</v>
      </c>
      <c r="F40" s="168">
        <v>45</v>
      </c>
      <c r="G40" s="334" t="s">
        <v>290</v>
      </c>
      <c r="H40" s="689">
        <v>42082</v>
      </c>
      <c r="K40"/>
      <c r="L40"/>
    </row>
    <row r="41" spans="1:12" ht="15">
      <c r="A41" s="337" t="s">
        <v>7</v>
      </c>
      <c r="B41" s="356" t="s">
        <v>19</v>
      </c>
      <c r="C41" s="338" t="s">
        <v>649</v>
      </c>
      <c r="D41" s="338" t="str">
        <f ca="1">IFERROR(OFFSET(Camp_List[P_Code],MATCH(Data_Vulnerability_t[[#This Row],[Camp Name]],Camp_List[Camp Name],0)-1,0,1,1),"")</f>
        <v>MMR012CMP114</v>
      </c>
      <c r="E41" s="339" t="s">
        <v>920</v>
      </c>
      <c r="F41" s="168">
        <v>55</v>
      </c>
      <c r="G41" s="334" t="s">
        <v>290</v>
      </c>
      <c r="H41" s="689">
        <v>42082</v>
      </c>
      <c r="K41" s="100"/>
      <c r="L41" s="100"/>
    </row>
    <row r="42" spans="1:12" ht="15">
      <c r="A42" s="337" t="s">
        <v>7</v>
      </c>
      <c r="B42" s="356" t="s">
        <v>19</v>
      </c>
      <c r="C42" s="338" t="s">
        <v>63</v>
      </c>
      <c r="D42" s="338" t="str">
        <f ca="1">IFERROR(OFFSET(Camp_List[P_Code],MATCH(Data_Vulnerability_t[[#This Row],[Camp Name]],Camp_List[Camp Name],0)-1,0,1,1),"")</f>
        <v>MMR012CMP041</v>
      </c>
      <c r="E42" s="339" t="s">
        <v>917</v>
      </c>
      <c r="F42" s="168">
        <v>115</v>
      </c>
      <c r="G42" s="334" t="s">
        <v>290</v>
      </c>
      <c r="H42" s="689">
        <v>42082</v>
      </c>
      <c r="K42" s="100"/>
      <c r="L42" s="100"/>
    </row>
    <row r="43" spans="1:12" ht="15">
      <c r="A43" s="337" t="s">
        <v>7</v>
      </c>
      <c r="B43" s="356" t="s">
        <v>19</v>
      </c>
      <c r="C43" s="338" t="s">
        <v>63</v>
      </c>
      <c r="D43" s="338" t="str">
        <f ca="1">IFERROR(OFFSET(Camp_List[P_Code],MATCH(Data_Vulnerability_t[[#This Row],[Camp Name]],Camp_List[Camp Name],0)-1,0,1,1),"")</f>
        <v>MMR012CMP041</v>
      </c>
      <c r="E43" s="339" t="s">
        <v>752</v>
      </c>
      <c r="F43" s="168">
        <v>40</v>
      </c>
      <c r="G43" s="334" t="s">
        <v>290</v>
      </c>
      <c r="H43" s="689">
        <v>42082</v>
      </c>
      <c r="K43"/>
      <c r="L43"/>
    </row>
    <row r="44" spans="1:12" ht="15">
      <c r="A44" s="337" t="s">
        <v>7</v>
      </c>
      <c r="B44" s="356" t="s">
        <v>19</v>
      </c>
      <c r="C44" s="338" t="s">
        <v>63</v>
      </c>
      <c r="D44" s="338" t="str">
        <f ca="1">IFERROR(OFFSET(Camp_List[P_Code],MATCH(Data_Vulnerability_t[[#This Row],[Camp Name]],Camp_List[Camp Name],0)-1,0,1,1),"")</f>
        <v>MMR012CMP041</v>
      </c>
      <c r="E44" s="339" t="s">
        <v>751</v>
      </c>
      <c r="F44" s="168">
        <v>32</v>
      </c>
      <c r="G44" s="334" t="s">
        <v>290</v>
      </c>
      <c r="H44" s="689">
        <v>42082</v>
      </c>
      <c r="K44"/>
      <c r="L44"/>
    </row>
    <row r="45" spans="1:12" ht="15">
      <c r="A45" s="337" t="s">
        <v>7</v>
      </c>
      <c r="B45" s="356" t="s">
        <v>19</v>
      </c>
      <c r="C45" s="338" t="s">
        <v>63</v>
      </c>
      <c r="D45" s="338" t="str">
        <f ca="1">IFERROR(OFFSET(Camp_List[P_Code],MATCH(Data_Vulnerability_t[[#This Row],[Camp Name]],Camp_List[Camp Name],0)-1,0,1,1),"")</f>
        <v>MMR012CMP041</v>
      </c>
      <c r="E45" s="339" t="s">
        <v>918</v>
      </c>
      <c r="F45" s="168">
        <v>229</v>
      </c>
      <c r="G45" s="334" t="s">
        <v>290</v>
      </c>
      <c r="H45" s="689">
        <v>42082</v>
      </c>
      <c r="K45"/>
      <c r="L45"/>
    </row>
    <row r="46" spans="1:12" ht="15">
      <c r="A46" s="337" t="s">
        <v>7</v>
      </c>
      <c r="B46" s="356" t="s">
        <v>19</v>
      </c>
      <c r="C46" s="338" t="s">
        <v>63</v>
      </c>
      <c r="D46" s="338" t="str">
        <f ca="1">IFERROR(OFFSET(Camp_List[P_Code],MATCH(Data_Vulnerability_t[[#This Row],[Camp Name]],Camp_List[Camp Name],0)-1,0,1,1),"")</f>
        <v>MMR012CMP041</v>
      </c>
      <c r="E46" s="339" t="s">
        <v>921</v>
      </c>
      <c r="F46" s="168">
        <v>52</v>
      </c>
      <c r="G46" s="334" t="s">
        <v>290</v>
      </c>
      <c r="H46" s="689">
        <v>42082</v>
      </c>
      <c r="K46"/>
      <c r="L46"/>
    </row>
    <row r="47" spans="1:12" ht="15">
      <c r="A47" s="337" t="s">
        <v>7</v>
      </c>
      <c r="B47" s="356" t="s">
        <v>19</v>
      </c>
      <c r="C47" s="338" t="s">
        <v>63</v>
      </c>
      <c r="D47" s="338" t="str">
        <f ca="1">IFERROR(OFFSET(Camp_List[P_Code],MATCH(Data_Vulnerability_t[[#This Row],[Camp Name]],Camp_List[Camp Name],0)-1,0,1,1),"")</f>
        <v>MMR012CMP041</v>
      </c>
      <c r="E47" s="339" t="s">
        <v>919</v>
      </c>
      <c r="F47" s="168">
        <v>32</v>
      </c>
      <c r="G47" s="334" t="s">
        <v>290</v>
      </c>
      <c r="H47" s="689">
        <v>42082</v>
      </c>
      <c r="K47"/>
      <c r="L47"/>
    </row>
    <row r="48" spans="1:12" ht="15">
      <c r="A48" s="337" t="s">
        <v>7</v>
      </c>
      <c r="B48" s="356" t="s">
        <v>19</v>
      </c>
      <c r="C48" s="338" t="s">
        <v>63</v>
      </c>
      <c r="D48" s="338" t="str">
        <f ca="1">IFERROR(OFFSET(Camp_List[P_Code],MATCH(Data_Vulnerability_t[[#This Row],[Camp Name]],Camp_List[Camp Name],0)-1,0,1,1),"")</f>
        <v>MMR012CMP041</v>
      </c>
      <c r="E48" s="339" t="s">
        <v>922</v>
      </c>
      <c r="F48" s="168">
        <v>94</v>
      </c>
      <c r="G48" s="334" t="s">
        <v>290</v>
      </c>
      <c r="H48" s="689">
        <v>42082</v>
      </c>
      <c r="K48"/>
      <c r="L48"/>
    </row>
    <row r="49" spans="1:12" ht="15">
      <c r="A49" s="337" t="s">
        <v>7</v>
      </c>
      <c r="B49" s="356" t="s">
        <v>19</v>
      </c>
      <c r="C49" s="338" t="s">
        <v>63</v>
      </c>
      <c r="D49" s="338" t="str">
        <f ca="1">IFERROR(OFFSET(Camp_List[P_Code],MATCH(Data_Vulnerability_t[[#This Row],[Camp Name]],Camp_List[Camp Name],0)-1,0,1,1),"")</f>
        <v>MMR012CMP041</v>
      </c>
      <c r="E49" s="339" t="s">
        <v>920</v>
      </c>
      <c r="F49" s="168">
        <v>69</v>
      </c>
      <c r="G49" s="334" t="s">
        <v>290</v>
      </c>
      <c r="H49" s="689">
        <v>42082</v>
      </c>
      <c r="K49"/>
      <c r="L49"/>
    </row>
    <row r="50" spans="1:12" ht="15">
      <c r="A50" s="337" t="s">
        <v>7</v>
      </c>
      <c r="B50" s="356" t="s">
        <v>900</v>
      </c>
      <c r="C50" s="338" t="s">
        <v>37</v>
      </c>
      <c r="D50" s="338" t="str">
        <f ca="1">IFERROR(OFFSET(Camp_List[P_Code],MATCH(Data_Vulnerability_t[[#This Row],[Camp Name]],Camp_List[Camp Name],0)-1,0,1,1),"")</f>
        <v>MMR012CMP013</v>
      </c>
      <c r="E50" s="339" t="s">
        <v>917</v>
      </c>
      <c r="F50" s="168">
        <v>0</v>
      </c>
      <c r="G50" s="334" t="s">
        <v>730</v>
      </c>
      <c r="H50" s="689">
        <v>42130</v>
      </c>
      <c r="K50"/>
      <c r="L50"/>
    </row>
    <row r="51" spans="1:12" ht="15">
      <c r="A51" s="337" t="s">
        <v>7</v>
      </c>
      <c r="B51" s="356" t="s">
        <v>900</v>
      </c>
      <c r="C51" s="338" t="s">
        <v>37</v>
      </c>
      <c r="D51" s="338" t="str">
        <f ca="1">IFERROR(OFFSET(Camp_List[P_Code],MATCH(Data_Vulnerability_t[[#This Row],[Camp Name]],Camp_List[Camp Name],0)-1,0,1,1),"")</f>
        <v>MMR012CMP013</v>
      </c>
      <c r="E51" s="339" t="s">
        <v>752</v>
      </c>
      <c r="F51" s="168">
        <v>0</v>
      </c>
      <c r="G51" s="334" t="s">
        <v>730</v>
      </c>
      <c r="H51" s="689">
        <v>42130</v>
      </c>
      <c r="K51"/>
      <c r="L51"/>
    </row>
    <row r="52" spans="1:12" ht="15">
      <c r="A52" s="337" t="s">
        <v>7</v>
      </c>
      <c r="B52" s="356" t="s">
        <v>900</v>
      </c>
      <c r="C52" s="338" t="s">
        <v>37</v>
      </c>
      <c r="D52" s="338" t="str">
        <f ca="1">IFERROR(OFFSET(Camp_List[P_Code],MATCH(Data_Vulnerability_t[[#This Row],[Camp Name]],Camp_List[Camp Name],0)-1,0,1,1),"")</f>
        <v>MMR012CMP013</v>
      </c>
      <c r="E52" s="339" t="s">
        <v>751</v>
      </c>
      <c r="F52" s="168">
        <v>0</v>
      </c>
      <c r="G52" s="334" t="s">
        <v>730</v>
      </c>
      <c r="H52" s="689">
        <v>42130</v>
      </c>
      <c r="K52"/>
      <c r="L52"/>
    </row>
    <row r="53" spans="1:12" ht="15">
      <c r="A53" s="337" t="s">
        <v>7</v>
      </c>
      <c r="B53" s="356" t="s">
        <v>900</v>
      </c>
      <c r="C53" s="338" t="s">
        <v>37</v>
      </c>
      <c r="D53" s="338" t="str">
        <f ca="1">IFERROR(OFFSET(Camp_List[P_Code],MATCH(Data_Vulnerability_t[[#This Row],[Camp Name]],Camp_List[Camp Name],0)-1,0,1,1),"")</f>
        <v>MMR012CMP013</v>
      </c>
      <c r="E53" s="339" t="s">
        <v>918</v>
      </c>
      <c r="F53" s="168">
        <v>3</v>
      </c>
      <c r="G53" s="334" t="s">
        <v>730</v>
      </c>
      <c r="H53" s="689">
        <v>42130</v>
      </c>
      <c r="K53"/>
      <c r="L53"/>
    </row>
    <row r="54" spans="1:12" ht="15">
      <c r="A54" s="337" t="s">
        <v>7</v>
      </c>
      <c r="B54" s="356" t="s">
        <v>900</v>
      </c>
      <c r="C54" s="338" t="s">
        <v>37</v>
      </c>
      <c r="D54" s="338" t="str">
        <f ca="1">IFERROR(OFFSET(Camp_List[P_Code],MATCH(Data_Vulnerability_t[[#This Row],[Camp Name]],Camp_List[Camp Name],0)-1,0,1,1),"")</f>
        <v>MMR012CMP013</v>
      </c>
      <c r="E54" s="339" t="s">
        <v>921</v>
      </c>
      <c r="F54" s="168">
        <v>3</v>
      </c>
      <c r="G54" s="334" t="s">
        <v>730</v>
      </c>
      <c r="H54" s="689">
        <v>42130</v>
      </c>
      <c r="K54"/>
      <c r="L54"/>
    </row>
    <row r="55" spans="1:12" ht="15">
      <c r="A55" s="337" t="s">
        <v>7</v>
      </c>
      <c r="B55" s="356" t="s">
        <v>900</v>
      </c>
      <c r="C55" s="338" t="s">
        <v>37</v>
      </c>
      <c r="D55" s="338" t="str">
        <f ca="1">IFERROR(OFFSET(Camp_List[P_Code],MATCH(Data_Vulnerability_t[[#This Row],[Camp Name]],Camp_List[Camp Name],0)-1,0,1,1),"")</f>
        <v>MMR012CMP013</v>
      </c>
      <c r="E55" s="339" t="s">
        <v>919</v>
      </c>
      <c r="F55" s="168">
        <v>12</v>
      </c>
      <c r="G55" s="334" t="s">
        <v>730</v>
      </c>
      <c r="H55" s="689">
        <v>42130</v>
      </c>
      <c r="K55"/>
      <c r="L55"/>
    </row>
    <row r="56" spans="1:12" ht="15">
      <c r="A56" s="337" t="s">
        <v>7</v>
      </c>
      <c r="B56" s="356" t="s">
        <v>900</v>
      </c>
      <c r="C56" s="338" t="s">
        <v>37</v>
      </c>
      <c r="D56" s="338" t="str">
        <f ca="1">IFERROR(OFFSET(Camp_List[P_Code],MATCH(Data_Vulnerability_t[[#This Row],[Camp Name]],Camp_List[Camp Name],0)-1,0,1,1),"")</f>
        <v>MMR012CMP013</v>
      </c>
      <c r="E56" s="339" t="s">
        <v>922</v>
      </c>
      <c r="F56" s="168">
        <v>2</v>
      </c>
      <c r="G56" s="334" t="s">
        <v>730</v>
      </c>
      <c r="H56" s="689">
        <v>42130</v>
      </c>
      <c r="K56"/>
      <c r="L56"/>
    </row>
    <row r="57" spans="1:12" ht="15">
      <c r="A57" s="337" t="s">
        <v>7</v>
      </c>
      <c r="B57" s="356" t="s">
        <v>900</v>
      </c>
      <c r="C57" s="338" t="s">
        <v>37</v>
      </c>
      <c r="D57" s="338" t="str">
        <f ca="1">IFERROR(OFFSET(Camp_List[P_Code],MATCH(Data_Vulnerability_t[[#This Row],[Camp Name]],Camp_List[Camp Name],0)-1,0,1,1),"")</f>
        <v>MMR012CMP013</v>
      </c>
      <c r="E57" s="339" t="s">
        <v>920</v>
      </c>
      <c r="F57" s="168">
        <v>4</v>
      </c>
      <c r="G57" s="334" t="s">
        <v>730</v>
      </c>
      <c r="H57" s="689">
        <v>42130</v>
      </c>
      <c r="K57"/>
      <c r="L57"/>
    </row>
    <row r="58" spans="1:12" ht="15">
      <c r="A58" s="337" t="s">
        <v>7</v>
      </c>
      <c r="B58" s="356" t="s">
        <v>19</v>
      </c>
      <c r="C58" s="338" t="s">
        <v>64</v>
      </c>
      <c r="D58" s="338" t="str">
        <f ca="1">IFERROR(OFFSET(Camp_List[P_Code],MATCH(Data_Vulnerability_t[[#This Row],[Camp Name]],Camp_List[Camp Name],0)-1,0,1,1),"")</f>
        <v>MMR012CMP042</v>
      </c>
      <c r="E58" s="339" t="s">
        <v>917</v>
      </c>
      <c r="F58" s="168">
        <v>2</v>
      </c>
      <c r="G58" s="334" t="s">
        <v>642</v>
      </c>
      <c r="H58" s="689">
        <v>42100</v>
      </c>
      <c r="K58"/>
      <c r="L58"/>
    </row>
    <row r="59" spans="1:12" ht="15">
      <c r="A59" s="337" t="s">
        <v>7</v>
      </c>
      <c r="B59" s="356" t="s">
        <v>19</v>
      </c>
      <c r="C59" s="338" t="s">
        <v>64</v>
      </c>
      <c r="D59" s="338" t="str">
        <f ca="1">IFERROR(OFFSET(Camp_List[P_Code],MATCH(Data_Vulnerability_t[[#This Row],[Camp Name]],Camp_List[Camp Name],0)-1,0,1,1),"")</f>
        <v>MMR012CMP042</v>
      </c>
      <c r="E59" s="339" t="s">
        <v>752</v>
      </c>
      <c r="F59" s="168">
        <v>1</v>
      </c>
      <c r="G59" s="334" t="s">
        <v>642</v>
      </c>
      <c r="H59" s="689">
        <v>42100</v>
      </c>
      <c r="K59"/>
      <c r="L59"/>
    </row>
    <row r="60" spans="1:12" ht="15">
      <c r="A60" s="337" t="s">
        <v>7</v>
      </c>
      <c r="B60" s="356" t="s">
        <v>19</v>
      </c>
      <c r="C60" s="338" t="s">
        <v>64</v>
      </c>
      <c r="D60" s="338" t="str">
        <f ca="1">IFERROR(OFFSET(Camp_List[P_Code],MATCH(Data_Vulnerability_t[[#This Row],[Camp Name]],Camp_List[Camp Name],0)-1,0,1,1),"")</f>
        <v>MMR012CMP042</v>
      </c>
      <c r="E60" s="339" t="s">
        <v>751</v>
      </c>
      <c r="F60" s="168">
        <v>2</v>
      </c>
      <c r="G60" s="334" t="s">
        <v>642</v>
      </c>
      <c r="H60" s="689">
        <v>42100</v>
      </c>
      <c r="K60"/>
      <c r="L60"/>
    </row>
    <row r="61" spans="1:12" ht="15">
      <c r="A61" s="337" t="s">
        <v>7</v>
      </c>
      <c r="B61" s="356" t="s">
        <v>19</v>
      </c>
      <c r="C61" s="338" t="s">
        <v>64</v>
      </c>
      <c r="D61" s="338" t="str">
        <f ca="1">IFERROR(OFFSET(Camp_List[P_Code],MATCH(Data_Vulnerability_t[[#This Row],[Camp Name]],Camp_List[Camp Name],0)-1,0,1,1),"")</f>
        <v>MMR012CMP042</v>
      </c>
      <c r="E61" s="339" t="s">
        <v>918</v>
      </c>
      <c r="F61" s="168">
        <v>41</v>
      </c>
      <c r="G61" s="334" t="s">
        <v>642</v>
      </c>
      <c r="H61" s="689">
        <v>42100</v>
      </c>
      <c r="K61"/>
      <c r="L61"/>
    </row>
    <row r="62" spans="1:12" ht="15">
      <c r="A62" s="337" t="s">
        <v>7</v>
      </c>
      <c r="B62" s="356" t="s">
        <v>19</v>
      </c>
      <c r="C62" s="338" t="s">
        <v>64</v>
      </c>
      <c r="D62" s="338" t="str">
        <f ca="1">IFERROR(OFFSET(Camp_List[P_Code],MATCH(Data_Vulnerability_t[[#This Row],[Camp Name]],Camp_List[Camp Name],0)-1,0,1,1),"")</f>
        <v>MMR012CMP042</v>
      </c>
      <c r="E62" s="339" t="s">
        <v>921</v>
      </c>
      <c r="F62" s="168">
        <v>210</v>
      </c>
      <c r="G62" s="334" t="s">
        <v>642</v>
      </c>
      <c r="H62" s="689">
        <v>42100</v>
      </c>
      <c r="K62"/>
      <c r="L62"/>
    </row>
    <row r="63" spans="1:12" ht="15">
      <c r="A63" s="337" t="s">
        <v>7</v>
      </c>
      <c r="B63" s="356" t="s">
        <v>19</v>
      </c>
      <c r="C63" s="338" t="s">
        <v>64</v>
      </c>
      <c r="D63" s="338" t="str">
        <f ca="1">IFERROR(OFFSET(Camp_List[P_Code],MATCH(Data_Vulnerability_t[[#This Row],[Camp Name]],Camp_List[Camp Name],0)-1,0,1,1),"")</f>
        <v>MMR012CMP042</v>
      </c>
      <c r="E63" s="339" t="s">
        <v>919</v>
      </c>
      <c r="F63" s="168">
        <v>27</v>
      </c>
      <c r="G63" s="334" t="s">
        <v>642</v>
      </c>
      <c r="H63" s="689">
        <v>42100</v>
      </c>
      <c r="K63"/>
      <c r="L63"/>
    </row>
    <row r="64" spans="1:12" ht="15">
      <c r="A64" s="337" t="s">
        <v>7</v>
      </c>
      <c r="B64" s="356" t="s">
        <v>19</v>
      </c>
      <c r="C64" s="338" t="s">
        <v>64</v>
      </c>
      <c r="D64" s="338" t="str">
        <f ca="1">IFERROR(OFFSET(Camp_List[P_Code],MATCH(Data_Vulnerability_t[[#This Row],[Camp Name]],Camp_List[Camp Name],0)-1,0,1,1),"")</f>
        <v>MMR012CMP042</v>
      </c>
      <c r="E64" s="339" t="s">
        <v>922</v>
      </c>
      <c r="F64" s="168">
        <v>54</v>
      </c>
      <c r="G64" s="334" t="s">
        <v>642</v>
      </c>
      <c r="H64" s="689">
        <v>42100</v>
      </c>
      <c r="K64"/>
      <c r="L64"/>
    </row>
    <row r="65" spans="1:12" ht="15">
      <c r="A65" s="337" t="s">
        <v>7</v>
      </c>
      <c r="B65" s="356" t="s">
        <v>19</v>
      </c>
      <c r="C65" s="338" t="s">
        <v>64</v>
      </c>
      <c r="D65" s="338" t="str">
        <f ca="1">IFERROR(OFFSET(Camp_List[P_Code],MATCH(Data_Vulnerability_t[[#This Row],[Camp Name]],Camp_List[Camp Name],0)-1,0,1,1),"")</f>
        <v>MMR012CMP042</v>
      </c>
      <c r="E65" s="339" t="s">
        <v>920</v>
      </c>
      <c r="F65" s="168">
        <v>12</v>
      </c>
      <c r="G65" s="334" t="s">
        <v>642</v>
      </c>
      <c r="H65" s="689">
        <v>42100</v>
      </c>
      <c r="K65"/>
      <c r="L65"/>
    </row>
    <row r="66" spans="1:12" ht="15">
      <c r="A66" s="337" t="s">
        <v>7</v>
      </c>
      <c r="B66" s="356" t="s">
        <v>14</v>
      </c>
      <c r="C66" s="338" t="s">
        <v>42</v>
      </c>
      <c r="D66" s="338" t="str">
        <f ca="1">IFERROR(OFFSET(Camp_List[P_Code],MATCH(Data_Vulnerability_t[[#This Row],[Camp Name]],Camp_List[Camp Name],0)-1,0,1,1),"")</f>
        <v>MMR012CMP018</v>
      </c>
      <c r="E66" s="339" t="s">
        <v>917</v>
      </c>
      <c r="F66" s="168">
        <v>23</v>
      </c>
      <c r="G66" s="334" t="s">
        <v>753</v>
      </c>
      <c r="H66" s="689">
        <v>42173</v>
      </c>
      <c r="K66"/>
      <c r="L66"/>
    </row>
    <row r="67" spans="1:12" ht="15">
      <c r="A67" s="337" t="s">
        <v>7</v>
      </c>
      <c r="B67" s="356" t="s">
        <v>14</v>
      </c>
      <c r="C67" s="338" t="s">
        <v>42</v>
      </c>
      <c r="D67" s="338" t="str">
        <f ca="1">IFERROR(OFFSET(Camp_List[P_Code],MATCH(Data_Vulnerability_t[[#This Row],[Camp Name]],Camp_List[Camp Name],0)-1,0,1,1),"")</f>
        <v>MMR012CMP018</v>
      </c>
      <c r="E67" s="339" t="s">
        <v>752</v>
      </c>
      <c r="F67" s="168">
        <v>4</v>
      </c>
      <c r="G67" s="334" t="s">
        <v>753</v>
      </c>
      <c r="H67" s="689">
        <v>42173</v>
      </c>
      <c r="K67"/>
      <c r="L67"/>
    </row>
    <row r="68" spans="1:12" ht="15">
      <c r="A68" s="337" t="s">
        <v>7</v>
      </c>
      <c r="B68" s="356" t="s">
        <v>14</v>
      </c>
      <c r="C68" s="338" t="s">
        <v>42</v>
      </c>
      <c r="D68" s="338" t="str">
        <f ca="1">IFERROR(OFFSET(Camp_List[P_Code],MATCH(Data_Vulnerability_t[[#This Row],[Camp Name]],Camp_List[Camp Name],0)-1,0,1,1),"")</f>
        <v>MMR012CMP018</v>
      </c>
      <c r="E68" s="339" t="s">
        <v>751</v>
      </c>
      <c r="F68" s="168">
        <v>2</v>
      </c>
      <c r="G68" s="334" t="s">
        <v>753</v>
      </c>
      <c r="H68" s="689">
        <v>42173</v>
      </c>
      <c r="K68"/>
      <c r="L68"/>
    </row>
    <row r="69" spans="1:12" ht="15">
      <c r="A69" s="337" t="s">
        <v>7</v>
      </c>
      <c r="B69" s="356" t="s">
        <v>14</v>
      </c>
      <c r="C69" s="338" t="s">
        <v>42</v>
      </c>
      <c r="D69" s="338" t="str">
        <f ca="1">IFERROR(OFFSET(Camp_List[P_Code],MATCH(Data_Vulnerability_t[[#This Row],[Camp Name]],Camp_List[Camp Name],0)-1,0,1,1),"")</f>
        <v>MMR012CMP018</v>
      </c>
      <c r="E69" s="339" t="s">
        <v>918</v>
      </c>
      <c r="F69" s="168">
        <v>38</v>
      </c>
      <c r="G69" s="334" t="s">
        <v>753</v>
      </c>
      <c r="H69" s="689">
        <v>42173</v>
      </c>
      <c r="K69"/>
      <c r="L69"/>
    </row>
    <row r="70" spans="1:12" ht="15">
      <c r="A70" s="337" t="s">
        <v>7</v>
      </c>
      <c r="B70" s="356" t="s">
        <v>14</v>
      </c>
      <c r="C70" s="338" t="s">
        <v>42</v>
      </c>
      <c r="D70" s="338" t="str">
        <f ca="1">IFERROR(OFFSET(Camp_List[P_Code],MATCH(Data_Vulnerability_t[[#This Row],[Camp Name]],Camp_List[Camp Name],0)-1,0,1,1),"")</f>
        <v>MMR012CMP018</v>
      </c>
      <c r="E70" s="339" t="s">
        <v>921</v>
      </c>
      <c r="F70" s="168">
        <v>36</v>
      </c>
      <c r="G70" s="334" t="s">
        <v>753</v>
      </c>
      <c r="H70" s="689">
        <v>42173</v>
      </c>
      <c r="K70"/>
      <c r="L70"/>
    </row>
    <row r="71" spans="1:12" ht="15">
      <c r="A71" s="337" t="s">
        <v>7</v>
      </c>
      <c r="B71" s="356" t="s">
        <v>14</v>
      </c>
      <c r="C71" s="338" t="s">
        <v>42</v>
      </c>
      <c r="D71" s="338" t="str">
        <f ca="1">IFERROR(OFFSET(Camp_List[P_Code],MATCH(Data_Vulnerability_t[[#This Row],[Camp Name]],Camp_List[Camp Name],0)-1,0,1,1),"")</f>
        <v>MMR012CMP018</v>
      </c>
      <c r="E71" s="339" t="s">
        <v>919</v>
      </c>
      <c r="F71" s="168">
        <v>21</v>
      </c>
      <c r="G71" s="334" t="s">
        <v>753</v>
      </c>
      <c r="H71" s="689">
        <v>42173</v>
      </c>
      <c r="K71"/>
      <c r="L71"/>
    </row>
    <row r="72" spans="1:12" ht="15">
      <c r="A72" s="337" t="s">
        <v>7</v>
      </c>
      <c r="B72" s="356" t="s">
        <v>14</v>
      </c>
      <c r="C72" s="338" t="s">
        <v>42</v>
      </c>
      <c r="D72" s="338" t="str">
        <f ca="1">IFERROR(OFFSET(Camp_List[P_Code],MATCH(Data_Vulnerability_t[[#This Row],[Camp Name]],Camp_List[Camp Name],0)-1,0,1,1),"")</f>
        <v>MMR012CMP018</v>
      </c>
      <c r="E72" s="339" t="s">
        <v>922</v>
      </c>
      <c r="F72" s="168">
        <v>33</v>
      </c>
      <c r="G72" s="334" t="s">
        <v>753</v>
      </c>
      <c r="H72" s="689">
        <v>42173</v>
      </c>
      <c r="K72"/>
      <c r="L72"/>
    </row>
    <row r="73" spans="1:12" ht="15">
      <c r="A73" s="337" t="s">
        <v>7</v>
      </c>
      <c r="B73" s="356" t="s">
        <v>14</v>
      </c>
      <c r="C73" s="338" t="s">
        <v>42</v>
      </c>
      <c r="D73" s="338" t="str">
        <f ca="1">IFERROR(OFFSET(Camp_List[P_Code],MATCH(Data_Vulnerability_t[[#This Row],[Camp Name]],Camp_List[Camp Name],0)-1,0,1,1),"")</f>
        <v>MMR012CMP018</v>
      </c>
      <c r="E73" s="339" t="s">
        <v>920</v>
      </c>
      <c r="F73" s="168">
        <v>83</v>
      </c>
      <c r="G73" s="334" t="s">
        <v>753</v>
      </c>
      <c r="H73" s="689">
        <v>42173</v>
      </c>
      <c r="K73"/>
      <c r="L73"/>
    </row>
    <row r="74" spans="1:12" ht="15">
      <c r="A74" s="337" t="s">
        <v>7</v>
      </c>
      <c r="B74" s="356" t="s">
        <v>19</v>
      </c>
      <c r="C74" s="338" t="s">
        <v>647</v>
      </c>
      <c r="D74" s="338" t="str">
        <f ca="1">IFERROR(OFFSET(Camp_List[P_Code],MATCH(Data_Vulnerability_t[[#This Row],[Camp Name]],Camp_List[Camp Name],0)-1,0,1,1),"")</f>
        <v>MMR012CMP092</v>
      </c>
      <c r="E74" s="339" t="s">
        <v>917</v>
      </c>
      <c r="F74" s="168">
        <v>6</v>
      </c>
      <c r="G74" s="334" t="s">
        <v>753</v>
      </c>
      <c r="H74" s="689">
        <v>42163</v>
      </c>
      <c r="K74"/>
      <c r="L74"/>
    </row>
    <row r="75" spans="1:12" ht="15">
      <c r="A75" s="337" t="s">
        <v>7</v>
      </c>
      <c r="B75" s="356" t="s">
        <v>19</v>
      </c>
      <c r="C75" s="334" t="s">
        <v>647</v>
      </c>
      <c r="D75" s="338" t="str">
        <f ca="1">IFERROR(OFFSET(Camp_List[P_Code],MATCH(Data_Vulnerability_t[[#This Row],[Camp Name]],Camp_List[Camp Name],0)-1,0,1,1),"")</f>
        <v>MMR012CMP092</v>
      </c>
      <c r="E75" s="339" t="s">
        <v>752</v>
      </c>
      <c r="F75" s="168">
        <v>3</v>
      </c>
      <c r="G75" s="334" t="s">
        <v>753</v>
      </c>
      <c r="H75" s="689">
        <v>42163</v>
      </c>
      <c r="K75"/>
      <c r="L75"/>
    </row>
    <row r="76" spans="1:12" ht="15">
      <c r="A76" s="337" t="s">
        <v>7</v>
      </c>
      <c r="B76" s="356" t="s">
        <v>19</v>
      </c>
      <c r="C76" s="334" t="s">
        <v>647</v>
      </c>
      <c r="D76" s="338" t="str">
        <f ca="1">IFERROR(OFFSET(Camp_List[P_Code],MATCH(Data_Vulnerability_t[[#This Row],[Camp Name]],Camp_List[Camp Name],0)-1,0,1,1),"")</f>
        <v>MMR012CMP092</v>
      </c>
      <c r="E76" s="339" t="s">
        <v>751</v>
      </c>
      <c r="F76" s="168">
        <v>3</v>
      </c>
      <c r="G76" s="334" t="s">
        <v>753</v>
      </c>
      <c r="H76" s="689">
        <v>42163</v>
      </c>
      <c r="K76"/>
      <c r="L76"/>
    </row>
    <row r="77" spans="1:12" ht="15">
      <c r="A77" s="337" t="s">
        <v>7</v>
      </c>
      <c r="B77" s="356" t="s">
        <v>19</v>
      </c>
      <c r="C77" s="334" t="s">
        <v>647</v>
      </c>
      <c r="D77" s="338" t="str">
        <f ca="1">IFERROR(OFFSET(Camp_List[P_Code],MATCH(Data_Vulnerability_t[[#This Row],[Camp Name]],Camp_List[Camp Name],0)-1,0,1,1),"")</f>
        <v>MMR012CMP092</v>
      </c>
      <c r="E77" s="339" t="s">
        <v>918</v>
      </c>
      <c r="F77" s="168">
        <v>37</v>
      </c>
      <c r="G77" s="334" t="s">
        <v>753</v>
      </c>
      <c r="H77" s="689">
        <v>42163</v>
      </c>
      <c r="K77"/>
      <c r="L77"/>
    </row>
    <row r="78" spans="1:12" ht="15">
      <c r="A78" s="337" t="s">
        <v>7</v>
      </c>
      <c r="B78" s="356" t="s">
        <v>19</v>
      </c>
      <c r="C78" s="334" t="s">
        <v>647</v>
      </c>
      <c r="D78" s="338" t="str">
        <f ca="1">IFERROR(OFFSET(Camp_List[P_Code],MATCH(Data_Vulnerability_t[[#This Row],[Camp Name]],Camp_List[Camp Name],0)-1,0,1,1),"")</f>
        <v>MMR012CMP092</v>
      </c>
      <c r="E78" s="339" t="s">
        <v>921</v>
      </c>
      <c r="F78" s="168">
        <v>28</v>
      </c>
      <c r="G78" s="334" t="s">
        <v>753</v>
      </c>
      <c r="H78" s="689">
        <v>42163</v>
      </c>
      <c r="K78"/>
      <c r="L78"/>
    </row>
    <row r="79" spans="1:12" ht="15">
      <c r="A79" s="337" t="s">
        <v>7</v>
      </c>
      <c r="B79" s="356" t="s">
        <v>19</v>
      </c>
      <c r="C79" s="334" t="s">
        <v>647</v>
      </c>
      <c r="D79" s="338" t="str">
        <f ca="1">IFERROR(OFFSET(Camp_List[P_Code],MATCH(Data_Vulnerability_t[[#This Row],[Camp Name]],Camp_List[Camp Name],0)-1,0,1,1),"")</f>
        <v>MMR012CMP092</v>
      </c>
      <c r="E79" s="339" t="s">
        <v>919</v>
      </c>
      <c r="F79" s="168">
        <v>9</v>
      </c>
      <c r="G79" s="334" t="s">
        <v>753</v>
      </c>
      <c r="H79" s="689">
        <v>42163</v>
      </c>
      <c r="K79"/>
      <c r="L79"/>
    </row>
    <row r="80" spans="1:12" ht="15">
      <c r="A80" s="337" t="s">
        <v>7</v>
      </c>
      <c r="B80" s="356" t="s">
        <v>19</v>
      </c>
      <c r="C80" s="334" t="s">
        <v>647</v>
      </c>
      <c r="D80" s="338" t="str">
        <f ca="1">IFERROR(OFFSET(Camp_List[P_Code],MATCH(Data_Vulnerability_t[[#This Row],[Camp Name]],Camp_List[Camp Name],0)-1,0,1,1),"")</f>
        <v>MMR012CMP092</v>
      </c>
      <c r="E80" s="339" t="s">
        <v>922</v>
      </c>
      <c r="F80" s="168">
        <v>5</v>
      </c>
      <c r="G80" s="334" t="s">
        <v>753</v>
      </c>
      <c r="H80" s="689">
        <v>42163</v>
      </c>
      <c r="K80"/>
      <c r="L80"/>
    </row>
    <row r="81" spans="1:12" ht="15">
      <c r="A81" s="337" t="s">
        <v>7</v>
      </c>
      <c r="B81" s="356" t="s">
        <v>19</v>
      </c>
      <c r="C81" s="334" t="s">
        <v>647</v>
      </c>
      <c r="D81" s="338" t="str">
        <f ca="1">IFERROR(OFFSET(Camp_List[P_Code],MATCH(Data_Vulnerability_t[[#This Row],[Camp Name]],Camp_List[Camp Name],0)-1,0,1,1),"")</f>
        <v>MMR012CMP092</v>
      </c>
      <c r="E81" s="339" t="s">
        <v>920</v>
      </c>
      <c r="F81" s="168">
        <v>73</v>
      </c>
      <c r="G81" s="334" t="s">
        <v>753</v>
      </c>
      <c r="H81" s="689">
        <v>42163</v>
      </c>
      <c r="K81"/>
      <c r="L81"/>
    </row>
    <row r="82" spans="1:12" ht="15">
      <c r="A82" s="337" t="s">
        <v>7</v>
      </c>
      <c r="B82" s="356" t="s">
        <v>14</v>
      </c>
      <c r="C82" s="334" t="s">
        <v>41</v>
      </c>
      <c r="D82" s="338" t="str">
        <f ca="1">IFERROR(OFFSET(Camp_List[P_Code],MATCH(Data_Vulnerability_t[[#This Row],[Camp Name]],Camp_List[Camp Name],0)-1,0,1,1),"")</f>
        <v>MMR012CMP017</v>
      </c>
      <c r="E82" s="339" t="s">
        <v>917</v>
      </c>
      <c r="F82" s="168">
        <v>4</v>
      </c>
      <c r="G82" s="334" t="s">
        <v>642</v>
      </c>
      <c r="H82" s="689">
        <v>42097</v>
      </c>
      <c r="K82"/>
      <c r="L82"/>
    </row>
    <row r="83" spans="1:12" ht="15">
      <c r="A83" s="337" t="s">
        <v>7</v>
      </c>
      <c r="B83" s="356" t="s">
        <v>14</v>
      </c>
      <c r="C83" s="334" t="s">
        <v>41</v>
      </c>
      <c r="D83" s="338" t="str">
        <f ca="1">IFERROR(OFFSET(Camp_List[P_Code],MATCH(Data_Vulnerability_t[[#This Row],[Camp Name]],Camp_List[Camp Name],0)-1,0,1,1),"")</f>
        <v>MMR012CMP017</v>
      </c>
      <c r="E83" s="339" t="s">
        <v>752</v>
      </c>
      <c r="F83" s="168">
        <v>4</v>
      </c>
      <c r="G83" s="334" t="s">
        <v>642</v>
      </c>
      <c r="H83" s="689">
        <v>42097</v>
      </c>
      <c r="K83"/>
      <c r="L83"/>
    </row>
    <row r="84" spans="1:12" ht="15">
      <c r="A84" s="337" t="s">
        <v>7</v>
      </c>
      <c r="B84" s="356" t="s">
        <v>14</v>
      </c>
      <c r="C84" s="334" t="s">
        <v>41</v>
      </c>
      <c r="D84" s="338" t="str">
        <f ca="1">IFERROR(OFFSET(Camp_List[P_Code],MATCH(Data_Vulnerability_t[[#This Row],[Camp Name]],Camp_List[Camp Name],0)-1,0,1,1),"")</f>
        <v>MMR012CMP017</v>
      </c>
      <c r="E84" s="339" t="s">
        <v>751</v>
      </c>
      <c r="F84" s="168">
        <v>8</v>
      </c>
      <c r="G84" s="334" t="s">
        <v>642</v>
      </c>
      <c r="H84" s="689">
        <v>42097</v>
      </c>
      <c r="K84"/>
      <c r="L84"/>
    </row>
    <row r="85" spans="1:12" ht="15">
      <c r="A85" s="337" t="s">
        <v>7</v>
      </c>
      <c r="B85" s="356" t="s">
        <v>14</v>
      </c>
      <c r="C85" s="334" t="s">
        <v>41</v>
      </c>
      <c r="D85" s="338" t="str">
        <f ca="1">IFERROR(OFFSET(Camp_List[P_Code],MATCH(Data_Vulnerability_t[[#This Row],[Camp Name]],Camp_List[Camp Name],0)-1,0,1,1),"")</f>
        <v>MMR012CMP017</v>
      </c>
      <c r="E85" s="339" t="s">
        <v>918</v>
      </c>
      <c r="F85" s="168">
        <v>9</v>
      </c>
      <c r="G85" s="334" t="s">
        <v>642</v>
      </c>
      <c r="H85" s="689">
        <v>42097</v>
      </c>
      <c r="K85"/>
      <c r="L85"/>
    </row>
    <row r="86" spans="1:12" ht="15">
      <c r="A86" s="337" t="s">
        <v>7</v>
      </c>
      <c r="B86" s="356" t="s">
        <v>14</v>
      </c>
      <c r="C86" s="334" t="s">
        <v>41</v>
      </c>
      <c r="D86" s="338" t="str">
        <f ca="1">IFERROR(OFFSET(Camp_List[P_Code],MATCH(Data_Vulnerability_t[[#This Row],[Camp Name]],Camp_List[Camp Name],0)-1,0,1,1),"")</f>
        <v>MMR012CMP017</v>
      </c>
      <c r="E86" s="339" t="s">
        <v>921</v>
      </c>
      <c r="F86" s="168">
        <v>640</v>
      </c>
      <c r="G86" s="334" t="s">
        <v>642</v>
      </c>
      <c r="H86" s="689">
        <v>42097</v>
      </c>
      <c r="K86"/>
      <c r="L86"/>
    </row>
    <row r="87" spans="1:12" ht="15">
      <c r="A87" s="337" t="s">
        <v>7</v>
      </c>
      <c r="B87" s="356" t="s">
        <v>14</v>
      </c>
      <c r="C87" s="334" t="s">
        <v>41</v>
      </c>
      <c r="D87" s="338" t="str">
        <f ca="1">IFERROR(OFFSET(Camp_List[P_Code],MATCH(Data_Vulnerability_t[[#This Row],[Camp Name]],Camp_List[Camp Name],0)-1,0,1,1),"")</f>
        <v>MMR012CMP017</v>
      </c>
      <c r="E87" s="339" t="s">
        <v>919</v>
      </c>
      <c r="F87" s="168">
        <v>33</v>
      </c>
      <c r="G87" s="334" t="s">
        <v>642</v>
      </c>
      <c r="H87" s="689">
        <v>42097</v>
      </c>
      <c r="K87"/>
      <c r="L87"/>
    </row>
    <row r="88" spans="1:12" ht="15">
      <c r="A88" s="337" t="s">
        <v>7</v>
      </c>
      <c r="B88" s="356" t="s">
        <v>14</v>
      </c>
      <c r="C88" s="334" t="s">
        <v>41</v>
      </c>
      <c r="D88" s="338" t="str">
        <f ca="1">IFERROR(OFFSET(Camp_List[P_Code],MATCH(Data_Vulnerability_t[[#This Row],[Camp Name]],Camp_List[Camp Name],0)-1,0,1,1),"")</f>
        <v>MMR012CMP017</v>
      </c>
      <c r="E88" s="339" t="s">
        <v>922</v>
      </c>
      <c r="F88" s="168">
        <v>31</v>
      </c>
      <c r="G88" s="334" t="s">
        <v>642</v>
      </c>
      <c r="H88" s="689">
        <v>42097</v>
      </c>
      <c r="K88"/>
      <c r="L88"/>
    </row>
    <row r="89" spans="1:12" ht="15">
      <c r="A89" s="337" t="s">
        <v>7</v>
      </c>
      <c r="B89" s="356" t="s">
        <v>14</v>
      </c>
      <c r="C89" s="334" t="s">
        <v>41</v>
      </c>
      <c r="D89" s="338" t="str">
        <f ca="1">IFERROR(OFFSET(Camp_List[P_Code],MATCH(Data_Vulnerability_t[[#This Row],[Camp Name]],Camp_List[Camp Name],0)-1,0,1,1),"")</f>
        <v>MMR012CMP017</v>
      </c>
      <c r="E89" s="339" t="s">
        <v>920</v>
      </c>
      <c r="F89" s="168">
        <v>12</v>
      </c>
      <c r="G89" s="334" t="s">
        <v>642</v>
      </c>
      <c r="H89" s="689">
        <v>42097</v>
      </c>
      <c r="K89"/>
      <c r="L89"/>
    </row>
    <row r="90" spans="1:12" ht="15">
      <c r="A90" s="337" t="s">
        <v>7</v>
      </c>
      <c r="B90" s="356" t="s">
        <v>19</v>
      </c>
      <c r="C90" s="334" t="s">
        <v>652</v>
      </c>
      <c r="D90" s="338" t="str">
        <f ca="1">IFERROR(OFFSET(Camp_List[P_Code],MATCH(Data_Vulnerability_t[[#This Row],[Camp Name]],Camp_List[Camp Name],0)-1,0,1,1),"")</f>
        <v>MMR012CMP098</v>
      </c>
      <c r="E90" s="339" t="s">
        <v>917</v>
      </c>
      <c r="F90" s="168">
        <v>100</v>
      </c>
      <c r="G90" s="334" t="s">
        <v>290</v>
      </c>
      <c r="H90" s="689">
        <v>42080</v>
      </c>
      <c r="K90"/>
      <c r="L90"/>
    </row>
    <row r="91" spans="1:12" ht="15">
      <c r="A91" s="337" t="s">
        <v>7</v>
      </c>
      <c r="B91" s="356" t="s">
        <v>19</v>
      </c>
      <c r="C91" s="334" t="s">
        <v>652</v>
      </c>
      <c r="D91" s="338" t="str">
        <f ca="1">IFERROR(OFFSET(Camp_List[P_Code],MATCH(Data_Vulnerability_t[[#This Row],[Camp Name]],Camp_List[Camp Name],0)-1,0,1,1),"")</f>
        <v>MMR012CMP098</v>
      </c>
      <c r="E91" s="339" t="s">
        <v>752</v>
      </c>
      <c r="F91" s="168">
        <v>20</v>
      </c>
      <c r="G91" s="334" t="s">
        <v>290</v>
      </c>
      <c r="H91" s="689">
        <v>42080</v>
      </c>
      <c r="K91"/>
      <c r="L91"/>
    </row>
    <row r="92" spans="1:12" ht="15">
      <c r="A92" s="337" t="s">
        <v>7</v>
      </c>
      <c r="B92" s="356" t="s">
        <v>19</v>
      </c>
      <c r="C92" s="334" t="s">
        <v>652</v>
      </c>
      <c r="D92" s="338" t="str">
        <f ca="1">IFERROR(OFFSET(Camp_List[P_Code],MATCH(Data_Vulnerability_t[[#This Row],[Camp Name]],Camp_List[Camp Name],0)-1,0,1,1),"")</f>
        <v>MMR012CMP098</v>
      </c>
      <c r="E92" s="339" t="s">
        <v>751</v>
      </c>
      <c r="F92" s="168">
        <v>1</v>
      </c>
      <c r="G92" s="334" t="s">
        <v>290</v>
      </c>
      <c r="H92" s="689">
        <v>42080</v>
      </c>
      <c r="K92"/>
      <c r="L92"/>
    </row>
    <row r="93" spans="1:12" ht="15">
      <c r="A93" s="337" t="s">
        <v>7</v>
      </c>
      <c r="B93" s="356" t="s">
        <v>19</v>
      </c>
      <c r="C93" s="370" t="s">
        <v>652</v>
      </c>
      <c r="D93" s="338" t="str">
        <f ca="1">IFERROR(OFFSET(Camp_List[P_Code],MATCH(Data_Vulnerability_t[[#This Row],[Camp Name]],Camp_List[Camp Name],0)-1,0,1,1),"")</f>
        <v>MMR012CMP098</v>
      </c>
      <c r="E93" s="339" t="s">
        <v>918</v>
      </c>
      <c r="F93" s="168">
        <v>82</v>
      </c>
      <c r="G93" s="334" t="s">
        <v>290</v>
      </c>
      <c r="H93" s="689">
        <v>42080</v>
      </c>
      <c r="K93"/>
      <c r="L93"/>
    </row>
    <row r="94" spans="1:12" ht="15">
      <c r="A94" s="337" t="s">
        <v>7</v>
      </c>
      <c r="B94" s="356" t="s">
        <v>19</v>
      </c>
      <c r="C94" s="370" t="s">
        <v>652</v>
      </c>
      <c r="D94" s="338" t="str">
        <f ca="1">IFERROR(OFFSET(Camp_List[P_Code],MATCH(Data_Vulnerability_t[[#This Row],[Camp Name]],Camp_List[Camp Name],0)-1,0,1,1),"")</f>
        <v>MMR012CMP098</v>
      </c>
      <c r="E94" s="339" t="s">
        <v>921</v>
      </c>
      <c r="F94" s="168">
        <v>26</v>
      </c>
      <c r="G94" s="334" t="s">
        <v>290</v>
      </c>
      <c r="H94" s="689">
        <v>42080</v>
      </c>
      <c r="K94"/>
      <c r="L94"/>
    </row>
    <row r="95" spans="1:12" ht="15">
      <c r="A95" s="337" t="s">
        <v>7</v>
      </c>
      <c r="B95" s="356" t="s">
        <v>19</v>
      </c>
      <c r="C95" s="370" t="s">
        <v>652</v>
      </c>
      <c r="D95" s="338" t="str">
        <f ca="1">IFERROR(OFFSET(Camp_List[P_Code],MATCH(Data_Vulnerability_t[[#This Row],[Camp Name]],Camp_List[Camp Name],0)-1,0,1,1),"")</f>
        <v>MMR012CMP098</v>
      </c>
      <c r="E95" s="339" t="s">
        <v>919</v>
      </c>
      <c r="F95" s="168">
        <v>12</v>
      </c>
      <c r="G95" s="334" t="s">
        <v>290</v>
      </c>
      <c r="H95" s="689">
        <v>42080</v>
      </c>
      <c r="K95"/>
      <c r="L95"/>
    </row>
    <row r="96" spans="1:12" ht="15">
      <c r="A96" s="337" t="s">
        <v>7</v>
      </c>
      <c r="B96" s="356" t="s">
        <v>19</v>
      </c>
      <c r="C96" s="370" t="s">
        <v>652</v>
      </c>
      <c r="D96" s="338" t="str">
        <f ca="1">IFERROR(OFFSET(Camp_List[P_Code],MATCH(Data_Vulnerability_t[[#This Row],[Camp Name]],Camp_List[Camp Name],0)-1,0,1,1),"")</f>
        <v>MMR012CMP098</v>
      </c>
      <c r="E96" s="339" t="s">
        <v>922</v>
      </c>
      <c r="F96" s="168">
        <v>32</v>
      </c>
      <c r="G96" s="334" t="s">
        <v>290</v>
      </c>
      <c r="H96" s="689">
        <v>42080</v>
      </c>
      <c r="K96"/>
      <c r="L96"/>
    </row>
    <row r="97" spans="1:12" ht="15">
      <c r="A97" s="337" t="s">
        <v>7</v>
      </c>
      <c r="B97" s="356" t="s">
        <v>19</v>
      </c>
      <c r="C97" s="370" t="s">
        <v>652</v>
      </c>
      <c r="D97" s="338" t="str">
        <f ca="1">IFERROR(OFFSET(Camp_List[P_Code],MATCH(Data_Vulnerability_t[[#This Row],[Camp Name]],Camp_List[Camp Name],0)-1,0,1,1),"")</f>
        <v>MMR012CMP098</v>
      </c>
      <c r="E97" s="339" t="s">
        <v>920</v>
      </c>
      <c r="F97" s="168">
        <v>49</v>
      </c>
      <c r="G97" s="334" t="s">
        <v>290</v>
      </c>
      <c r="H97" s="689">
        <v>42080</v>
      </c>
      <c r="K97"/>
      <c r="L97"/>
    </row>
    <row r="98" spans="1:12" ht="15">
      <c r="A98" s="337" t="s">
        <v>7</v>
      </c>
      <c r="B98" s="356" t="s">
        <v>19</v>
      </c>
      <c r="C98" s="370" t="s">
        <v>653</v>
      </c>
      <c r="D98" s="338" t="str">
        <f ca="1">IFERROR(OFFSET(Camp_List[P_Code],MATCH(Data_Vulnerability_t[[#This Row],[Camp Name]],Camp_List[Camp Name],0)-1,0,1,1),"")</f>
        <v>MMR012CMP115</v>
      </c>
      <c r="E98" s="339" t="s">
        <v>917</v>
      </c>
      <c r="F98" s="168">
        <v>116</v>
      </c>
      <c r="G98" s="334" t="s">
        <v>290</v>
      </c>
      <c r="H98" s="689">
        <v>42101</v>
      </c>
      <c r="K98"/>
      <c r="L98"/>
    </row>
    <row r="99" spans="1:12" ht="15">
      <c r="A99" s="337" t="s">
        <v>7</v>
      </c>
      <c r="B99" s="356" t="s">
        <v>19</v>
      </c>
      <c r="C99" s="370" t="s">
        <v>653</v>
      </c>
      <c r="D99" s="338" t="str">
        <f ca="1">IFERROR(OFFSET(Camp_List[P_Code],MATCH(Data_Vulnerability_t[[#This Row],[Camp Name]],Camp_List[Camp Name],0)-1,0,1,1),"")</f>
        <v>MMR012CMP115</v>
      </c>
      <c r="E99" s="339" t="s">
        <v>752</v>
      </c>
      <c r="F99" s="168">
        <v>72</v>
      </c>
      <c r="G99" s="334" t="s">
        <v>290</v>
      </c>
      <c r="H99" s="689">
        <v>42101</v>
      </c>
      <c r="K99"/>
      <c r="L99"/>
    </row>
    <row r="100" spans="1:12" ht="15">
      <c r="A100" s="337" t="s">
        <v>7</v>
      </c>
      <c r="B100" s="356" t="s">
        <v>19</v>
      </c>
      <c r="C100" s="370" t="s">
        <v>653</v>
      </c>
      <c r="D100" s="338" t="str">
        <f ca="1">IFERROR(OFFSET(Camp_List[P_Code],MATCH(Data_Vulnerability_t[[#This Row],[Camp Name]],Camp_List[Camp Name],0)-1,0,1,1),"")</f>
        <v>MMR012CMP115</v>
      </c>
      <c r="E100" s="339" t="s">
        <v>751</v>
      </c>
      <c r="F100" s="168">
        <v>133</v>
      </c>
      <c r="G100" s="334" t="s">
        <v>290</v>
      </c>
      <c r="H100" s="689">
        <v>42101</v>
      </c>
      <c r="K100"/>
      <c r="L100"/>
    </row>
    <row r="101" spans="1:12" ht="15">
      <c r="A101" s="337" t="s">
        <v>7</v>
      </c>
      <c r="B101" s="356" t="s">
        <v>19</v>
      </c>
      <c r="C101" s="338" t="s">
        <v>653</v>
      </c>
      <c r="D101" s="338" t="str">
        <f ca="1">IFERROR(OFFSET(Camp_List[P_Code],MATCH(Data_Vulnerability_t[[#This Row],[Camp Name]],Camp_List[Camp Name],0)-1,0,1,1),"")</f>
        <v>MMR012CMP115</v>
      </c>
      <c r="E101" s="339" t="s">
        <v>918</v>
      </c>
      <c r="F101" s="168">
        <v>585</v>
      </c>
      <c r="G101" s="334" t="s">
        <v>290</v>
      </c>
      <c r="H101" s="689">
        <v>42101</v>
      </c>
      <c r="K101"/>
      <c r="L101"/>
    </row>
    <row r="102" spans="1:12" ht="15">
      <c r="A102" s="337" t="s">
        <v>7</v>
      </c>
      <c r="B102" s="356" t="s">
        <v>19</v>
      </c>
      <c r="C102" s="338" t="s">
        <v>653</v>
      </c>
      <c r="D102" s="338" t="str">
        <f ca="1">IFERROR(OFFSET(Camp_List[P_Code],MATCH(Data_Vulnerability_t[[#This Row],[Camp Name]],Camp_List[Camp Name],0)-1,0,1,1),"")</f>
        <v>MMR012CMP115</v>
      </c>
      <c r="E102" s="339" t="s">
        <v>921</v>
      </c>
      <c r="F102" s="168">
        <v>103</v>
      </c>
      <c r="G102" s="334" t="s">
        <v>290</v>
      </c>
      <c r="H102" s="689">
        <v>42101</v>
      </c>
      <c r="K102"/>
      <c r="L102"/>
    </row>
    <row r="103" spans="1:12" ht="15">
      <c r="A103" s="337" t="s">
        <v>7</v>
      </c>
      <c r="B103" s="356" t="s">
        <v>19</v>
      </c>
      <c r="C103" s="338" t="s">
        <v>653</v>
      </c>
      <c r="D103" s="338" t="str">
        <f ca="1">IFERROR(OFFSET(Camp_List[P_Code],MATCH(Data_Vulnerability_t[[#This Row],[Camp Name]],Camp_List[Camp Name],0)-1,0,1,1),"")</f>
        <v>MMR012CMP115</v>
      </c>
      <c r="E103" s="339" t="s">
        <v>919</v>
      </c>
      <c r="F103" s="168">
        <v>94</v>
      </c>
      <c r="G103" s="334" t="s">
        <v>290</v>
      </c>
      <c r="H103" s="689">
        <v>42101</v>
      </c>
      <c r="K103"/>
      <c r="L103"/>
    </row>
    <row r="104" spans="1:12" ht="15">
      <c r="A104" s="337" t="s">
        <v>7</v>
      </c>
      <c r="B104" s="356" t="s">
        <v>19</v>
      </c>
      <c r="C104" s="338" t="s">
        <v>653</v>
      </c>
      <c r="D104" s="338" t="str">
        <f ca="1">IFERROR(OFFSET(Camp_List[P_Code],MATCH(Data_Vulnerability_t[[#This Row],[Camp Name]],Camp_List[Camp Name],0)-1,0,1,1),"")</f>
        <v>MMR012CMP115</v>
      </c>
      <c r="E104" s="339" t="s">
        <v>922</v>
      </c>
      <c r="F104" s="168">
        <v>146</v>
      </c>
      <c r="G104" s="334" t="s">
        <v>290</v>
      </c>
      <c r="H104" s="689">
        <v>42101</v>
      </c>
      <c r="K104"/>
      <c r="L104"/>
    </row>
    <row r="105" spans="1:12" ht="15">
      <c r="A105" s="337" t="s">
        <v>7</v>
      </c>
      <c r="B105" s="356" t="s">
        <v>19</v>
      </c>
      <c r="C105" s="338" t="s">
        <v>653</v>
      </c>
      <c r="D105" s="338" t="str">
        <f ca="1">IFERROR(OFFSET(Camp_List[P_Code],MATCH(Data_Vulnerability_t[[#This Row],[Camp Name]],Camp_List[Camp Name],0)-1,0,1,1),"")</f>
        <v>MMR012CMP115</v>
      </c>
      <c r="E105" s="339" t="s">
        <v>920</v>
      </c>
      <c r="F105" s="168">
        <v>161</v>
      </c>
      <c r="G105" s="334" t="s">
        <v>290</v>
      </c>
      <c r="H105" s="689">
        <v>42101</v>
      </c>
      <c r="K105"/>
      <c r="L105"/>
    </row>
    <row r="106" spans="1:12" ht="15">
      <c r="A106" s="337" t="s">
        <v>7</v>
      </c>
      <c r="B106" s="356" t="s">
        <v>19</v>
      </c>
      <c r="C106" s="338" t="s">
        <v>654</v>
      </c>
      <c r="D106" s="338" t="str">
        <f ca="1">IFERROR(OFFSET(Camp_List[P_Code],MATCH(Data_Vulnerability_t[[#This Row],[Camp Name]],Camp_List[Camp Name],0)-1,0,1,1),"")</f>
        <v>MMR012CMP116</v>
      </c>
      <c r="E106" s="339" t="s">
        <v>917</v>
      </c>
      <c r="F106" s="168">
        <v>10</v>
      </c>
      <c r="G106" s="334" t="s">
        <v>642</v>
      </c>
      <c r="H106" s="689">
        <v>42102</v>
      </c>
      <c r="K106"/>
      <c r="L106"/>
    </row>
    <row r="107" spans="1:12" ht="15">
      <c r="A107" s="337" t="s">
        <v>7</v>
      </c>
      <c r="B107" s="356" t="s">
        <v>19</v>
      </c>
      <c r="C107" s="338" t="s">
        <v>654</v>
      </c>
      <c r="D107" s="338" t="str">
        <f ca="1">IFERROR(OFFSET(Camp_List[P_Code],MATCH(Data_Vulnerability_t[[#This Row],[Camp Name]],Camp_List[Camp Name],0)-1,0,1,1),"")</f>
        <v>MMR012CMP116</v>
      </c>
      <c r="E107" s="339" t="s">
        <v>752</v>
      </c>
      <c r="F107" s="168">
        <v>6</v>
      </c>
      <c r="G107" s="334" t="s">
        <v>642</v>
      </c>
      <c r="H107" s="689">
        <v>42102</v>
      </c>
      <c r="K107"/>
      <c r="L107"/>
    </row>
    <row r="108" spans="1:12" ht="15">
      <c r="A108" s="337" t="s">
        <v>7</v>
      </c>
      <c r="B108" s="356" t="s">
        <v>19</v>
      </c>
      <c r="C108" s="338" t="s">
        <v>654</v>
      </c>
      <c r="D108" s="338" t="str">
        <f ca="1">IFERROR(OFFSET(Camp_List[P_Code],MATCH(Data_Vulnerability_t[[#This Row],[Camp Name]],Camp_List[Camp Name],0)-1,0,1,1),"")</f>
        <v>MMR012CMP116</v>
      </c>
      <c r="E108" s="339" t="s">
        <v>751</v>
      </c>
      <c r="F108" s="168">
        <v>44</v>
      </c>
      <c r="G108" s="334" t="s">
        <v>642</v>
      </c>
      <c r="H108" s="689">
        <v>42102</v>
      </c>
      <c r="K108"/>
      <c r="L108"/>
    </row>
    <row r="109" spans="1:12" ht="15">
      <c r="A109" s="337" t="s">
        <v>7</v>
      </c>
      <c r="B109" s="356" t="s">
        <v>19</v>
      </c>
      <c r="C109" s="338" t="s">
        <v>654</v>
      </c>
      <c r="D109" s="338" t="str">
        <f ca="1">IFERROR(OFFSET(Camp_List[P_Code],MATCH(Data_Vulnerability_t[[#This Row],[Camp Name]],Camp_List[Camp Name],0)-1,0,1,1),"")</f>
        <v>MMR012CMP116</v>
      </c>
      <c r="E109" s="339" t="s">
        <v>918</v>
      </c>
      <c r="F109" s="168">
        <v>200</v>
      </c>
      <c r="G109" s="334" t="s">
        <v>642</v>
      </c>
      <c r="H109" s="689">
        <v>42102</v>
      </c>
      <c r="K109"/>
      <c r="L109"/>
    </row>
    <row r="110" spans="1:12" ht="15">
      <c r="A110" s="337" t="s">
        <v>7</v>
      </c>
      <c r="B110" s="356" t="s">
        <v>19</v>
      </c>
      <c r="C110" s="334" t="s">
        <v>654</v>
      </c>
      <c r="D110" s="338" t="str">
        <f ca="1">IFERROR(OFFSET(Camp_List[P_Code],MATCH(Data_Vulnerability_t[[#This Row],[Camp Name]],Camp_List[Camp Name],0)-1,0,1,1),"")</f>
        <v>MMR012CMP116</v>
      </c>
      <c r="E110" s="339" t="s">
        <v>921</v>
      </c>
      <c r="F110" s="169">
        <v>581</v>
      </c>
      <c r="G110" s="334" t="s">
        <v>642</v>
      </c>
      <c r="H110" s="689">
        <v>42102</v>
      </c>
      <c r="K110"/>
      <c r="L110"/>
    </row>
    <row r="111" spans="1:12" ht="15">
      <c r="A111" s="337" t="s">
        <v>7</v>
      </c>
      <c r="B111" s="356" t="s">
        <v>19</v>
      </c>
      <c r="C111" s="334" t="s">
        <v>654</v>
      </c>
      <c r="D111" s="338" t="str">
        <f ca="1">IFERROR(OFFSET(Camp_List[P_Code],MATCH(Data_Vulnerability_t[[#This Row],[Camp Name]],Camp_List[Camp Name],0)-1,0,1,1),"")</f>
        <v>MMR012CMP116</v>
      </c>
      <c r="E111" s="339" t="s">
        <v>919</v>
      </c>
      <c r="F111" s="169">
        <v>1</v>
      </c>
      <c r="G111" s="334" t="s">
        <v>642</v>
      </c>
      <c r="H111" s="689">
        <v>42102</v>
      </c>
      <c r="K111"/>
      <c r="L111"/>
    </row>
    <row r="112" spans="1:12" ht="15">
      <c r="A112" s="337" t="s">
        <v>7</v>
      </c>
      <c r="B112" s="356" t="s">
        <v>19</v>
      </c>
      <c r="C112" s="334" t="s">
        <v>654</v>
      </c>
      <c r="D112" s="338" t="str">
        <f ca="1">IFERROR(OFFSET(Camp_List[P_Code],MATCH(Data_Vulnerability_t[[#This Row],[Camp Name]],Camp_List[Camp Name],0)-1,0,1,1),"")</f>
        <v>MMR012CMP116</v>
      </c>
      <c r="E112" s="339" t="s">
        <v>922</v>
      </c>
      <c r="F112" s="169">
        <v>33</v>
      </c>
      <c r="G112" s="334" t="s">
        <v>642</v>
      </c>
      <c r="H112" s="689">
        <v>42102</v>
      </c>
      <c r="K112"/>
      <c r="L112"/>
    </row>
    <row r="113" spans="1:12" ht="15">
      <c r="A113" s="337" t="s">
        <v>7</v>
      </c>
      <c r="B113" s="356" t="s">
        <v>19</v>
      </c>
      <c r="C113" s="334" t="s">
        <v>654</v>
      </c>
      <c r="D113" s="338" t="str">
        <f ca="1">IFERROR(OFFSET(Camp_List[P_Code],MATCH(Data_Vulnerability_t[[#This Row],[Camp Name]],Camp_List[Camp Name],0)-1,0,1,1),"")</f>
        <v>MMR012CMP116</v>
      </c>
      <c r="E113" s="339" t="s">
        <v>920</v>
      </c>
      <c r="F113" s="169">
        <v>1</v>
      </c>
      <c r="G113" s="334" t="s">
        <v>642</v>
      </c>
      <c r="H113" s="689">
        <v>42102</v>
      </c>
      <c r="K113"/>
      <c r="L113"/>
    </row>
    <row r="114" spans="1:12" ht="15">
      <c r="A114" s="337" t="s">
        <v>7</v>
      </c>
      <c r="B114" s="356" t="s">
        <v>19</v>
      </c>
      <c r="C114" s="334" t="s">
        <v>657</v>
      </c>
      <c r="D114" s="338" t="str">
        <f ca="1">IFERROR(OFFSET(Camp_List[P_Code],MATCH(Data_Vulnerability_t[[#This Row],[Camp Name]],Camp_List[Camp Name],0)-1,0,1,1),"")</f>
        <v>MMR012CMP111</v>
      </c>
      <c r="E114" s="339" t="s">
        <v>917</v>
      </c>
      <c r="F114" s="169">
        <v>3</v>
      </c>
      <c r="G114" s="334" t="s">
        <v>753</v>
      </c>
      <c r="H114" s="689">
        <v>42088</v>
      </c>
      <c r="K114"/>
      <c r="L114"/>
    </row>
    <row r="115" spans="1:12" ht="15">
      <c r="A115" s="337" t="s">
        <v>7</v>
      </c>
      <c r="B115" s="356" t="s">
        <v>19</v>
      </c>
      <c r="C115" s="334" t="s">
        <v>657</v>
      </c>
      <c r="D115" s="338" t="str">
        <f ca="1">IFERROR(OFFSET(Camp_List[P_Code],MATCH(Data_Vulnerability_t[[#This Row],[Camp Name]],Camp_List[Camp Name],0)-1,0,1,1),"")</f>
        <v>MMR012CMP111</v>
      </c>
      <c r="E115" s="339" t="s">
        <v>752</v>
      </c>
      <c r="F115" s="169"/>
      <c r="G115" s="334" t="s">
        <v>753</v>
      </c>
      <c r="H115" s="689">
        <v>42088</v>
      </c>
      <c r="K115"/>
      <c r="L115"/>
    </row>
    <row r="116" spans="1:12" ht="15">
      <c r="A116" s="337" t="s">
        <v>7</v>
      </c>
      <c r="B116" s="356" t="s">
        <v>19</v>
      </c>
      <c r="C116" s="334" t="s">
        <v>657</v>
      </c>
      <c r="D116" s="338" t="str">
        <f ca="1">IFERROR(OFFSET(Camp_List[P_Code],MATCH(Data_Vulnerability_t[[#This Row],[Camp Name]],Camp_List[Camp Name],0)-1,0,1,1),"")</f>
        <v>MMR012CMP111</v>
      </c>
      <c r="E116" s="339" t="s">
        <v>751</v>
      </c>
      <c r="F116" s="169"/>
      <c r="G116" s="334" t="s">
        <v>753</v>
      </c>
      <c r="H116" s="689">
        <v>42088</v>
      </c>
      <c r="K116"/>
      <c r="L116"/>
    </row>
    <row r="117" spans="1:12" ht="15">
      <c r="A117" s="337" t="s">
        <v>7</v>
      </c>
      <c r="B117" s="356" t="s">
        <v>19</v>
      </c>
      <c r="C117" s="334" t="s">
        <v>657</v>
      </c>
      <c r="D117" s="338" t="str">
        <f ca="1">IFERROR(OFFSET(Camp_List[P_Code],MATCH(Data_Vulnerability_t[[#This Row],[Camp Name]],Camp_List[Camp Name],0)-1,0,1,1),"")</f>
        <v>MMR012CMP111</v>
      </c>
      <c r="E117" s="339" t="s">
        <v>918</v>
      </c>
      <c r="F117" s="169">
        <v>6</v>
      </c>
      <c r="G117" s="334" t="s">
        <v>753</v>
      </c>
      <c r="H117" s="689">
        <v>42088</v>
      </c>
      <c r="K117"/>
      <c r="L117"/>
    </row>
    <row r="118" spans="1:12" ht="15">
      <c r="A118" s="337" t="s">
        <v>7</v>
      </c>
      <c r="B118" s="356" t="s">
        <v>19</v>
      </c>
      <c r="C118" s="334" t="s">
        <v>657</v>
      </c>
      <c r="D118" s="338" t="str">
        <f ca="1">IFERROR(OFFSET(Camp_List[P_Code],MATCH(Data_Vulnerability_t[[#This Row],[Camp Name]],Camp_List[Camp Name],0)-1,0,1,1),"")</f>
        <v>MMR012CMP111</v>
      </c>
      <c r="E118" s="339" t="s">
        <v>921</v>
      </c>
      <c r="F118" s="169">
        <v>10</v>
      </c>
      <c r="G118" s="334" t="s">
        <v>753</v>
      </c>
      <c r="H118" s="689">
        <v>42088</v>
      </c>
      <c r="K118"/>
      <c r="L118"/>
    </row>
    <row r="119" spans="1:12" ht="15">
      <c r="A119" s="337" t="s">
        <v>7</v>
      </c>
      <c r="B119" s="356" t="s">
        <v>19</v>
      </c>
      <c r="C119" s="338" t="s">
        <v>657</v>
      </c>
      <c r="D119" s="338" t="str">
        <f ca="1">IFERROR(OFFSET(Camp_List[P_Code],MATCH(Data_Vulnerability_t[[#This Row],[Camp Name]],Camp_List[Camp Name],0)-1,0,1,1),"")</f>
        <v>MMR012CMP111</v>
      </c>
      <c r="E119" s="339" t="s">
        <v>919</v>
      </c>
      <c r="F119" s="168">
        <v>23</v>
      </c>
      <c r="G119" s="334" t="s">
        <v>753</v>
      </c>
      <c r="H119" s="689">
        <v>42088</v>
      </c>
      <c r="K119"/>
      <c r="L119"/>
    </row>
    <row r="120" spans="1:12" ht="15">
      <c r="A120" s="337" t="s">
        <v>7</v>
      </c>
      <c r="B120" s="356" t="s">
        <v>19</v>
      </c>
      <c r="C120" s="338" t="s">
        <v>657</v>
      </c>
      <c r="D120" s="338" t="str">
        <f ca="1">IFERROR(OFFSET(Camp_List[P_Code],MATCH(Data_Vulnerability_t[[#This Row],[Camp Name]],Camp_List[Camp Name],0)-1,0,1,1),"")</f>
        <v>MMR012CMP111</v>
      </c>
      <c r="E120" s="339" t="s">
        <v>922</v>
      </c>
      <c r="F120" s="168">
        <v>7</v>
      </c>
      <c r="G120" s="334" t="s">
        <v>753</v>
      </c>
      <c r="H120" s="689">
        <v>42088</v>
      </c>
      <c r="K120"/>
      <c r="L120"/>
    </row>
    <row r="121" spans="1:12" ht="15">
      <c r="A121" s="337" t="s">
        <v>7</v>
      </c>
      <c r="B121" s="356" t="s">
        <v>19</v>
      </c>
      <c r="C121" s="338" t="s">
        <v>657</v>
      </c>
      <c r="D121" s="338" t="str">
        <f ca="1">IFERROR(OFFSET(Camp_List[P_Code],MATCH(Data_Vulnerability_t[[#This Row],[Camp Name]],Camp_List[Camp Name],0)-1,0,1,1),"")</f>
        <v>MMR012CMP111</v>
      </c>
      <c r="E121" s="339" t="s">
        <v>920</v>
      </c>
      <c r="F121" s="168">
        <v>21</v>
      </c>
      <c r="G121" s="334" t="s">
        <v>753</v>
      </c>
      <c r="H121" s="689">
        <v>42088</v>
      </c>
      <c r="K121"/>
      <c r="L121"/>
    </row>
    <row r="122" spans="1:12" ht="15">
      <c r="A122" s="337" t="s">
        <v>7</v>
      </c>
      <c r="B122" s="356" t="s">
        <v>19</v>
      </c>
      <c r="C122" s="338" t="s">
        <v>658</v>
      </c>
      <c r="D122" s="338" t="str">
        <f ca="1">IFERROR(OFFSET(Camp_List[P_Code],MATCH(Data_Vulnerability_t[[#This Row],[Camp Name]],Camp_List[Camp Name],0)-1,0,1,1),"")</f>
        <v>MMR012CMP112</v>
      </c>
      <c r="E122" s="339" t="s">
        <v>917</v>
      </c>
      <c r="F122" s="168">
        <v>37</v>
      </c>
      <c r="G122" s="334" t="s">
        <v>287</v>
      </c>
      <c r="H122" s="689">
        <v>42081</v>
      </c>
      <c r="K122"/>
      <c r="L122"/>
    </row>
    <row r="123" spans="1:12" ht="15">
      <c r="A123" s="337" t="s">
        <v>7</v>
      </c>
      <c r="B123" s="356" t="s">
        <v>19</v>
      </c>
      <c r="C123" s="338" t="s">
        <v>658</v>
      </c>
      <c r="D123" s="338" t="str">
        <f ca="1">IFERROR(OFFSET(Camp_List[P_Code],MATCH(Data_Vulnerability_t[[#This Row],[Camp Name]],Camp_List[Camp Name],0)-1,0,1,1),"")</f>
        <v>MMR012CMP112</v>
      </c>
      <c r="E123" s="339" t="s">
        <v>752</v>
      </c>
      <c r="F123" s="168">
        <v>3</v>
      </c>
      <c r="G123" s="334" t="s">
        <v>287</v>
      </c>
      <c r="H123" s="689">
        <v>42081</v>
      </c>
      <c r="K123"/>
      <c r="L123"/>
    </row>
    <row r="124" spans="1:12" ht="15">
      <c r="A124" s="337" t="s">
        <v>7</v>
      </c>
      <c r="B124" s="356" t="s">
        <v>19</v>
      </c>
      <c r="C124" s="338" t="s">
        <v>658</v>
      </c>
      <c r="D124" s="338" t="str">
        <f ca="1">IFERROR(OFFSET(Camp_List[P_Code],MATCH(Data_Vulnerability_t[[#This Row],[Camp Name]],Camp_List[Camp Name],0)-1,0,1,1),"")</f>
        <v>MMR012CMP112</v>
      </c>
      <c r="E124" s="339" t="s">
        <v>751</v>
      </c>
      <c r="F124" s="168">
        <v>3</v>
      </c>
      <c r="G124" s="334" t="s">
        <v>287</v>
      </c>
      <c r="H124" s="689">
        <v>42081</v>
      </c>
      <c r="K124"/>
      <c r="L124"/>
    </row>
    <row r="125" spans="1:12" ht="15">
      <c r="A125" s="337" t="s">
        <v>7</v>
      </c>
      <c r="B125" s="356" t="s">
        <v>19</v>
      </c>
      <c r="C125" s="338" t="s">
        <v>658</v>
      </c>
      <c r="D125" s="338" t="str">
        <f ca="1">IFERROR(OFFSET(Camp_List[P_Code],MATCH(Data_Vulnerability_t[[#This Row],[Camp Name]],Camp_List[Camp Name],0)-1,0,1,1),"")</f>
        <v>MMR012CMP112</v>
      </c>
      <c r="E125" s="339" t="s">
        <v>918</v>
      </c>
      <c r="F125" s="168">
        <v>31</v>
      </c>
      <c r="G125" s="334" t="s">
        <v>287</v>
      </c>
      <c r="H125" s="689">
        <v>42081</v>
      </c>
      <c r="K125"/>
      <c r="L125"/>
    </row>
    <row r="126" spans="1:12" ht="15">
      <c r="A126" s="337" t="s">
        <v>7</v>
      </c>
      <c r="B126" s="356" t="s">
        <v>19</v>
      </c>
      <c r="C126" s="338" t="s">
        <v>658</v>
      </c>
      <c r="D126" s="338" t="str">
        <f ca="1">IFERROR(OFFSET(Camp_List[P_Code],MATCH(Data_Vulnerability_t[[#This Row],[Camp Name]],Camp_List[Camp Name],0)-1,0,1,1),"")</f>
        <v>MMR012CMP112</v>
      </c>
      <c r="E126" s="339" t="s">
        <v>921</v>
      </c>
      <c r="F126" s="168">
        <v>26</v>
      </c>
      <c r="G126" s="334" t="s">
        <v>287</v>
      </c>
      <c r="H126" s="689">
        <v>42081</v>
      </c>
      <c r="K126"/>
      <c r="L126"/>
    </row>
    <row r="127" spans="1:12" ht="15">
      <c r="A127" s="337" t="s">
        <v>7</v>
      </c>
      <c r="B127" s="356" t="s">
        <v>19</v>
      </c>
      <c r="C127" s="338" t="s">
        <v>658</v>
      </c>
      <c r="D127" s="338" t="str">
        <f ca="1">IFERROR(OFFSET(Camp_List[P_Code],MATCH(Data_Vulnerability_t[[#This Row],[Camp Name]],Camp_List[Camp Name],0)-1,0,1,1),"")</f>
        <v>MMR012CMP112</v>
      </c>
      <c r="E127" s="339" t="s">
        <v>919</v>
      </c>
      <c r="F127" s="168">
        <v>89</v>
      </c>
      <c r="G127" s="334" t="s">
        <v>287</v>
      </c>
      <c r="H127" s="689">
        <v>42081</v>
      </c>
      <c r="K127"/>
      <c r="L127"/>
    </row>
    <row r="128" spans="1:12" ht="15">
      <c r="A128" s="337" t="s">
        <v>7</v>
      </c>
      <c r="B128" s="356" t="s">
        <v>19</v>
      </c>
      <c r="C128" s="334" t="s">
        <v>658</v>
      </c>
      <c r="D128" s="338" t="str">
        <f ca="1">IFERROR(OFFSET(Camp_List[P_Code],MATCH(Data_Vulnerability_t[[#This Row],[Camp Name]],Camp_List[Camp Name],0)-1,0,1,1),"")</f>
        <v>MMR012CMP112</v>
      </c>
      <c r="E128" s="339" t="s">
        <v>922</v>
      </c>
      <c r="F128" s="168">
        <v>21</v>
      </c>
      <c r="G128" s="334" t="s">
        <v>287</v>
      </c>
      <c r="H128" s="689">
        <v>42081</v>
      </c>
      <c r="K128"/>
      <c r="L128"/>
    </row>
    <row r="129" spans="1:12" ht="15">
      <c r="A129" s="337" t="s">
        <v>7</v>
      </c>
      <c r="B129" s="356" t="s">
        <v>19</v>
      </c>
      <c r="C129" s="334" t="s">
        <v>658</v>
      </c>
      <c r="D129" s="338" t="str">
        <f ca="1">IFERROR(OFFSET(Camp_List[P_Code],MATCH(Data_Vulnerability_t[[#This Row],[Camp Name]],Camp_List[Camp Name],0)-1,0,1,1),"")</f>
        <v>MMR012CMP112</v>
      </c>
      <c r="E129" s="339" t="s">
        <v>920</v>
      </c>
      <c r="F129" s="168">
        <v>39</v>
      </c>
      <c r="G129" s="334" t="s">
        <v>287</v>
      </c>
      <c r="H129" s="689">
        <v>42081</v>
      </c>
      <c r="K129"/>
      <c r="L129"/>
    </row>
    <row r="130" spans="1:12" ht="15">
      <c r="A130" s="337" t="s">
        <v>7</v>
      </c>
      <c r="B130" s="356" t="s">
        <v>19</v>
      </c>
      <c r="C130" s="334" t="s">
        <v>67</v>
      </c>
      <c r="D130" s="338" t="str">
        <f ca="1">IFERROR(OFFSET(Camp_List[P_Code],MATCH(Data_Vulnerability_t[[#This Row],[Camp Name]],Camp_List[Camp Name],0)-1,0,1,1),"")</f>
        <v>MMR012CMP045</v>
      </c>
      <c r="E130" s="339" t="s">
        <v>917</v>
      </c>
      <c r="F130" s="168">
        <v>54</v>
      </c>
      <c r="G130" s="334" t="s">
        <v>290</v>
      </c>
      <c r="H130" s="689">
        <v>42102</v>
      </c>
      <c r="K130"/>
      <c r="L130"/>
    </row>
    <row r="131" spans="1:12" ht="15">
      <c r="A131" s="337" t="s">
        <v>7</v>
      </c>
      <c r="B131" s="356" t="s">
        <v>19</v>
      </c>
      <c r="C131" s="334" t="s">
        <v>67</v>
      </c>
      <c r="D131" s="338" t="str">
        <f ca="1">IFERROR(OFFSET(Camp_List[P_Code],MATCH(Data_Vulnerability_t[[#This Row],[Camp Name]],Camp_List[Camp Name],0)-1,0,1,1),"")</f>
        <v>MMR012CMP045</v>
      </c>
      <c r="E131" s="339" t="s">
        <v>752</v>
      </c>
      <c r="F131" s="168">
        <v>18</v>
      </c>
      <c r="G131" s="334" t="s">
        <v>290</v>
      </c>
      <c r="H131" s="689">
        <v>42102</v>
      </c>
      <c r="K131"/>
      <c r="L131"/>
    </row>
    <row r="132" spans="1:12" ht="15">
      <c r="A132" s="337" t="s">
        <v>7</v>
      </c>
      <c r="B132" s="356" t="s">
        <v>19</v>
      </c>
      <c r="C132" s="334" t="s">
        <v>67</v>
      </c>
      <c r="D132" s="338" t="str">
        <f ca="1">IFERROR(OFFSET(Camp_List[P_Code],MATCH(Data_Vulnerability_t[[#This Row],[Camp Name]],Camp_List[Camp Name],0)-1,0,1,1),"")</f>
        <v>MMR012CMP045</v>
      </c>
      <c r="E132" s="339" t="s">
        <v>751</v>
      </c>
      <c r="F132" s="168">
        <v>78</v>
      </c>
      <c r="G132" s="334" t="s">
        <v>290</v>
      </c>
      <c r="H132" s="689">
        <v>42102</v>
      </c>
      <c r="K132"/>
      <c r="L132"/>
    </row>
    <row r="133" spans="1:12" ht="15">
      <c r="A133" s="337" t="s">
        <v>7</v>
      </c>
      <c r="B133" s="356" t="s">
        <v>19</v>
      </c>
      <c r="C133" s="334" t="s">
        <v>67</v>
      </c>
      <c r="D133" s="338" t="str">
        <f ca="1">IFERROR(OFFSET(Camp_List[P_Code],MATCH(Data_Vulnerability_t[[#This Row],[Camp Name]],Camp_List[Camp Name],0)-1,0,1,1),"")</f>
        <v>MMR012CMP045</v>
      </c>
      <c r="E133" s="339" t="s">
        <v>918</v>
      </c>
      <c r="F133" s="168">
        <v>466</v>
      </c>
      <c r="G133" s="334" t="s">
        <v>290</v>
      </c>
      <c r="H133" s="689">
        <v>42102</v>
      </c>
      <c r="K133"/>
      <c r="L133"/>
    </row>
    <row r="134" spans="1:12">
      <c r="A134" s="337" t="s">
        <v>7</v>
      </c>
      <c r="B134" s="356" t="s">
        <v>19</v>
      </c>
      <c r="C134" s="334" t="s">
        <v>67</v>
      </c>
      <c r="D134" s="338" t="str">
        <f ca="1">IFERROR(OFFSET(Camp_List[P_Code],MATCH(Data_Vulnerability_t[[#This Row],[Camp Name]],Camp_List[Camp Name],0)-1,0,1,1),"")</f>
        <v>MMR012CMP045</v>
      </c>
      <c r="E134" s="339" t="s">
        <v>921</v>
      </c>
      <c r="F134" s="168">
        <v>69</v>
      </c>
      <c r="G134" s="334" t="s">
        <v>290</v>
      </c>
      <c r="H134" s="689">
        <v>42102</v>
      </c>
    </row>
    <row r="135" spans="1:12">
      <c r="A135" s="337" t="s">
        <v>7</v>
      </c>
      <c r="B135" s="356" t="s">
        <v>19</v>
      </c>
      <c r="C135" s="334" t="s">
        <v>67</v>
      </c>
      <c r="D135" s="338" t="str">
        <f ca="1">IFERROR(OFFSET(Camp_List[P_Code],MATCH(Data_Vulnerability_t[[#This Row],[Camp Name]],Camp_List[Camp Name],0)-1,0,1,1),"")</f>
        <v>MMR012CMP045</v>
      </c>
      <c r="E135" s="339" t="s">
        <v>919</v>
      </c>
      <c r="F135" s="168">
        <v>26</v>
      </c>
      <c r="G135" s="334" t="s">
        <v>290</v>
      </c>
      <c r="H135" s="689">
        <v>42102</v>
      </c>
    </row>
    <row r="136" spans="1:12">
      <c r="A136" s="337" t="s">
        <v>7</v>
      </c>
      <c r="B136" s="356" t="s">
        <v>19</v>
      </c>
      <c r="C136" s="338" t="s">
        <v>67</v>
      </c>
      <c r="D136" s="338" t="str">
        <f ca="1">IFERROR(OFFSET(Camp_List[P_Code],MATCH(Data_Vulnerability_t[[#This Row],[Camp Name]],Camp_List[Camp Name],0)-1,0,1,1),"")</f>
        <v>MMR012CMP045</v>
      </c>
      <c r="E136" s="339" t="s">
        <v>922</v>
      </c>
      <c r="F136" s="168">
        <v>104</v>
      </c>
      <c r="G136" s="334" t="s">
        <v>290</v>
      </c>
      <c r="H136" s="689">
        <v>42102</v>
      </c>
    </row>
    <row r="137" spans="1:12">
      <c r="A137" s="337" t="s">
        <v>7</v>
      </c>
      <c r="B137" s="356" t="s">
        <v>19</v>
      </c>
      <c r="C137" s="338" t="s">
        <v>67</v>
      </c>
      <c r="D137" s="338" t="str">
        <f ca="1">IFERROR(OFFSET(Camp_List[P_Code],MATCH(Data_Vulnerability_t[[#This Row],[Camp Name]],Camp_List[Camp Name],0)-1,0,1,1),"")</f>
        <v>MMR012CMP045</v>
      </c>
      <c r="E137" s="339" t="s">
        <v>920</v>
      </c>
      <c r="F137" s="168">
        <v>144</v>
      </c>
      <c r="G137" s="334" t="s">
        <v>290</v>
      </c>
      <c r="H137" s="689">
        <v>42102</v>
      </c>
    </row>
    <row r="138" spans="1:12">
      <c r="A138" s="337" t="s">
        <v>7</v>
      </c>
      <c r="B138" s="356" t="s">
        <v>19</v>
      </c>
      <c r="C138" s="338" t="s">
        <v>78</v>
      </c>
      <c r="D138" s="338" t="str">
        <f ca="1">IFERROR(OFFSET(Camp_List[P_Code],MATCH(Data_Vulnerability_t[[#This Row],[Camp Name]],Camp_List[Camp Name],0)-1,0,1,1),"")</f>
        <v>MMR012CMP056</v>
      </c>
      <c r="E138" s="339" t="s">
        <v>917</v>
      </c>
      <c r="F138" s="168">
        <v>0</v>
      </c>
      <c r="G138" s="334" t="s">
        <v>642</v>
      </c>
      <c r="H138" s="689">
        <v>42083</v>
      </c>
    </row>
    <row r="139" spans="1:12">
      <c r="A139" s="337" t="s">
        <v>7</v>
      </c>
      <c r="B139" s="356" t="s">
        <v>19</v>
      </c>
      <c r="C139" s="338" t="s">
        <v>78</v>
      </c>
      <c r="D139" s="338" t="str">
        <f ca="1">IFERROR(OFFSET(Camp_List[P_Code],MATCH(Data_Vulnerability_t[[#This Row],[Camp Name]],Camp_List[Camp Name],0)-1,0,1,1),"")</f>
        <v>MMR012CMP056</v>
      </c>
      <c r="E139" s="339" t="s">
        <v>752</v>
      </c>
      <c r="F139" s="168">
        <v>0</v>
      </c>
      <c r="G139" s="334" t="s">
        <v>642</v>
      </c>
      <c r="H139" s="689">
        <v>42083</v>
      </c>
    </row>
    <row r="140" spans="1:12">
      <c r="A140" s="337" t="s">
        <v>7</v>
      </c>
      <c r="B140" s="356" t="s">
        <v>19</v>
      </c>
      <c r="C140" s="338" t="s">
        <v>78</v>
      </c>
      <c r="D140" s="391" t="str">
        <f ca="1">IFERROR(OFFSET(Camp_List[P_Code],MATCH(Data_Vulnerability_t[[#This Row],[Camp Name]],Camp_List[Camp Name],0)-1,0,1,1),"")</f>
        <v>MMR012CMP056</v>
      </c>
      <c r="E140" s="339" t="s">
        <v>751</v>
      </c>
      <c r="F140" s="393">
        <v>0</v>
      </c>
      <c r="G140" s="334" t="s">
        <v>642</v>
      </c>
      <c r="H140" s="689">
        <v>42083</v>
      </c>
    </row>
    <row r="141" spans="1:12">
      <c r="A141" s="337" t="s">
        <v>7</v>
      </c>
      <c r="B141" s="356" t="s">
        <v>19</v>
      </c>
      <c r="C141" s="338" t="s">
        <v>78</v>
      </c>
      <c r="D141" s="391" t="str">
        <f ca="1">IFERROR(OFFSET(Camp_List[P_Code],MATCH(Data_Vulnerability_t[[#This Row],[Camp Name]],Camp_List[Camp Name],0)-1,0,1,1),"")</f>
        <v>MMR012CMP056</v>
      </c>
      <c r="E141" s="339" t="s">
        <v>918</v>
      </c>
      <c r="F141" s="393">
        <v>3</v>
      </c>
      <c r="G141" s="334" t="s">
        <v>642</v>
      </c>
      <c r="H141" s="689">
        <v>42083</v>
      </c>
    </row>
    <row r="142" spans="1:12">
      <c r="A142" s="337" t="s">
        <v>7</v>
      </c>
      <c r="B142" s="356" t="s">
        <v>19</v>
      </c>
      <c r="C142" s="338" t="s">
        <v>78</v>
      </c>
      <c r="D142" s="338" t="str">
        <f ca="1">IFERROR(OFFSET(Camp_List[P_Code],MATCH(Data_Vulnerability_t[[#This Row],[Camp Name]],Camp_List[Camp Name],0)-1,0,1,1),"")</f>
        <v>MMR012CMP056</v>
      </c>
      <c r="E142" s="339" t="s">
        <v>921</v>
      </c>
      <c r="F142" s="168">
        <v>10</v>
      </c>
      <c r="G142" s="334" t="s">
        <v>642</v>
      </c>
      <c r="H142" s="689">
        <v>42083</v>
      </c>
    </row>
    <row r="143" spans="1:12">
      <c r="A143" s="337" t="s">
        <v>7</v>
      </c>
      <c r="B143" s="356" t="s">
        <v>19</v>
      </c>
      <c r="C143" s="338" t="s">
        <v>78</v>
      </c>
      <c r="D143" s="338" t="str">
        <f ca="1">IFERROR(OFFSET(Camp_List[P_Code],MATCH(Data_Vulnerability_t[[#This Row],[Camp Name]],Camp_List[Camp Name],0)-1,0,1,1),"")</f>
        <v>MMR012CMP056</v>
      </c>
      <c r="E143" s="339" t="s">
        <v>919</v>
      </c>
      <c r="F143" s="168">
        <v>5</v>
      </c>
      <c r="G143" s="334" t="s">
        <v>642</v>
      </c>
      <c r="H143" s="689">
        <v>42083</v>
      </c>
    </row>
    <row r="144" spans="1:12">
      <c r="A144" s="337" t="s">
        <v>7</v>
      </c>
      <c r="B144" s="356" t="s">
        <v>19</v>
      </c>
      <c r="C144" s="338" t="s">
        <v>78</v>
      </c>
      <c r="D144" s="338" t="str">
        <f ca="1">IFERROR(OFFSET(Camp_List[P_Code],MATCH(Data_Vulnerability_t[[#This Row],[Camp Name]],Camp_List[Camp Name],0)-1,0,1,1),"")</f>
        <v>MMR012CMP056</v>
      </c>
      <c r="E144" s="339" t="s">
        <v>922</v>
      </c>
      <c r="F144" s="168">
        <v>7</v>
      </c>
      <c r="G144" s="334" t="s">
        <v>642</v>
      </c>
      <c r="H144" s="689">
        <v>42083</v>
      </c>
    </row>
    <row r="145" spans="1:8">
      <c r="A145" s="337" t="s">
        <v>7</v>
      </c>
      <c r="B145" s="356" t="s">
        <v>19</v>
      </c>
      <c r="C145" s="338" t="s">
        <v>78</v>
      </c>
      <c r="D145" s="338" t="str">
        <f ca="1">IFERROR(OFFSET(Camp_List[P_Code],MATCH(Data_Vulnerability_t[[#This Row],[Camp Name]],Camp_List[Camp Name],0)-1,0,1,1),"")</f>
        <v>MMR012CMP056</v>
      </c>
      <c r="E145" s="339" t="s">
        <v>920</v>
      </c>
      <c r="F145" s="168">
        <v>4</v>
      </c>
      <c r="G145" s="334" t="s">
        <v>642</v>
      </c>
      <c r="H145" s="689">
        <v>42083</v>
      </c>
    </row>
    <row r="146" spans="1:8">
      <c r="A146" s="337" t="s">
        <v>7</v>
      </c>
      <c r="B146" s="356" t="s">
        <v>19</v>
      </c>
      <c r="C146" s="338" t="s">
        <v>247</v>
      </c>
      <c r="D146" s="338" t="str">
        <f ca="1">IFERROR(OFFSET(Camp_List[P_Code],MATCH(Data_Vulnerability_t[[#This Row],[Camp Name]],Camp_List[Camp Name],0)-1,0,1,1),"")</f>
        <v>MMR012CMP093</v>
      </c>
      <c r="E146" s="339" t="s">
        <v>917</v>
      </c>
      <c r="F146" s="168">
        <v>2</v>
      </c>
      <c r="G146" s="334" t="s">
        <v>642</v>
      </c>
      <c r="H146" s="689">
        <v>42064</v>
      </c>
    </row>
    <row r="147" spans="1:8">
      <c r="A147" s="337" t="s">
        <v>7</v>
      </c>
      <c r="B147" s="356" t="s">
        <v>19</v>
      </c>
      <c r="C147" s="338" t="s">
        <v>247</v>
      </c>
      <c r="D147" s="338" t="str">
        <f ca="1">IFERROR(OFFSET(Camp_List[P_Code],MATCH(Data_Vulnerability_t[[#This Row],[Camp Name]],Camp_List[Camp Name],0)-1,0,1,1),"")</f>
        <v>MMR012CMP093</v>
      </c>
      <c r="E147" s="339" t="s">
        <v>752</v>
      </c>
      <c r="F147" s="168">
        <v>0</v>
      </c>
      <c r="G147" s="334" t="s">
        <v>642</v>
      </c>
      <c r="H147" s="689">
        <v>42064</v>
      </c>
    </row>
    <row r="148" spans="1:8">
      <c r="A148" s="337" t="s">
        <v>7</v>
      </c>
      <c r="B148" s="356" t="s">
        <v>19</v>
      </c>
      <c r="C148" s="338" t="s">
        <v>247</v>
      </c>
      <c r="D148" s="338" t="str">
        <f ca="1">IFERROR(OFFSET(Camp_List[P_Code],MATCH(Data_Vulnerability_t[[#This Row],[Camp Name]],Camp_List[Camp Name],0)-1,0,1,1),"")</f>
        <v>MMR012CMP093</v>
      </c>
      <c r="E148" s="339" t="s">
        <v>751</v>
      </c>
      <c r="F148" s="168">
        <v>0</v>
      </c>
      <c r="G148" s="334" t="s">
        <v>642</v>
      </c>
      <c r="H148" s="689">
        <v>42064</v>
      </c>
    </row>
    <row r="149" spans="1:8">
      <c r="A149" s="337" t="s">
        <v>7</v>
      </c>
      <c r="B149" s="356" t="s">
        <v>19</v>
      </c>
      <c r="C149" s="338" t="s">
        <v>247</v>
      </c>
      <c r="D149" s="338" t="str">
        <f ca="1">IFERROR(OFFSET(Camp_List[P_Code],MATCH(Data_Vulnerability_t[[#This Row],[Camp Name]],Camp_List[Camp Name],0)-1,0,1,1),"")</f>
        <v>MMR012CMP093</v>
      </c>
      <c r="E149" s="339" t="s">
        <v>918</v>
      </c>
      <c r="F149" s="168">
        <v>8</v>
      </c>
      <c r="G149" s="334" t="s">
        <v>642</v>
      </c>
      <c r="H149" s="689">
        <v>42064</v>
      </c>
    </row>
    <row r="150" spans="1:8">
      <c r="A150" s="337" t="s">
        <v>7</v>
      </c>
      <c r="B150" s="356" t="s">
        <v>19</v>
      </c>
      <c r="C150" s="338" t="s">
        <v>247</v>
      </c>
      <c r="D150" s="338" t="str">
        <f ca="1">IFERROR(OFFSET(Camp_List[P_Code],MATCH(Data_Vulnerability_t[[#This Row],[Camp Name]],Camp_List[Camp Name],0)-1,0,1,1),"")</f>
        <v>MMR012CMP093</v>
      </c>
      <c r="E150" s="339" t="s">
        <v>921</v>
      </c>
      <c r="F150" s="168">
        <v>32</v>
      </c>
      <c r="G150" s="334" t="s">
        <v>642</v>
      </c>
      <c r="H150" s="689">
        <v>42064</v>
      </c>
    </row>
    <row r="151" spans="1:8">
      <c r="A151" s="337" t="s">
        <v>7</v>
      </c>
      <c r="B151" s="356" t="s">
        <v>19</v>
      </c>
      <c r="C151" s="338" t="s">
        <v>247</v>
      </c>
      <c r="D151" s="338" t="str">
        <f ca="1">IFERROR(OFFSET(Camp_List[P_Code],MATCH(Data_Vulnerability_t[[#This Row],[Camp Name]],Camp_List[Camp Name],0)-1,0,1,1),"")</f>
        <v>MMR012CMP093</v>
      </c>
      <c r="E151" s="339" t="s">
        <v>919</v>
      </c>
      <c r="F151" s="168">
        <v>14</v>
      </c>
      <c r="G151" s="334" t="s">
        <v>642</v>
      </c>
      <c r="H151" s="689">
        <v>42064</v>
      </c>
    </row>
    <row r="152" spans="1:8">
      <c r="A152" s="337" t="s">
        <v>7</v>
      </c>
      <c r="B152" s="356" t="s">
        <v>19</v>
      </c>
      <c r="C152" s="338" t="s">
        <v>247</v>
      </c>
      <c r="D152" s="338" t="str">
        <f ca="1">IFERROR(OFFSET(Camp_List[P_Code],MATCH(Data_Vulnerability_t[[#This Row],[Camp Name]],Camp_List[Camp Name],0)-1,0,1,1),"")</f>
        <v>MMR012CMP093</v>
      </c>
      <c r="E152" s="339" t="s">
        <v>922</v>
      </c>
      <c r="F152" s="168">
        <v>7</v>
      </c>
      <c r="G152" s="334" t="s">
        <v>642</v>
      </c>
      <c r="H152" s="689">
        <v>42064</v>
      </c>
    </row>
    <row r="153" spans="1:8">
      <c r="A153" s="337" t="s">
        <v>7</v>
      </c>
      <c r="B153" s="356" t="s">
        <v>19</v>
      </c>
      <c r="C153" s="338" t="s">
        <v>247</v>
      </c>
      <c r="D153" s="338" t="str">
        <f ca="1">IFERROR(OFFSET(Camp_List[P_Code],MATCH(Data_Vulnerability_t[[#This Row],[Camp Name]],Camp_List[Camp Name],0)-1,0,1,1),"")</f>
        <v>MMR012CMP093</v>
      </c>
      <c r="E153" s="339" t="s">
        <v>920</v>
      </c>
      <c r="F153" s="168">
        <v>3</v>
      </c>
      <c r="G153" s="334" t="s">
        <v>642</v>
      </c>
      <c r="H153" s="689">
        <v>42064</v>
      </c>
    </row>
    <row r="154" spans="1:8">
      <c r="A154" s="337" t="s">
        <v>7</v>
      </c>
      <c r="B154" s="356" t="s">
        <v>14</v>
      </c>
      <c r="C154" s="338" t="s">
        <v>43</v>
      </c>
      <c r="D154" s="338" t="str">
        <f ca="1">IFERROR(OFFSET(Camp_List[P_Code],MATCH(Data_Vulnerability_t[[#This Row],[Camp Name]],Camp_List[Camp Name],0)-1,0,1,1),"")</f>
        <v>MMR012CMP019</v>
      </c>
      <c r="E154" s="339" t="s">
        <v>917</v>
      </c>
      <c r="F154" s="168">
        <v>1</v>
      </c>
      <c r="G154" s="334" t="s">
        <v>753</v>
      </c>
      <c r="H154" s="689">
        <v>42212</v>
      </c>
    </row>
    <row r="155" spans="1:8">
      <c r="A155" s="337" t="s">
        <v>7</v>
      </c>
      <c r="B155" s="356" t="s">
        <v>14</v>
      </c>
      <c r="C155" s="338" t="s">
        <v>43</v>
      </c>
      <c r="D155" s="338" t="str">
        <f ca="1">IFERROR(OFFSET(Camp_List[P_Code],MATCH(Data_Vulnerability_t[[#This Row],[Camp Name]],Camp_List[Camp Name],0)-1,0,1,1),"")</f>
        <v>MMR012CMP019</v>
      </c>
      <c r="E155" s="339" t="s">
        <v>752</v>
      </c>
      <c r="F155" s="168">
        <v>2</v>
      </c>
      <c r="G155" s="334" t="s">
        <v>753</v>
      </c>
      <c r="H155" s="689">
        <v>42212</v>
      </c>
    </row>
    <row r="156" spans="1:8">
      <c r="A156" s="337" t="s">
        <v>7</v>
      </c>
      <c r="B156" s="356" t="s">
        <v>14</v>
      </c>
      <c r="C156" s="338" t="s">
        <v>43</v>
      </c>
      <c r="D156" s="338" t="str">
        <f ca="1">IFERROR(OFFSET(Camp_List[P_Code],MATCH(Data_Vulnerability_t[[#This Row],[Camp Name]],Camp_List[Camp Name],0)-1,0,1,1),"")</f>
        <v>MMR012CMP019</v>
      </c>
      <c r="E156" s="339" t="s">
        <v>751</v>
      </c>
      <c r="F156" s="168"/>
      <c r="G156" s="334" t="s">
        <v>753</v>
      </c>
      <c r="H156" s="689">
        <v>42212</v>
      </c>
    </row>
    <row r="157" spans="1:8">
      <c r="A157" s="337" t="s">
        <v>7</v>
      </c>
      <c r="B157" s="356" t="s">
        <v>14</v>
      </c>
      <c r="C157" s="338" t="s">
        <v>43</v>
      </c>
      <c r="D157" s="338" t="str">
        <f ca="1">IFERROR(OFFSET(Camp_List[P_Code],MATCH(Data_Vulnerability_t[[#This Row],[Camp Name]],Camp_List[Camp Name],0)-1,0,1,1),"")</f>
        <v>MMR012CMP019</v>
      </c>
      <c r="E157" s="339" t="s">
        <v>918</v>
      </c>
      <c r="F157" s="168">
        <v>1</v>
      </c>
      <c r="G157" s="334" t="s">
        <v>753</v>
      </c>
      <c r="H157" s="689">
        <v>42212</v>
      </c>
    </row>
    <row r="158" spans="1:8">
      <c r="A158" s="337" t="s">
        <v>7</v>
      </c>
      <c r="B158" s="356" t="s">
        <v>14</v>
      </c>
      <c r="C158" s="338" t="s">
        <v>43</v>
      </c>
      <c r="D158" s="338" t="str">
        <f ca="1">IFERROR(OFFSET(Camp_List[P_Code],MATCH(Data_Vulnerability_t[[#This Row],[Camp Name]],Camp_List[Camp Name],0)-1,0,1,1),"")</f>
        <v>MMR012CMP019</v>
      </c>
      <c r="E158" s="339" t="s">
        <v>921</v>
      </c>
      <c r="F158" s="168">
        <v>8</v>
      </c>
      <c r="G158" s="334" t="s">
        <v>753</v>
      </c>
      <c r="H158" s="689">
        <v>42212</v>
      </c>
    </row>
    <row r="159" spans="1:8">
      <c r="A159" s="337" t="s">
        <v>7</v>
      </c>
      <c r="B159" s="356" t="s">
        <v>14</v>
      </c>
      <c r="C159" s="338" t="s">
        <v>43</v>
      </c>
      <c r="D159" s="338" t="str">
        <f ca="1">IFERROR(OFFSET(Camp_List[P_Code],MATCH(Data_Vulnerability_t[[#This Row],[Camp Name]],Camp_List[Camp Name],0)-1,0,1,1),"")</f>
        <v>MMR012CMP019</v>
      </c>
      <c r="E159" s="339" t="s">
        <v>919</v>
      </c>
      <c r="F159" s="168">
        <v>17</v>
      </c>
      <c r="G159" s="334" t="s">
        <v>753</v>
      </c>
      <c r="H159" s="689">
        <v>42212</v>
      </c>
    </row>
    <row r="160" spans="1:8">
      <c r="A160" s="337" t="s">
        <v>7</v>
      </c>
      <c r="B160" s="356" t="s">
        <v>14</v>
      </c>
      <c r="C160" s="338" t="s">
        <v>43</v>
      </c>
      <c r="D160" s="338" t="str">
        <f ca="1">IFERROR(OFFSET(Camp_List[P_Code],MATCH(Data_Vulnerability_t[[#This Row],[Camp Name]],Camp_List[Camp Name],0)-1,0,1,1),"")</f>
        <v>MMR012CMP019</v>
      </c>
      <c r="E160" s="339" t="s">
        <v>922</v>
      </c>
      <c r="F160" s="168">
        <v>10</v>
      </c>
      <c r="G160" s="334" t="s">
        <v>753</v>
      </c>
      <c r="H160" s="689">
        <v>42212</v>
      </c>
    </row>
    <row r="161" spans="1:8">
      <c r="A161" s="337" t="s">
        <v>7</v>
      </c>
      <c r="B161" s="356" t="s">
        <v>14</v>
      </c>
      <c r="C161" s="338" t="s">
        <v>43</v>
      </c>
      <c r="D161" s="338" t="str">
        <f ca="1">IFERROR(OFFSET(Camp_List[P_Code],MATCH(Data_Vulnerability_t[[#This Row],[Camp Name]],Camp_List[Camp Name],0)-1,0,1,1),"")</f>
        <v>MMR012CMP019</v>
      </c>
      <c r="E161" s="339" t="s">
        <v>920</v>
      </c>
      <c r="F161" s="168">
        <v>42</v>
      </c>
      <c r="G161" s="334" t="s">
        <v>753</v>
      </c>
      <c r="H161" s="689">
        <v>42212</v>
      </c>
    </row>
    <row r="162" spans="1:8">
      <c r="A162" s="337" t="s">
        <v>7</v>
      </c>
      <c r="B162" s="356" t="s">
        <v>900</v>
      </c>
      <c r="C162" s="338" t="s">
        <v>38</v>
      </c>
      <c r="D162" s="338" t="str">
        <f ca="1">IFERROR(OFFSET(Camp_List[P_Code],MATCH(Data_Vulnerability_t[[#This Row],[Camp Name]],Camp_List[Camp Name],0)-1,0,1,1),"")</f>
        <v>MMR012CMP014</v>
      </c>
      <c r="E162" s="339" t="s">
        <v>917</v>
      </c>
      <c r="F162" s="168">
        <v>68</v>
      </c>
      <c r="G162" s="334" t="s">
        <v>730</v>
      </c>
      <c r="H162" s="689">
        <v>42128</v>
      </c>
    </row>
    <row r="163" spans="1:8">
      <c r="A163" s="337" t="s">
        <v>7</v>
      </c>
      <c r="B163" s="356" t="s">
        <v>900</v>
      </c>
      <c r="C163" s="338" t="s">
        <v>38</v>
      </c>
      <c r="D163" s="338" t="str">
        <f ca="1">IFERROR(OFFSET(Camp_List[P_Code],MATCH(Data_Vulnerability_t[[#This Row],[Camp Name]],Camp_List[Camp Name],0)-1,0,1,1),"")</f>
        <v>MMR012CMP014</v>
      </c>
      <c r="E163" s="339" t="s">
        <v>752</v>
      </c>
      <c r="F163" s="168">
        <v>12</v>
      </c>
      <c r="G163" s="334" t="s">
        <v>730</v>
      </c>
      <c r="H163" s="689">
        <v>42128</v>
      </c>
    </row>
    <row r="164" spans="1:8">
      <c r="A164" s="337" t="s">
        <v>7</v>
      </c>
      <c r="B164" s="356" t="s">
        <v>900</v>
      </c>
      <c r="C164" s="338" t="s">
        <v>38</v>
      </c>
      <c r="D164" s="338" t="str">
        <f ca="1">IFERROR(OFFSET(Camp_List[P_Code],MATCH(Data_Vulnerability_t[[#This Row],[Camp Name]],Camp_List[Camp Name],0)-1,0,1,1),"")</f>
        <v>MMR012CMP014</v>
      </c>
      <c r="E164" s="339" t="s">
        <v>751</v>
      </c>
      <c r="F164" s="168">
        <v>3</v>
      </c>
      <c r="G164" s="334" t="s">
        <v>730</v>
      </c>
      <c r="H164" s="689">
        <v>42128</v>
      </c>
    </row>
    <row r="165" spans="1:8">
      <c r="A165" s="337" t="s">
        <v>7</v>
      </c>
      <c r="B165" s="356" t="s">
        <v>900</v>
      </c>
      <c r="C165" s="338" t="s">
        <v>38</v>
      </c>
      <c r="D165" s="338" t="str">
        <f ca="1">IFERROR(OFFSET(Camp_List[P_Code],MATCH(Data_Vulnerability_t[[#This Row],[Camp Name]],Camp_List[Camp Name],0)-1,0,1,1),"")</f>
        <v>MMR012CMP014</v>
      </c>
      <c r="E165" s="339" t="s">
        <v>918</v>
      </c>
      <c r="F165" s="168">
        <v>70</v>
      </c>
      <c r="G165" s="334" t="s">
        <v>730</v>
      </c>
      <c r="H165" s="689">
        <v>42128</v>
      </c>
    </row>
    <row r="166" spans="1:8">
      <c r="A166" s="337" t="s">
        <v>7</v>
      </c>
      <c r="B166" s="356" t="s">
        <v>900</v>
      </c>
      <c r="C166" s="338" t="s">
        <v>38</v>
      </c>
      <c r="D166" s="338" t="str">
        <f ca="1">IFERROR(OFFSET(Camp_List[P_Code],MATCH(Data_Vulnerability_t[[#This Row],[Camp Name]],Camp_List[Camp Name],0)-1,0,1,1),"")</f>
        <v>MMR012CMP014</v>
      </c>
      <c r="E166" s="339" t="s">
        <v>921</v>
      </c>
      <c r="F166" s="168">
        <v>121</v>
      </c>
      <c r="G166" s="334" t="s">
        <v>730</v>
      </c>
      <c r="H166" s="689">
        <v>42128</v>
      </c>
    </row>
    <row r="167" spans="1:8">
      <c r="A167" s="337" t="s">
        <v>7</v>
      </c>
      <c r="B167" s="356" t="s">
        <v>900</v>
      </c>
      <c r="C167" s="338" t="s">
        <v>38</v>
      </c>
      <c r="D167" s="338" t="str">
        <f ca="1">IFERROR(OFFSET(Camp_List[P_Code],MATCH(Data_Vulnerability_t[[#This Row],[Camp Name]],Camp_List[Camp Name],0)-1,0,1,1),"")</f>
        <v>MMR012CMP014</v>
      </c>
      <c r="E167" s="339" t="s">
        <v>919</v>
      </c>
      <c r="F167" s="168">
        <v>53</v>
      </c>
      <c r="G167" s="334" t="s">
        <v>730</v>
      </c>
      <c r="H167" s="689">
        <v>42128</v>
      </c>
    </row>
    <row r="168" spans="1:8">
      <c r="A168" s="337" t="s">
        <v>7</v>
      </c>
      <c r="B168" s="356" t="s">
        <v>900</v>
      </c>
      <c r="C168" s="338" t="s">
        <v>38</v>
      </c>
      <c r="D168" s="338" t="str">
        <f ca="1">IFERROR(OFFSET(Camp_List[P_Code],MATCH(Data_Vulnerability_t[[#This Row],[Camp Name]],Camp_List[Camp Name],0)-1,0,1,1),"")</f>
        <v>MMR012CMP014</v>
      </c>
      <c r="E168" s="339" t="s">
        <v>922</v>
      </c>
      <c r="F168" s="168">
        <v>34</v>
      </c>
      <c r="G168" s="334" t="s">
        <v>730</v>
      </c>
      <c r="H168" s="689">
        <v>42128</v>
      </c>
    </row>
    <row r="169" spans="1:8">
      <c r="A169" s="337" t="s">
        <v>7</v>
      </c>
      <c r="B169" s="356" t="s">
        <v>900</v>
      </c>
      <c r="C169" s="338" t="s">
        <v>38</v>
      </c>
      <c r="D169" s="338" t="str">
        <f ca="1">IFERROR(OFFSET(Camp_List[P_Code],MATCH(Data_Vulnerability_t[[#This Row],[Camp Name]],Camp_List[Camp Name],0)-1,0,1,1),"")</f>
        <v>MMR012CMP014</v>
      </c>
      <c r="E169" s="339" t="s">
        <v>920</v>
      </c>
      <c r="F169" s="168">
        <v>51</v>
      </c>
      <c r="G169" s="334" t="s">
        <v>730</v>
      </c>
      <c r="H169" s="689">
        <v>42128</v>
      </c>
    </row>
    <row r="170" spans="1:8">
      <c r="A170" s="337" t="s">
        <v>7</v>
      </c>
      <c r="B170" s="356" t="s">
        <v>19</v>
      </c>
      <c r="C170" s="338" t="s">
        <v>68</v>
      </c>
      <c r="D170" s="338" t="str">
        <f ca="1">IFERROR(OFFSET(Camp_List[P_Code],MATCH(Data_Vulnerability_t[[#This Row],[Camp Name]],Camp_List[Camp Name],0)-1,0,1,1),"")</f>
        <v>MMR012CMP046</v>
      </c>
      <c r="E170" s="339" t="s">
        <v>917</v>
      </c>
      <c r="F170" s="168">
        <v>1</v>
      </c>
      <c r="G170" s="334" t="s">
        <v>642</v>
      </c>
      <c r="H170" s="689">
        <v>42113</v>
      </c>
    </row>
    <row r="171" spans="1:8">
      <c r="A171" s="337" t="s">
        <v>7</v>
      </c>
      <c r="B171" s="356" t="s">
        <v>19</v>
      </c>
      <c r="C171" s="338" t="s">
        <v>68</v>
      </c>
      <c r="D171" s="338" t="str">
        <f ca="1">IFERROR(OFFSET(Camp_List[P_Code],MATCH(Data_Vulnerability_t[[#This Row],[Camp Name]],Camp_List[Camp Name],0)-1,0,1,1),"")</f>
        <v>MMR012CMP046</v>
      </c>
      <c r="E171" s="339" t="s">
        <v>752</v>
      </c>
      <c r="F171" s="168">
        <v>4</v>
      </c>
      <c r="G171" s="334" t="s">
        <v>642</v>
      </c>
      <c r="H171" s="689">
        <v>42113</v>
      </c>
    </row>
    <row r="172" spans="1:8">
      <c r="A172" s="337" t="s">
        <v>7</v>
      </c>
      <c r="B172" s="356" t="s">
        <v>19</v>
      </c>
      <c r="C172" s="338" t="s">
        <v>68</v>
      </c>
      <c r="D172" s="338" t="str">
        <f ca="1">IFERROR(OFFSET(Camp_List[P_Code],MATCH(Data_Vulnerability_t[[#This Row],[Camp Name]],Camp_List[Camp Name],0)-1,0,1,1),"")</f>
        <v>MMR012CMP046</v>
      </c>
      <c r="E172" s="339" t="s">
        <v>751</v>
      </c>
      <c r="F172" s="168">
        <v>2</v>
      </c>
      <c r="G172" s="334" t="s">
        <v>642</v>
      </c>
      <c r="H172" s="689">
        <v>42113</v>
      </c>
    </row>
    <row r="173" spans="1:8">
      <c r="A173" s="337" t="s">
        <v>7</v>
      </c>
      <c r="B173" s="356" t="s">
        <v>19</v>
      </c>
      <c r="C173" s="338" t="s">
        <v>68</v>
      </c>
      <c r="D173" s="338" t="str">
        <f ca="1">IFERROR(OFFSET(Camp_List[P_Code],MATCH(Data_Vulnerability_t[[#This Row],[Camp Name]],Camp_List[Camp Name],0)-1,0,1,1),"")</f>
        <v>MMR012CMP046</v>
      </c>
      <c r="E173" s="339" t="s">
        <v>918</v>
      </c>
      <c r="F173" s="168">
        <v>29</v>
      </c>
      <c r="G173" s="334" t="s">
        <v>642</v>
      </c>
      <c r="H173" s="689">
        <v>42113</v>
      </c>
    </row>
    <row r="174" spans="1:8">
      <c r="A174" s="337" t="s">
        <v>7</v>
      </c>
      <c r="B174" s="356" t="s">
        <v>19</v>
      </c>
      <c r="C174" s="338" t="s">
        <v>68</v>
      </c>
      <c r="D174" s="338" t="str">
        <f ca="1">IFERROR(OFFSET(Camp_List[P_Code],MATCH(Data_Vulnerability_t[[#This Row],[Camp Name]],Camp_List[Camp Name],0)-1,0,1,1),"")</f>
        <v>MMR012CMP046</v>
      </c>
      <c r="E174" s="339" t="s">
        <v>921</v>
      </c>
      <c r="F174" s="168">
        <v>639</v>
      </c>
      <c r="G174" s="334" t="s">
        <v>642</v>
      </c>
      <c r="H174" s="689">
        <v>42113</v>
      </c>
    </row>
    <row r="175" spans="1:8">
      <c r="A175" s="337" t="s">
        <v>7</v>
      </c>
      <c r="B175" s="356" t="s">
        <v>19</v>
      </c>
      <c r="C175" s="338" t="s">
        <v>68</v>
      </c>
      <c r="D175" s="338" t="str">
        <f ca="1">IFERROR(OFFSET(Camp_List[P_Code],MATCH(Data_Vulnerability_t[[#This Row],[Camp Name]],Camp_List[Camp Name],0)-1,0,1,1),"")</f>
        <v>MMR012CMP046</v>
      </c>
      <c r="E175" s="339" t="s">
        <v>919</v>
      </c>
      <c r="F175" s="168">
        <v>56</v>
      </c>
      <c r="G175" s="334" t="s">
        <v>642</v>
      </c>
      <c r="H175" s="689">
        <v>42113</v>
      </c>
    </row>
    <row r="176" spans="1:8">
      <c r="A176" s="539" t="s">
        <v>7</v>
      </c>
      <c r="B176" s="543" t="s">
        <v>19</v>
      </c>
      <c r="C176" s="168" t="s">
        <v>68</v>
      </c>
      <c r="D176" s="395" t="str">
        <f ca="1">IFERROR(OFFSET(Camp_List[P_Code],MATCH(Data_Vulnerability_t[[#This Row],[Camp Name]],Camp_List[Camp Name],0)-1,0,1,1),"")</f>
        <v>MMR012CMP046</v>
      </c>
      <c r="E176" s="541" t="s">
        <v>922</v>
      </c>
      <c r="F176" s="168">
        <v>63</v>
      </c>
      <c r="G176" s="540" t="s">
        <v>642</v>
      </c>
      <c r="H176" s="689">
        <v>42113</v>
      </c>
    </row>
    <row r="177" spans="1:8">
      <c r="A177" s="539" t="s">
        <v>7</v>
      </c>
      <c r="B177" s="543" t="s">
        <v>19</v>
      </c>
      <c r="C177" s="168" t="s">
        <v>68</v>
      </c>
      <c r="D177" s="395" t="str">
        <f ca="1">IFERROR(OFFSET(Camp_List[P_Code],MATCH(Data_Vulnerability_t[[#This Row],[Camp Name]],Camp_List[Camp Name],0)-1,0,1,1),"")</f>
        <v>MMR012CMP046</v>
      </c>
      <c r="E177" s="541" t="s">
        <v>920</v>
      </c>
      <c r="F177" s="168">
        <v>36</v>
      </c>
      <c r="G177" s="540" t="s">
        <v>642</v>
      </c>
      <c r="H177" s="689">
        <v>42113</v>
      </c>
    </row>
    <row r="178" spans="1:8">
      <c r="A178" s="539" t="s">
        <v>7</v>
      </c>
      <c r="B178" s="543" t="s">
        <v>19</v>
      </c>
      <c r="C178" s="168" t="s">
        <v>70</v>
      </c>
      <c r="D178" s="395" t="str">
        <f ca="1">IFERROR(OFFSET(Camp_List[P_Code],MATCH(Data_Vulnerability_t[[#This Row],[Camp Name]],Camp_List[Camp Name],0)-1,0,1,1),"")</f>
        <v>MMR012CMP048</v>
      </c>
      <c r="E178" s="541" t="s">
        <v>917</v>
      </c>
      <c r="F178" s="168">
        <v>25</v>
      </c>
      <c r="G178" s="540" t="s">
        <v>753</v>
      </c>
      <c r="H178" s="689">
        <v>42171</v>
      </c>
    </row>
    <row r="179" spans="1:8">
      <c r="A179" s="539" t="s">
        <v>7</v>
      </c>
      <c r="B179" s="543" t="s">
        <v>19</v>
      </c>
      <c r="C179" s="168" t="s">
        <v>70</v>
      </c>
      <c r="D179" s="395" t="str">
        <f ca="1">IFERROR(OFFSET(Camp_List[P_Code],MATCH(Data_Vulnerability_t[[#This Row],[Camp Name]],Camp_List[Camp Name],0)-1,0,1,1),"")</f>
        <v>MMR012CMP048</v>
      </c>
      <c r="E179" s="541" t="s">
        <v>752</v>
      </c>
      <c r="F179" s="168">
        <v>12</v>
      </c>
      <c r="G179" s="540" t="s">
        <v>753</v>
      </c>
      <c r="H179" s="689">
        <v>42171</v>
      </c>
    </row>
    <row r="180" spans="1:8">
      <c r="A180" s="539" t="s">
        <v>7</v>
      </c>
      <c r="B180" s="543" t="s">
        <v>19</v>
      </c>
      <c r="C180" s="168" t="s">
        <v>70</v>
      </c>
      <c r="D180" s="395" t="str">
        <f ca="1">IFERROR(OFFSET(Camp_List[P_Code],MATCH(Data_Vulnerability_t[[#This Row],[Camp Name]],Camp_List[Camp Name],0)-1,0,1,1),"")</f>
        <v>MMR012CMP048</v>
      </c>
      <c r="E180" s="541" t="s">
        <v>751</v>
      </c>
      <c r="F180" s="168">
        <v>4</v>
      </c>
      <c r="G180" s="540" t="s">
        <v>753</v>
      </c>
      <c r="H180" s="689">
        <v>42171</v>
      </c>
    </row>
    <row r="181" spans="1:8">
      <c r="A181" s="539" t="s">
        <v>7</v>
      </c>
      <c r="B181" s="543" t="s">
        <v>19</v>
      </c>
      <c r="C181" s="168" t="s">
        <v>70</v>
      </c>
      <c r="D181" s="395" t="str">
        <f ca="1">IFERROR(OFFSET(Camp_List[P_Code],MATCH(Data_Vulnerability_t[[#This Row],[Camp Name]],Camp_List[Camp Name],0)-1,0,1,1),"")</f>
        <v>MMR012CMP048</v>
      </c>
      <c r="E181" s="541" t="s">
        <v>918</v>
      </c>
      <c r="F181" s="168">
        <v>63</v>
      </c>
      <c r="G181" s="540" t="s">
        <v>753</v>
      </c>
      <c r="H181" s="689">
        <v>42171</v>
      </c>
    </row>
    <row r="182" spans="1:8">
      <c r="A182" s="539" t="s">
        <v>7</v>
      </c>
      <c r="B182" s="543" t="s">
        <v>19</v>
      </c>
      <c r="C182" s="168" t="s">
        <v>70</v>
      </c>
      <c r="D182" s="395" t="str">
        <f ca="1">IFERROR(OFFSET(Camp_List[P_Code],MATCH(Data_Vulnerability_t[[#This Row],[Camp Name]],Camp_List[Camp Name],0)-1,0,1,1),"")</f>
        <v>MMR012CMP048</v>
      </c>
      <c r="E182" s="541" t="s">
        <v>921</v>
      </c>
      <c r="F182" s="168">
        <v>49</v>
      </c>
      <c r="G182" s="540" t="s">
        <v>753</v>
      </c>
      <c r="H182" s="689">
        <v>42171</v>
      </c>
    </row>
    <row r="183" spans="1:8">
      <c r="A183" s="539" t="s">
        <v>7</v>
      </c>
      <c r="B183" s="543" t="s">
        <v>19</v>
      </c>
      <c r="C183" s="168" t="s">
        <v>70</v>
      </c>
      <c r="D183" s="395" t="str">
        <f ca="1">IFERROR(OFFSET(Camp_List[P_Code],MATCH(Data_Vulnerability_t[[#This Row],[Camp Name]],Camp_List[Camp Name],0)-1,0,1,1),"")</f>
        <v>MMR012CMP048</v>
      </c>
      <c r="E183" s="541" t="s">
        <v>919</v>
      </c>
      <c r="F183" s="168">
        <v>37</v>
      </c>
      <c r="G183" s="540" t="s">
        <v>753</v>
      </c>
      <c r="H183" s="689">
        <v>42171</v>
      </c>
    </row>
    <row r="184" spans="1:8">
      <c r="A184" s="539" t="s">
        <v>7</v>
      </c>
      <c r="B184" s="543" t="s">
        <v>19</v>
      </c>
      <c r="C184" s="168" t="s">
        <v>70</v>
      </c>
      <c r="D184" s="395" t="str">
        <f ca="1">IFERROR(OFFSET(Camp_List[P_Code],MATCH(Data_Vulnerability_t[[#This Row],[Camp Name]],Camp_List[Camp Name],0)-1,0,1,1),"")</f>
        <v>MMR012CMP048</v>
      </c>
      <c r="E184" s="541" t="s">
        <v>922</v>
      </c>
      <c r="F184" s="168">
        <v>18</v>
      </c>
      <c r="G184" s="540" t="s">
        <v>753</v>
      </c>
      <c r="H184" s="689">
        <v>42171</v>
      </c>
    </row>
    <row r="185" spans="1:8">
      <c r="A185" s="690" t="s">
        <v>7</v>
      </c>
      <c r="B185" s="691" t="s">
        <v>19</v>
      </c>
      <c r="C185" s="331" t="s">
        <v>70</v>
      </c>
      <c r="D185" s="544" t="str">
        <f ca="1">IFERROR(OFFSET(Camp_List[P_Code],MATCH(Data_Vulnerability_t[[#This Row],[Camp Name]],Camp_List[Camp Name],0)-1,0,1,1),"")</f>
        <v>MMR012CMP048</v>
      </c>
      <c r="E185" s="545" t="s">
        <v>920</v>
      </c>
      <c r="F185" s="331">
        <v>107</v>
      </c>
      <c r="G185" s="692" t="s">
        <v>753</v>
      </c>
      <c r="H185" s="693">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2"/>
  <sheetViews>
    <sheetView showZeros="0" zoomScale="60" zoomScaleNormal="60" workbookViewId="0">
      <pane ySplit="1" topLeftCell="A2" activePane="bottomLeft" state="frozen"/>
      <selection activeCell="L12" sqref="L12"/>
      <selection pane="bottomLeft" activeCell="F39" sqref="F39"/>
    </sheetView>
  </sheetViews>
  <sheetFormatPr defaultColWidth="9.140625" defaultRowHeight="15"/>
  <cols>
    <col min="1" max="1" width="17.28515625" style="6" customWidth="1"/>
    <col min="2" max="2" width="15.42578125" style="6" customWidth="1"/>
    <col min="3" max="3" width="15.140625" style="6" customWidth="1"/>
    <col min="4" max="4" width="15.42578125" style="6" customWidth="1"/>
    <col min="5" max="5" width="16.5703125" style="6" customWidth="1"/>
    <col min="6" max="6" width="19.140625" style="6" customWidth="1"/>
    <col min="7" max="9" width="24.140625" style="6" customWidth="1"/>
    <col min="10" max="10" width="17.7109375" style="6" customWidth="1"/>
    <col min="11" max="11" width="16.57031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69" customFormat="1" ht="36">
      <c r="A1" s="198"/>
      <c r="B1" s="199"/>
      <c r="C1" s="199"/>
      <c r="D1" s="199"/>
      <c r="E1" s="199"/>
      <c r="F1" s="199"/>
      <c r="G1" s="199"/>
      <c r="H1" s="199"/>
      <c r="I1" s="199"/>
      <c r="J1" s="215"/>
      <c r="K1" s="6"/>
      <c r="L1" s="6"/>
      <c r="M1" s="6"/>
      <c r="N1" s="6"/>
      <c r="O1" s="6"/>
      <c r="P1" s="6"/>
      <c r="Q1" s="6"/>
      <c r="R1" s="6"/>
      <c r="BC1" s="3"/>
      <c r="BD1" s="3"/>
    </row>
    <row r="2" spans="1:56" s="1" customFormat="1" ht="63.75" customHeight="1">
      <c r="A2" s="216" t="s">
        <v>811</v>
      </c>
      <c r="B2" s="217"/>
      <c r="C2" s="217"/>
      <c r="D2" s="217"/>
      <c r="E2" s="217"/>
      <c r="F2" s="217"/>
      <c r="G2" s="217"/>
      <c r="H2" s="217"/>
      <c r="I2" s="217"/>
      <c r="J2" s="218"/>
      <c r="K2" s="6"/>
      <c r="L2" s="6"/>
      <c r="M2" s="6"/>
      <c r="N2" s="6"/>
      <c r="O2" s="6"/>
      <c r="P2" s="6"/>
      <c r="Q2" s="6"/>
      <c r="R2" s="6"/>
      <c r="BC2" s="78"/>
      <c r="BD2" s="78"/>
    </row>
    <row r="3" spans="1:56" s="21" customFormat="1" ht="18" customHeight="1">
      <c r="A3" s="847">
        <f>Report_Date</f>
        <v>42522</v>
      </c>
      <c r="B3" s="847"/>
      <c r="C3" s="6"/>
      <c r="D3" s="6"/>
      <c r="E3" s="6"/>
      <c r="F3" s="6"/>
      <c r="G3" s="6"/>
      <c r="H3" s="6"/>
      <c r="I3" s="6"/>
      <c r="J3" s="6"/>
      <c r="K3" s="6"/>
      <c r="L3" s="6"/>
      <c r="M3" s="6"/>
      <c r="N3" s="6"/>
      <c r="O3" s="6"/>
      <c r="P3" s="6"/>
      <c r="Q3" s="6"/>
      <c r="R3" s="6"/>
      <c r="BC3" s="79"/>
      <c r="BD3" s="79"/>
    </row>
    <row r="4" spans="1:56">
      <c r="A4" s="583" t="s">
        <v>10</v>
      </c>
      <c r="B4" s="583" t="s">
        <v>7</v>
      </c>
      <c r="C4" s="6" t="s">
        <v>220</v>
      </c>
    </row>
    <row r="6" spans="1:56">
      <c r="A6" s="574" t="s">
        <v>214</v>
      </c>
      <c r="B6" s="575" t="s">
        <v>216</v>
      </c>
      <c r="C6" s="575" t="s">
        <v>218</v>
      </c>
      <c r="D6" s="576" t="s">
        <v>217</v>
      </c>
      <c r="M6" s="9" t="s">
        <v>10</v>
      </c>
      <c r="N6" s="6" t="s">
        <v>7</v>
      </c>
      <c r="O6" s="6" t="s">
        <v>220</v>
      </c>
    </row>
    <row r="7" spans="1:56">
      <c r="A7" s="577" t="s">
        <v>358</v>
      </c>
      <c r="B7" s="578">
        <v>50</v>
      </c>
      <c r="C7" s="578"/>
      <c r="D7" s="579"/>
      <c r="T7"/>
      <c r="U7"/>
    </row>
    <row r="8" spans="1:56">
      <c r="A8" s="577" t="s">
        <v>20</v>
      </c>
      <c r="B8" s="578">
        <v>11</v>
      </c>
      <c r="C8" s="578"/>
      <c r="D8" s="579"/>
      <c r="M8" s="9" t="s">
        <v>214</v>
      </c>
      <c r="N8" s="6" t="s">
        <v>217</v>
      </c>
      <c r="O8"/>
      <c r="T8"/>
      <c r="U8"/>
    </row>
    <row r="9" spans="1:56">
      <c r="A9" s="577" t="s">
        <v>11</v>
      </c>
      <c r="B9" s="578">
        <v>2</v>
      </c>
      <c r="C9" s="578"/>
      <c r="D9" s="579"/>
      <c r="M9" s="7" t="s">
        <v>19</v>
      </c>
      <c r="N9" s="8">
        <v>98754</v>
      </c>
      <c r="O9"/>
      <c r="T9"/>
      <c r="U9"/>
    </row>
    <row r="10" spans="1:56">
      <c r="A10" s="577" t="s">
        <v>12</v>
      </c>
      <c r="B10" s="578">
        <v>1</v>
      </c>
      <c r="C10" s="578"/>
      <c r="D10" s="579"/>
      <c r="M10" s="7" t="s">
        <v>14</v>
      </c>
      <c r="N10" s="8">
        <v>19721</v>
      </c>
      <c r="O10"/>
      <c r="T10"/>
      <c r="U10"/>
    </row>
    <row r="11" spans="1:56">
      <c r="A11" s="577" t="s">
        <v>14</v>
      </c>
      <c r="B11" s="578">
        <v>1</v>
      </c>
      <c r="C11" s="578"/>
      <c r="D11" s="579"/>
      <c r="M11" s="7" t="s">
        <v>15</v>
      </c>
      <c r="N11" s="8">
        <v>6527</v>
      </c>
      <c r="O11"/>
      <c r="T11"/>
      <c r="U11"/>
    </row>
    <row r="12" spans="1:56">
      <c r="A12" s="577" t="s">
        <v>19</v>
      </c>
      <c r="B12" s="578">
        <v>35</v>
      </c>
      <c r="C12" s="578"/>
      <c r="D12" s="579"/>
      <c r="M12" s="7" t="s">
        <v>11</v>
      </c>
      <c r="N12" s="8">
        <v>5638</v>
      </c>
      <c r="O12"/>
      <c r="T12"/>
      <c r="U12"/>
    </row>
    <row r="13" spans="1:56">
      <c r="A13" s="577" t="s">
        <v>357</v>
      </c>
      <c r="B13" s="578">
        <v>39</v>
      </c>
      <c r="C13" s="578">
        <v>23948</v>
      </c>
      <c r="D13" s="579">
        <v>119862</v>
      </c>
      <c r="M13" s="7" t="s">
        <v>16</v>
      </c>
      <c r="N13" s="8">
        <v>4055</v>
      </c>
      <c r="O13"/>
      <c r="T13"/>
      <c r="U13"/>
    </row>
    <row r="14" spans="1:56">
      <c r="A14" s="577" t="s">
        <v>17</v>
      </c>
      <c r="B14" s="578">
        <v>2</v>
      </c>
      <c r="C14" s="578">
        <v>492</v>
      </c>
      <c r="D14" s="579">
        <v>1601</v>
      </c>
      <c r="M14" s="7" t="s">
        <v>12</v>
      </c>
      <c r="N14" s="8">
        <v>3826</v>
      </c>
      <c r="O14"/>
      <c r="T14"/>
      <c r="U14"/>
    </row>
    <row r="15" spans="1:56">
      <c r="A15" s="577" t="s">
        <v>15</v>
      </c>
      <c r="B15" s="578">
        <v>1</v>
      </c>
      <c r="C15" s="578">
        <v>85</v>
      </c>
      <c r="D15" s="579">
        <v>546</v>
      </c>
      <c r="M15" s="7" t="s">
        <v>900</v>
      </c>
      <c r="N15" s="8">
        <v>2922</v>
      </c>
      <c r="O15"/>
      <c r="T15"/>
      <c r="U15"/>
    </row>
    <row r="16" spans="1:56">
      <c r="A16" s="577" t="s">
        <v>20</v>
      </c>
      <c r="B16" s="578">
        <v>9</v>
      </c>
      <c r="C16" s="578">
        <v>219</v>
      </c>
      <c r="D16" s="579">
        <v>1378</v>
      </c>
      <c r="M16" s="7" t="s">
        <v>17</v>
      </c>
      <c r="N16" s="8">
        <v>1601</v>
      </c>
      <c r="O16"/>
      <c r="T16"/>
      <c r="U16"/>
    </row>
    <row r="17" spans="1:21">
      <c r="A17" s="577" t="s">
        <v>14</v>
      </c>
      <c r="B17" s="578">
        <v>4</v>
      </c>
      <c r="C17" s="578">
        <v>4031</v>
      </c>
      <c r="D17" s="579">
        <v>15429</v>
      </c>
      <c r="M17" s="7" t="s">
        <v>20</v>
      </c>
      <c r="N17" s="8">
        <v>1378</v>
      </c>
      <c r="O17"/>
      <c r="T17"/>
      <c r="U17"/>
    </row>
    <row r="18" spans="1:21">
      <c r="A18" s="577" t="s">
        <v>18</v>
      </c>
      <c r="B18" s="578">
        <v>2</v>
      </c>
      <c r="C18" s="578">
        <v>75</v>
      </c>
      <c r="D18" s="579">
        <v>264</v>
      </c>
      <c r="M18" s="7" t="s">
        <v>18</v>
      </c>
      <c r="N18" s="8">
        <v>264</v>
      </c>
      <c r="O18"/>
      <c r="T18"/>
      <c r="U18"/>
    </row>
    <row r="19" spans="1:21">
      <c r="A19" s="577" t="s">
        <v>16</v>
      </c>
      <c r="B19" s="578">
        <v>3</v>
      </c>
      <c r="C19" s="578">
        <v>661</v>
      </c>
      <c r="D19" s="579">
        <v>3566</v>
      </c>
      <c r="M19" s="10" t="s">
        <v>215</v>
      </c>
      <c r="N19" s="11">
        <v>144686</v>
      </c>
      <c r="O19"/>
      <c r="T19"/>
      <c r="U19"/>
    </row>
    <row r="20" spans="1:21">
      <c r="A20" s="577" t="s">
        <v>19</v>
      </c>
      <c r="B20" s="578">
        <v>16</v>
      </c>
      <c r="C20" s="578">
        <v>17661</v>
      </c>
      <c r="D20" s="579">
        <v>94156</v>
      </c>
      <c r="M20"/>
      <c r="N20"/>
      <c r="O20"/>
      <c r="T20"/>
      <c r="U20"/>
    </row>
    <row r="21" spans="1:21">
      <c r="A21" s="577" t="s">
        <v>900</v>
      </c>
      <c r="B21" s="578">
        <v>2</v>
      </c>
      <c r="C21" s="578">
        <v>724</v>
      </c>
      <c r="D21" s="579">
        <v>2922</v>
      </c>
      <c r="M21"/>
      <c r="N21"/>
      <c r="O21"/>
      <c r="T21"/>
      <c r="U21"/>
    </row>
    <row r="22" spans="1:21">
      <c r="A22" s="577" t="s">
        <v>1012</v>
      </c>
      <c r="B22" s="578">
        <v>9</v>
      </c>
      <c r="C22" s="578">
        <v>1940</v>
      </c>
      <c r="D22" s="579">
        <v>9642</v>
      </c>
      <c r="M22"/>
      <c r="N22"/>
      <c r="O22"/>
      <c r="T22"/>
      <c r="U22"/>
    </row>
    <row r="23" spans="1:21">
      <c r="A23" s="577" t="s">
        <v>15</v>
      </c>
      <c r="B23" s="578">
        <v>1</v>
      </c>
      <c r="C23" s="578">
        <v>97</v>
      </c>
      <c r="D23" s="579">
        <v>557</v>
      </c>
      <c r="M23"/>
      <c r="N23"/>
      <c r="O23"/>
      <c r="T23"/>
      <c r="U23"/>
    </row>
    <row r="24" spans="1:21">
      <c r="A24" s="577" t="s">
        <v>12</v>
      </c>
      <c r="B24" s="578">
        <v>2</v>
      </c>
      <c r="C24" s="578">
        <v>41</v>
      </c>
      <c r="D24" s="579">
        <v>195</v>
      </c>
      <c r="M24"/>
      <c r="N24"/>
      <c r="T24"/>
      <c r="U24"/>
    </row>
    <row r="25" spans="1:21">
      <c r="A25" s="577" t="s">
        <v>14</v>
      </c>
      <c r="B25" s="578">
        <v>2</v>
      </c>
      <c r="C25" s="578">
        <v>912</v>
      </c>
      <c r="D25" s="579">
        <v>4292</v>
      </c>
      <c r="M25"/>
      <c r="N25"/>
      <c r="T25"/>
      <c r="U25"/>
    </row>
    <row r="26" spans="1:21">
      <c r="A26" s="577" t="s">
        <v>19</v>
      </c>
      <c r="B26" s="578">
        <v>4</v>
      </c>
      <c r="C26" s="578">
        <v>890</v>
      </c>
      <c r="D26" s="579">
        <v>4598</v>
      </c>
      <c r="T26"/>
      <c r="U26"/>
    </row>
    <row r="27" spans="1:21">
      <c r="A27" s="577" t="s">
        <v>1025</v>
      </c>
      <c r="B27" s="578">
        <v>20</v>
      </c>
      <c r="C27" s="578">
        <v>2385</v>
      </c>
      <c r="D27" s="579">
        <v>15182</v>
      </c>
      <c r="T27"/>
      <c r="U27"/>
    </row>
    <row r="28" spans="1:21">
      <c r="A28" s="577" t="s">
        <v>15</v>
      </c>
      <c r="B28" s="578">
        <v>9</v>
      </c>
      <c r="C28" s="578">
        <v>819</v>
      </c>
      <c r="D28" s="579">
        <v>5424</v>
      </c>
      <c r="T28"/>
      <c r="U28"/>
    </row>
    <row r="29" spans="1:21">
      <c r="A29" s="577" t="s">
        <v>11</v>
      </c>
      <c r="B29" s="578">
        <v>7</v>
      </c>
      <c r="C29" s="578">
        <v>911</v>
      </c>
      <c r="D29" s="579">
        <v>5638</v>
      </c>
      <c r="T29"/>
      <c r="U29"/>
    </row>
    <row r="30" spans="1:21">
      <c r="A30" s="577" t="s">
        <v>12</v>
      </c>
      <c r="B30" s="578">
        <v>2</v>
      </c>
      <c r="C30" s="578">
        <v>569</v>
      </c>
      <c r="D30" s="579">
        <v>3631</v>
      </c>
      <c r="T30"/>
      <c r="U30"/>
    </row>
    <row r="31" spans="1:21">
      <c r="A31" s="577" t="s">
        <v>16</v>
      </c>
      <c r="B31" s="578">
        <v>2</v>
      </c>
      <c r="C31" s="578">
        <v>86</v>
      </c>
      <c r="D31" s="579">
        <v>489</v>
      </c>
      <c r="T31"/>
      <c r="U31"/>
    </row>
    <row r="32" spans="1:21">
      <c r="A32" s="580" t="s">
        <v>215</v>
      </c>
      <c r="B32" s="581">
        <v>118</v>
      </c>
      <c r="C32" s="581">
        <v>28273</v>
      </c>
      <c r="D32" s="582">
        <v>144686</v>
      </c>
      <c r="T32" s="100"/>
      <c r="U32" s="100"/>
    </row>
    <row r="33" spans="1:21">
      <c r="A33"/>
      <c r="B33"/>
      <c r="C33"/>
      <c r="D33"/>
      <c r="T33"/>
      <c r="U33"/>
    </row>
    <row r="34" spans="1:21">
      <c r="A34" s="423" t="s">
        <v>354</v>
      </c>
      <c r="B34" s="423" t="s">
        <v>357</v>
      </c>
      <c r="E34"/>
      <c r="T34" s="100"/>
      <c r="U34" s="100"/>
    </row>
    <row r="35" spans="1:21">
      <c r="A35"/>
      <c r="B35"/>
      <c r="C35"/>
      <c r="E35" s="1"/>
      <c r="T35"/>
      <c r="U35"/>
    </row>
    <row r="36" spans="1:21">
      <c r="A36" s="212"/>
      <c r="B36" s="428" t="s">
        <v>688</v>
      </c>
      <c r="C36" s="213"/>
      <c r="D36" s="214"/>
      <c r="E36"/>
      <c r="T36"/>
      <c r="U36"/>
    </row>
    <row r="37" spans="1:21">
      <c r="A37" s="187"/>
      <c r="B37" s="1" t="s">
        <v>684</v>
      </c>
      <c r="C37" s="1" t="s">
        <v>685</v>
      </c>
      <c r="D37" s="194" t="s">
        <v>215</v>
      </c>
      <c r="T37"/>
      <c r="U37"/>
    </row>
    <row r="38" spans="1:21">
      <c r="A38" s="196" t="s">
        <v>746</v>
      </c>
      <c r="B38" s="290">
        <v>103439</v>
      </c>
      <c r="C38" s="290">
        <v>16423</v>
      </c>
      <c r="D38" s="420">
        <v>119862</v>
      </c>
      <c r="L38"/>
      <c r="M38"/>
      <c r="T38"/>
      <c r="U38"/>
    </row>
    <row r="39" spans="1:21">
      <c r="L39"/>
      <c r="M39"/>
      <c r="T39"/>
      <c r="U39"/>
    </row>
    <row r="40" spans="1:21">
      <c r="H40"/>
      <c r="L40"/>
      <c r="M40"/>
      <c r="T40"/>
      <c r="U40"/>
    </row>
    <row r="41" spans="1:21">
      <c r="A41" s="211" t="s">
        <v>354</v>
      </c>
      <c r="B41" s="31" t="s">
        <v>357</v>
      </c>
      <c r="H41" s="429" t="s">
        <v>354</v>
      </c>
      <c r="I41" s="208" t="s">
        <v>357</v>
      </c>
      <c r="L41"/>
      <c r="M41"/>
      <c r="T41"/>
      <c r="U41"/>
    </row>
    <row r="42" spans="1:21">
      <c r="A42" s="100"/>
      <c r="B42" s="100"/>
      <c r="C42"/>
      <c r="H42" s="100"/>
      <c r="I42" s="100"/>
      <c r="L42"/>
      <c r="M42"/>
      <c r="T42"/>
      <c r="U42"/>
    </row>
    <row r="43" spans="1:21">
      <c r="A43" s="212"/>
      <c r="B43" s="428" t="s">
        <v>688</v>
      </c>
      <c r="C43" s="213"/>
      <c r="D43" s="213"/>
      <c r="E43" s="214"/>
      <c r="F43"/>
      <c r="G43"/>
      <c r="H43" s="430" t="s">
        <v>549</v>
      </c>
      <c r="I43" s="428" t="s">
        <v>688</v>
      </c>
      <c r="J43" s="213"/>
      <c r="K43" s="214"/>
      <c r="L43"/>
      <c r="T43"/>
      <c r="U43"/>
    </row>
    <row r="44" spans="1:21">
      <c r="A44" s="187"/>
      <c r="B44" s="1" t="s">
        <v>786</v>
      </c>
      <c r="C44" s="1" t="s">
        <v>793</v>
      </c>
      <c r="D44" s="1" t="s">
        <v>1030</v>
      </c>
      <c r="E44" s="194" t="s">
        <v>215</v>
      </c>
      <c r="F44"/>
      <c r="G44"/>
      <c r="H44" s="431" t="s">
        <v>214</v>
      </c>
      <c r="I44" s="1" t="s">
        <v>684</v>
      </c>
      <c r="J44" s="1" t="s">
        <v>685</v>
      </c>
      <c r="K44" s="194" t="s">
        <v>215</v>
      </c>
      <c r="L44"/>
      <c r="T44"/>
      <c r="U44"/>
    </row>
    <row r="45" spans="1:21">
      <c r="A45" s="196" t="s">
        <v>549</v>
      </c>
      <c r="B45" s="290">
        <v>635</v>
      </c>
      <c r="C45" s="290">
        <v>2668</v>
      </c>
      <c r="D45" s="290">
        <v>116559</v>
      </c>
      <c r="E45" s="420">
        <v>119862</v>
      </c>
      <c r="F45"/>
      <c r="G45"/>
      <c r="H45" s="432" t="s">
        <v>290</v>
      </c>
      <c r="I45" s="65">
        <v>56907</v>
      </c>
      <c r="J45" s="65"/>
      <c r="K45" s="433">
        <v>56907</v>
      </c>
      <c r="L45"/>
      <c r="T45"/>
      <c r="U45"/>
    </row>
    <row r="46" spans="1:21">
      <c r="H46" s="432" t="s">
        <v>642</v>
      </c>
      <c r="I46" s="65">
        <v>37524</v>
      </c>
      <c r="J46" s="65"/>
      <c r="K46" s="433">
        <v>37524</v>
      </c>
      <c r="T46"/>
      <c r="U46"/>
    </row>
    <row r="47" spans="1:21">
      <c r="H47" s="432" t="s">
        <v>287</v>
      </c>
      <c r="I47" s="65"/>
      <c r="J47" s="65">
        <v>13501</v>
      </c>
      <c r="K47" s="433">
        <v>13501</v>
      </c>
      <c r="T47"/>
      <c r="U47"/>
    </row>
    <row r="48" spans="1:21">
      <c r="H48" s="432" t="s">
        <v>1005</v>
      </c>
      <c r="I48" s="65">
        <v>9008</v>
      </c>
      <c r="J48" s="65"/>
      <c r="K48" s="433">
        <v>9008</v>
      </c>
      <c r="T48"/>
      <c r="U48"/>
    </row>
    <row r="49" spans="1:33" customFormat="1">
      <c r="A49" s="6"/>
      <c r="B49" s="6"/>
      <c r="C49" s="6"/>
      <c r="D49" s="6"/>
      <c r="E49" s="6"/>
      <c r="F49" s="6"/>
      <c r="G49" s="6"/>
      <c r="H49" s="432" t="s">
        <v>730</v>
      </c>
      <c r="I49" s="65"/>
      <c r="J49" s="65">
        <v>2922</v>
      </c>
      <c r="K49" s="433">
        <v>2922</v>
      </c>
      <c r="L49" s="6"/>
      <c r="M49" s="6"/>
      <c r="N49" s="6"/>
      <c r="O49" s="6"/>
      <c r="P49" s="6"/>
      <c r="Q49" s="6"/>
      <c r="R49" s="6"/>
    </row>
    <row r="50" spans="1:33" customFormat="1">
      <c r="A50" s="6"/>
      <c r="B50" s="6"/>
      <c r="C50" s="6"/>
      <c r="D50" s="6"/>
      <c r="E50" s="6"/>
      <c r="F50" s="6"/>
      <c r="G50" s="6"/>
      <c r="H50" s="434" t="s">
        <v>215</v>
      </c>
      <c r="I50" s="290">
        <v>103439</v>
      </c>
      <c r="J50" s="290">
        <v>16423</v>
      </c>
      <c r="K50" s="420">
        <v>119862</v>
      </c>
      <c r="L50" s="6"/>
      <c r="M50" s="6"/>
      <c r="N50" s="6"/>
      <c r="O50" s="6"/>
      <c r="P50" s="6"/>
      <c r="Q50" s="6"/>
      <c r="R50" s="6"/>
    </row>
    <row r="51" spans="1:33" customFormat="1">
      <c r="A51" s="6" t="s">
        <v>1053</v>
      </c>
      <c r="B51" s="6"/>
      <c r="C51" s="6"/>
      <c r="D51" s="6"/>
      <c r="E51" s="6"/>
      <c r="F51" s="6"/>
      <c r="G51" s="6"/>
      <c r="H51" s="6"/>
      <c r="I51" s="6"/>
      <c r="J51" s="6"/>
      <c r="K51" s="6"/>
      <c r="L51" s="6"/>
      <c r="M51" s="6"/>
      <c r="N51" s="6"/>
      <c r="O51" s="6"/>
      <c r="P51" s="6"/>
      <c r="Q51" s="6"/>
      <c r="R51" s="6"/>
    </row>
    <row r="52" spans="1:33" customFormat="1">
      <c r="A52" s="6"/>
      <c r="B52" s="6"/>
      <c r="C52" s="6"/>
      <c r="D52" s="6"/>
      <c r="E52" s="6"/>
      <c r="F52" s="6"/>
      <c r="G52" s="6"/>
      <c r="H52" s="6"/>
      <c r="I52" s="6"/>
      <c r="J52" s="6"/>
      <c r="K52" s="6"/>
      <c r="L52" s="6"/>
      <c r="M52" s="6"/>
      <c r="N52" s="6"/>
      <c r="O52" s="6"/>
      <c r="P52" s="6"/>
      <c r="Q52" s="6"/>
      <c r="R52" s="6"/>
    </row>
    <row r="53" spans="1:33" customFormat="1">
      <c r="A53" s="211" t="s">
        <v>354</v>
      </c>
      <c r="B53" s="31" t="s">
        <v>357</v>
      </c>
      <c r="C53" s="6"/>
      <c r="D53" s="6"/>
      <c r="E53" s="6"/>
      <c r="F53" s="6"/>
      <c r="G53" s="6"/>
      <c r="H53" s="6"/>
      <c r="I53" s="6"/>
      <c r="J53" s="6"/>
      <c r="K53" s="6"/>
      <c r="L53" s="6"/>
      <c r="M53" s="6"/>
      <c r="N53" s="6"/>
      <c r="O53" s="6"/>
      <c r="P53" s="6"/>
      <c r="Q53" s="6"/>
      <c r="R53" s="6"/>
    </row>
    <row r="54" spans="1:33" customFormat="1">
      <c r="A54" s="211" t="s">
        <v>24</v>
      </c>
      <c r="B54" s="31" t="s">
        <v>794</v>
      </c>
      <c r="C54" s="6"/>
      <c r="D54" s="6"/>
      <c r="E54" s="6"/>
      <c r="F54" s="6"/>
      <c r="G54" s="6"/>
      <c r="H54" s="6"/>
      <c r="I54" s="6"/>
      <c r="J54" s="6"/>
      <c r="K54" s="6"/>
      <c r="L54" s="6"/>
      <c r="M54" s="6"/>
      <c r="N54" s="6"/>
      <c r="O54" s="6"/>
      <c r="P54" s="6"/>
      <c r="Q54" s="6"/>
      <c r="R54" s="6"/>
    </row>
    <row r="55" spans="1:33" customFormat="1">
      <c r="C55" s="6"/>
      <c r="D55" s="6"/>
      <c r="E55" s="6"/>
      <c r="F55" s="6"/>
      <c r="G55" s="6"/>
      <c r="H55" s="6"/>
      <c r="I55" s="6"/>
      <c r="J55" s="6"/>
      <c r="K55" s="6"/>
      <c r="L55" s="6"/>
      <c r="M55" s="6"/>
      <c r="N55" s="6"/>
      <c r="O55" s="6"/>
      <c r="P55" s="6"/>
      <c r="Q55" s="6"/>
      <c r="R55" s="6"/>
    </row>
    <row r="56" spans="1:33" customFormat="1">
      <c r="A56" s="430" t="s">
        <v>549</v>
      </c>
      <c r="B56" s="428" t="s">
        <v>688</v>
      </c>
      <c r="C56" s="213"/>
      <c r="D56" s="213"/>
      <c r="E56" s="214"/>
      <c r="G56" s="6"/>
      <c r="H56" s="6"/>
      <c r="I56" s="6"/>
      <c r="J56" s="6"/>
      <c r="K56" s="6"/>
      <c r="L56" s="6"/>
      <c r="M56" s="6"/>
      <c r="N56" s="6"/>
      <c r="O56" s="6"/>
      <c r="P56" s="6"/>
      <c r="Q56" s="6"/>
      <c r="R56" s="6"/>
    </row>
    <row r="57" spans="1:33" customFormat="1">
      <c r="A57" s="431" t="s">
        <v>214</v>
      </c>
      <c r="B57" s="1" t="s">
        <v>786</v>
      </c>
      <c r="C57" s="1" t="s">
        <v>793</v>
      </c>
      <c r="D57" s="1" t="s">
        <v>1030</v>
      </c>
      <c r="E57" s="194" t="s">
        <v>215</v>
      </c>
      <c r="G57" s="6"/>
      <c r="H57" s="6"/>
      <c r="I57" s="6"/>
      <c r="J57" s="6"/>
      <c r="K57" s="6"/>
      <c r="L57" s="6"/>
      <c r="M57" s="6"/>
      <c r="N57" s="6"/>
      <c r="O57" s="6"/>
      <c r="P57" s="6"/>
      <c r="Q57" s="6"/>
      <c r="R57" s="6"/>
    </row>
    <row r="58" spans="1:33">
      <c r="A58" s="432" t="s">
        <v>14</v>
      </c>
      <c r="B58" s="421"/>
      <c r="C58" s="421">
        <v>2668</v>
      </c>
      <c r="D58" s="421">
        <v>12761</v>
      </c>
      <c r="E58" s="437">
        <v>15429</v>
      </c>
      <c r="F58"/>
      <c r="S58"/>
      <c r="T58" s="100" t="s">
        <v>215</v>
      </c>
      <c r="U58"/>
      <c r="V58"/>
      <c r="W58"/>
      <c r="X58"/>
      <c r="Y58"/>
      <c r="Z58"/>
      <c r="AA58"/>
      <c r="AB58"/>
      <c r="AC58"/>
      <c r="AD58"/>
      <c r="AE58"/>
      <c r="AF58"/>
      <c r="AG58"/>
    </row>
    <row r="59" spans="1:33">
      <c r="A59" s="438" t="s">
        <v>40</v>
      </c>
      <c r="B59" s="421"/>
      <c r="C59" s="421"/>
      <c r="D59" s="421">
        <v>4357</v>
      </c>
      <c r="E59" s="437">
        <v>4357</v>
      </c>
      <c r="F59"/>
      <c r="S59" s="4">
        <v>26883</v>
      </c>
      <c r="T59" s="4">
        <v>144967</v>
      </c>
      <c r="U59"/>
    </row>
    <row r="60" spans="1:33">
      <c r="A60" s="438" t="s">
        <v>42</v>
      </c>
      <c r="B60" s="421"/>
      <c r="C60" s="421"/>
      <c r="D60" s="421">
        <v>5060</v>
      </c>
      <c r="E60" s="437">
        <v>5060</v>
      </c>
      <c r="F60"/>
      <c r="T60"/>
      <c r="U60"/>
    </row>
    <row r="61" spans="1:33">
      <c r="A61" s="438" t="s">
        <v>41</v>
      </c>
      <c r="B61" s="421"/>
      <c r="C61" s="421"/>
      <c r="D61" s="421">
        <v>3344</v>
      </c>
      <c r="E61" s="437">
        <v>3344</v>
      </c>
      <c r="F61"/>
      <c r="T61"/>
      <c r="U61"/>
    </row>
    <row r="62" spans="1:33">
      <c r="A62" s="438" t="s">
        <v>43</v>
      </c>
      <c r="B62" s="421"/>
      <c r="C62" s="421">
        <v>2668</v>
      </c>
      <c r="D62" s="421"/>
      <c r="E62" s="437">
        <v>2668</v>
      </c>
      <c r="F62"/>
      <c r="T62"/>
      <c r="U62"/>
    </row>
    <row r="63" spans="1:33">
      <c r="A63" s="432" t="s">
        <v>19</v>
      </c>
      <c r="B63" s="421"/>
      <c r="C63" s="421"/>
      <c r="D63" s="421">
        <v>88010</v>
      </c>
      <c r="E63" s="437">
        <v>88010</v>
      </c>
      <c r="F63"/>
      <c r="T63"/>
      <c r="U63"/>
    </row>
    <row r="64" spans="1:33">
      <c r="A64" s="438" t="s">
        <v>61</v>
      </c>
      <c r="B64" s="421"/>
      <c r="C64" s="421"/>
      <c r="D64" s="421">
        <v>2104</v>
      </c>
      <c r="E64" s="437">
        <v>2104</v>
      </c>
      <c r="F64"/>
      <c r="T64"/>
      <c r="U64"/>
    </row>
    <row r="65" spans="1:21">
      <c r="A65" s="438" t="s">
        <v>648</v>
      </c>
      <c r="B65" s="421"/>
      <c r="C65" s="421"/>
      <c r="D65" s="421">
        <v>4851</v>
      </c>
      <c r="E65" s="437">
        <v>4851</v>
      </c>
      <c r="F65"/>
      <c r="T65"/>
      <c r="U65"/>
    </row>
    <row r="66" spans="1:21">
      <c r="A66" s="438" t="s">
        <v>649</v>
      </c>
      <c r="B66" s="421"/>
      <c r="C66" s="421"/>
      <c r="D66" s="421">
        <v>6917</v>
      </c>
      <c r="E66" s="437">
        <v>6917</v>
      </c>
      <c r="F66"/>
      <c r="T66"/>
      <c r="U66"/>
    </row>
    <row r="67" spans="1:21">
      <c r="A67" s="438" t="s">
        <v>63</v>
      </c>
      <c r="B67" s="421"/>
      <c r="C67" s="421"/>
      <c r="D67" s="421">
        <v>8189</v>
      </c>
      <c r="E67" s="437">
        <v>8189</v>
      </c>
      <c r="F67"/>
      <c r="T67"/>
      <c r="U67"/>
    </row>
    <row r="68" spans="1:21">
      <c r="A68" s="438" t="s">
        <v>64</v>
      </c>
      <c r="B68" s="421"/>
      <c r="C68" s="421"/>
      <c r="D68" s="421">
        <v>4285</v>
      </c>
      <c r="E68" s="437">
        <v>4285</v>
      </c>
      <c r="F68"/>
      <c r="T68"/>
      <c r="U68"/>
    </row>
    <row r="69" spans="1:21">
      <c r="A69" s="438" t="s">
        <v>647</v>
      </c>
      <c r="B69" s="421"/>
      <c r="C69" s="421"/>
      <c r="D69" s="421">
        <v>3352</v>
      </c>
      <c r="E69" s="437">
        <v>3352</v>
      </c>
      <c r="F69"/>
      <c r="T69"/>
      <c r="U69"/>
    </row>
    <row r="70" spans="1:21">
      <c r="A70" s="438" t="s">
        <v>652</v>
      </c>
      <c r="B70" s="421"/>
      <c r="C70" s="421"/>
      <c r="D70" s="421">
        <v>3389</v>
      </c>
      <c r="E70" s="437">
        <v>3389</v>
      </c>
      <c r="F70"/>
    </row>
    <row r="71" spans="1:21">
      <c r="A71" s="438" t="s">
        <v>653</v>
      </c>
      <c r="B71" s="421"/>
      <c r="C71" s="421"/>
      <c r="D71" s="421">
        <v>13655</v>
      </c>
      <c r="E71" s="437">
        <v>13655</v>
      </c>
      <c r="F71"/>
    </row>
    <row r="72" spans="1:21">
      <c r="A72" s="438" t="s">
        <v>654</v>
      </c>
      <c r="B72" s="421"/>
      <c r="C72" s="421"/>
      <c r="D72" s="421">
        <v>11731</v>
      </c>
      <c r="E72" s="437">
        <v>11731</v>
      </c>
      <c r="F72"/>
    </row>
    <row r="73" spans="1:21">
      <c r="A73" s="438" t="s">
        <v>67</v>
      </c>
      <c r="B73" s="421"/>
      <c r="C73" s="421"/>
      <c r="D73" s="421">
        <v>12178</v>
      </c>
      <c r="E73" s="437">
        <v>12178</v>
      </c>
      <c r="F73"/>
    </row>
    <row r="74" spans="1:21">
      <c r="A74" s="438" t="s">
        <v>68</v>
      </c>
      <c r="B74" s="421"/>
      <c r="C74" s="421"/>
      <c r="D74" s="421">
        <v>11703</v>
      </c>
      <c r="E74" s="437">
        <v>11703</v>
      </c>
      <c r="F74"/>
    </row>
    <row r="75" spans="1:21">
      <c r="A75" s="438" t="s">
        <v>70</v>
      </c>
      <c r="B75" s="421"/>
      <c r="C75" s="421"/>
      <c r="D75" s="421">
        <v>5656</v>
      </c>
      <c r="E75" s="437">
        <v>5656</v>
      </c>
      <c r="F75"/>
    </row>
    <row r="76" spans="1:21" hidden="1">
      <c r="A76" s="432" t="s">
        <v>900</v>
      </c>
      <c r="B76" s="421">
        <v>204</v>
      </c>
      <c r="C76" s="421"/>
      <c r="D76" s="421">
        <v>2718</v>
      </c>
      <c r="E76" s="437">
        <v>2922</v>
      </c>
      <c r="F76"/>
    </row>
    <row r="77" spans="1:21" hidden="1">
      <c r="A77" s="438" t="s">
        <v>37</v>
      </c>
      <c r="B77" s="421">
        <v>204</v>
      </c>
      <c r="C77" s="421"/>
      <c r="D77" s="421"/>
      <c r="E77" s="437">
        <v>204</v>
      </c>
      <c r="F77"/>
    </row>
    <row r="78" spans="1:21">
      <c r="A78" s="438" t="s">
        <v>38</v>
      </c>
      <c r="B78" s="421"/>
      <c r="C78" s="421"/>
      <c r="D78" s="421">
        <v>2718</v>
      </c>
      <c r="E78" s="437">
        <v>2718</v>
      </c>
      <c r="F78"/>
    </row>
    <row r="79" spans="1:21">
      <c r="A79" s="434" t="s">
        <v>215</v>
      </c>
      <c r="B79" s="422">
        <v>204</v>
      </c>
      <c r="C79" s="422">
        <v>2668</v>
      </c>
      <c r="D79" s="422">
        <v>103489</v>
      </c>
      <c r="E79" s="439">
        <v>106361</v>
      </c>
      <c r="F79"/>
    </row>
    <row r="80" spans="1:21">
      <c r="A80"/>
      <c r="B80"/>
      <c r="C80"/>
      <c r="D80"/>
      <c r="E80"/>
      <c r="F80"/>
    </row>
    <row r="81" spans="1:9">
      <c r="A81"/>
      <c r="B81"/>
      <c r="C81"/>
      <c r="D81"/>
      <c r="E81"/>
      <c r="F81"/>
    </row>
    <row r="82" spans="1:9">
      <c r="A82"/>
      <c r="B82"/>
      <c r="C82"/>
      <c r="D82"/>
      <c r="E82"/>
      <c r="F82"/>
    </row>
    <row r="83" spans="1:9">
      <c r="A83"/>
      <c r="B83"/>
      <c r="C83"/>
      <c r="D83"/>
      <c r="E83"/>
      <c r="F83"/>
    </row>
    <row r="84" spans="1:9">
      <c r="A84"/>
      <c r="B84"/>
      <c r="C84"/>
      <c r="D84"/>
      <c r="E84"/>
      <c r="F84"/>
    </row>
    <row r="88" spans="1:9" hidden="1"/>
    <row r="89" spans="1:9" hidden="1"/>
    <row r="90" spans="1:9" hidden="1"/>
    <row r="91" spans="1:9" hidden="1">
      <c r="A91" s="435" t="s">
        <v>354</v>
      </c>
      <c r="B91" s="436" t="s">
        <v>357</v>
      </c>
    </row>
    <row r="92" spans="1:9" hidden="1">
      <c r="A92" s="435" t="s">
        <v>795</v>
      </c>
      <c r="B92" s="436" t="s">
        <v>672</v>
      </c>
    </row>
    <row r="93" spans="1:9" hidden="1"/>
    <row r="94" spans="1:9" hidden="1">
      <c r="A94" s="430" t="s">
        <v>549</v>
      </c>
      <c r="B94" s="428" t="s">
        <v>688</v>
      </c>
      <c r="C94" s="213"/>
      <c r="D94" s="214"/>
      <c r="E94"/>
      <c r="F94"/>
      <c r="G94"/>
      <c r="H94"/>
      <c r="I94"/>
    </row>
    <row r="95" spans="1:9" hidden="1">
      <c r="A95" s="187"/>
      <c r="B95" s="1" t="s">
        <v>1051</v>
      </c>
      <c r="C95" s="1" t="s">
        <v>1052</v>
      </c>
      <c r="D95" s="194" t="s">
        <v>215</v>
      </c>
      <c r="E95"/>
      <c r="F95"/>
      <c r="G95"/>
      <c r="H95"/>
      <c r="I95"/>
    </row>
    <row r="96" spans="1:9" hidden="1">
      <c r="A96" s="431" t="s">
        <v>214</v>
      </c>
      <c r="B96" s="1" t="s">
        <v>23</v>
      </c>
      <c r="C96" s="1"/>
      <c r="D96" s="194"/>
      <c r="E96"/>
      <c r="F96"/>
      <c r="G96"/>
      <c r="H96"/>
      <c r="I96"/>
    </row>
    <row r="97" spans="1:9" hidden="1">
      <c r="A97" s="432" t="s">
        <v>15</v>
      </c>
      <c r="B97" s="421">
        <v>546</v>
      </c>
      <c r="C97" s="421">
        <v>546</v>
      </c>
      <c r="D97" s="437">
        <v>546</v>
      </c>
      <c r="E97"/>
      <c r="F97"/>
      <c r="G97"/>
      <c r="H97"/>
      <c r="I97"/>
    </row>
    <row r="98" spans="1:9" hidden="1">
      <c r="A98" s="438" t="s">
        <v>47</v>
      </c>
      <c r="B98" s="421">
        <v>546</v>
      </c>
      <c r="C98" s="421">
        <v>546</v>
      </c>
      <c r="D98" s="437">
        <v>546</v>
      </c>
      <c r="E98"/>
      <c r="F98"/>
      <c r="G98"/>
      <c r="H98"/>
      <c r="I98"/>
    </row>
    <row r="99" spans="1:9" hidden="1">
      <c r="A99" s="434" t="s">
        <v>215</v>
      </c>
      <c r="B99" s="422">
        <v>546</v>
      </c>
      <c r="C99" s="422">
        <v>546</v>
      </c>
      <c r="D99" s="439">
        <v>546</v>
      </c>
      <c r="E99"/>
      <c r="F99"/>
      <c r="G99"/>
      <c r="H99"/>
      <c r="I99"/>
    </row>
    <row r="100" spans="1:9" hidden="1">
      <c r="A100"/>
      <c r="B100"/>
      <c r="C100"/>
      <c r="D100"/>
      <c r="E100"/>
      <c r="F100"/>
      <c r="G100"/>
      <c r="H100"/>
      <c r="I100"/>
    </row>
    <row r="101" spans="1:9" hidden="1">
      <c r="A101"/>
      <c r="B101"/>
      <c r="C101"/>
      <c r="D101"/>
      <c r="E101"/>
      <c r="F101"/>
      <c r="G101"/>
      <c r="H101"/>
      <c r="I101"/>
    </row>
    <row r="102" spans="1:9" hidden="1">
      <c r="A102"/>
      <c r="B102"/>
      <c r="C102"/>
      <c r="D102"/>
      <c r="E102"/>
      <c r="F102"/>
      <c r="G102"/>
      <c r="H102"/>
      <c r="I102"/>
    </row>
    <row r="103" spans="1:9" hidden="1">
      <c r="A103"/>
      <c r="B103"/>
      <c r="C103"/>
      <c r="D103"/>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12" hidden="1">
      <c r="A113"/>
      <c r="B113"/>
      <c r="C113"/>
      <c r="D113"/>
      <c r="E113"/>
      <c r="F113"/>
      <c r="G113"/>
      <c r="H113"/>
      <c r="I113"/>
    </row>
    <row r="114" spans="1:12" hidden="1">
      <c r="A114"/>
      <c r="B114"/>
      <c r="C114"/>
      <c r="D114"/>
      <c r="E114"/>
      <c r="F114"/>
      <c r="G114"/>
      <c r="H114"/>
      <c r="I114"/>
    </row>
    <row r="115" spans="1:12" hidden="1">
      <c r="A115"/>
      <c r="B115"/>
      <c r="C115"/>
      <c r="D115"/>
      <c r="E115"/>
      <c r="F115"/>
      <c r="G115"/>
      <c r="H115"/>
      <c r="I115"/>
    </row>
    <row r="116" spans="1:12" hidden="1">
      <c r="A116"/>
      <c r="B116"/>
      <c r="C116"/>
      <c r="D116"/>
      <c r="E116"/>
      <c r="F116"/>
      <c r="G116"/>
      <c r="H116"/>
      <c r="I116"/>
    </row>
    <row r="117" spans="1:12" hidden="1">
      <c r="A117"/>
      <c r="B117"/>
      <c r="C117"/>
      <c r="D117"/>
      <c r="E117"/>
      <c r="F117"/>
      <c r="G117"/>
      <c r="H117"/>
      <c r="I117"/>
    </row>
    <row r="118" spans="1:12" hidden="1">
      <c r="A118"/>
      <c r="B118"/>
      <c r="C118"/>
      <c r="D118"/>
      <c r="E118"/>
      <c r="F118"/>
      <c r="G118"/>
      <c r="H118"/>
      <c r="I118"/>
    </row>
    <row r="119" spans="1:12" hidden="1">
      <c r="A119"/>
      <c r="B119"/>
      <c r="C119"/>
      <c r="D119"/>
      <c r="E119"/>
      <c r="F119"/>
      <c r="G119"/>
      <c r="H119"/>
      <c r="I119"/>
    </row>
    <row r="120" spans="1:12" hidden="1">
      <c r="A120"/>
      <c r="B120"/>
      <c r="C120"/>
      <c r="D120"/>
      <c r="E120"/>
      <c r="F120"/>
      <c r="G120"/>
      <c r="H120"/>
      <c r="I120"/>
    </row>
    <row r="121" spans="1:12" hidden="1">
      <c r="A121"/>
      <c r="B121"/>
      <c r="C121"/>
      <c r="D121"/>
      <c r="E121"/>
      <c r="F121"/>
      <c r="G121"/>
      <c r="H121"/>
      <c r="I121"/>
    </row>
    <row r="122" spans="1:12" hidden="1">
      <c r="A122"/>
      <c r="B122"/>
      <c r="C122"/>
      <c r="D122"/>
      <c r="E122"/>
      <c r="F122"/>
      <c r="G122"/>
      <c r="H122"/>
      <c r="I122"/>
    </row>
    <row r="123" spans="1:12" hidden="1"/>
    <row r="124" spans="1:12" hidden="1"/>
    <row r="125" spans="1:12" hidden="1"/>
    <row r="126" spans="1:12" hidden="1"/>
    <row r="127" spans="1:12" hidden="1"/>
    <row r="128" spans="1:12" hidden="1">
      <c r="L128"/>
    </row>
    <row r="129" spans="1:12">
      <c r="L129"/>
    </row>
    <row r="130" spans="1:12">
      <c r="A130" s="435" t="s">
        <v>354</v>
      </c>
      <c r="B130" s="436" t="s">
        <v>357</v>
      </c>
      <c r="L130"/>
    </row>
    <row r="131" spans="1:12">
      <c r="A131" s="435" t="s">
        <v>795</v>
      </c>
      <c r="B131" s="436" t="s">
        <v>794</v>
      </c>
      <c r="L131"/>
    </row>
    <row r="132" spans="1:12">
      <c r="A132" s="100"/>
      <c r="B132" s="100"/>
      <c r="C132" s="100"/>
      <c r="D132" s="100"/>
      <c r="E132" s="100"/>
      <c r="F132" s="100"/>
      <c r="L132"/>
    </row>
    <row r="133" spans="1:12">
      <c r="A133" s="430" t="s">
        <v>549</v>
      </c>
      <c r="B133" s="213"/>
      <c r="C133" s="428" t="s">
        <v>783</v>
      </c>
      <c r="D133" s="428" t="s">
        <v>24</v>
      </c>
      <c r="E133" s="213"/>
      <c r="F133" s="213"/>
      <c r="G133" s="213"/>
      <c r="H133" s="213"/>
      <c r="I133" s="213"/>
      <c r="J133" s="213"/>
      <c r="K133" s="214"/>
      <c r="L133"/>
    </row>
    <row r="134" spans="1:12">
      <c r="A134" s="187"/>
      <c r="B134" s="1"/>
      <c r="C134" s="1" t="s">
        <v>7</v>
      </c>
      <c r="D134" s="1"/>
      <c r="E134" s="1"/>
      <c r="F134" s="1" t="s">
        <v>787</v>
      </c>
      <c r="G134" s="1" t="s">
        <v>1051</v>
      </c>
      <c r="H134" s="1"/>
      <c r="I134" s="1"/>
      <c r="J134" s="1" t="s">
        <v>1052</v>
      </c>
      <c r="K134" s="194" t="s">
        <v>215</v>
      </c>
      <c r="L134"/>
    </row>
    <row r="135" spans="1:12">
      <c r="A135" s="431" t="s">
        <v>0</v>
      </c>
      <c r="B135" s="311" t="s">
        <v>9</v>
      </c>
      <c r="C135" s="1" t="s">
        <v>22</v>
      </c>
      <c r="D135" s="1" t="s">
        <v>23</v>
      </c>
      <c r="E135" s="1" t="s">
        <v>841</v>
      </c>
      <c r="F135" s="1"/>
      <c r="G135" s="1" t="s">
        <v>22</v>
      </c>
      <c r="H135" s="1" t="s">
        <v>23</v>
      </c>
      <c r="I135" s="1" t="s">
        <v>841</v>
      </c>
      <c r="J135" s="1"/>
      <c r="K135" s="194"/>
      <c r="L135"/>
    </row>
    <row r="136" spans="1:12">
      <c r="A136" s="187" t="s">
        <v>17</v>
      </c>
      <c r="B136" s="1" t="s">
        <v>483</v>
      </c>
      <c r="C136" s="421">
        <v>327</v>
      </c>
      <c r="D136" s="421"/>
      <c r="E136" s="421"/>
      <c r="F136" s="421">
        <v>327</v>
      </c>
      <c r="G136" s="421"/>
      <c r="H136" s="421"/>
      <c r="I136" s="421"/>
      <c r="J136" s="421"/>
      <c r="K136" s="437">
        <v>327</v>
      </c>
      <c r="L136"/>
    </row>
    <row r="137" spans="1:12">
      <c r="A137" s="187"/>
      <c r="B137" s="1" t="s">
        <v>58</v>
      </c>
      <c r="C137" s="421"/>
      <c r="D137" s="421"/>
      <c r="E137" s="421"/>
      <c r="F137" s="421"/>
      <c r="G137" s="421">
        <v>1274</v>
      </c>
      <c r="H137" s="421"/>
      <c r="I137" s="421"/>
      <c r="J137" s="421">
        <v>1274</v>
      </c>
      <c r="K137" s="437">
        <v>1274</v>
      </c>
      <c r="L137"/>
    </row>
    <row r="138" spans="1:12">
      <c r="A138" s="187" t="s">
        <v>664</v>
      </c>
      <c r="B138" s="1"/>
      <c r="C138" s="421">
        <v>327</v>
      </c>
      <c r="D138" s="421"/>
      <c r="E138" s="421"/>
      <c r="F138" s="421">
        <v>327</v>
      </c>
      <c r="G138" s="421">
        <v>1274</v>
      </c>
      <c r="H138" s="421"/>
      <c r="I138" s="421"/>
      <c r="J138" s="421">
        <v>1274</v>
      </c>
      <c r="K138" s="437">
        <v>1601</v>
      </c>
      <c r="L138"/>
    </row>
    <row r="139" spans="1:12">
      <c r="A139" s="187" t="s">
        <v>20</v>
      </c>
      <c r="B139" s="1" t="s">
        <v>107</v>
      </c>
      <c r="C139" s="421"/>
      <c r="D139" s="421"/>
      <c r="E139" s="421"/>
      <c r="F139" s="421"/>
      <c r="G139" s="421"/>
      <c r="H139" s="421">
        <v>30</v>
      </c>
      <c r="I139" s="421"/>
      <c r="J139" s="421">
        <v>30</v>
      </c>
      <c r="K139" s="437">
        <v>30</v>
      </c>
      <c r="L139"/>
    </row>
    <row r="140" spans="1:12">
      <c r="A140" s="187"/>
      <c r="B140" s="1" t="s">
        <v>108</v>
      </c>
      <c r="C140" s="421"/>
      <c r="D140" s="421"/>
      <c r="E140" s="421"/>
      <c r="F140" s="421"/>
      <c r="G140" s="421"/>
      <c r="H140" s="421">
        <v>35</v>
      </c>
      <c r="I140" s="421"/>
      <c r="J140" s="421">
        <v>35</v>
      </c>
      <c r="K140" s="437">
        <v>35</v>
      </c>
      <c r="L140"/>
    </row>
    <row r="141" spans="1:12">
      <c r="A141" s="187"/>
      <c r="B141" s="1" t="s">
        <v>104</v>
      </c>
      <c r="C141" s="421"/>
      <c r="D141" s="421"/>
      <c r="E141" s="421"/>
      <c r="F141" s="421"/>
      <c r="G141" s="421"/>
      <c r="H141" s="421">
        <v>37</v>
      </c>
      <c r="I141" s="421"/>
      <c r="J141" s="421">
        <v>37</v>
      </c>
      <c r="K141" s="437">
        <v>37</v>
      </c>
      <c r="L141"/>
    </row>
    <row r="142" spans="1:12">
      <c r="A142" s="187"/>
      <c r="B142" s="1" t="s">
        <v>906</v>
      </c>
      <c r="C142" s="421"/>
      <c r="D142" s="421"/>
      <c r="E142" s="421"/>
      <c r="F142" s="421"/>
      <c r="G142" s="421"/>
      <c r="H142" s="421">
        <v>58</v>
      </c>
      <c r="I142" s="421"/>
      <c r="J142" s="421">
        <v>58</v>
      </c>
      <c r="K142" s="437">
        <v>58</v>
      </c>
      <c r="L142"/>
    </row>
    <row r="143" spans="1:12">
      <c r="A143" s="187"/>
      <c r="B143" s="1" t="s">
        <v>905</v>
      </c>
      <c r="C143" s="421"/>
      <c r="D143" s="421"/>
      <c r="E143" s="421"/>
      <c r="F143" s="421"/>
      <c r="G143" s="421"/>
      <c r="H143" s="421">
        <v>102</v>
      </c>
      <c r="I143" s="421"/>
      <c r="J143" s="421">
        <v>102</v>
      </c>
      <c r="K143" s="437">
        <v>102</v>
      </c>
      <c r="L143"/>
    </row>
    <row r="144" spans="1:12">
      <c r="A144" s="187"/>
      <c r="B144" s="1" t="s">
        <v>106</v>
      </c>
      <c r="C144" s="421"/>
      <c r="D144" s="421"/>
      <c r="E144" s="421"/>
      <c r="F144" s="421"/>
      <c r="G144" s="421"/>
      <c r="H144" s="421">
        <v>110</v>
      </c>
      <c r="I144" s="421"/>
      <c r="J144" s="421">
        <v>110</v>
      </c>
      <c r="K144" s="437">
        <v>110</v>
      </c>
      <c r="L144"/>
    </row>
    <row r="145" spans="1:12">
      <c r="A145" s="187"/>
      <c r="B145" s="1" t="s">
        <v>110</v>
      </c>
      <c r="C145" s="421"/>
      <c r="D145" s="421"/>
      <c r="E145" s="421"/>
      <c r="F145" s="421"/>
      <c r="G145" s="421"/>
      <c r="H145" s="421">
        <v>291</v>
      </c>
      <c r="I145" s="421"/>
      <c r="J145" s="421">
        <v>291</v>
      </c>
      <c r="K145" s="437">
        <v>291</v>
      </c>
      <c r="L145"/>
    </row>
    <row r="146" spans="1:12">
      <c r="A146" s="187"/>
      <c r="B146" s="1" t="s">
        <v>635</v>
      </c>
      <c r="C146" s="421"/>
      <c r="D146" s="421"/>
      <c r="E146" s="421"/>
      <c r="F146" s="421"/>
      <c r="G146" s="421"/>
      <c r="H146" s="421">
        <v>338</v>
      </c>
      <c r="I146" s="421"/>
      <c r="J146" s="421">
        <v>338</v>
      </c>
      <c r="K146" s="437">
        <v>338</v>
      </c>
      <c r="L146"/>
    </row>
    <row r="147" spans="1:12">
      <c r="A147" s="187"/>
      <c r="B147" s="1" t="s">
        <v>907</v>
      </c>
      <c r="C147" s="421"/>
      <c r="D147" s="421"/>
      <c r="E147" s="421"/>
      <c r="F147" s="421"/>
      <c r="G147" s="421"/>
      <c r="H147" s="421">
        <v>377</v>
      </c>
      <c r="I147" s="421"/>
      <c r="J147" s="421">
        <v>377</v>
      </c>
      <c r="K147" s="437">
        <v>377</v>
      </c>
      <c r="L147"/>
    </row>
    <row r="148" spans="1:12">
      <c r="A148" s="187" t="s">
        <v>665</v>
      </c>
      <c r="B148" s="1"/>
      <c r="C148" s="421"/>
      <c r="D148" s="421"/>
      <c r="E148" s="421"/>
      <c r="F148" s="421"/>
      <c r="G148" s="421"/>
      <c r="H148" s="421">
        <v>1378</v>
      </c>
      <c r="I148" s="421"/>
      <c r="J148" s="421">
        <v>1378</v>
      </c>
      <c r="K148" s="437">
        <v>1378</v>
      </c>
      <c r="L148"/>
    </row>
    <row r="149" spans="1:12">
      <c r="A149" s="187" t="s">
        <v>18</v>
      </c>
      <c r="B149" s="1" t="s">
        <v>60</v>
      </c>
      <c r="C149" s="421"/>
      <c r="D149" s="421">
        <v>77</v>
      </c>
      <c r="E149" s="421"/>
      <c r="F149" s="421">
        <v>77</v>
      </c>
      <c r="G149" s="421"/>
      <c r="H149" s="421"/>
      <c r="I149" s="421"/>
      <c r="J149" s="421"/>
      <c r="K149" s="437">
        <v>77</v>
      </c>
      <c r="L149"/>
    </row>
    <row r="150" spans="1:12">
      <c r="A150" s="187"/>
      <c r="B150" s="1" t="s">
        <v>59</v>
      </c>
      <c r="C150" s="421"/>
      <c r="D150" s="421"/>
      <c r="E150" s="421"/>
      <c r="F150" s="421"/>
      <c r="G150" s="421">
        <v>187</v>
      </c>
      <c r="H150" s="421"/>
      <c r="I150" s="421"/>
      <c r="J150" s="421">
        <v>187</v>
      </c>
      <c r="K150" s="437">
        <v>187</v>
      </c>
      <c r="L150"/>
    </row>
    <row r="151" spans="1:12">
      <c r="A151" s="187" t="s">
        <v>667</v>
      </c>
      <c r="B151" s="1"/>
      <c r="C151" s="421"/>
      <c r="D151" s="421">
        <v>77</v>
      </c>
      <c r="E151" s="421"/>
      <c r="F151" s="421">
        <v>77</v>
      </c>
      <c r="G151" s="421">
        <v>187</v>
      </c>
      <c r="H151" s="421"/>
      <c r="I151" s="421"/>
      <c r="J151" s="421">
        <v>187</v>
      </c>
      <c r="K151" s="437">
        <v>264</v>
      </c>
      <c r="L151"/>
    </row>
    <row r="152" spans="1:12">
      <c r="A152" s="187" t="s">
        <v>16</v>
      </c>
      <c r="B152" s="1" t="s">
        <v>409</v>
      </c>
      <c r="C152" s="421"/>
      <c r="D152" s="421"/>
      <c r="E152" s="421"/>
      <c r="F152" s="421"/>
      <c r="G152" s="421">
        <v>961</v>
      </c>
      <c r="H152" s="421"/>
      <c r="I152" s="421"/>
      <c r="J152" s="421">
        <v>961</v>
      </c>
      <c r="K152" s="437">
        <v>961</v>
      </c>
      <c r="L152"/>
    </row>
    <row r="153" spans="1:12">
      <c r="A153" s="187"/>
      <c r="B153" s="1" t="s">
        <v>623</v>
      </c>
      <c r="C153" s="421"/>
      <c r="D153" s="421"/>
      <c r="E153" s="421"/>
      <c r="F153" s="421"/>
      <c r="G153" s="421">
        <v>1297</v>
      </c>
      <c r="H153" s="421"/>
      <c r="I153" s="421"/>
      <c r="J153" s="421">
        <v>1297</v>
      </c>
      <c r="K153" s="437">
        <v>1297</v>
      </c>
      <c r="L153"/>
    </row>
    <row r="154" spans="1:12">
      <c r="A154" s="187"/>
      <c r="B154" s="1" t="s">
        <v>57</v>
      </c>
      <c r="C154" s="421"/>
      <c r="D154" s="421"/>
      <c r="E154" s="421"/>
      <c r="F154" s="421"/>
      <c r="G154" s="421"/>
      <c r="H154" s="421">
        <v>1308</v>
      </c>
      <c r="I154" s="421"/>
      <c r="J154" s="421">
        <v>1308</v>
      </c>
      <c r="K154" s="437">
        <v>1308</v>
      </c>
      <c r="L154"/>
    </row>
    <row r="155" spans="1:12">
      <c r="A155" s="187" t="s">
        <v>668</v>
      </c>
      <c r="B155" s="1"/>
      <c r="C155" s="421"/>
      <c r="D155" s="421"/>
      <c r="E155" s="421"/>
      <c r="F155" s="421"/>
      <c r="G155" s="421">
        <v>2258</v>
      </c>
      <c r="H155" s="421">
        <v>1308</v>
      </c>
      <c r="I155" s="421"/>
      <c r="J155" s="421">
        <v>3566</v>
      </c>
      <c r="K155" s="437">
        <v>3566</v>
      </c>
      <c r="L155"/>
    </row>
    <row r="156" spans="1:12">
      <c r="A156" s="187" t="s">
        <v>19</v>
      </c>
      <c r="B156" s="1" t="s">
        <v>80</v>
      </c>
      <c r="C156" s="421"/>
      <c r="D156" s="421"/>
      <c r="E156" s="421">
        <v>27</v>
      </c>
      <c r="F156" s="421">
        <v>27</v>
      </c>
      <c r="G156" s="421"/>
      <c r="H156" s="421"/>
      <c r="I156" s="421"/>
      <c r="J156" s="421"/>
      <c r="K156" s="437">
        <v>27</v>
      </c>
      <c r="L156"/>
    </row>
    <row r="157" spans="1:12">
      <c r="A157" s="187"/>
      <c r="B157" s="1" t="s">
        <v>568</v>
      </c>
      <c r="C157" s="421"/>
      <c r="D157" s="421"/>
      <c r="E157" s="421"/>
      <c r="F157" s="421"/>
      <c r="G157" s="421"/>
      <c r="H157" s="421"/>
      <c r="I157" s="421">
        <v>226</v>
      </c>
      <c r="J157" s="421">
        <v>226</v>
      </c>
      <c r="K157" s="437">
        <v>226</v>
      </c>
      <c r="L157"/>
    </row>
    <row r="158" spans="1:12">
      <c r="A158" s="187"/>
      <c r="B158" s="1" t="s">
        <v>555</v>
      </c>
      <c r="C158" s="421"/>
      <c r="D158" s="421"/>
      <c r="E158" s="421"/>
      <c r="F158" s="421"/>
      <c r="G158" s="421"/>
      <c r="H158" s="421"/>
      <c r="I158" s="421">
        <v>2942</v>
      </c>
      <c r="J158" s="421">
        <v>2942</v>
      </c>
      <c r="K158" s="437">
        <v>2942</v>
      </c>
      <c r="L158"/>
    </row>
    <row r="159" spans="1:12">
      <c r="A159" s="187"/>
      <c r="B159" s="1" t="s">
        <v>557</v>
      </c>
      <c r="C159" s="421"/>
      <c r="D159" s="421"/>
      <c r="E159" s="421"/>
      <c r="F159" s="421"/>
      <c r="G159" s="421"/>
      <c r="H159" s="421"/>
      <c r="I159" s="421">
        <v>2951</v>
      </c>
      <c r="J159" s="421">
        <v>2951</v>
      </c>
      <c r="K159" s="437">
        <v>2951</v>
      </c>
      <c r="L159"/>
    </row>
    <row r="160" spans="1:12">
      <c r="A160" s="187" t="s">
        <v>663</v>
      </c>
      <c r="B160" s="1"/>
      <c r="C160" s="421"/>
      <c r="D160" s="421"/>
      <c r="E160" s="421">
        <v>27</v>
      </c>
      <c r="F160" s="421">
        <v>27</v>
      </c>
      <c r="G160" s="421"/>
      <c r="H160" s="421"/>
      <c r="I160" s="421">
        <v>6119</v>
      </c>
      <c r="J160" s="421">
        <v>6119</v>
      </c>
      <c r="K160" s="437">
        <v>6146</v>
      </c>
    </row>
    <row r="161" spans="1:11">
      <c r="A161" s="196" t="s">
        <v>215</v>
      </c>
      <c r="B161" s="197"/>
      <c r="C161" s="422">
        <v>327</v>
      </c>
      <c r="D161" s="422">
        <v>77</v>
      </c>
      <c r="E161" s="422">
        <v>27</v>
      </c>
      <c r="F161" s="422">
        <v>431</v>
      </c>
      <c r="G161" s="422">
        <v>3719</v>
      </c>
      <c r="H161" s="422">
        <v>2686</v>
      </c>
      <c r="I161" s="422">
        <v>6119</v>
      </c>
      <c r="J161" s="422">
        <v>12524</v>
      </c>
      <c r="K161" s="439">
        <v>12955</v>
      </c>
    </row>
    <row r="165" spans="1:11" hidden="1"/>
    <row r="166" spans="1:11" hidden="1"/>
    <row r="167" spans="1:11" hidden="1"/>
    <row r="168" spans="1:11" hidden="1"/>
    <row r="169" spans="1:11" hidden="1"/>
    <row r="170" spans="1:11" hidden="1"/>
    <row r="171" spans="1:11" hidden="1"/>
    <row r="172" spans="1:11" hidden="1"/>
    <row r="173" spans="1:11" hidden="1"/>
    <row r="174" spans="1:11" hidden="1"/>
    <row r="175" spans="1:11" hidden="1"/>
    <row r="176" spans="1:11" hidden="1"/>
    <row r="180" spans="1:12">
      <c r="A180" s="55" t="s">
        <v>354</v>
      </c>
      <c r="B180" s="100" t="s">
        <v>357</v>
      </c>
    </row>
    <row r="181" spans="1:12">
      <c r="A181"/>
      <c r="B181"/>
      <c r="C181"/>
      <c r="D181"/>
      <c r="E181"/>
      <c r="F181"/>
      <c r="G181"/>
      <c r="H181"/>
      <c r="I181"/>
      <c r="J181"/>
      <c r="K181"/>
      <c r="L181"/>
    </row>
    <row r="182" spans="1:12">
      <c r="A182" s="55" t="s">
        <v>1016</v>
      </c>
      <c r="B182" s="55" t="s">
        <v>688</v>
      </c>
      <c r="C182"/>
      <c r="D182"/>
      <c r="E182"/>
      <c r="F182"/>
      <c r="G182"/>
      <c r="H182"/>
      <c r="I182"/>
      <c r="J182"/>
      <c r="K182"/>
      <c r="L182"/>
    </row>
    <row r="183" spans="1:12">
      <c r="A183" s="55" t="s">
        <v>1</v>
      </c>
      <c r="B183" s="100" t="s">
        <v>841</v>
      </c>
      <c r="C183" s="100" t="s">
        <v>22</v>
      </c>
      <c r="D183" s="100" t="s">
        <v>23</v>
      </c>
      <c r="E183" s="100" t="s">
        <v>215</v>
      </c>
      <c r="F183"/>
      <c r="G183"/>
      <c r="H183"/>
      <c r="I183"/>
      <c r="J183"/>
      <c r="K183"/>
      <c r="L183"/>
    </row>
    <row r="184" spans="1:12">
      <c r="A184" s="25" t="s">
        <v>17</v>
      </c>
      <c r="B184" s="4"/>
      <c r="C184" s="4">
        <v>2</v>
      </c>
      <c r="D184" s="4"/>
      <c r="E184" s="4">
        <v>2</v>
      </c>
      <c r="F184"/>
      <c r="G184"/>
      <c r="H184"/>
      <c r="I184"/>
      <c r="J184"/>
      <c r="K184"/>
      <c r="L184"/>
    </row>
    <row r="185" spans="1:12">
      <c r="A185" s="25" t="s">
        <v>15</v>
      </c>
      <c r="B185" s="4"/>
      <c r="C185" s="4"/>
      <c r="D185" s="4">
        <v>1</v>
      </c>
      <c r="E185" s="4">
        <v>1</v>
      </c>
      <c r="F185"/>
      <c r="G185"/>
      <c r="H185"/>
      <c r="I185"/>
      <c r="J185"/>
      <c r="K185"/>
      <c r="L185"/>
    </row>
    <row r="186" spans="1:12">
      <c r="A186" s="25" t="s">
        <v>20</v>
      </c>
      <c r="B186" s="4"/>
      <c r="C186" s="4"/>
      <c r="D186" s="4">
        <v>9</v>
      </c>
      <c r="E186" s="4">
        <v>9</v>
      </c>
      <c r="F186"/>
      <c r="G186"/>
      <c r="H186"/>
      <c r="I186"/>
      <c r="J186"/>
    </row>
    <row r="187" spans="1:12">
      <c r="A187" s="25" t="s">
        <v>900</v>
      </c>
      <c r="B187" s="4"/>
      <c r="C187" s="4">
        <v>2</v>
      </c>
      <c r="D187" s="4"/>
      <c r="E187" s="4">
        <v>2</v>
      </c>
      <c r="F187"/>
      <c r="G187"/>
      <c r="H187"/>
      <c r="I187"/>
      <c r="J187"/>
    </row>
    <row r="188" spans="1:12">
      <c r="A188" s="25" t="s">
        <v>14</v>
      </c>
      <c r="B188" s="4"/>
      <c r="C188" s="4">
        <v>4</v>
      </c>
      <c r="D188" s="4"/>
      <c r="E188" s="4">
        <v>4</v>
      </c>
      <c r="F188"/>
      <c r="G188"/>
      <c r="H188"/>
      <c r="I188"/>
      <c r="J188"/>
    </row>
    <row r="189" spans="1:12">
      <c r="A189" s="25" t="s">
        <v>18</v>
      </c>
      <c r="B189" s="4"/>
      <c r="C189" s="4">
        <v>1</v>
      </c>
      <c r="D189" s="4">
        <v>1</v>
      </c>
      <c r="E189" s="4">
        <v>2</v>
      </c>
      <c r="F189"/>
      <c r="G189"/>
      <c r="H189"/>
      <c r="I189"/>
      <c r="J189"/>
    </row>
    <row r="190" spans="1:12">
      <c r="A190" s="25" t="s">
        <v>16</v>
      </c>
      <c r="B190" s="4"/>
      <c r="C190" s="4">
        <v>2</v>
      </c>
      <c r="D190" s="4">
        <v>1</v>
      </c>
      <c r="E190" s="4">
        <v>3</v>
      </c>
      <c r="F190"/>
      <c r="G190"/>
    </row>
    <row r="191" spans="1:12">
      <c r="A191" s="25" t="s">
        <v>19</v>
      </c>
      <c r="B191" s="4">
        <v>4</v>
      </c>
      <c r="C191" s="4">
        <v>11</v>
      </c>
      <c r="D191" s="4">
        <v>1</v>
      </c>
      <c r="E191" s="4">
        <v>16</v>
      </c>
      <c r="F191"/>
      <c r="G191"/>
    </row>
    <row r="192" spans="1:12">
      <c r="A192" s="25" t="s">
        <v>215</v>
      </c>
      <c r="B192" s="4">
        <v>4</v>
      </c>
      <c r="C192" s="4">
        <v>22</v>
      </c>
      <c r="D192" s="4">
        <v>13</v>
      </c>
      <c r="E192" s="4">
        <v>39</v>
      </c>
      <c r="F192"/>
      <c r="G192"/>
    </row>
    <row r="193" spans="1:7">
      <c r="A193"/>
      <c r="B193"/>
      <c r="C193"/>
      <c r="D193"/>
      <c r="E193"/>
      <c r="F193"/>
      <c r="G193"/>
    </row>
    <row r="194" spans="1:7">
      <c r="A194"/>
      <c r="B194"/>
      <c r="C194"/>
      <c r="D194"/>
      <c r="E194"/>
      <c r="F194"/>
      <c r="G194"/>
    </row>
    <row r="195" spans="1:7">
      <c r="A195"/>
      <c r="B195"/>
      <c r="C195"/>
      <c r="D195"/>
      <c r="E195"/>
      <c r="F195"/>
      <c r="G195"/>
    </row>
    <row r="196" spans="1:7">
      <c r="A196"/>
      <c r="B196"/>
      <c r="C196"/>
      <c r="D196"/>
      <c r="E196"/>
      <c r="F196"/>
      <c r="G196"/>
    </row>
    <row r="197" spans="1:7">
      <c r="A197"/>
      <c r="B197"/>
      <c r="C197"/>
      <c r="D197"/>
      <c r="E197"/>
      <c r="F197"/>
      <c r="G197"/>
    </row>
    <row r="198" spans="1:7">
      <c r="A198"/>
      <c r="B198"/>
      <c r="C198"/>
      <c r="D198"/>
      <c r="E198"/>
      <c r="F198"/>
      <c r="G198"/>
    </row>
    <row r="199" spans="1:7">
      <c r="A199" s="55" t="s">
        <v>354</v>
      </c>
      <c r="B199" s="100" t="s">
        <v>357</v>
      </c>
      <c r="C199"/>
      <c r="D199"/>
      <c r="E199"/>
      <c r="F199"/>
    </row>
    <row r="200" spans="1:7">
      <c r="A200"/>
      <c r="B200"/>
      <c r="C200"/>
      <c r="D200"/>
      <c r="E200"/>
      <c r="F200"/>
    </row>
    <row r="201" spans="1:7">
      <c r="A201" s="55" t="s">
        <v>549</v>
      </c>
      <c r="B201" s="55" t="s">
        <v>688</v>
      </c>
      <c r="C201"/>
      <c r="D201"/>
      <c r="E201"/>
      <c r="F201"/>
    </row>
    <row r="202" spans="1:7">
      <c r="A202" s="55" t="s">
        <v>1</v>
      </c>
      <c r="B202" s="100" t="s">
        <v>841</v>
      </c>
      <c r="C202" s="100" t="s">
        <v>22</v>
      </c>
      <c r="D202" s="100" t="s">
        <v>23</v>
      </c>
      <c r="E202" s="100" t="s">
        <v>215</v>
      </c>
      <c r="F202"/>
    </row>
    <row r="203" spans="1:7">
      <c r="A203" s="25" t="s">
        <v>17</v>
      </c>
      <c r="B203" s="4"/>
      <c r="C203" s="4">
        <v>1601</v>
      </c>
      <c r="D203" s="4"/>
      <c r="E203" s="4">
        <v>1601</v>
      </c>
      <c r="F203"/>
    </row>
    <row r="204" spans="1:7">
      <c r="A204" s="25" t="s">
        <v>15</v>
      </c>
      <c r="B204" s="4"/>
      <c r="C204" s="4"/>
      <c r="D204" s="4">
        <v>546</v>
      </c>
      <c r="E204" s="4">
        <v>546</v>
      </c>
      <c r="F204"/>
    </row>
    <row r="205" spans="1:7">
      <c r="A205" s="25" t="s">
        <v>20</v>
      </c>
      <c r="B205" s="4"/>
      <c r="C205" s="4"/>
      <c r="D205" s="4">
        <v>1378</v>
      </c>
      <c r="E205" s="4">
        <v>1378</v>
      </c>
      <c r="F205"/>
    </row>
    <row r="206" spans="1:7">
      <c r="A206" s="25" t="s">
        <v>900</v>
      </c>
      <c r="B206" s="4"/>
      <c r="C206" s="4">
        <v>2922</v>
      </c>
      <c r="D206" s="4"/>
      <c r="E206" s="4">
        <v>2922</v>
      </c>
      <c r="F206"/>
    </row>
    <row r="207" spans="1:7">
      <c r="A207" s="25" t="s">
        <v>14</v>
      </c>
      <c r="B207" s="4"/>
      <c r="C207" s="4">
        <v>15429</v>
      </c>
      <c r="D207" s="4"/>
      <c r="E207" s="4">
        <v>15429</v>
      </c>
      <c r="F207"/>
    </row>
    <row r="208" spans="1:7">
      <c r="A208" s="25" t="s">
        <v>18</v>
      </c>
      <c r="B208" s="4"/>
      <c r="C208" s="4">
        <v>187</v>
      </c>
      <c r="D208" s="4">
        <v>77</v>
      </c>
      <c r="E208" s="4">
        <v>264</v>
      </c>
      <c r="F208"/>
    </row>
    <row r="209" spans="1:6">
      <c r="A209" s="25" t="s">
        <v>16</v>
      </c>
      <c r="B209" s="4"/>
      <c r="C209" s="4">
        <v>2258</v>
      </c>
      <c r="D209" s="4">
        <v>1308</v>
      </c>
      <c r="E209" s="4">
        <v>3566</v>
      </c>
      <c r="F209"/>
    </row>
    <row r="210" spans="1:6">
      <c r="A210" s="25" t="s">
        <v>19</v>
      </c>
      <c r="B210" s="4">
        <v>6146</v>
      </c>
      <c r="C210" s="4">
        <v>76307</v>
      </c>
      <c r="D210" s="4">
        <v>11703</v>
      </c>
      <c r="E210" s="4">
        <v>94156</v>
      </c>
      <c r="F210"/>
    </row>
    <row r="211" spans="1:6">
      <c r="A211" s="25" t="s">
        <v>215</v>
      </c>
      <c r="B211" s="4">
        <v>6146</v>
      </c>
      <c r="C211" s="4">
        <v>98704</v>
      </c>
      <c r="D211" s="4">
        <v>15012</v>
      </c>
      <c r="E211" s="4">
        <v>119862</v>
      </c>
      <c r="F211"/>
    </row>
    <row r="212" spans="1:6">
      <c r="A212"/>
      <c r="B212"/>
      <c r="C212"/>
      <c r="D212"/>
      <c r="E212"/>
      <c r="F212"/>
    </row>
    <row r="213" spans="1:6">
      <c r="A213" s="55" t="s">
        <v>354</v>
      </c>
      <c r="B213" s="100" t="s">
        <v>357</v>
      </c>
      <c r="C213"/>
      <c r="D213"/>
      <c r="E213"/>
      <c r="F213"/>
    </row>
    <row r="214" spans="1:6">
      <c r="A214"/>
      <c r="B214"/>
      <c r="C214"/>
      <c r="D214"/>
      <c r="E214"/>
      <c r="F214"/>
    </row>
    <row r="215" spans="1:6">
      <c r="A215" s="55" t="s">
        <v>1</v>
      </c>
      <c r="B215" s="100" t="s">
        <v>1022</v>
      </c>
      <c r="C215" s="100" t="s">
        <v>1023</v>
      </c>
      <c r="D215" s="100" t="s">
        <v>217</v>
      </c>
      <c r="E215"/>
      <c r="F215"/>
    </row>
    <row r="216" spans="1:6">
      <c r="A216" s="25" t="s">
        <v>17</v>
      </c>
      <c r="B216" s="4">
        <v>2</v>
      </c>
      <c r="C216" s="4">
        <v>2</v>
      </c>
      <c r="D216" s="4">
        <v>1601</v>
      </c>
      <c r="E216"/>
      <c r="F216"/>
    </row>
    <row r="217" spans="1:6">
      <c r="A217" s="25" t="s">
        <v>15</v>
      </c>
      <c r="B217" s="4">
        <v>1</v>
      </c>
      <c r="C217" s="4">
        <v>1</v>
      </c>
      <c r="D217" s="4">
        <v>546</v>
      </c>
      <c r="E217"/>
      <c r="F217"/>
    </row>
    <row r="218" spans="1:6">
      <c r="A218" s="25" t="s">
        <v>20</v>
      </c>
      <c r="B218" s="4">
        <v>9</v>
      </c>
      <c r="C218" s="4">
        <v>9</v>
      </c>
      <c r="D218" s="4">
        <v>1378</v>
      </c>
      <c r="E218"/>
      <c r="F218"/>
    </row>
    <row r="219" spans="1:6">
      <c r="A219" s="25" t="s">
        <v>900</v>
      </c>
      <c r="B219" s="4">
        <v>2</v>
      </c>
      <c r="C219" s="4">
        <v>2</v>
      </c>
      <c r="D219" s="4">
        <v>2922</v>
      </c>
      <c r="E219"/>
      <c r="F219"/>
    </row>
    <row r="220" spans="1:6">
      <c r="A220" s="25" t="s">
        <v>14</v>
      </c>
      <c r="B220" s="4">
        <v>4</v>
      </c>
      <c r="C220" s="4">
        <v>4</v>
      </c>
      <c r="D220" s="4">
        <v>15429</v>
      </c>
      <c r="E220"/>
      <c r="F220"/>
    </row>
    <row r="221" spans="1:6">
      <c r="A221" s="25" t="s">
        <v>18</v>
      </c>
      <c r="B221" s="4">
        <v>2</v>
      </c>
      <c r="C221" s="4">
        <v>2</v>
      </c>
      <c r="D221" s="4">
        <v>264</v>
      </c>
      <c r="E221"/>
      <c r="F221"/>
    </row>
    <row r="222" spans="1:6">
      <c r="A222" s="25" t="s">
        <v>16</v>
      </c>
      <c r="B222" s="4">
        <v>3</v>
      </c>
      <c r="C222" s="4">
        <v>3</v>
      </c>
      <c r="D222" s="4">
        <v>3566</v>
      </c>
    </row>
    <row r="223" spans="1:6">
      <c r="A223" s="25" t="s">
        <v>19</v>
      </c>
      <c r="B223" s="4">
        <v>16</v>
      </c>
      <c r="C223" s="4">
        <v>16</v>
      </c>
      <c r="D223" s="4">
        <v>94156</v>
      </c>
    </row>
    <row r="224" spans="1:6">
      <c r="A224" s="25" t="s">
        <v>215</v>
      </c>
      <c r="B224" s="4">
        <v>39</v>
      </c>
      <c r="C224" s="4">
        <v>39</v>
      </c>
      <c r="D224" s="4">
        <v>119862</v>
      </c>
    </row>
    <row r="225" spans="1:4">
      <c r="A225"/>
      <c r="B225"/>
      <c r="C225"/>
      <c r="D225"/>
    </row>
    <row r="226" spans="1:4">
      <c r="A226"/>
      <c r="B226"/>
      <c r="C226"/>
      <c r="D226"/>
    </row>
    <row r="227" spans="1:4">
      <c r="A227"/>
      <c r="B227"/>
      <c r="C227"/>
    </row>
    <row r="228" spans="1:4">
      <c r="A228"/>
      <c r="B228"/>
      <c r="C228"/>
    </row>
    <row r="229" spans="1:4">
      <c r="A229" t="s">
        <v>1</v>
      </c>
      <c r="B229" t="s">
        <v>22</v>
      </c>
      <c r="C229" t="s">
        <v>201</v>
      </c>
      <c r="D229" s="6" t="s">
        <v>1018</v>
      </c>
    </row>
    <row r="230" spans="1:4">
      <c r="A230"/>
      <c r="B230"/>
      <c r="C230"/>
    </row>
    <row r="231" spans="1:4">
      <c r="A231"/>
      <c r="B231"/>
      <c r="C231"/>
    </row>
    <row r="232" spans="1:4">
      <c r="A232"/>
      <c r="B232"/>
      <c r="C232"/>
    </row>
  </sheetData>
  <mergeCells count="1">
    <mergeCell ref="A3:B3"/>
  </mergeCells>
  <pageMargins left="0" right="0" top="0" bottom="0" header="0.3" footer="0.3"/>
  <pageSetup scale="79" fitToWidth="0"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topLeftCell="A3" zoomScale="80" zoomScaleNormal="80" workbookViewId="0">
      <selection activeCell="D22" sqref="D22"/>
    </sheetView>
  </sheetViews>
  <sheetFormatPr defaultRowHeight="15"/>
  <cols>
    <col min="1" max="1" width="21.7109375" customWidth="1"/>
    <col min="2" max="2" width="31" bestFit="1" customWidth="1"/>
    <col min="3" max="3" width="17.7109375" customWidth="1"/>
    <col min="4" max="4" width="17" customWidth="1"/>
    <col min="5" max="5" width="17.85546875" bestFit="1" customWidth="1"/>
    <col min="6" max="6" width="7.140625" bestFit="1" customWidth="1"/>
    <col min="7" max="7" width="8.42578125" customWidth="1"/>
    <col min="8" max="8" width="9.5703125" customWidth="1"/>
    <col min="9" max="9" width="7.7109375" customWidth="1"/>
  </cols>
  <sheetData>
    <row r="1" spans="1:61" s="1" customFormat="1" ht="36">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
      <c r="A2" s="848" t="s">
        <v>621</v>
      </c>
      <c r="B2" s="849"/>
      <c r="C2" s="849"/>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c r="A3" s="850">
        <f>Report_Date</f>
        <v>42522</v>
      </c>
      <c r="B3" s="851"/>
      <c r="C3" s="851"/>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00" customFormat="1" hidden="1"/>
    <row r="5" spans="1:61" s="100" customFormat="1" hidden="1"/>
    <row r="6" spans="1:61" hidden="1">
      <c r="A6" s="211" t="s">
        <v>354</v>
      </c>
      <c r="B6" s="31" t="s">
        <v>357</v>
      </c>
    </row>
    <row r="7" spans="1:61" hidden="1"/>
    <row r="8" spans="1:61" s="142" customFormat="1">
      <c r="A8" s="695" t="s">
        <v>0</v>
      </c>
      <c r="B8" s="695" t="s">
        <v>9</v>
      </c>
      <c r="C8" s="695" t="s">
        <v>8</v>
      </c>
      <c r="D8" s="695" t="s">
        <v>929</v>
      </c>
      <c r="E8" s="695" t="s">
        <v>687</v>
      </c>
      <c r="F8" s="644" t="s">
        <v>619</v>
      </c>
      <c r="G8" s="644" t="s">
        <v>620</v>
      </c>
      <c r="H8" s="31" t="s">
        <v>928</v>
      </c>
    </row>
    <row r="9" spans="1:61" ht="12" customHeight="1">
      <c r="A9" s="31" t="s">
        <v>15</v>
      </c>
      <c r="B9" s="31" t="s">
        <v>47</v>
      </c>
      <c r="C9" s="31" t="s">
        <v>134</v>
      </c>
      <c r="D9" s="31" t="s">
        <v>287</v>
      </c>
      <c r="E9" s="31" t="s">
        <v>685</v>
      </c>
      <c r="F9" s="696">
        <v>85</v>
      </c>
      <c r="G9" s="696">
        <v>546</v>
      </c>
      <c r="H9" s="126">
        <v>1</v>
      </c>
    </row>
    <row r="10" spans="1:61" ht="12" customHeight="1">
      <c r="A10" s="31" t="s">
        <v>1015</v>
      </c>
      <c r="B10" s="31"/>
      <c r="C10" s="31"/>
      <c r="D10" s="31"/>
      <c r="E10" s="31"/>
      <c r="F10" s="696">
        <v>85</v>
      </c>
      <c r="G10" s="696">
        <v>546</v>
      </c>
      <c r="H10" s="126">
        <v>1</v>
      </c>
    </row>
    <row r="11" spans="1:61" ht="12" customHeight="1">
      <c r="A11" s="31" t="s">
        <v>20</v>
      </c>
      <c r="B11" s="31" t="s">
        <v>106</v>
      </c>
      <c r="C11" s="31" t="s">
        <v>195</v>
      </c>
      <c r="D11" s="31" t="s">
        <v>287</v>
      </c>
      <c r="E11" s="31" t="s">
        <v>685</v>
      </c>
      <c r="F11" s="696">
        <v>16</v>
      </c>
      <c r="G11" s="696">
        <v>110</v>
      </c>
      <c r="H11" s="126">
        <v>1</v>
      </c>
    </row>
    <row r="12" spans="1:61" ht="12" customHeight="1">
      <c r="A12" s="31"/>
      <c r="B12" s="31" t="s">
        <v>110</v>
      </c>
      <c r="C12" s="31" t="s">
        <v>199</v>
      </c>
      <c r="D12" s="31" t="s">
        <v>287</v>
      </c>
      <c r="E12" s="31" t="s">
        <v>685</v>
      </c>
      <c r="F12" s="696">
        <v>48</v>
      </c>
      <c r="G12" s="696">
        <v>291</v>
      </c>
      <c r="H12" s="126">
        <v>1</v>
      </c>
    </row>
    <row r="13" spans="1:61" ht="12" customHeight="1">
      <c r="A13" s="31"/>
      <c r="B13" s="31" t="s">
        <v>635</v>
      </c>
      <c r="C13" s="31" t="s">
        <v>639</v>
      </c>
      <c r="D13" s="31" t="s">
        <v>287</v>
      </c>
      <c r="E13" s="31" t="s">
        <v>685</v>
      </c>
      <c r="F13" s="696">
        <v>59</v>
      </c>
      <c r="G13" s="696">
        <v>338</v>
      </c>
      <c r="H13" s="126">
        <v>1</v>
      </c>
    </row>
    <row r="14" spans="1:61" ht="12" customHeight="1">
      <c r="A14" s="31"/>
      <c r="B14" s="31" t="s">
        <v>905</v>
      </c>
      <c r="C14" s="31" t="s">
        <v>194</v>
      </c>
      <c r="D14" s="31" t="s">
        <v>287</v>
      </c>
      <c r="E14" s="31" t="s">
        <v>685</v>
      </c>
      <c r="F14" s="696">
        <v>20</v>
      </c>
      <c r="G14" s="696">
        <v>102</v>
      </c>
      <c r="H14" s="126">
        <v>1</v>
      </c>
    </row>
    <row r="15" spans="1:61" ht="12" customHeight="1">
      <c r="A15" s="31"/>
      <c r="B15" s="31" t="s">
        <v>104</v>
      </c>
      <c r="C15" s="31" t="s">
        <v>193</v>
      </c>
      <c r="D15" s="31" t="s">
        <v>287</v>
      </c>
      <c r="E15" s="31" t="s">
        <v>685</v>
      </c>
      <c r="F15" s="696">
        <v>6</v>
      </c>
      <c r="G15" s="696">
        <v>37</v>
      </c>
      <c r="H15" s="126">
        <v>1</v>
      </c>
    </row>
    <row r="16" spans="1:61" ht="12" customHeight="1">
      <c r="A16" s="31"/>
      <c r="B16" s="31" t="s">
        <v>906</v>
      </c>
      <c r="C16" s="31" t="s">
        <v>285</v>
      </c>
      <c r="D16" s="31" t="s">
        <v>287</v>
      </c>
      <c r="E16" s="31" t="s">
        <v>685</v>
      </c>
      <c r="F16" s="696">
        <v>8</v>
      </c>
      <c r="G16" s="696">
        <v>58</v>
      </c>
      <c r="H16" s="126">
        <v>1</v>
      </c>
    </row>
    <row r="17" spans="1:8" ht="12" customHeight="1">
      <c r="A17" s="31"/>
      <c r="B17" s="31" t="s">
        <v>108</v>
      </c>
      <c r="C17" s="31" t="s">
        <v>197</v>
      </c>
      <c r="D17" s="31" t="s">
        <v>287</v>
      </c>
      <c r="E17" s="31" t="s">
        <v>685</v>
      </c>
      <c r="F17" s="696">
        <v>5</v>
      </c>
      <c r="G17" s="696">
        <v>35</v>
      </c>
      <c r="H17" s="126">
        <v>1</v>
      </c>
    </row>
    <row r="18" spans="1:8" ht="12" customHeight="1">
      <c r="A18" s="31"/>
      <c r="B18" s="31" t="s">
        <v>907</v>
      </c>
      <c r="C18" s="31" t="s">
        <v>286</v>
      </c>
      <c r="D18" s="31" t="s">
        <v>287</v>
      </c>
      <c r="E18" s="31" t="s">
        <v>685</v>
      </c>
      <c r="F18" s="696">
        <v>52</v>
      </c>
      <c r="G18" s="696">
        <v>377</v>
      </c>
      <c r="H18" s="126">
        <v>1</v>
      </c>
    </row>
    <row r="19" spans="1:8" ht="12" customHeight="1">
      <c r="A19" s="31"/>
      <c r="B19" s="31" t="s">
        <v>107</v>
      </c>
      <c r="C19" s="31" t="s">
        <v>196</v>
      </c>
      <c r="D19" s="31" t="s">
        <v>287</v>
      </c>
      <c r="E19" s="31" t="s">
        <v>685</v>
      </c>
      <c r="F19" s="696">
        <v>5</v>
      </c>
      <c r="G19" s="696">
        <v>30</v>
      </c>
      <c r="H19" s="126">
        <v>1</v>
      </c>
    </row>
    <row r="20" spans="1:8" ht="12" customHeight="1">
      <c r="A20" s="31" t="s">
        <v>665</v>
      </c>
      <c r="B20" s="31"/>
      <c r="C20" s="31"/>
      <c r="D20" s="31"/>
      <c r="E20" s="31"/>
      <c r="F20" s="696">
        <v>219</v>
      </c>
      <c r="G20" s="696">
        <v>1378</v>
      </c>
      <c r="H20" s="126">
        <v>9</v>
      </c>
    </row>
    <row r="21" spans="1:8" ht="12" customHeight="1">
      <c r="A21" s="31" t="s">
        <v>17</v>
      </c>
      <c r="B21" s="31" t="s">
        <v>483</v>
      </c>
      <c r="C21" s="31" t="s">
        <v>147</v>
      </c>
      <c r="D21" s="31" t="s">
        <v>287</v>
      </c>
      <c r="E21" s="31" t="s">
        <v>685</v>
      </c>
      <c r="F21" s="696">
        <v>65</v>
      </c>
      <c r="G21" s="696">
        <v>327</v>
      </c>
      <c r="H21" s="126">
        <v>1</v>
      </c>
    </row>
    <row r="22" spans="1:8" ht="12" customHeight="1">
      <c r="A22" s="31"/>
      <c r="B22" s="31" t="s">
        <v>58</v>
      </c>
      <c r="C22" s="31" t="s">
        <v>146</v>
      </c>
      <c r="D22" s="31" t="s">
        <v>287</v>
      </c>
      <c r="E22" s="31" t="s">
        <v>685</v>
      </c>
      <c r="F22" s="696">
        <v>427</v>
      </c>
      <c r="G22" s="696">
        <v>1274</v>
      </c>
      <c r="H22" s="126">
        <v>1</v>
      </c>
    </row>
    <row r="23" spans="1:8" ht="12" customHeight="1">
      <c r="A23" s="31" t="s">
        <v>664</v>
      </c>
      <c r="B23" s="31"/>
      <c r="C23" s="31"/>
      <c r="D23" s="31"/>
      <c r="E23" s="31"/>
      <c r="F23" s="696">
        <v>492</v>
      </c>
      <c r="G23" s="696">
        <v>1601</v>
      </c>
      <c r="H23" s="126">
        <v>2</v>
      </c>
    </row>
    <row r="24" spans="1:8" ht="12" customHeight="1">
      <c r="A24" s="31" t="s">
        <v>14</v>
      </c>
      <c r="B24" s="31" t="s">
        <v>40</v>
      </c>
      <c r="C24" s="31" t="s">
        <v>127</v>
      </c>
      <c r="D24" s="31" t="s">
        <v>642</v>
      </c>
      <c r="E24" s="31" t="s">
        <v>684</v>
      </c>
      <c r="F24" s="696">
        <v>1228</v>
      </c>
      <c r="G24" s="696">
        <v>4357</v>
      </c>
      <c r="H24" s="126">
        <v>1</v>
      </c>
    </row>
    <row r="25" spans="1:8" ht="12" customHeight="1">
      <c r="A25" s="31"/>
      <c r="B25" s="31" t="s">
        <v>42</v>
      </c>
      <c r="C25" s="31" t="s">
        <v>129</v>
      </c>
      <c r="D25" s="31" t="s">
        <v>290</v>
      </c>
      <c r="E25" s="31" t="s">
        <v>684</v>
      </c>
      <c r="F25" s="696">
        <v>1152</v>
      </c>
      <c r="G25" s="696">
        <v>5060</v>
      </c>
      <c r="H25" s="126">
        <v>1</v>
      </c>
    </row>
    <row r="26" spans="1:8" ht="12" customHeight="1">
      <c r="A26" s="31"/>
      <c r="B26" s="31" t="s">
        <v>41</v>
      </c>
      <c r="C26" s="31" t="s">
        <v>128</v>
      </c>
      <c r="D26" s="31" t="s">
        <v>642</v>
      </c>
      <c r="E26" s="31" t="s">
        <v>684</v>
      </c>
      <c r="F26" s="696">
        <v>857</v>
      </c>
      <c r="G26" s="696">
        <v>3344</v>
      </c>
      <c r="H26" s="126">
        <v>1</v>
      </c>
    </row>
    <row r="27" spans="1:8" ht="12" customHeight="1">
      <c r="A27" s="31"/>
      <c r="B27" s="31" t="s">
        <v>43</v>
      </c>
      <c r="C27" s="31" t="s">
        <v>130</v>
      </c>
      <c r="D27" s="31" t="s">
        <v>290</v>
      </c>
      <c r="E27" s="31" t="s">
        <v>684</v>
      </c>
      <c r="F27" s="696">
        <v>794</v>
      </c>
      <c r="G27" s="696">
        <v>2668</v>
      </c>
      <c r="H27" s="126">
        <v>1</v>
      </c>
    </row>
    <row r="28" spans="1:8" ht="12" customHeight="1">
      <c r="A28" s="31" t="s">
        <v>666</v>
      </c>
      <c r="B28" s="31"/>
      <c r="C28" s="31"/>
      <c r="D28" s="31"/>
      <c r="E28" s="31"/>
      <c r="F28" s="696">
        <v>4031</v>
      </c>
      <c r="G28" s="696">
        <v>15429</v>
      </c>
      <c r="H28" s="126">
        <v>4</v>
      </c>
    </row>
    <row r="29" spans="1:8" ht="12" customHeight="1">
      <c r="A29" s="31" t="s">
        <v>18</v>
      </c>
      <c r="B29" s="31" t="s">
        <v>60</v>
      </c>
      <c r="C29" s="31" t="s">
        <v>149</v>
      </c>
      <c r="D29" s="31" t="s">
        <v>287</v>
      </c>
      <c r="E29" s="31" t="s">
        <v>685</v>
      </c>
      <c r="F29" s="696">
        <v>18</v>
      </c>
      <c r="G29" s="696">
        <v>77</v>
      </c>
      <c r="H29" s="126">
        <v>1</v>
      </c>
    </row>
    <row r="30" spans="1:8" ht="12" customHeight="1">
      <c r="A30" s="31"/>
      <c r="B30" s="31" t="s">
        <v>59</v>
      </c>
      <c r="C30" s="31" t="s">
        <v>148</v>
      </c>
      <c r="D30" s="31" t="s">
        <v>287</v>
      </c>
      <c r="E30" s="31" t="s">
        <v>685</v>
      </c>
      <c r="F30" s="696">
        <v>57</v>
      </c>
      <c r="G30" s="696">
        <v>187</v>
      </c>
      <c r="H30" s="126">
        <v>1</v>
      </c>
    </row>
    <row r="31" spans="1:8" ht="12" customHeight="1">
      <c r="A31" s="31" t="s">
        <v>667</v>
      </c>
      <c r="B31" s="31"/>
      <c r="C31" s="31"/>
      <c r="D31" s="31"/>
      <c r="E31" s="31"/>
      <c r="F31" s="696">
        <v>75</v>
      </c>
      <c r="G31" s="696">
        <v>264</v>
      </c>
      <c r="H31" s="126">
        <v>2</v>
      </c>
    </row>
    <row r="32" spans="1:8" ht="12" customHeight="1">
      <c r="A32" s="31" t="s">
        <v>16</v>
      </c>
      <c r="B32" s="31" t="s">
        <v>57</v>
      </c>
      <c r="C32" s="31" t="s">
        <v>145</v>
      </c>
      <c r="D32" s="31" t="s">
        <v>287</v>
      </c>
      <c r="E32" s="31" t="s">
        <v>685</v>
      </c>
      <c r="F32" s="696">
        <v>251</v>
      </c>
      <c r="G32" s="696">
        <v>1308</v>
      </c>
      <c r="H32" s="126">
        <v>1</v>
      </c>
    </row>
    <row r="33" spans="1:14" ht="12" customHeight="1">
      <c r="A33" s="31"/>
      <c r="B33" s="31" t="s">
        <v>623</v>
      </c>
      <c r="C33" s="31" t="s">
        <v>144</v>
      </c>
      <c r="D33" s="31" t="s">
        <v>287</v>
      </c>
      <c r="E33" s="31" t="s">
        <v>685</v>
      </c>
      <c r="F33" s="696">
        <v>217</v>
      </c>
      <c r="G33" s="696">
        <v>1297</v>
      </c>
      <c r="H33" s="126">
        <v>1</v>
      </c>
    </row>
    <row r="34" spans="1:14" ht="12" customHeight="1">
      <c r="A34" s="31"/>
      <c r="B34" s="31" t="s">
        <v>409</v>
      </c>
      <c r="C34" s="31" t="s">
        <v>624</v>
      </c>
      <c r="D34" s="31" t="s">
        <v>287</v>
      </c>
      <c r="E34" s="31" t="s">
        <v>685</v>
      </c>
      <c r="F34" s="696">
        <v>193</v>
      </c>
      <c r="G34" s="696">
        <v>961</v>
      </c>
      <c r="H34" s="126">
        <v>1</v>
      </c>
    </row>
    <row r="35" spans="1:14" ht="12" customHeight="1">
      <c r="A35" s="31" t="s">
        <v>668</v>
      </c>
      <c r="B35" s="31"/>
      <c r="C35" s="31"/>
      <c r="D35" s="31"/>
      <c r="E35" s="31"/>
      <c r="F35" s="696">
        <v>661</v>
      </c>
      <c r="G35" s="696">
        <v>3566</v>
      </c>
      <c r="H35" s="126">
        <v>3</v>
      </c>
    </row>
    <row r="36" spans="1:14" ht="12" customHeight="1">
      <c r="A36" s="31" t="s">
        <v>19</v>
      </c>
      <c r="B36" s="31" t="s">
        <v>61</v>
      </c>
      <c r="C36" s="31" t="s">
        <v>150</v>
      </c>
      <c r="D36" s="31" t="s">
        <v>642</v>
      </c>
      <c r="E36" s="31" t="s">
        <v>684</v>
      </c>
      <c r="F36" s="696">
        <v>397</v>
      </c>
      <c r="G36" s="696">
        <v>2104</v>
      </c>
      <c r="H36" s="126">
        <v>1</v>
      </c>
    </row>
    <row r="37" spans="1:14" ht="12" customHeight="1">
      <c r="A37" s="31"/>
      <c r="B37" s="31" t="s">
        <v>568</v>
      </c>
      <c r="C37" s="31" t="s">
        <v>569</v>
      </c>
      <c r="D37" s="31" t="s">
        <v>287</v>
      </c>
      <c r="E37" s="31" t="s">
        <v>685</v>
      </c>
      <c r="F37" s="696">
        <v>41</v>
      </c>
      <c r="G37" s="696">
        <v>226</v>
      </c>
      <c r="H37" s="126">
        <v>1</v>
      </c>
    </row>
    <row r="38" spans="1:14" ht="12" customHeight="1">
      <c r="A38" s="31"/>
      <c r="B38" s="31" t="s">
        <v>648</v>
      </c>
      <c r="C38" s="31" t="s">
        <v>650</v>
      </c>
      <c r="D38" s="31" t="s">
        <v>290</v>
      </c>
      <c r="E38" s="31" t="s">
        <v>684</v>
      </c>
      <c r="F38" s="696">
        <v>997</v>
      </c>
      <c r="G38" s="696">
        <v>4851</v>
      </c>
      <c r="H38" s="126">
        <v>1</v>
      </c>
    </row>
    <row r="39" spans="1:14" ht="12" customHeight="1">
      <c r="A39" s="31"/>
      <c r="B39" s="31" t="s">
        <v>649</v>
      </c>
      <c r="C39" s="31" t="s">
        <v>651</v>
      </c>
      <c r="D39" s="31" t="s">
        <v>290</v>
      </c>
      <c r="E39" s="31" t="s">
        <v>684</v>
      </c>
      <c r="F39" s="696">
        <v>1297</v>
      </c>
      <c r="G39" s="696">
        <v>6917</v>
      </c>
      <c r="H39" s="126">
        <v>1</v>
      </c>
    </row>
    <row r="40" spans="1:14" ht="12" customHeight="1">
      <c r="A40" s="31"/>
      <c r="B40" s="31" t="s">
        <v>63</v>
      </c>
      <c r="C40" s="31" t="s">
        <v>152</v>
      </c>
      <c r="D40" s="31" t="s">
        <v>290</v>
      </c>
      <c r="E40" s="31" t="s">
        <v>684</v>
      </c>
      <c r="F40" s="696">
        <v>1397</v>
      </c>
      <c r="G40" s="696">
        <v>8189</v>
      </c>
      <c r="H40" s="126">
        <v>1</v>
      </c>
    </row>
    <row r="41" spans="1:14" ht="12" customHeight="1">
      <c r="A41" s="31"/>
      <c r="B41" s="31" t="s">
        <v>557</v>
      </c>
      <c r="C41" s="31" t="s">
        <v>558</v>
      </c>
      <c r="D41" s="31" t="s">
        <v>287</v>
      </c>
      <c r="E41" s="31" t="s">
        <v>685</v>
      </c>
      <c r="F41" s="696">
        <v>518</v>
      </c>
      <c r="G41" s="696">
        <v>2951</v>
      </c>
      <c r="H41" s="126">
        <v>1</v>
      </c>
    </row>
    <row r="42" spans="1:14" ht="12" customHeight="1">
      <c r="A42" s="31"/>
      <c r="B42" s="31" t="s">
        <v>824</v>
      </c>
      <c r="C42" s="31" t="s">
        <v>153</v>
      </c>
      <c r="D42" s="31" t="s">
        <v>642</v>
      </c>
      <c r="E42" s="31" t="s">
        <v>684</v>
      </c>
      <c r="F42" s="696">
        <v>799</v>
      </c>
      <c r="G42" s="696">
        <v>4285</v>
      </c>
      <c r="H42" s="126">
        <v>1</v>
      </c>
    </row>
    <row r="43" spans="1:14" ht="12" customHeight="1">
      <c r="A43" s="31"/>
      <c r="B43" s="31" t="s">
        <v>647</v>
      </c>
      <c r="C43" s="31" t="s">
        <v>283</v>
      </c>
      <c r="D43" s="31" t="s">
        <v>1005</v>
      </c>
      <c r="E43" s="31" t="s">
        <v>684</v>
      </c>
      <c r="F43" s="696">
        <v>624</v>
      </c>
      <c r="G43" s="696">
        <v>3352</v>
      </c>
      <c r="H43" s="126">
        <v>1</v>
      </c>
      <c r="N43" s="100"/>
    </row>
    <row r="44" spans="1:14" ht="12" customHeight="1">
      <c r="A44" s="31"/>
      <c r="B44" s="31" t="s">
        <v>652</v>
      </c>
      <c r="C44" s="31" t="s">
        <v>560</v>
      </c>
      <c r="D44" s="31" t="s">
        <v>290</v>
      </c>
      <c r="E44" s="31" t="s">
        <v>684</v>
      </c>
      <c r="F44" s="696">
        <v>649</v>
      </c>
      <c r="G44" s="696">
        <v>3389</v>
      </c>
      <c r="H44" s="126">
        <v>1</v>
      </c>
      <c r="N44" s="100"/>
    </row>
    <row r="45" spans="1:14" ht="12" customHeight="1">
      <c r="A45" s="31"/>
      <c r="B45" s="31" t="s">
        <v>653</v>
      </c>
      <c r="C45" s="31" t="s">
        <v>655</v>
      </c>
      <c r="D45" s="31" t="s">
        <v>290</v>
      </c>
      <c r="E45" s="31" t="s">
        <v>684</v>
      </c>
      <c r="F45" s="696">
        <v>2629</v>
      </c>
      <c r="G45" s="696">
        <v>13655</v>
      </c>
      <c r="H45" s="126">
        <v>1</v>
      </c>
      <c r="N45" s="100"/>
    </row>
    <row r="46" spans="1:14" ht="12" customHeight="1">
      <c r="A46" s="31"/>
      <c r="B46" s="31" t="s">
        <v>654</v>
      </c>
      <c r="C46" s="31" t="s">
        <v>656</v>
      </c>
      <c r="D46" s="31" t="s">
        <v>642</v>
      </c>
      <c r="E46" s="31" t="s">
        <v>684</v>
      </c>
      <c r="F46" s="696">
        <v>2245</v>
      </c>
      <c r="G46" s="696">
        <v>11731</v>
      </c>
      <c r="H46" s="126">
        <v>1</v>
      </c>
      <c r="N46" s="100"/>
    </row>
    <row r="47" spans="1:14" ht="12" customHeight="1">
      <c r="A47" s="31"/>
      <c r="B47" s="31" t="s">
        <v>67</v>
      </c>
      <c r="C47" s="31" t="s">
        <v>156</v>
      </c>
      <c r="D47" s="31" t="s">
        <v>290</v>
      </c>
      <c r="E47" s="31" t="s">
        <v>684</v>
      </c>
      <c r="F47" s="696">
        <v>2436</v>
      </c>
      <c r="G47" s="696">
        <v>12178</v>
      </c>
      <c r="H47" s="126">
        <v>1</v>
      </c>
    </row>
    <row r="48" spans="1:14" ht="12" customHeight="1">
      <c r="A48" s="31"/>
      <c r="B48" s="31" t="s">
        <v>68</v>
      </c>
      <c r="C48" s="31" t="s">
        <v>157</v>
      </c>
      <c r="D48" s="31" t="s">
        <v>642</v>
      </c>
      <c r="E48" s="31" t="s">
        <v>684</v>
      </c>
      <c r="F48" s="696">
        <v>2145</v>
      </c>
      <c r="G48" s="696">
        <v>11703</v>
      </c>
      <c r="H48" s="126">
        <v>1</v>
      </c>
    </row>
    <row r="49" spans="1:8" ht="12" customHeight="1">
      <c r="A49" s="31"/>
      <c r="B49" s="31" t="s">
        <v>70</v>
      </c>
      <c r="C49" s="31" t="s">
        <v>159</v>
      </c>
      <c r="D49" s="31" t="s">
        <v>1005</v>
      </c>
      <c r="E49" s="31" t="s">
        <v>684</v>
      </c>
      <c r="F49" s="696">
        <v>984</v>
      </c>
      <c r="G49" s="696">
        <v>5656</v>
      </c>
      <c r="H49" s="126">
        <v>1</v>
      </c>
    </row>
    <row r="50" spans="1:8" ht="12" customHeight="1">
      <c r="A50" s="31"/>
      <c r="B50" s="31" t="s">
        <v>555</v>
      </c>
      <c r="C50" s="31" t="s">
        <v>282</v>
      </c>
      <c r="D50" s="31" t="s">
        <v>287</v>
      </c>
      <c r="E50" s="31" t="s">
        <v>685</v>
      </c>
      <c r="F50" s="696">
        <v>496</v>
      </c>
      <c r="G50" s="696">
        <v>2942</v>
      </c>
      <c r="H50" s="126">
        <v>1</v>
      </c>
    </row>
    <row r="51" spans="1:8">
      <c r="A51" s="31"/>
      <c r="B51" s="31" t="s">
        <v>80</v>
      </c>
      <c r="C51" s="31" t="s">
        <v>169</v>
      </c>
      <c r="D51" s="31" t="s">
        <v>287</v>
      </c>
      <c r="E51" s="31" t="s">
        <v>685</v>
      </c>
      <c r="F51" s="696">
        <v>7</v>
      </c>
      <c r="G51" s="696">
        <v>27</v>
      </c>
      <c r="H51" s="126">
        <v>1</v>
      </c>
    </row>
    <row r="52" spans="1:8" ht="12" customHeight="1">
      <c r="A52" s="31" t="s">
        <v>663</v>
      </c>
      <c r="B52" s="31"/>
      <c r="C52" s="31"/>
      <c r="D52" s="31"/>
      <c r="E52" s="31"/>
      <c r="F52" s="696">
        <v>17661</v>
      </c>
      <c r="G52" s="696">
        <v>94156</v>
      </c>
      <c r="H52" s="126">
        <v>16</v>
      </c>
    </row>
    <row r="53" spans="1:8" ht="12" customHeight="1">
      <c r="A53" s="31" t="s">
        <v>900</v>
      </c>
      <c r="B53" s="31" t="s">
        <v>37</v>
      </c>
      <c r="C53" s="31" t="s">
        <v>124</v>
      </c>
      <c r="D53" s="31" t="s">
        <v>730</v>
      </c>
      <c r="E53" s="31" t="s">
        <v>685</v>
      </c>
      <c r="F53" s="696">
        <v>42</v>
      </c>
      <c r="G53" s="696">
        <v>204</v>
      </c>
      <c r="H53" s="126">
        <v>1</v>
      </c>
    </row>
    <row r="54" spans="1:8" ht="12" customHeight="1">
      <c r="A54" s="31"/>
      <c r="B54" s="31" t="s">
        <v>38</v>
      </c>
      <c r="C54" s="31" t="s">
        <v>125</v>
      </c>
      <c r="D54" s="31" t="s">
        <v>730</v>
      </c>
      <c r="E54" s="31" t="s">
        <v>685</v>
      </c>
      <c r="F54" s="696">
        <v>682</v>
      </c>
      <c r="G54" s="696">
        <v>2718</v>
      </c>
      <c r="H54" s="126">
        <v>1</v>
      </c>
    </row>
    <row r="55" spans="1:8" ht="12" customHeight="1">
      <c r="A55" s="31" t="s">
        <v>901</v>
      </c>
      <c r="B55" s="31"/>
      <c r="C55" s="31"/>
      <c r="D55" s="31"/>
      <c r="E55" s="31"/>
      <c r="F55" s="696">
        <v>724</v>
      </c>
      <c r="G55" s="696">
        <v>2922</v>
      </c>
      <c r="H55" s="126">
        <v>2</v>
      </c>
    </row>
    <row r="56" spans="1:8" ht="12" customHeight="1">
      <c r="A56" s="31" t="s">
        <v>215</v>
      </c>
      <c r="B56" s="31"/>
      <c r="C56" s="31"/>
      <c r="D56" s="31"/>
      <c r="E56" s="31"/>
      <c r="F56" s="696">
        <v>23948</v>
      </c>
      <c r="G56" s="696">
        <v>119862</v>
      </c>
      <c r="H56" s="126">
        <v>39</v>
      </c>
    </row>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38" sqref="E38"/>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87.5703125" style="317" bestFit="1" customWidth="1"/>
    <col min="6" max="6" width="24.5703125" style="312" customWidth="1"/>
    <col min="7" max="7" width="19.7109375" style="312" customWidth="1"/>
    <col min="8" max="8" width="16.42578125" style="318" customWidth="1"/>
    <col min="9" max="9" width="11.28515625" style="324" bestFit="1" customWidth="1"/>
    <col min="10" max="10" width="8.85546875" style="1" bestFit="1" customWidth="1"/>
    <col min="11" max="16384" width="9.140625" style="1"/>
  </cols>
  <sheetData>
    <row r="1" spans="1:10" ht="9.75" customHeight="1" thickBot="1">
      <c r="F1" s="419"/>
      <c r="G1" s="419"/>
    </row>
    <row r="2" spans="1:10" ht="23.25">
      <c r="B2" s="440" t="s">
        <v>799</v>
      </c>
      <c r="C2" s="441"/>
      <c r="D2" s="441"/>
      <c r="E2" s="441"/>
      <c r="F2" s="441"/>
      <c r="G2" s="441"/>
      <c r="H2" s="441"/>
      <c r="I2" s="441"/>
      <c r="J2" s="442"/>
    </row>
    <row r="3" spans="1:10">
      <c r="B3" s="443">
        <f>Report_Date</f>
        <v>42522</v>
      </c>
      <c r="C3" s="444"/>
      <c r="D3" s="444"/>
      <c r="E3" s="444"/>
      <c r="F3" s="444"/>
      <c r="G3" s="444"/>
      <c r="H3" s="444"/>
      <c r="I3" s="444"/>
      <c r="J3" s="445"/>
    </row>
    <row r="4" spans="1:10" ht="15.75" thickBot="1">
      <c r="B4" s="446"/>
      <c r="C4" s="447"/>
      <c r="D4" s="447"/>
      <c r="E4" s="447"/>
      <c r="F4" s="447"/>
      <c r="G4" s="447"/>
      <c r="H4" s="447"/>
      <c r="I4" s="447"/>
      <c r="J4" s="448"/>
    </row>
    <row r="5" spans="1:10" ht="15.75" thickBot="1">
      <c r="B5" s="727" t="s">
        <v>354</v>
      </c>
      <c r="C5" s="728" t="s">
        <v>357</v>
      </c>
      <c r="D5" s="444"/>
      <c r="E5" s="444"/>
      <c r="F5" s="444"/>
      <c r="G5" s="444"/>
      <c r="H5" s="444"/>
      <c r="I5" s="444"/>
      <c r="J5" s="445"/>
    </row>
    <row r="6" spans="1:10" ht="15.75" thickBot="1">
      <c r="B6" s="727" t="s">
        <v>24</v>
      </c>
      <c r="C6" s="728" t="s">
        <v>794</v>
      </c>
      <c r="D6" s="447"/>
      <c r="E6" s="447"/>
      <c r="F6" s="447"/>
      <c r="G6" s="447"/>
      <c r="H6" s="447"/>
      <c r="I6" s="447"/>
      <c r="J6" s="448"/>
    </row>
    <row r="7" spans="1:10" ht="15.75" thickBot="1">
      <c r="B7" s="777"/>
      <c r="C7" s="444"/>
      <c r="D7" s="444"/>
      <c r="E7" s="444"/>
      <c r="F7" s="444"/>
      <c r="G7" s="444"/>
      <c r="H7" s="444"/>
      <c r="I7" s="444"/>
      <c r="J7" s="445"/>
    </row>
    <row r="8" spans="1:10" ht="15.75" thickBot="1">
      <c r="B8" s="697" t="s">
        <v>0</v>
      </c>
      <c r="C8" s="778" t="s">
        <v>686</v>
      </c>
      <c r="D8" s="778" t="s">
        <v>687</v>
      </c>
      <c r="E8" s="779" t="s">
        <v>827</v>
      </c>
      <c r="F8" s="713" t="s">
        <v>9</v>
      </c>
      <c r="G8" s="729" t="s">
        <v>8</v>
      </c>
      <c r="H8" s="782" t="s">
        <v>832</v>
      </c>
      <c r="I8" s="783" t="s">
        <v>909</v>
      </c>
      <c r="J8" s="748" t="s">
        <v>826</v>
      </c>
    </row>
    <row r="9" spans="1:10" ht="15.75" thickBot="1">
      <c r="B9" s="858" t="s">
        <v>14</v>
      </c>
      <c r="C9" s="858" t="s">
        <v>290</v>
      </c>
      <c r="D9" s="858" t="s">
        <v>684</v>
      </c>
      <c r="E9" s="858" t="s">
        <v>1050</v>
      </c>
      <c r="F9" s="822" t="s">
        <v>42</v>
      </c>
      <c r="G9" s="188" t="s">
        <v>129</v>
      </c>
      <c r="H9" s="719">
        <v>5060</v>
      </c>
      <c r="I9" s="720">
        <v>1152</v>
      </c>
      <c r="J9" s="721">
        <v>1</v>
      </c>
    </row>
    <row r="10" spans="1:10" ht="15.75" thickBot="1">
      <c r="B10" s="864"/>
      <c r="C10" s="859"/>
      <c r="D10" s="861"/>
      <c r="E10" s="865"/>
      <c r="F10" s="722" t="s">
        <v>43</v>
      </c>
      <c r="G10" s="188" t="s">
        <v>130</v>
      </c>
      <c r="H10" s="718">
        <v>2668</v>
      </c>
      <c r="I10" s="714">
        <v>794</v>
      </c>
      <c r="J10" s="716">
        <v>1</v>
      </c>
    </row>
    <row r="11" spans="1:10" s="312" customFormat="1" ht="15.75" thickBot="1">
      <c r="A11" s="419"/>
      <c r="B11" s="864"/>
      <c r="C11" s="860" t="s">
        <v>642</v>
      </c>
      <c r="D11" s="833" t="s">
        <v>684</v>
      </c>
      <c r="E11" s="858" t="s">
        <v>898</v>
      </c>
      <c r="F11" s="822" t="s">
        <v>40</v>
      </c>
      <c r="G11" s="188" t="s">
        <v>127</v>
      </c>
      <c r="H11" s="718">
        <v>4357</v>
      </c>
      <c r="I11" s="714">
        <v>1228</v>
      </c>
      <c r="J11" s="716">
        <v>1</v>
      </c>
    </row>
    <row r="12" spans="1:10" ht="15.75" thickBot="1">
      <c r="B12" s="865"/>
      <c r="C12" s="861"/>
      <c r="D12" s="833"/>
      <c r="E12" s="865"/>
      <c r="F12" s="722" t="s">
        <v>41</v>
      </c>
      <c r="G12" s="188" t="s">
        <v>128</v>
      </c>
      <c r="H12" s="718">
        <v>3344</v>
      </c>
      <c r="I12" s="714">
        <v>857</v>
      </c>
      <c r="J12" s="716">
        <v>1</v>
      </c>
    </row>
    <row r="13" spans="1:10" ht="15.75" thickBot="1">
      <c r="B13" s="852" t="s">
        <v>666</v>
      </c>
      <c r="C13" s="866"/>
      <c r="D13" s="866"/>
      <c r="E13" s="866"/>
      <c r="F13" s="866"/>
      <c r="G13" s="867"/>
      <c r="H13" s="776">
        <v>15429</v>
      </c>
      <c r="I13" s="774">
        <v>4031</v>
      </c>
      <c r="J13" s="775">
        <v>4</v>
      </c>
    </row>
    <row r="14" spans="1:10" ht="15.75" thickBot="1">
      <c r="B14" s="858" t="s">
        <v>19</v>
      </c>
      <c r="C14" s="862" t="s">
        <v>287</v>
      </c>
      <c r="D14" s="858" t="s">
        <v>685</v>
      </c>
      <c r="E14" s="858" t="s">
        <v>1007</v>
      </c>
      <c r="F14" s="822" t="s">
        <v>568</v>
      </c>
      <c r="G14" s="188" t="s">
        <v>569</v>
      </c>
      <c r="H14" s="718">
        <v>226</v>
      </c>
      <c r="I14" s="714">
        <v>41</v>
      </c>
      <c r="J14" s="716">
        <v>1</v>
      </c>
    </row>
    <row r="15" spans="1:10" ht="15.75" thickBot="1">
      <c r="B15" s="864"/>
      <c r="C15" s="863"/>
      <c r="D15" s="859"/>
      <c r="E15" s="864"/>
      <c r="F15" s="823" t="s">
        <v>557</v>
      </c>
      <c r="G15" s="188" t="s">
        <v>558</v>
      </c>
      <c r="H15" s="718">
        <v>2951</v>
      </c>
      <c r="I15" s="714">
        <v>518</v>
      </c>
      <c r="J15" s="716">
        <v>1</v>
      </c>
    </row>
    <row r="16" spans="1:10" ht="15.75" thickBot="1">
      <c r="B16" s="864"/>
      <c r="C16" s="863"/>
      <c r="D16" s="859"/>
      <c r="E16" s="864"/>
      <c r="F16" s="823" t="s">
        <v>555</v>
      </c>
      <c r="G16" s="188" t="s">
        <v>282</v>
      </c>
      <c r="H16" s="718">
        <v>2942</v>
      </c>
      <c r="I16" s="714">
        <v>496</v>
      </c>
      <c r="J16" s="716">
        <v>1</v>
      </c>
    </row>
    <row r="17" spans="2:12" ht="15.75" thickBot="1">
      <c r="B17" s="864"/>
      <c r="C17" s="863"/>
      <c r="D17" s="861"/>
      <c r="E17" s="865"/>
      <c r="F17" s="722" t="s">
        <v>80</v>
      </c>
      <c r="G17" s="188" t="s">
        <v>169</v>
      </c>
      <c r="H17" s="718">
        <v>27</v>
      </c>
      <c r="I17" s="714">
        <v>7</v>
      </c>
      <c r="J17" s="716">
        <v>1</v>
      </c>
      <c r="L17" s="1" t="s">
        <v>800</v>
      </c>
    </row>
    <row r="18" spans="2:12" ht="15.75" thickBot="1">
      <c r="B18" s="864"/>
      <c r="C18" s="860" t="s">
        <v>290</v>
      </c>
      <c r="D18" s="858" t="s">
        <v>684</v>
      </c>
      <c r="E18" s="858" t="s">
        <v>1050</v>
      </c>
      <c r="F18" s="822" t="s">
        <v>648</v>
      </c>
      <c r="G18" s="188" t="s">
        <v>650</v>
      </c>
      <c r="H18" s="718">
        <v>4851</v>
      </c>
      <c r="I18" s="714">
        <v>997</v>
      </c>
      <c r="J18" s="716">
        <v>1</v>
      </c>
    </row>
    <row r="19" spans="2:12" ht="15.75" thickBot="1">
      <c r="B19" s="864"/>
      <c r="C19" s="864"/>
      <c r="D19" s="859"/>
      <c r="E19" s="864"/>
      <c r="F19" s="823" t="s">
        <v>649</v>
      </c>
      <c r="G19" s="188" t="s">
        <v>651</v>
      </c>
      <c r="H19" s="718">
        <v>6917</v>
      </c>
      <c r="I19" s="714">
        <v>1297</v>
      </c>
      <c r="J19" s="716">
        <v>1</v>
      </c>
    </row>
    <row r="20" spans="2:12" ht="15.75" thickBot="1">
      <c r="B20" s="864"/>
      <c r="C20" s="864"/>
      <c r="D20" s="859"/>
      <c r="E20" s="864"/>
      <c r="F20" s="823" t="s">
        <v>63</v>
      </c>
      <c r="G20" s="188" t="s">
        <v>152</v>
      </c>
      <c r="H20" s="718">
        <v>8189</v>
      </c>
      <c r="I20" s="714">
        <v>1397</v>
      </c>
      <c r="J20" s="716">
        <v>1</v>
      </c>
    </row>
    <row r="21" spans="2:12" ht="15.75" thickBot="1">
      <c r="B21" s="864"/>
      <c r="C21" s="864"/>
      <c r="D21" s="859"/>
      <c r="E21" s="864"/>
      <c r="F21" s="823" t="s">
        <v>652</v>
      </c>
      <c r="G21" s="188" t="s">
        <v>560</v>
      </c>
      <c r="H21" s="718">
        <v>3389</v>
      </c>
      <c r="I21" s="714">
        <v>649</v>
      </c>
      <c r="J21" s="716">
        <v>1</v>
      </c>
    </row>
    <row r="22" spans="2:12" ht="15.75" thickBot="1">
      <c r="B22" s="864"/>
      <c r="C22" s="864"/>
      <c r="D22" s="859"/>
      <c r="E22" s="864"/>
      <c r="F22" s="823" t="s">
        <v>653</v>
      </c>
      <c r="G22" s="188" t="s">
        <v>655</v>
      </c>
      <c r="H22" s="718">
        <v>13655</v>
      </c>
      <c r="I22" s="714">
        <v>2629</v>
      </c>
      <c r="J22" s="716">
        <v>1</v>
      </c>
    </row>
    <row r="23" spans="2:12" ht="15.75" thickBot="1">
      <c r="B23" s="864"/>
      <c r="C23" s="864"/>
      <c r="D23" s="861"/>
      <c r="E23" s="865"/>
      <c r="F23" s="722" t="s">
        <v>67</v>
      </c>
      <c r="G23" s="188" t="s">
        <v>156</v>
      </c>
      <c r="H23" s="718">
        <v>12178</v>
      </c>
      <c r="I23" s="714">
        <v>2436</v>
      </c>
      <c r="J23" s="716">
        <v>1</v>
      </c>
    </row>
    <row r="24" spans="2:12" ht="15.75" thickBot="1">
      <c r="B24" s="864"/>
      <c r="C24" s="860" t="s">
        <v>642</v>
      </c>
      <c r="D24" s="833" t="s">
        <v>684</v>
      </c>
      <c r="E24" s="858" t="s">
        <v>898</v>
      </c>
      <c r="F24" s="822" t="s">
        <v>61</v>
      </c>
      <c r="G24" s="188" t="s">
        <v>150</v>
      </c>
      <c r="H24" s="718">
        <v>2104</v>
      </c>
      <c r="I24" s="714">
        <v>397</v>
      </c>
      <c r="J24" s="716">
        <v>1</v>
      </c>
    </row>
    <row r="25" spans="2:12" ht="15.75" thickBot="1">
      <c r="B25" s="864"/>
      <c r="C25" s="864"/>
      <c r="D25" s="833"/>
      <c r="E25" s="864"/>
      <c r="F25" s="823" t="s">
        <v>64</v>
      </c>
      <c r="G25" s="188" t="s">
        <v>153</v>
      </c>
      <c r="H25" s="718">
        <v>4285</v>
      </c>
      <c r="I25" s="714">
        <v>799</v>
      </c>
      <c r="J25" s="716">
        <v>1</v>
      </c>
    </row>
    <row r="26" spans="2:12" ht="15.75" thickBot="1">
      <c r="B26" s="864"/>
      <c r="C26" s="864"/>
      <c r="D26" s="833"/>
      <c r="E26" s="864"/>
      <c r="F26" s="823" t="s">
        <v>654</v>
      </c>
      <c r="G26" s="188" t="s">
        <v>656</v>
      </c>
      <c r="H26" s="718">
        <v>11731</v>
      </c>
      <c r="I26" s="714">
        <v>2245</v>
      </c>
      <c r="J26" s="716">
        <v>1</v>
      </c>
    </row>
    <row r="27" spans="2:12" ht="15.75" thickBot="1">
      <c r="B27" s="864"/>
      <c r="C27" s="864"/>
      <c r="D27" s="833"/>
      <c r="E27" s="865"/>
      <c r="F27" s="722" t="s">
        <v>68</v>
      </c>
      <c r="G27" s="188" t="s">
        <v>157</v>
      </c>
      <c r="H27" s="718">
        <v>11703</v>
      </c>
      <c r="I27" s="714">
        <v>2145</v>
      </c>
      <c r="J27" s="716">
        <v>1</v>
      </c>
    </row>
    <row r="28" spans="2:12" ht="15.75" thickBot="1">
      <c r="B28" s="864"/>
      <c r="C28" s="860" t="s">
        <v>1005</v>
      </c>
      <c r="D28" s="833" t="s">
        <v>684</v>
      </c>
      <c r="E28" s="858" t="s">
        <v>1008</v>
      </c>
      <c r="F28" s="822" t="s">
        <v>647</v>
      </c>
      <c r="G28" s="188" t="s">
        <v>283</v>
      </c>
      <c r="H28" s="718">
        <v>3352</v>
      </c>
      <c r="I28" s="714">
        <v>624</v>
      </c>
      <c r="J28" s="716">
        <v>1</v>
      </c>
    </row>
    <row r="29" spans="2:12" ht="15.75" thickBot="1">
      <c r="B29" s="865"/>
      <c r="C29" s="861"/>
      <c r="D29" s="833"/>
      <c r="E29" s="865"/>
      <c r="F29" s="722" t="s">
        <v>70</v>
      </c>
      <c r="G29" s="188" t="s">
        <v>159</v>
      </c>
      <c r="H29" s="718">
        <v>5656</v>
      </c>
      <c r="I29" s="714">
        <v>984</v>
      </c>
      <c r="J29" s="716">
        <v>1</v>
      </c>
    </row>
    <row r="30" spans="2:12" ht="15.75" thickBot="1">
      <c r="B30" s="852" t="s">
        <v>663</v>
      </c>
      <c r="C30" s="866"/>
      <c r="D30" s="866"/>
      <c r="E30" s="866"/>
      <c r="F30" s="866"/>
      <c r="G30" s="867"/>
      <c r="H30" s="781">
        <v>94156</v>
      </c>
      <c r="I30" s="773">
        <v>17661</v>
      </c>
      <c r="J30" s="780">
        <v>16</v>
      </c>
    </row>
    <row r="31" spans="2:12" ht="15.75" thickBot="1">
      <c r="B31" s="858" t="s">
        <v>900</v>
      </c>
      <c r="C31" s="858" t="s">
        <v>730</v>
      </c>
      <c r="D31" s="858" t="s">
        <v>685</v>
      </c>
      <c r="E31" s="858" t="s">
        <v>831</v>
      </c>
      <c r="F31" s="822" t="s">
        <v>37</v>
      </c>
      <c r="G31" s="188" t="s">
        <v>124</v>
      </c>
      <c r="H31" s="718">
        <v>204</v>
      </c>
      <c r="I31" s="714">
        <v>42</v>
      </c>
      <c r="J31" s="716">
        <v>1</v>
      </c>
    </row>
    <row r="32" spans="2:12" ht="15.75" thickBot="1">
      <c r="B32" s="865"/>
      <c r="C32" s="861"/>
      <c r="D32" s="861"/>
      <c r="E32" s="865"/>
      <c r="F32" s="722" t="s">
        <v>38</v>
      </c>
      <c r="G32" s="188" t="s">
        <v>125</v>
      </c>
      <c r="H32" s="718">
        <v>2718</v>
      </c>
      <c r="I32" s="714">
        <v>682</v>
      </c>
      <c r="J32" s="716">
        <v>1</v>
      </c>
    </row>
    <row r="33" spans="2:10" ht="15.75" thickBot="1">
      <c r="B33" s="852" t="s">
        <v>901</v>
      </c>
      <c r="C33" s="853"/>
      <c r="D33" s="853"/>
      <c r="E33" s="853"/>
      <c r="F33" s="853"/>
      <c r="G33" s="854"/>
      <c r="H33" s="781">
        <v>2922</v>
      </c>
      <c r="I33" s="773">
        <v>724</v>
      </c>
      <c r="J33" s="780">
        <v>2</v>
      </c>
    </row>
    <row r="34" spans="2:10" ht="15.75" thickBot="1">
      <c r="B34" s="855" t="s">
        <v>215</v>
      </c>
      <c r="C34" s="856"/>
      <c r="D34" s="856"/>
      <c r="E34" s="856"/>
      <c r="F34" s="856"/>
      <c r="G34" s="857"/>
      <c r="H34" s="711">
        <v>112507</v>
      </c>
      <c r="I34" s="698">
        <v>22416</v>
      </c>
      <c r="J34" s="699">
        <v>22</v>
      </c>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5">
    <mergeCell ref="E28:E29"/>
    <mergeCell ref="E31:E32"/>
    <mergeCell ref="B33:G33"/>
    <mergeCell ref="B34:G34"/>
    <mergeCell ref="C9:C10"/>
    <mergeCell ref="C11:C12"/>
    <mergeCell ref="C14:C17"/>
    <mergeCell ref="C18:C23"/>
    <mergeCell ref="C24:C27"/>
    <mergeCell ref="C28:C29"/>
    <mergeCell ref="C31:C32"/>
    <mergeCell ref="D9:D12"/>
    <mergeCell ref="D14:D17"/>
    <mergeCell ref="D18:D29"/>
    <mergeCell ref="D31:D32"/>
    <mergeCell ref="E9:E10"/>
    <mergeCell ref="E11:E12"/>
    <mergeCell ref="E14:E17"/>
    <mergeCell ref="B9:B12"/>
    <mergeCell ref="B13:G13"/>
    <mergeCell ref="B14:B29"/>
    <mergeCell ref="B30:G30"/>
    <mergeCell ref="B31:B32"/>
    <mergeCell ref="E18:E23"/>
    <mergeCell ref="E24:E27"/>
  </mergeCells>
  <pageMargins left="0.7" right="0.7" top="0.75" bottom="0.75" header="0.3" footer="0.3"/>
  <pageSetup paperSize="9" scale="58"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74"/>
  <sheetViews>
    <sheetView zoomScale="83" zoomScaleNormal="83" workbookViewId="0">
      <selection activeCell="S64" sqref="S63:S64"/>
    </sheetView>
  </sheetViews>
  <sheetFormatPr defaultRowHeight="15"/>
  <cols>
    <col min="1" max="1" width="1.7109375" style="100" customWidth="1"/>
  </cols>
  <sheetData>
    <row r="1" spans="2:62" s="100" customFormat="1" ht="8.25" customHeight="1" thickBot="1"/>
    <row r="2" spans="2:62" s="1" customFormat="1" ht="36.75" customHeight="1">
      <c r="B2" s="450"/>
      <c r="C2" s="451"/>
      <c r="D2" s="451"/>
      <c r="E2" s="451"/>
      <c r="F2" s="451"/>
      <c r="G2" s="451"/>
      <c r="H2" s="451"/>
      <c r="I2" s="451"/>
      <c r="J2" s="451"/>
      <c r="K2" s="451"/>
      <c r="L2" s="451"/>
      <c r="M2" s="451"/>
      <c r="N2" s="451"/>
      <c r="O2" s="451"/>
      <c r="P2" s="460"/>
      <c r="Q2" s="100"/>
      <c r="R2" s="100"/>
      <c r="S2" s="100"/>
      <c r="T2" s="100"/>
      <c r="U2" s="100"/>
      <c r="V2" s="100"/>
      <c r="W2" s="100"/>
      <c r="X2" s="100"/>
      <c r="Y2" s="100"/>
      <c r="Z2" s="100"/>
      <c r="BI2" s="78"/>
      <c r="BJ2" s="78"/>
    </row>
    <row r="3" spans="2:62" s="1" customFormat="1" ht="29.25" customHeight="1">
      <c r="B3" s="452" t="s">
        <v>812</v>
      </c>
      <c r="C3" s="183"/>
      <c r="D3" s="183"/>
      <c r="E3" s="77"/>
      <c r="F3" s="77"/>
      <c r="G3" s="77"/>
      <c r="H3" s="77"/>
      <c r="I3" s="77"/>
      <c r="J3" s="77"/>
      <c r="K3" s="77"/>
      <c r="L3" s="77"/>
      <c r="M3" s="77"/>
      <c r="N3" s="77"/>
      <c r="O3" s="77"/>
      <c r="P3" s="461"/>
      <c r="Q3" s="100"/>
      <c r="R3" s="100"/>
      <c r="S3" s="100"/>
      <c r="T3" s="100"/>
      <c r="U3" s="100"/>
      <c r="V3" s="100"/>
      <c r="W3" s="100"/>
      <c r="X3" s="100"/>
      <c r="Y3" s="100"/>
      <c r="Z3" s="100"/>
      <c r="BG3" s="78"/>
      <c r="BH3" s="78"/>
    </row>
    <row r="4" spans="2:62" s="21" customFormat="1" ht="21.75" customHeight="1">
      <c r="B4" s="868">
        <f>Report_Date</f>
        <v>42522</v>
      </c>
      <c r="C4" s="851"/>
      <c r="D4" s="851"/>
      <c r="E4" s="203"/>
      <c r="F4" s="203"/>
      <c r="G4" s="203"/>
      <c r="H4" s="203"/>
      <c r="I4" s="203"/>
      <c r="J4" s="203"/>
      <c r="K4" s="203"/>
      <c r="L4" s="204"/>
      <c r="M4" s="203"/>
      <c r="N4" s="203"/>
      <c r="O4" s="203"/>
      <c r="P4" s="462"/>
      <c r="Q4" s="100"/>
      <c r="R4" s="100"/>
      <c r="S4" s="100"/>
      <c r="T4" s="100"/>
      <c r="U4" s="100"/>
      <c r="V4" s="100"/>
      <c r="W4" s="100"/>
      <c r="X4" s="100"/>
      <c r="Y4" s="100"/>
      <c r="Z4" s="100"/>
      <c r="BG4" s="79"/>
      <c r="BH4" s="79"/>
    </row>
    <row r="5" spans="2:62">
      <c r="B5" s="453"/>
      <c r="C5" s="195"/>
      <c r="D5" s="195"/>
      <c r="E5" s="195"/>
      <c r="F5" s="195"/>
      <c r="G5" s="195"/>
      <c r="H5" s="195"/>
      <c r="I5" s="195"/>
      <c r="J5" s="195"/>
      <c r="K5" s="195"/>
      <c r="L5" s="195"/>
      <c r="M5" s="195"/>
      <c r="N5" s="195"/>
      <c r="O5" s="195"/>
      <c r="P5" s="454"/>
      <c r="Q5" s="100"/>
      <c r="R5" s="100"/>
      <c r="S5" s="100"/>
      <c r="T5" s="100"/>
      <c r="U5" s="100"/>
      <c r="V5" s="100"/>
      <c r="W5" s="100"/>
      <c r="X5" s="100"/>
      <c r="Y5" s="100"/>
      <c r="Z5" s="100"/>
    </row>
    <row r="6" spans="2:62">
      <c r="B6" s="453"/>
      <c r="C6" s="195"/>
      <c r="D6" s="195"/>
      <c r="E6" s="195"/>
      <c r="F6" s="195"/>
      <c r="G6" s="195"/>
      <c r="H6" s="195"/>
      <c r="I6" s="195"/>
      <c r="J6" s="195"/>
      <c r="K6" s="195"/>
      <c r="L6" s="195"/>
      <c r="M6" s="195"/>
      <c r="N6" s="195"/>
      <c r="O6" s="195"/>
      <c r="P6" s="454"/>
    </row>
    <row r="7" spans="2:62">
      <c r="B7" s="453"/>
      <c r="C7" s="195"/>
      <c r="D7" s="195"/>
      <c r="E7" s="195"/>
      <c r="F7" s="195"/>
      <c r="G7" s="195"/>
      <c r="H7" s="195"/>
      <c r="I7" s="195"/>
      <c r="J7" s="195"/>
      <c r="K7" s="195"/>
      <c r="L7" s="195"/>
      <c r="M7" s="195"/>
      <c r="N7" s="195"/>
      <c r="O7" s="195"/>
      <c r="P7" s="454"/>
    </row>
    <row r="8" spans="2:62">
      <c r="B8" s="453"/>
      <c r="C8" s="195"/>
      <c r="D8" s="195"/>
      <c r="E8" s="195"/>
      <c r="F8" s="195"/>
      <c r="G8" s="195"/>
      <c r="H8" s="195"/>
      <c r="I8" s="195"/>
      <c r="J8" s="195"/>
      <c r="K8" s="195"/>
      <c r="L8" s="195"/>
      <c r="M8" s="195"/>
      <c r="N8" s="195"/>
      <c r="O8" s="195"/>
      <c r="P8" s="454"/>
    </row>
    <row r="9" spans="2:62">
      <c r="B9" s="453"/>
      <c r="C9" s="195"/>
      <c r="D9" s="195"/>
      <c r="E9" s="195"/>
      <c r="F9" s="195"/>
      <c r="G9" s="195"/>
      <c r="H9" s="195"/>
      <c r="I9" s="195"/>
      <c r="J9" s="195"/>
      <c r="K9" s="195"/>
      <c r="L9" s="195"/>
      <c r="M9" s="195"/>
      <c r="N9" s="195"/>
      <c r="O9" s="195"/>
      <c r="P9" s="454"/>
    </row>
    <row r="10" spans="2:62">
      <c r="B10" s="453"/>
      <c r="C10" s="195"/>
      <c r="D10" s="195"/>
      <c r="E10" s="195"/>
      <c r="F10" s="195"/>
      <c r="G10" s="195"/>
      <c r="H10" s="195"/>
      <c r="I10" s="195"/>
      <c r="J10" s="195"/>
      <c r="K10" s="195"/>
      <c r="L10" s="195"/>
      <c r="M10" s="195"/>
      <c r="N10" s="195"/>
      <c r="O10" s="195"/>
      <c r="P10" s="454"/>
    </row>
    <row r="11" spans="2:62">
      <c r="B11" s="453"/>
      <c r="C11" s="195"/>
      <c r="D11" s="195"/>
      <c r="E11" s="195"/>
      <c r="F11" s="195"/>
      <c r="G11" s="195"/>
      <c r="H11" s="195"/>
      <c r="I11" s="195"/>
      <c r="J11" s="195"/>
      <c r="K11" s="195"/>
      <c r="L11" s="195"/>
      <c r="M11" s="195"/>
      <c r="N11" s="195"/>
      <c r="O11" s="195"/>
      <c r="P11" s="454"/>
    </row>
    <row r="12" spans="2:62">
      <c r="B12" s="453"/>
      <c r="C12" s="195"/>
      <c r="D12" s="195"/>
      <c r="E12" s="195"/>
      <c r="F12" s="195"/>
      <c r="G12" s="195"/>
      <c r="H12" s="195"/>
      <c r="I12" s="195"/>
      <c r="J12" s="195"/>
      <c r="K12" s="195"/>
      <c r="L12" s="195"/>
      <c r="M12" s="195"/>
      <c r="N12" s="195"/>
      <c r="O12" s="195"/>
      <c r="P12" s="454"/>
    </row>
    <row r="13" spans="2:62">
      <c r="B13" s="453"/>
      <c r="C13" s="195"/>
      <c r="D13" s="195"/>
      <c r="E13" s="195"/>
      <c r="F13" s="195"/>
      <c r="G13" s="195"/>
      <c r="H13" s="195"/>
      <c r="I13" s="195"/>
      <c r="J13" s="195"/>
      <c r="K13" s="195"/>
      <c r="L13" s="195"/>
      <c r="M13" s="195"/>
      <c r="N13" s="195"/>
      <c r="O13" s="195"/>
      <c r="P13" s="454"/>
    </row>
    <row r="14" spans="2:62">
      <c r="B14" s="453"/>
      <c r="C14" s="195"/>
      <c r="D14" s="195"/>
      <c r="E14" s="195"/>
      <c r="F14" s="195"/>
      <c r="G14" s="195"/>
      <c r="H14" s="195"/>
      <c r="I14" s="195"/>
      <c r="J14" s="195"/>
      <c r="K14" s="195"/>
      <c r="L14" s="195"/>
      <c r="M14" s="195"/>
      <c r="N14" s="195"/>
      <c r="O14" s="195"/>
      <c r="P14" s="454"/>
    </row>
    <row r="15" spans="2:62">
      <c r="B15" s="453"/>
      <c r="C15" s="195"/>
      <c r="D15" s="195"/>
      <c r="E15" s="195"/>
      <c r="F15" s="195"/>
      <c r="G15" s="195"/>
      <c r="H15" s="195"/>
      <c r="I15" s="195"/>
      <c r="J15" s="195"/>
      <c r="K15" s="195"/>
      <c r="L15" s="195"/>
      <c r="M15" s="195"/>
      <c r="N15" s="195"/>
      <c r="O15" s="195"/>
      <c r="P15" s="454"/>
    </row>
    <row r="16" spans="2:62">
      <c r="B16" s="453"/>
      <c r="C16" s="195"/>
      <c r="D16" s="195"/>
      <c r="E16" s="195"/>
      <c r="F16" s="195"/>
      <c r="G16" s="195"/>
      <c r="H16" s="195"/>
      <c r="I16" s="195"/>
      <c r="J16" s="195"/>
      <c r="K16" s="195"/>
      <c r="L16" s="195"/>
      <c r="M16" s="195"/>
      <c r="N16" s="195"/>
      <c r="O16" s="195"/>
      <c r="P16" s="454"/>
    </row>
    <row r="17" spans="2:16">
      <c r="B17" s="453"/>
      <c r="C17" s="195"/>
      <c r="D17" s="195"/>
      <c r="E17" s="195"/>
      <c r="F17" s="195"/>
      <c r="G17" s="195"/>
      <c r="H17" s="195"/>
      <c r="I17" s="195"/>
      <c r="J17" s="195"/>
      <c r="K17" s="195"/>
      <c r="L17" s="195"/>
      <c r="M17" s="195"/>
      <c r="N17" s="195"/>
      <c r="O17" s="195"/>
      <c r="P17" s="454"/>
    </row>
    <row r="18" spans="2:16">
      <c r="B18" s="453"/>
      <c r="C18" s="195"/>
      <c r="D18" s="195"/>
      <c r="E18" s="195"/>
      <c r="F18" s="195"/>
      <c r="G18" s="195"/>
      <c r="H18" s="195"/>
      <c r="I18" s="195"/>
      <c r="J18" s="195"/>
      <c r="K18" s="195"/>
      <c r="L18" s="195"/>
      <c r="M18" s="195"/>
      <c r="N18" s="195"/>
      <c r="O18" s="195"/>
      <c r="P18" s="454"/>
    </row>
    <row r="19" spans="2:16">
      <c r="B19" s="453"/>
      <c r="C19" s="195"/>
      <c r="D19" s="195"/>
      <c r="E19" s="195"/>
      <c r="F19" s="195"/>
      <c r="G19" s="195"/>
      <c r="H19" s="195"/>
      <c r="I19" s="195"/>
      <c r="J19" s="195"/>
      <c r="K19" s="195"/>
      <c r="L19" s="195"/>
      <c r="M19" s="195"/>
      <c r="N19" s="195"/>
      <c r="O19" s="195"/>
      <c r="P19" s="454"/>
    </row>
    <row r="20" spans="2:16">
      <c r="B20" s="453"/>
      <c r="C20" s="195"/>
      <c r="D20" s="195"/>
      <c r="E20" s="195"/>
      <c r="F20" s="195"/>
      <c r="G20" s="195"/>
      <c r="H20" s="195"/>
      <c r="I20" s="195"/>
      <c r="J20" s="195"/>
      <c r="K20" s="195"/>
      <c r="L20" s="195"/>
      <c r="M20" s="195"/>
      <c r="N20" s="195"/>
      <c r="O20" s="195"/>
      <c r="P20" s="454"/>
    </row>
    <row r="21" spans="2:16">
      <c r="B21" s="453"/>
      <c r="C21" s="195"/>
      <c r="D21" s="195"/>
      <c r="E21" s="195"/>
      <c r="F21" s="195"/>
      <c r="G21" s="195"/>
      <c r="H21" s="195"/>
      <c r="I21" s="195"/>
      <c r="J21" s="195"/>
      <c r="K21" s="195"/>
      <c r="L21" s="195"/>
      <c r="M21" s="195"/>
      <c r="N21" s="195"/>
      <c r="O21" s="195"/>
      <c r="P21" s="454"/>
    </row>
    <row r="22" spans="2:16">
      <c r="B22" s="453"/>
      <c r="C22" s="195"/>
      <c r="D22" s="195"/>
      <c r="E22" s="195"/>
      <c r="F22" s="195"/>
      <c r="G22" s="195"/>
      <c r="H22" s="195"/>
      <c r="I22" s="195"/>
      <c r="J22" s="195"/>
      <c r="K22" s="195"/>
      <c r="L22" s="195"/>
      <c r="M22" s="195"/>
      <c r="N22" s="195"/>
      <c r="O22" s="195"/>
      <c r="P22" s="454"/>
    </row>
    <row r="23" spans="2:16">
      <c r="B23" s="453"/>
      <c r="C23" s="195"/>
      <c r="D23" s="195"/>
      <c r="E23" s="195"/>
      <c r="F23" s="195"/>
      <c r="G23" s="195"/>
      <c r="H23" s="195"/>
      <c r="I23" s="195"/>
      <c r="J23" s="195"/>
      <c r="K23" s="195"/>
      <c r="L23" s="195"/>
      <c r="M23" s="195"/>
      <c r="N23" s="195"/>
      <c r="O23" s="195"/>
      <c r="P23" s="454"/>
    </row>
    <row r="24" spans="2:16">
      <c r="B24" s="453"/>
      <c r="C24" s="195"/>
      <c r="D24" s="195"/>
      <c r="E24" s="195"/>
      <c r="F24" s="195"/>
      <c r="G24" s="195"/>
      <c r="H24" s="195"/>
      <c r="I24" s="195"/>
      <c r="J24" s="195"/>
      <c r="K24" s="195"/>
      <c r="L24" s="195"/>
      <c r="M24" s="195"/>
      <c r="N24" s="195"/>
      <c r="O24" s="195"/>
      <c r="P24" s="454"/>
    </row>
    <row r="25" spans="2:16">
      <c r="B25" s="453"/>
      <c r="C25" s="195"/>
      <c r="D25" s="195"/>
      <c r="E25" s="195"/>
      <c r="F25" s="195"/>
      <c r="G25" s="195"/>
      <c r="H25" s="195"/>
      <c r="I25" s="195"/>
      <c r="J25" s="195"/>
      <c r="K25" s="195"/>
      <c r="L25" s="195"/>
      <c r="M25" s="195"/>
      <c r="N25" s="195"/>
      <c r="O25" s="195"/>
      <c r="P25" s="454"/>
    </row>
    <row r="26" spans="2:16">
      <c r="B26" s="453"/>
      <c r="C26" s="195"/>
      <c r="D26" s="195"/>
      <c r="E26" s="195"/>
      <c r="F26" s="195"/>
      <c r="G26" s="195"/>
      <c r="H26" s="195"/>
      <c r="I26" s="195"/>
      <c r="J26" s="195"/>
      <c r="K26" s="195"/>
      <c r="L26" s="195"/>
      <c r="M26" s="195"/>
      <c r="N26" s="195"/>
      <c r="O26" s="195"/>
      <c r="P26" s="454"/>
    </row>
    <row r="27" spans="2:16">
      <c r="B27" s="453"/>
      <c r="C27" s="195"/>
      <c r="D27" s="195"/>
      <c r="E27" s="195"/>
      <c r="F27" s="195"/>
      <c r="G27" s="195"/>
      <c r="H27" s="195"/>
      <c r="I27" s="195"/>
      <c r="J27" s="195"/>
      <c r="K27" s="195"/>
      <c r="L27" s="195"/>
      <c r="M27" s="195"/>
      <c r="N27" s="195"/>
      <c r="O27" s="195"/>
      <c r="P27" s="454"/>
    </row>
    <row r="28" spans="2:16">
      <c r="B28" s="453"/>
      <c r="C28" s="195"/>
      <c r="D28" s="195"/>
      <c r="E28" s="195"/>
      <c r="F28" s="195"/>
      <c r="G28" s="195"/>
      <c r="H28" s="195"/>
      <c r="I28" s="195"/>
      <c r="J28" s="195"/>
      <c r="K28" s="195"/>
      <c r="L28" s="195"/>
      <c r="M28" s="195"/>
      <c r="N28" s="195"/>
      <c r="O28" s="195"/>
      <c r="P28" s="454"/>
    </row>
    <row r="29" spans="2:16">
      <c r="B29" s="453"/>
      <c r="C29" s="195"/>
      <c r="D29" s="195"/>
      <c r="E29" s="195"/>
      <c r="F29" s="195"/>
      <c r="G29" s="195"/>
      <c r="H29" s="195"/>
      <c r="I29" s="195"/>
      <c r="J29" s="195"/>
      <c r="K29" s="195"/>
      <c r="L29" s="195"/>
      <c r="M29" s="195"/>
      <c r="N29" s="195"/>
      <c r="O29" s="195"/>
      <c r="P29" s="454"/>
    </row>
    <row r="30" spans="2:16">
      <c r="B30" s="453"/>
      <c r="C30" s="195"/>
      <c r="D30" s="195"/>
      <c r="E30" s="195"/>
      <c r="F30" s="195"/>
      <c r="G30" s="195"/>
      <c r="H30" s="195"/>
      <c r="I30" s="195"/>
      <c r="J30" s="195"/>
      <c r="K30" s="195"/>
      <c r="L30" s="195"/>
      <c r="M30" s="195"/>
      <c r="N30" s="195"/>
      <c r="O30" s="195"/>
      <c r="P30" s="454"/>
    </row>
    <row r="31" spans="2:16">
      <c r="B31" s="453"/>
      <c r="C31" s="195"/>
      <c r="D31" s="195"/>
      <c r="E31" s="195"/>
      <c r="F31" s="195"/>
      <c r="G31" s="195"/>
      <c r="H31" s="195"/>
      <c r="I31" s="195"/>
      <c r="J31" s="195"/>
      <c r="K31" s="195"/>
      <c r="L31" s="195"/>
      <c r="M31" s="195"/>
      <c r="N31" s="195"/>
      <c r="O31" s="195"/>
      <c r="P31" s="454"/>
    </row>
    <row r="32" spans="2:16">
      <c r="B32" s="453"/>
      <c r="C32" s="195"/>
      <c r="D32" s="195"/>
      <c r="E32" s="195"/>
      <c r="F32" s="195"/>
      <c r="G32" s="195"/>
      <c r="H32" s="195"/>
      <c r="I32" s="195"/>
      <c r="J32" s="195"/>
      <c r="K32" s="195"/>
      <c r="L32" s="195"/>
      <c r="M32" s="195"/>
      <c r="N32" s="195"/>
      <c r="O32" s="195"/>
      <c r="P32" s="454"/>
    </row>
    <row r="33" spans="2:16">
      <c r="B33" s="453"/>
      <c r="C33" s="195"/>
      <c r="D33" s="195"/>
      <c r="E33" s="195"/>
      <c r="F33" s="195"/>
      <c r="G33" s="195"/>
      <c r="H33" s="195"/>
      <c r="I33" s="195"/>
      <c r="J33" s="195"/>
      <c r="K33" s="195"/>
      <c r="L33" s="195"/>
      <c r="M33" s="195"/>
      <c r="N33" s="195"/>
      <c r="O33" s="195"/>
      <c r="P33" s="454"/>
    </row>
    <row r="34" spans="2:16">
      <c r="B34" s="453"/>
      <c r="C34" s="195"/>
      <c r="D34" s="195"/>
      <c r="E34" s="195"/>
      <c r="F34" s="195"/>
      <c r="G34" s="195"/>
      <c r="H34" s="195"/>
      <c r="I34" s="195"/>
      <c r="J34" s="195"/>
      <c r="K34" s="195"/>
      <c r="L34" s="195"/>
      <c r="M34" s="195"/>
      <c r="N34" s="195"/>
      <c r="O34" s="195"/>
      <c r="P34" s="454"/>
    </row>
    <row r="35" spans="2:16">
      <c r="B35" s="453"/>
      <c r="C35" s="195"/>
      <c r="D35" s="195"/>
      <c r="E35" s="195"/>
      <c r="F35" s="195"/>
      <c r="G35" s="195"/>
      <c r="H35" s="195"/>
      <c r="I35" s="195"/>
      <c r="J35" s="195"/>
      <c r="K35" s="195"/>
      <c r="L35" s="195"/>
      <c r="M35" s="195"/>
      <c r="N35" s="195"/>
      <c r="O35" s="195"/>
      <c r="P35" s="454"/>
    </row>
    <row r="36" spans="2:16">
      <c r="B36" s="453"/>
      <c r="C36" s="195"/>
      <c r="D36" s="195"/>
      <c r="E36" s="195"/>
      <c r="F36" s="195"/>
      <c r="G36" s="195"/>
      <c r="H36" s="195"/>
      <c r="I36" s="195"/>
      <c r="J36" s="195"/>
      <c r="K36" s="195"/>
      <c r="L36" s="195"/>
      <c r="M36" s="195"/>
      <c r="N36" s="195"/>
      <c r="O36" s="195"/>
      <c r="P36" s="454"/>
    </row>
    <row r="37" spans="2:16">
      <c r="B37" s="453"/>
      <c r="C37" s="195"/>
      <c r="D37" s="195"/>
      <c r="E37" s="195"/>
      <c r="F37" s="195"/>
      <c r="G37" s="195"/>
      <c r="H37" s="195"/>
      <c r="I37" s="195"/>
      <c r="J37" s="195"/>
      <c r="K37" s="195"/>
      <c r="L37" s="195"/>
      <c r="M37" s="195"/>
      <c r="N37" s="195"/>
      <c r="O37" s="195"/>
      <c r="P37" s="454"/>
    </row>
    <row r="38" spans="2:16">
      <c r="B38" s="453"/>
      <c r="C38" s="195"/>
      <c r="D38" s="195"/>
      <c r="E38" s="195"/>
      <c r="F38" s="195"/>
      <c r="G38" s="195"/>
      <c r="H38" s="195"/>
      <c r="I38" s="195"/>
      <c r="J38" s="195"/>
      <c r="K38" s="195"/>
      <c r="L38" s="195"/>
      <c r="M38" s="195"/>
      <c r="N38" s="195"/>
      <c r="O38" s="195"/>
      <c r="P38" s="454"/>
    </row>
    <row r="39" spans="2:16">
      <c r="B39" s="453"/>
      <c r="C39" s="195"/>
      <c r="D39" s="195"/>
      <c r="E39" s="195"/>
      <c r="F39" s="195"/>
      <c r="G39" s="195"/>
      <c r="H39" s="195"/>
      <c r="I39" s="195"/>
      <c r="J39" s="195"/>
      <c r="K39" s="195"/>
      <c r="L39" s="195"/>
      <c r="M39" s="195"/>
      <c r="N39" s="195"/>
      <c r="O39" s="195"/>
      <c r="P39" s="454"/>
    </row>
    <row r="40" spans="2:16">
      <c r="B40" s="453"/>
      <c r="C40" s="195"/>
      <c r="D40" s="195"/>
      <c r="E40" s="195"/>
      <c r="F40" s="195"/>
      <c r="G40" s="195"/>
      <c r="H40" s="195"/>
      <c r="I40" s="195"/>
      <c r="J40" s="195"/>
      <c r="K40" s="195"/>
      <c r="L40" s="195"/>
      <c r="M40" s="195"/>
      <c r="N40" s="195"/>
      <c r="O40" s="195"/>
      <c r="P40" s="454"/>
    </row>
    <row r="41" spans="2:16">
      <c r="B41" s="453"/>
      <c r="C41" s="195"/>
      <c r="D41" s="195"/>
      <c r="E41" s="195"/>
      <c r="F41" s="195"/>
      <c r="G41" s="195"/>
      <c r="H41" s="195"/>
      <c r="I41" s="195"/>
      <c r="J41" s="195"/>
      <c r="K41" s="195"/>
      <c r="L41" s="195"/>
      <c r="M41" s="195"/>
      <c r="N41" s="195"/>
      <c r="O41" s="195"/>
      <c r="P41" s="454"/>
    </row>
    <row r="42" spans="2:16">
      <c r="B42" s="453"/>
      <c r="C42" s="195"/>
      <c r="D42" s="195"/>
      <c r="E42" s="195"/>
      <c r="F42" s="195"/>
      <c r="G42" s="195"/>
      <c r="H42" s="195"/>
      <c r="I42" s="195"/>
      <c r="J42" s="195"/>
      <c r="K42" s="195"/>
      <c r="L42" s="195"/>
      <c r="M42" s="195"/>
      <c r="N42" s="195"/>
      <c r="O42" s="195"/>
      <c r="P42" s="454"/>
    </row>
    <row r="43" spans="2:16">
      <c r="B43" s="453"/>
      <c r="C43" s="195"/>
      <c r="D43" s="195"/>
      <c r="E43" s="195"/>
      <c r="F43" s="195"/>
      <c r="G43" s="195"/>
      <c r="H43" s="195"/>
      <c r="I43" s="195"/>
      <c r="J43" s="195"/>
      <c r="K43" s="195"/>
      <c r="L43" s="195"/>
      <c r="M43" s="195"/>
      <c r="N43" s="195"/>
      <c r="O43" s="195"/>
      <c r="P43" s="454"/>
    </row>
    <row r="44" spans="2:16">
      <c r="B44" s="453"/>
      <c r="C44" s="195"/>
      <c r="D44" s="195"/>
      <c r="E44" s="195"/>
      <c r="F44" s="195"/>
      <c r="G44" s="195"/>
      <c r="H44" s="195"/>
      <c r="I44" s="195"/>
      <c r="J44" s="195"/>
      <c r="K44" s="195"/>
      <c r="L44" s="195"/>
      <c r="M44" s="195"/>
      <c r="N44" s="195"/>
      <c r="O44" s="195"/>
      <c r="P44" s="454"/>
    </row>
    <row r="45" spans="2:16">
      <c r="B45" s="453"/>
      <c r="C45" s="195"/>
      <c r="D45" s="195"/>
      <c r="E45" s="195"/>
      <c r="F45" s="195"/>
      <c r="G45" s="195"/>
      <c r="H45" s="195"/>
      <c r="I45" s="195"/>
      <c r="J45" s="195"/>
      <c r="K45" s="195"/>
      <c r="L45" s="195"/>
      <c r="M45" s="195"/>
      <c r="N45" s="195"/>
      <c r="O45" s="195"/>
      <c r="P45" s="454"/>
    </row>
    <row r="46" spans="2:16">
      <c r="B46" s="453"/>
      <c r="C46" s="195"/>
      <c r="D46" s="195"/>
      <c r="E46" s="195"/>
      <c r="F46" s="195"/>
      <c r="G46" s="195"/>
      <c r="H46" s="195"/>
      <c r="I46" s="195"/>
      <c r="J46" s="195"/>
      <c r="K46" s="195"/>
      <c r="L46" s="195"/>
      <c r="M46" s="195"/>
      <c r="N46" s="195"/>
      <c r="O46" s="195"/>
      <c r="P46" s="454"/>
    </row>
    <row r="47" spans="2:16">
      <c r="B47" s="453"/>
      <c r="C47" s="195"/>
      <c r="D47" s="195"/>
      <c r="E47" s="195"/>
      <c r="F47" s="195"/>
      <c r="G47" s="195"/>
      <c r="H47" s="195"/>
      <c r="I47" s="195"/>
      <c r="J47" s="195"/>
      <c r="K47" s="195"/>
      <c r="L47" s="195"/>
      <c r="M47" s="195"/>
      <c r="N47" s="195"/>
      <c r="O47" s="195"/>
      <c r="P47" s="454"/>
    </row>
    <row r="48" spans="2:16">
      <c r="B48" s="453"/>
      <c r="C48" s="195"/>
      <c r="D48" s="195"/>
      <c r="E48" s="195"/>
      <c r="F48" s="195"/>
      <c r="G48" s="195"/>
      <c r="H48" s="195"/>
      <c r="I48" s="195"/>
      <c r="J48" s="195"/>
      <c r="K48" s="195"/>
      <c r="L48" s="195"/>
      <c r="M48" s="195"/>
      <c r="N48" s="195"/>
      <c r="O48" s="195"/>
      <c r="P48" s="454"/>
    </row>
    <row r="49" spans="2:16">
      <c r="B49" s="453"/>
      <c r="C49" s="195"/>
      <c r="D49" s="195"/>
      <c r="E49" s="195"/>
      <c r="F49" s="195"/>
      <c r="G49" s="195"/>
      <c r="H49" s="195"/>
      <c r="I49" s="195"/>
      <c r="J49" s="195"/>
      <c r="K49" s="195"/>
      <c r="L49" s="195"/>
      <c r="M49" s="195"/>
      <c r="N49" s="195"/>
      <c r="O49" s="195"/>
      <c r="P49" s="454"/>
    </row>
    <row r="50" spans="2:16">
      <c r="B50" s="453"/>
      <c r="C50" s="195"/>
      <c r="D50" s="195"/>
      <c r="E50" s="195"/>
      <c r="F50" s="195"/>
      <c r="G50" s="195"/>
      <c r="H50" s="195"/>
      <c r="I50" s="195"/>
      <c r="J50" s="195"/>
      <c r="K50" s="195"/>
      <c r="L50" s="195"/>
      <c r="M50" s="195"/>
      <c r="N50" s="195"/>
      <c r="O50" s="195"/>
      <c r="P50" s="454"/>
    </row>
    <row r="51" spans="2:16">
      <c r="B51" s="453"/>
      <c r="C51" s="195"/>
      <c r="D51" s="195"/>
      <c r="E51" s="195"/>
      <c r="F51" s="195"/>
      <c r="G51" s="195"/>
      <c r="H51" s="195"/>
      <c r="I51" s="195"/>
      <c r="J51" s="195"/>
      <c r="K51" s="195"/>
      <c r="L51" s="195"/>
      <c r="M51" s="195"/>
      <c r="N51" s="195"/>
      <c r="O51" s="195"/>
      <c r="P51" s="454"/>
    </row>
    <row r="52" spans="2:16">
      <c r="B52" s="453"/>
      <c r="C52" s="195"/>
      <c r="D52" s="195"/>
      <c r="E52" s="195"/>
      <c r="F52" s="195"/>
      <c r="G52" s="195"/>
      <c r="H52" s="195"/>
      <c r="I52" s="195"/>
      <c r="J52" s="195"/>
      <c r="K52" s="195"/>
      <c r="L52" s="195"/>
      <c r="M52" s="195"/>
      <c r="N52" s="195"/>
      <c r="O52" s="195"/>
      <c r="P52" s="454"/>
    </row>
    <row r="53" spans="2:16">
      <c r="B53" s="453"/>
      <c r="C53" s="195"/>
      <c r="D53" s="195"/>
      <c r="E53" s="195"/>
      <c r="F53" s="195"/>
      <c r="G53" s="195"/>
      <c r="H53" s="195"/>
      <c r="I53" s="195"/>
      <c r="J53" s="195"/>
      <c r="K53" s="195"/>
      <c r="L53" s="195"/>
      <c r="M53" s="195"/>
      <c r="N53" s="195"/>
      <c r="O53" s="195"/>
      <c r="P53" s="454"/>
    </row>
    <row r="54" spans="2:16">
      <c r="B54" s="453"/>
      <c r="C54" s="195"/>
      <c r="D54" s="195"/>
      <c r="E54" s="195"/>
      <c r="F54" s="195"/>
      <c r="G54" s="195"/>
      <c r="H54" s="195"/>
      <c r="I54" s="195"/>
      <c r="J54" s="195"/>
      <c r="K54" s="195"/>
      <c r="L54" s="195"/>
      <c r="M54" s="195"/>
      <c r="N54" s="195"/>
      <c r="O54" s="195"/>
      <c r="P54" s="454"/>
    </row>
    <row r="55" spans="2:16">
      <c r="B55" s="453"/>
      <c r="C55" s="195"/>
      <c r="D55" s="195"/>
      <c r="E55" s="195"/>
      <c r="F55" s="195"/>
      <c r="G55" s="195"/>
      <c r="H55" s="195"/>
      <c r="I55" s="195"/>
      <c r="J55" s="195"/>
      <c r="K55" s="195"/>
      <c r="L55" s="195"/>
      <c r="M55" s="195"/>
      <c r="N55" s="195"/>
      <c r="O55" s="195"/>
      <c r="P55" s="454"/>
    </row>
    <row r="56" spans="2:16">
      <c r="B56" s="453"/>
      <c r="C56" s="195"/>
      <c r="D56" s="195"/>
      <c r="E56" s="195"/>
      <c r="F56" s="195"/>
      <c r="G56" s="195"/>
      <c r="H56" s="195"/>
      <c r="I56" s="195"/>
      <c r="J56" s="195"/>
      <c r="K56" s="195"/>
      <c r="L56" s="195"/>
      <c r="M56" s="195"/>
      <c r="N56" s="195"/>
      <c r="O56" s="195"/>
      <c r="P56" s="454"/>
    </row>
    <row r="57" spans="2:16">
      <c r="B57" s="453"/>
      <c r="C57" s="195"/>
      <c r="D57" s="195"/>
      <c r="E57" s="195"/>
      <c r="F57" s="195"/>
      <c r="G57" s="195"/>
      <c r="H57" s="195"/>
      <c r="I57" s="195"/>
      <c r="J57" s="195"/>
      <c r="K57" s="195"/>
      <c r="L57" s="195"/>
      <c r="M57" s="195"/>
      <c r="N57" s="195"/>
      <c r="O57" s="195"/>
      <c r="P57" s="454"/>
    </row>
    <row r="58" spans="2:16">
      <c r="B58" s="453"/>
      <c r="C58" s="195"/>
      <c r="D58" s="195"/>
      <c r="E58" s="195"/>
      <c r="F58" s="195"/>
      <c r="G58" s="195"/>
      <c r="H58" s="195"/>
      <c r="I58" s="195"/>
      <c r="J58" s="195"/>
      <c r="K58" s="195"/>
      <c r="L58" s="195"/>
      <c r="M58" s="195"/>
      <c r="N58" s="195"/>
      <c r="O58" s="195"/>
      <c r="P58" s="454"/>
    </row>
    <row r="59" spans="2:16">
      <c r="B59" s="453"/>
      <c r="C59" s="195"/>
      <c r="D59" s="195"/>
      <c r="E59" s="195"/>
      <c r="F59" s="195"/>
      <c r="G59" s="195"/>
      <c r="H59" s="195"/>
      <c r="I59" s="195"/>
      <c r="J59" s="195"/>
      <c r="K59" s="195"/>
      <c r="L59" s="195"/>
      <c r="M59" s="195"/>
      <c r="N59" s="195"/>
      <c r="O59" s="195"/>
      <c r="P59" s="454"/>
    </row>
    <row r="60" spans="2:16">
      <c r="B60" s="453"/>
      <c r="C60" s="195"/>
      <c r="D60" s="195"/>
      <c r="E60" s="195"/>
      <c r="F60" s="195"/>
      <c r="G60" s="195"/>
      <c r="H60" s="195"/>
      <c r="I60" s="195"/>
      <c r="J60" s="195"/>
      <c r="K60" s="195"/>
      <c r="L60" s="195"/>
      <c r="M60" s="195"/>
      <c r="N60" s="195"/>
      <c r="O60" s="195"/>
      <c r="P60" s="454"/>
    </row>
    <row r="61" spans="2:16">
      <c r="B61" s="453"/>
      <c r="C61" s="195"/>
      <c r="D61" s="195"/>
      <c r="E61" s="195"/>
      <c r="F61" s="195"/>
      <c r="G61" s="195"/>
      <c r="H61" s="195"/>
      <c r="I61" s="195"/>
      <c r="J61" s="195"/>
      <c r="K61" s="195"/>
      <c r="L61" s="195"/>
      <c r="M61" s="195"/>
      <c r="N61" s="195"/>
      <c r="O61" s="195"/>
      <c r="P61" s="454"/>
    </row>
    <row r="62" spans="2:16">
      <c r="B62" s="453"/>
      <c r="C62" s="195"/>
      <c r="D62" s="195"/>
      <c r="E62" s="195"/>
      <c r="F62" s="195"/>
      <c r="G62" s="195"/>
      <c r="H62" s="195"/>
      <c r="I62" s="195"/>
      <c r="J62" s="195"/>
      <c r="K62" s="195"/>
      <c r="L62" s="195"/>
      <c r="M62" s="195"/>
      <c r="N62" s="195"/>
      <c r="O62" s="195"/>
      <c r="P62" s="454"/>
    </row>
    <row r="63" spans="2:16">
      <c r="B63" s="453"/>
      <c r="C63" s="195"/>
      <c r="D63" s="195"/>
      <c r="E63" s="195"/>
      <c r="F63" s="195"/>
      <c r="G63" s="195"/>
      <c r="H63" s="195"/>
      <c r="I63" s="195"/>
      <c r="J63" s="195"/>
      <c r="K63" s="195"/>
      <c r="L63" s="195"/>
      <c r="M63" s="195"/>
      <c r="N63" s="195"/>
      <c r="O63" s="195"/>
      <c r="P63" s="454"/>
    </row>
    <row r="64" spans="2:16">
      <c r="B64" s="453"/>
      <c r="C64" s="195"/>
      <c r="D64" s="195"/>
      <c r="E64" s="195"/>
      <c r="F64" s="195"/>
      <c r="G64" s="195"/>
      <c r="H64" s="195"/>
      <c r="I64" s="195"/>
      <c r="J64" s="195"/>
      <c r="K64" s="195"/>
      <c r="L64" s="195"/>
      <c r="M64" s="195"/>
      <c r="N64" s="195"/>
      <c r="O64" s="195"/>
      <c r="P64" s="454"/>
    </row>
    <row r="65" spans="2:16">
      <c r="B65" s="453"/>
      <c r="C65" s="195"/>
      <c r="D65" s="195"/>
      <c r="E65" s="195"/>
      <c r="F65" s="195"/>
      <c r="G65" s="195"/>
      <c r="H65" s="195"/>
      <c r="I65" s="195"/>
      <c r="J65" s="195"/>
      <c r="K65" s="195"/>
      <c r="L65" s="195"/>
      <c r="M65" s="195"/>
      <c r="N65" s="195"/>
      <c r="O65" s="195"/>
      <c r="P65" s="454"/>
    </row>
    <row r="66" spans="2:16">
      <c r="B66" s="453"/>
      <c r="C66" s="195"/>
      <c r="D66" s="195"/>
      <c r="E66" s="195"/>
      <c r="F66" s="195"/>
      <c r="G66" s="195"/>
      <c r="H66" s="195"/>
      <c r="I66" s="195"/>
      <c r="J66" s="195"/>
      <c r="K66" s="195"/>
      <c r="L66" s="195"/>
      <c r="M66" s="195"/>
      <c r="N66" s="195"/>
      <c r="O66" s="195"/>
      <c r="P66" s="454"/>
    </row>
    <row r="67" spans="2:16">
      <c r="B67" s="453"/>
      <c r="C67" s="195"/>
      <c r="D67" s="195"/>
      <c r="E67" s="195"/>
      <c r="F67" s="195"/>
      <c r="G67" s="195"/>
      <c r="H67" s="195"/>
      <c r="I67" s="195"/>
      <c r="J67" s="195"/>
      <c r="K67" s="195"/>
      <c r="L67" s="195"/>
      <c r="M67" s="195"/>
      <c r="N67" s="195"/>
      <c r="O67" s="195"/>
      <c r="P67" s="454"/>
    </row>
    <row r="68" spans="2:16">
      <c r="B68" s="453"/>
      <c r="C68" s="195"/>
      <c r="D68" s="195"/>
      <c r="E68" s="195"/>
      <c r="F68" s="195"/>
      <c r="G68" s="195"/>
      <c r="H68" s="195"/>
      <c r="I68" s="195"/>
      <c r="J68" s="195"/>
      <c r="K68" s="195"/>
      <c r="L68" s="195"/>
      <c r="M68" s="195"/>
      <c r="N68" s="195"/>
      <c r="O68" s="195"/>
      <c r="P68" s="454"/>
    </row>
    <row r="69" spans="2:16">
      <c r="B69" s="453"/>
      <c r="C69" s="195"/>
      <c r="D69" s="195"/>
      <c r="E69" s="195"/>
      <c r="F69" s="195"/>
      <c r="G69" s="195"/>
      <c r="H69" s="195"/>
      <c r="I69" s="195"/>
      <c r="J69" s="195"/>
      <c r="K69" s="195"/>
      <c r="L69" s="195"/>
      <c r="M69" s="195"/>
      <c r="N69" s="195"/>
      <c r="O69" s="195"/>
      <c r="P69" s="454"/>
    </row>
    <row r="70" spans="2:16">
      <c r="B70" s="453"/>
      <c r="C70" s="195"/>
      <c r="D70" s="195"/>
      <c r="E70" s="195"/>
      <c r="F70" s="195"/>
      <c r="G70" s="195"/>
      <c r="H70" s="195"/>
      <c r="I70" s="195"/>
      <c r="J70" s="195"/>
      <c r="K70" s="195"/>
      <c r="L70" s="195"/>
      <c r="M70" s="195"/>
      <c r="N70" s="195"/>
      <c r="O70" s="195"/>
      <c r="P70" s="454"/>
    </row>
    <row r="71" spans="2:16">
      <c r="B71" s="453"/>
      <c r="C71" s="195"/>
      <c r="D71" s="195"/>
      <c r="E71" s="195"/>
      <c r="F71" s="195"/>
      <c r="G71" s="195"/>
      <c r="H71" s="195"/>
      <c r="I71" s="195"/>
      <c r="J71" s="195"/>
      <c r="K71" s="195"/>
      <c r="L71" s="195"/>
      <c r="M71" s="195"/>
      <c r="N71" s="195"/>
      <c r="O71" s="195"/>
      <c r="P71" s="454"/>
    </row>
    <row r="72" spans="2:16">
      <c r="B72" s="453"/>
      <c r="C72" s="195"/>
      <c r="D72" s="195"/>
      <c r="E72" s="195"/>
      <c r="F72" s="195"/>
      <c r="G72" s="195"/>
      <c r="H72" s="195"/>
      <c r="I72" s="195"/>
      <c r="J72" s="195"/>
      <c r="K72" s="195"/>
      <c r="L72" s="195"/>
      <c r="M72" s="195"/>
      <c r="N72" s="195"/>
      <c r="O72" s="195"/>
      <c r="P72" s="454"/>
    </row>
    <row r="73" spans="2:16" ht="36">
      <c r="B73" s="455"/>
      <c r="C73" s="449"/>
      <c r="D73" s="449"/>
      <c r="E73" s="449"/>
      <c r="F73" s="449"/>
      <c r="G73" s="449"/>
      <c r="H73" s="449"/>
      <c r="I73" s="449"/>
      <c r="J73" s="449"/>
      <c r="K73" s="449"/>
      <c r="L73" s="449"/>
      <c r="M73" s="449"/>
      <c r="N73" s="449"/>
      <c r="O73" s="449"/>
      <c r="P73" s="456"/>
    </row>
    <row r="74" spans="2:16" ht="15.75" thickBot="1">
      <c r="B74" s="457"/>
      <c r="C74" s="458"/>
      <c r="D74" s="458"/>
      <c r="E74" s="458"/>
      <c r="F74" s="458"/>
      <c r="G74" s="458"/>
      <c r="H74" s="458"/>
      <c r="I74" s="458"/>
      <c r="J74" s="458"/>
      <c r="K74" s="458"/>
      <c r="L74" s="458"/>
      <c r="M74" s="458"/>
      <c r="N74" s="458"/>
      <c r="O74" s="458"/>
      <c r="P74" s="459"/>
    </row>
  </sheetData>
  <mergeCells count="1">
    <mergeCell ref="B4:D4"/>
  </mergeCells>
  <pageMargins left="0.7" right="0.7" top="0.75" bottom="0.75" header="0.3" footer="0.3"/>
  <pageSetup paperSize="9"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G13" sqref="G13"/>
    </sheetView>
  </sheetViews>
  <sheetFormatPr defaultColWidth="9.140625" defaultRowHeight="15"/>
  <cols>
    <col min="1" max="1" width="22.7109375" style="1" bestFit="1" customWidth="1"/>
    <col min="2" max="2" width="21.140625" style="1" customWidth="1"/>
    <col min="3" max="3" width="33.85546875" style="1" customWidth="1"/>
    <col min="4" max="4" width="9.85546875" style="317" bestFit="1" customWidth="1"/>
    <col min="5" max="5" width="15.28515625" style="312" customWidth="1"/>
    <col min="6" max="6" width="7.28515625" style="312" bestFit="1" customWidth="1"/>
    <col min="7" max="7" width="22.7109375" style="318" bestFit="1" customWidth="1"/>
    <col min="8" max="8" width="9.140625" style="1"/>
    <col min="9" max="9" width="35.7109375" style="1" customWidth="1"/>
    <col min="10" max="16384" width="9.140625" style="1"/>
  </cols>
  <sheetData>
    <row r="1" spans="1:11" ht="23.25">
      <c r="A1" s="874" t="s">
        <v>799</v>
      </c>
      <c r="B1" s="875"/>
      <c r="C1" s="875"/>
      <c r="D1" s="700"/>
      <c r="E1" s="701"/>
      <c r="F1" s="701"/>
      <c r="G1" s="702"/>
      <c r="H1" s="703"/>
    </row>
    <row r="2" spans="1:11" ht="15.75" thickBot="1">
      <c r="A2" s="704">
        <f>Report_Date</f>
        <v>42522</v>
      </c>
      <c r="B2" s="705"/>
      <c r="C2" s="705"/>
      <c r="D2" s="705"/>
      <c r="E2" s="706"/>
      <c r="F2" s="706"/>
      <c r="G2" s="707"/>
      <c r="H2" s="708"/>
    </row>
    <row r="3" spans="1:11" ht="15.75" thickBot="1"/>
    <row r="4" spans="1:11" ht="15.75" thickBot="1">
      <c r="A4" s="727" t="s">
        <v>354</v>
      </c>
      <c r="B4" s="728" t="s">
        <v>357</v>
      </c>
    </row>
    <row r="5" spans="1:11" ht="15.75" thickBot="1">
      <c r="A5" s="727" t="s">
        <v>24</v>
      </c>
      <c r="B5" s="728" t="s">
        <v>794</v>
      </c>
    </row>
    <row r="6" spans="1:11" ht="15.75" thickBot="1"/>
    <row r="7" spans="1:11" ht="15.75" thickBot="1">
      <c r="A7" s="697" t="s">
        <v>0</v>
      </c>
      <c r="B7" s="713" t="s">
        <v>9</v>
      </c>
      <c r="C7" s="729" t="s">
        <v>8</v>
      </c>
      <c r="D7" s="745" t="s">
        <v>673</v>
      </c>
      <c r="E7" s="746" t="s">
        <v>832</v>
      </c>
      <c r="F7" s="747" t="s">
        <v>826</v>
      </c>
      <c r="G7" s="748" t="s">
        <v>1032</v>
      </c>
      <c r="H7"/>
      <c r="I7"/>
    </row>
    <row r="8" spans="1:11" ht="15.75" thickBot="1">
      <c r="A8" s="862" t="s">
        <v>14</v>
      </c>
      <c r="B8" s="822" t="s">
        <v>40</v>
      </c>
      <c r="C8" s="188" t="s">
        <v>127</v>
      </c>
      <c r="D8" s="736">
        <v>1228</v>
      </c>
      <c r="E8" s="737">
        <v>4357</v>
      </c>
      <c r="F8" s="738">
        <v>1</v>
      </c>
      <c r="G8" s="739">
        <v>0.62540716612377845</v>
      </c>
      <c r="H8"/>
      <c r="I8"/>
    </row>
    <row r="9" spans="1:11" ht="15.75" thickBot="1">
      <c r="A9" s="869"/>
      <c r="B9" s="823" t="s">
        <v>42</v>
      </c>
      <c r="C9" s="188" t="s">
        <v>129</v>
      </c>
      <c r="D9" s="740">
        <v>1152</v>
      </c>
      <c r="E9" s="715">
        <v>5060</v>
      </c>
      <c r="F9" s="65">
        <v>1</v>
      </c>
      <c r="G9" s="730">
        <v>0.84027777777777779</v>
      </c>
      <c r="H9"/>
      <c r="I9"/>
    </row>
    <row r="10" spans="1:11" s="312" customFormat="1" ht="15.75" thickBot="1">
      <c r="A10" s="869"/>
      <c r="B10" s="823" t="s">
        <v>41</v>
      </c>
      <c r="C10" s="188" t="s">
        <v>128</v>
      </c>
      <c r="D10" s="740">
        <v>857</v>
      </c>
      <c r="E10" s="715">
        <v>3344</v>
      </c>
      <c r="F10" s="65">
        <v>1</v>
      </c>
      <c r="G10" s="730">
        <v>1</v>
      </c>
      <c r="H10"/>
      <c r="I10"/>
    </row>
    <row r="11" spans="1:11" ht="15.75" thickBot="1">
      <c r="A11" s="870"/>
      <c r="B11" s="722" t="s">
        <v>43</v>
      </c>
      <c r="C11" s="188" t="s">
        <v>130</v>
      </c>
      <c r="D11" s="741">
        <v>794</v>
      </c>
      <c r="E11" s="725">
        <v>2668</v>
      </c>
      <c r="F11" s="290">
        <v>1</v>
      </c>
      <c r="G11" s="731">
        <v>1</v>
      </c>
      <c r="H11"/>
      <c r="I11"/>
    </row>
    <row r="12" spans="1:11" ht="15.75" thickBot="1">
      <c r="A12" s="852" t="s">
        <v>666</v>
      </c>
      <c r="B12" s="866"/>
      <c r="C12" s="867"/>
      <c r="D12" s="742">
        <v>4031</v>
      </c>
      <c r="E12" s="724">
        <v>15429</v>
      </c>
      <c r="F12" s="726">
        <v>4</v>
      </c>
      <c r="G12" s="732">
        <v>3.4656849439015565</v>
      </c>
      <c r="H12"/>
      <c r="I12"/>
    </row>
    <row r="13" spans="1:11" ht="15.75" thickBot="1">
      <c r="A13" s="862" t="s">
        <v>19</v>
      </c>
      <c r="B13" s="822" t="s">
        <v>61</v>
      </c>
      <c r="C13" s="188" t="s">
        <v>150</v>
      </c>
      <c r="D13" s="740">
        <v>397</v>
      </c>
      <c r="E13" s="715">
        <v>2104</v>
      </c>
      <c r="F13" s="65">
        <v>1</v>
      </c>
      <c r="G13" s="730">
        <v>1</v>
      </c>
      <c r="H13"/>
      <c r="I13"/>
    </row>
    <row r="14" spans="1:11" ht="15.75" thickBot="1">
      <c r="A14" s="869"/>
      <c r="B14" s="823" t="s">
        <v>568</v>
      </c>
      <c r="C14" s="188" t="s">
        <v>569</v>
      </c>
      <c r="D14" s="740">
        <v>41</v>
      </c>
      <c r="E14" s="715">
        <v>226</v>
      </c>
      <c r="F14" s="65">
        <v>1</v>
      </c>
      <c r="G14" s="716">
        <v>0</v>
      </c>
      <c r="H14"/>
      <c r="I14"/>
    </row>
    <row r="15" spans="1:11" ht="15.75" thickBot="1">
      <c r="A15" s="869"/>
      <c r="B15" s="823" t="s">
        <v>648</v>
      </c>
      <c r="C15" s="188" t="s">
        <v>650</v>
      </c>
      <c r="D15" s="740">
        <v>997</v>
      </c>
      <c r="E15" s="715">
        <v>4851</v>
      </c>
      <c r="F15" s="65">
        <v>1</v>
      </c>
      <c r="G15" s="730">
        <v>1</v>
      </c>
      <c r="H15"/>
      <c r="I15"/>
    </row>
    <row r="16" spans="1:11" ht="15.75" thickBot="1">
      <c r="A16" s="869"/>
      <c r="B16" s="823" t="s">
        <v>649</v>
      </c>
      <c r="C16" s="188" t="s">
        <v>651</v>
      </c>
      <c r="D16" s="740">
        <v>1297</v>
      </c>
      <c r="E16" s="715">
        <v>6917</v>
      </c>
      <c r="F16" s="65">
        <v>1</v>
      </c>
      <c r="G16" s="730">
        <v>1</v>
      </c>
      <c r="H16"/>
      <c r="I16"/>
      <c r="K16" s="1" t="s">
        <v>800</v>
      </c>
    </row>
    <row r="17" spans="1:9" ht="15.75" thickBot="1">
      <c r="A17" s="869"/>
      <c r="B17" s="823" t="s">
        <v>63</v>
      </c>
      <c r="C17" s="188" t="s">
        <v>152</v>
      </c>
      <c r="D17" s="740">
        <v>1397</v>
      </c>
      <c r="E17" s="715">
        <v>8189</v>
      </c>
      <c r="F17" s="65">
        <v>1</v>
      </c>
      <c r="G17" s="730">
        <v>1</v>
      </c>
      <c r="H17"/>
      <c r="I17"/>
    </row>
    <row r="18" spans="1:9" ht="15.75" thickBot="1">
      <c r="A18" s="869"/>
      <c r="B18" s="823" t="s">
        <v>557</v>
      </c>
      <c r="C18" s="188" t="s">
        <v>558</v>
      </c>
      <c r="D18" s="740">
        <v>518</v>
      </c>
      <c r="E18" s="715">
        <v>2951</v>
      </c>
      <c r="F18" s="65">
        <v>1</v>
      </c>
      <c r="G18" s="716">
        <v>0</v>
      </c>
      <c r="H18"/>
      <c r="I18"/>
    </row>
    <row r="19" spans="1:9" ht="15.75" thickBot="1">
      <c r="A19" s="869"/>
      <c r="B19" s="823" t="s">
        <v>64</v>
      </c>
      <c r="C19" s="188" t="s">
        <v>153</v>
      </c>
      <c r="D19" s="740">
        <v>799</v>
      </c>
      <c r="E19" s="715">
        <v>4285</v>
      </c>
      <c r="F19" s="65">
        <v>1</v>
      </c>
      <c r="G19" s="730">
        <v>1</v>
      </c>
      <c r="H19"/>
      <c r="I19"/>
    </row>
    <row r="20" spans="1:9" ht="15.75" thickBot="1">
      <c r="A20" s="869"/>
      <c r="B20" s="823" t="s">
        <v>647</v>
      </c>
      <c r="C20" s="188" t="s">
        <v>283</v>
      </c>
      <c r="D20" s="740">
        <v>624</v>
      </c>
      <c r="E20" s="715">
        <v>3352</v>
      </c>
      <c r="F20" s="65">
        <v>1</v>
      </c>
      <c r="G20" s="730">
        <v>1</v>
      </c>
      <c r="H20"/>
      <c r="I20"/>
    </row>
    <row r="21" spans="1:9" ht="15.75" thickBot="1">
      <c r="A21" s="869"/>
      <c r="B21" s="823" t="s">
        <v>652</v>
      </c>
      <c r="C21" s="188" t="s">
        <v>560</v>
      </c>
      <c r="D21" s="740">
        <v>649</v>
      </c>
      <c r="E21" s="715">
        <v>3389</v>
      </c>
      <c r="F21" s="65">
        <v>1</v>
      </c>
      <c r="G21" s="730">
        <v>0.98613251155624038</v>
      </c>
      <c r="H21"/>
      <c r="I21"/>
    </row>
    <row r="22" spans="1:9" ht="15.75" thickBot="1">
      <c r="A22" s="869"/>
      <c r="B22" s="823" t="s">
        <v>653</v>
      </c>
      <c r="C22" s="188" t="s">
        <v>655</v>
      </c>
      <c r="D22" s="740">
        <v>2629</v>
      </c>
      <c r="E22" s="715">
        <v>13655</v>
      </c>
      <c r="F22" s="65">
        <v>1</v>
      </c>
      <c r="G22" s="730">
        <v>1</v>
      </c>
      <c r="H22"/>
      <c r="I22"/>
    </row>
    <row r="23" spans="1:9" ht="15.75" thickBot="1">
      <c r="A23" s="869"/>
      <c r="B23" s="823" t="s">
        <v>654</v>
      </c>
      <c r="C23" s="188" t="s">
        <v>656</v>
      </c>
      <c r="D23" s="740">
        <v>2245</v>
      </c>
      <c r="E23" s="715">
        <v>11731</v>
      </c>
      <c r="F23" s="65">
        <v>1</v>
      </c>
      <c r="G23" s="730">
        <v>1</v>
      </c>
      <c r="H23"/>
      <c r="I23"/>
    </row>
    <row r="24" spans="1:9" ht="15.75" thickBot="1">
      <c r="A24" s="869"/>
      <c r="B24" s="823" t="s">
        <v>67</v>
      </c>
      <c r="C24" s="188" t="s">
        <v>156</v>
      </c>
      <c r="D24" s="740">
        <v>2436</v>
      </c>
      <c r="E24" s="715">
        <v>12178</v>
      </c>
      <c r="F24" s="65">
        <v>1</v>
      </c>
      <c r="G24" s="730">
        <v>1</v>
      </c>
      <c r="H24"/>
      <c r="I24"/>
    </row>
    <row r="25" spans="1:9" ht="15.75" thickBot="1">
      <c r="A25" s="869"/>
      <c r="B25" s="823" t="s">
        <v>68</v>
      </c>
      <c r="C25" s="188" t="s">
        <v>157</v>
      </c>
      <c r="D25" s="740">
        <v>2145</v>
      </c>
      <c r="E25" s="715">
        <v>11703</v>
      </c>
      <c r="F25" s="65">
        <v>1</v>
      </c>
      <c r="G25" s="730">
        <v>0</v>
      </c>
      <c r="H25"/>
      <c r="I25"/>
    </row>
    <row r="26" spans="1:9" ht="15.75" thickBot="1">
      <c r="A26" s="869"/>
      <c r="B26" s="823" t="s">
        <v>70</v>
      </c>
      <c r="C26" s="188" t="s">
        <v>159</v>
      </c>
      <c r="D26" s="740">
        <v>984</v>
      </c>
      <c r="E26" s="715">
        <v>5656</v>
      </c>
      <c r="F26" s="65">
        <v>1</v>
      </c>
      <c r="G26" s="730">
        <v>1</v>
      </c>
      <c r="H26"/>
      <c r="I26"/>
    </row>
    <row r="27" spans="1:9" ht="15.75" thickBot="1">
      <c r="A27" s="869"/>
      <c r="B27" s="823" t="s">
        <v>555</v>
      </c>
      <c r="C27" s="188" t="s">
        <v>282</v>
      </c>
      <c r="D27" s="740">
        <v>496</v>
      </c>
      <c r="E27" s="715">
        <v>2942</v>
      </c>
      <c r="F27" s="65">
        <v>1</v>
      </c>
      <c r="G27" s="716">
        <v>0</v>
      </c>
      <c r="H27"/>
      <c r="I27"/>
    </row>
    <row r="28" spans="1:9" ht="15.75" thickBot="1">
      <c r="A28" s="870"/>
      <c r="B28" s="722" t="s">
        <v>80</v>
      </c>
      <c r="C28" s="188" t="s">
        <v>169</v>
      </c>
      <c r="D28" s="741">
        <v>7</v>
      </c>
      <c r="E28" s="725">
        <v>27</v>
      </c>
      <c r="F28" s="290">
        <v>1</v>
      </c>
      <c r="G28" s="717">
        <v>0</v>
      </c>
      <c r="H28"/>
      <c r="I28"/>
    </row>
    <row r="29" spans="1:9" ht="15.75" thickBot="1">
      <c r="A29" s="852" t="s">
        <v>663</v>
      </c>
      <c r="B29" s="866"/>
      <c r="C29" s="867"/>
      <c r="D29" s="743">
        <v>17661</v>
      </c>
      <c r="E29" s="724">
        <v>94156</v>
      </c>
      <c r="F29" s="723">
        <v>16</v>
      </c>
      <c r="G29" s="732">
        <v>10.98613251155624</v>
      </c>
      <c r="H29"/>
      <c r="I29"/>
    </row>
    <row r="30" spans="1:9" ht="15.75" thickBot="1">
      <c r="A30" s="858" t="s">
        <v>900</v>
      </c>
      <c r="B30" s="822" t="s">
        <v>37</v>
      </c>
      <c r="C30" s="188" t="s">
        <v>124</v>
      </c>
      <c r="D30" s="740">
        <v>42</v>
      </c>
      <c r="E30" s="715">
        <v>204</v>
      </c>
      <c r="F30" s="65">
        <v>1</v>
      </c>
      <c r="G30" s="730">
        <v>1</v>
      </c>
      <c r="H30"/>
      <c r="I30"/>
    </row>
    <row r="31" spans="1:9" ht="15.75" thickBot="1">
      <c r="A31" s="865"/>
      <c r="B31" s="722" t="s">
        <v>38</v>
      </c>
      <c r="C31" s="188" t="s">
        <v>125</v>
      </c>
      <c r="D31" s="741">
        <v>682</v>
      </c>
      <c r="E31" s="725">
        <v>2718</v>
      </c>
      <c r="F31" s="290">
        <v>1</v>
      </c>
      <c r="G31" s="731">
        <v>1</v>
      </c>
      <c r="H31"/>
      <c r="I31"/>
    </row>
    <row r="32" spans="1:9" ht="15.75" thickBot="1">
      <c r="A32" s="852" t="s">
        <v>901</v>
      </c>
      <c r="B32" s="853"/>
      <c r="C32" s="854"/>
      <c r="D32" s="743">
        <v>724</v>
      </c>
      <c r="E32" s="724">
        <v>2922</v>
      </c>
      <c r="F32" s="723">
        <v>2</v>
      </c>
      <c r="G32" s="732">
        <v>2</v>
      </c>
      <c r="H32"/>
      <c r="I32"/>
    </row>
    <row r="33" spans="1:9" ht="15.75" thickBot="1">
      <c r="A33" s="871" t="s">
        <v>215</v>
      </c>
      <c r="B33" s="872"/>
      <c r="C33" s="873"/>
      <c r="D33" s="744">
        <v>22416</v>
      </c>
      <c r="E33" s="733">
        <v>112507</v>
      </c>
      <c r="F33" s="734">
        <v>22</v>
      </c>
      <c r="G33" s="735">
        <v>16.4518174554578</v>
      </c>
      <c r="H33"/>
      <c r="I33"/>
    </row>
    <row r="34" spans="1:9">
      <c r="A34" s="100"/>
      <c r="B34" s="100"/>
      <c r="C34" s="100"/>
      <c r="D34" s="100"/>
      <c r="E34" s="100"/>
      <c r="F34" s="100"/>
      <c r="G34" s="100"/>
      <c r="H34"/>
      <c r="I34"/>
    </row>
    <row r="35" spans="1:9">
      <c r="A35" s="100"/>
      <c r="B35" s="100"/>
      <c r="C35" s="100"/>
      <c r="D35" s="100"/>
      <c r="E35" s="100"/>
      <c r="F35" s="100"/>
      <c r="G35" s="100"/>
    </row>
    <row r="36" spans="1:9">
      <c r="A36" s="100"/>
      <c r="B36" s="100"/>
      <c r="C36" s="100"/>
      <c r="D36" s="100"/>
      <c r="E36" s="100"/>
      <c r="F36" s="100"/>
      <c r="G36" s="100"/>
    </row>
    <row r="37" spans="1:9">
      <c r="A37" s="100"/>
      <c r="B37" s="100"/>
      <c r="C37" s="100"/>
      <c r="D37" s="100"/>
      <c r="E37" s="100"/>
      <c r="F37" s="100"/>
      <c r="G37" s="100"/>
    </row>
    <row r="38" spans="1:9">
      <c r="A38" s="100"/>
      <c r="B38" s="100"/>
      <c r="C38" s="100"/>
      <c r="D38" s="100"/>
      <c r="E38" s="100"/>
      <c r="F38" s="100"/>
      <c r="G38" s="100"/>
    </row>
    <row r="39" spans="1:9">
      <c r="A39" s="100"/>
      <c r="B39" s="100"/>
      <c r="C39" s="100"/>
      <c r="D39" s="100"/>
      <c r="E39" s="100"/>
      <c r="F39" s="100"/>
      <c r="G39" s="100"/>
    </row>
  </sheetData>
  <mergeCells count="8">
    <mergeCell ref="A1:C1"/>
    <mergeCell ref="A8:A11"/>
    <mergeCell ref="A12:C12"/>
    <mergeCell ref="A13:A28"/>
    <mergeCell ref="A29:C29"/>
    <mergeCell ref="A30:A31"/>
    <mergeCell ref="A32:C32"/>
    <mergeCell ref="A33:C33"/>
  </mergeCells>
  <pageMargins left="0.7" right="0.7" top="0.75" bottom="0.75" header="0.3" footer="0.3"/>
  <pageSetup paperSize="9" scale="69"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S10" sqref="S10"/>
    </sheetView>
  </sheetViews>
  <sheetFormatPr defaultRowHeight="15"/>
  <cols>
    <col min="1" max="1" width="12.85546875" style="125" customWidth="1"/>
    <col min="2" max="2" width="14.7109375" customWidth="1"/>
    <col min="3" max="3" width="25" customWidth="1"/>
    <col min="4" max="4" width="13.42578125" customWidth="1"/>
    <col min="5" max="5" width="17.140625" customWidth="1"/>
    <col min="6" max="6" width="23.28515625" customWidth="1"/>
    <col min="7" max="9" width="16.42578125" customWidth="1"/>
    <col min="10" max="12" width="19.28515625" customWidth="1"/>
    <col min="13" max="13" width="15" customWidth="1"/>
    <col min="14" max="14" width="15.7109375" customWidth="1"/>
    <col min="15" max="15" width="11.85546875" customWidth="1"/>
    <col min="16" max="16" width="19.5703125" style="100" customWidth="1"/>
    <col min="17" max="19" width="12.85546875" style="100" customWidth="1"/>
    <col min="20" max="20" width="14" customWidth="1"/>
    <col min="21" max="21" width="14" style="100" customWidth="1"/>
    <col min="22" max="22" width="17.5703125" style="5" customWidth="1"/>
    <col min="23" max="23" width="12.7109375" style="123" customWidth="1"/>
    <col min="24" max="24" width="15.28515625" customWidth="1"/>
  </cols>
  <sheetData>
    <row r="1" spans="1:61" s="1" customFormat="1" ht="36">
      <c r="A1" s="228"/>
      <c r="B1" s="199"/>
      <c r="C1" s="199"/>
      <c r="D1" s="199"/>
      <c r="E1" s="199"/>
      <c r="F1" s="199"/>
      <c r="G1" s="199"/>
      <c r="H1" s="199"/>
      <c r="I1" s="199"/>
      <c r="J1" s="199"/>
      <c r="K1" s="199"/>
      <c r="L1" s="199"/>
      <c r="M1" s="199"/>
      <c r="N1" s="199"/>
      <c r="O1" s="199"/>
      <c r="P1" s="199"/>
      <c r="Q1" s="199"/>
      <c r="R1" s="199"/>
      <c r="S1" s="199"/>
      <c r="T1" s="229"/>
      <c r="U1" s="229"/>
      <c r="V1" s="229"/>
      <c r="W1" s="230"/>
      <c r="X1" s="195"/>
      <c r="BH1" s="78"/>
      <c r="BI1" s="78"/>
    </row>
    <row r="2" spans="1:61" s="1" customFormat="1" ht="36">
      <c r="A2" s="876" t="s">
        <v>813</v>
      </c>
      <c r="B2" s="877"/>
      <c r="C2" s="877"/>
      <c r="D2" s="199"/>
      <c r="E2" s="199"/>
      <c r="F2" s="199"/>
      <c r="G2" s="199"/>
      <c r="H2" s="199"/>
      <c r="I2" s="199"/>
      <c r="J2" s="199"/>
      <c r="K2" s="199"/>
      <c r="L2" s="199"/>
      <c r="M2" s="199"/>
      <c r="N2" s="199"/>
      <c r="O2" s="199"/>
      <c r="P2" s="199"/>
      <c r="Q2" s="199"/>
      <c r="R2" s="199"/>
      <c r="S2" s="199"/>
      <c r="T2" s="229"/>
      <c r="U2" s="229"/>
      <c r="V2" s="229"/>
      <c r="W2" s="230"/>
      <c r="X2" s="200"/>
      <c r="Y2" s="201"/>
      <c r="BH2" s="78"/>
      <c r="BI2" s="78"/>
    </row>
    <row r="3" spans="1:61" s="21" customFormat="1" ht="18" customHeight="1">
      <c r="A3" s="850">
        <f>Report_Date</f>
        <v>42522</v>
      </c>
      <c r="B3" s="851"/>
      <c r="C3" s="851"/>
      <c r="D3" s="851"/>
      <c r="E3" s="851"/>
      <c r="F3" s="851"/>
      <c r="G3" s="851"/>
      <c r="H3" s="851"/>
      <c r="I3" s="851"/>
      <c r="J3" s="851"/>
      <c r="K3" s="851"/>
      <c r="L3" s="851"/>
      <c r="M3" s="851"/>
      <c r="N3" s="851"/>
      <c r="O3" s="851"/>
      <c r="P3" s="851"/>
      <c r="Q3" s="851"/>
      <c r="R3" s="851"/>
      <c r="S3" s="655"/>
      <c r="T3" s="709"/>
      <c r="U3" s="709"/>
      <c r="V3" s="709"/>
      <c r="W3" s="710"/>
      <c r="X3" s="205"/>
      <c r="Y3" s="206"/>
      <c r="BH3" s="79"/>
      <c r="BI3" s="79"/>
    </row>
    <row r="4" spans="1:61" ht="45.75" customHeight="1">
      <c r="A4" s="549" t="s">
        <v>539</v>
      </c>
      <c r="B4" s="231" t="s">
        <v>202</v>
      </c>
      <c r="C4" s="231" t="s">
        <v>213</v>
      </c>
      <c r="D4" s="231" t="s">
        <v>10</v>
      </c>
      <c r="E4" s="231" t="s">
        <v>1</v>
      </c>
      <c r="F4" s="231" t="s">
        <v>9</v>
      </c>
      <c r="G4" s="231" t="s">
        <v>814</v>
      </c>
      <c r="H4" s="550" t="s">
        <v>537</v>
      </c>
      <c r="I4" s="550" t="s">
        <v>538</v>
      </c>
      <c r="J4" s="232" t="s">
        <v>815</v>
      </c>
      <c r="K4" s="232" t="s">
        <v>816</v>
      </c>
      <c r="L4" s="232" t="s">
        <v>817</v>
      </c>
      <c r="M4" s="233" t="s">
        <v>818</v>
      </c>
      <c r="N4" s="233" t="s">
        <v>819</v>
      </c>
      <c r="O4" s="233" t="s">
        <v>950</v>
      </c>
      <c r="P4" s="532" t="s">
        <v>951</v>
      </c>
      <c r="Q4" s="532" t="s">
        <v>952</v>
      </c>
      <c r="R4" s="532" t="s">
        <v>953</v>
      </c>
      <c r="S4" s="234" t="s">
        <v>820</v>
      </c>
      <c r="T4" s="235" t="s">
        <v>839</v>
      </c>
      <c r="U4" s="235" t="s">
        <v>581</v>
      </c>
      <c r="V4" s="235" t="s">
        <v>354</v>
      </c>
      <c r="W4" s="233" t="s">
        <v>236</v>
      </c>
      <c r="X4" s="233" t="s">
        <v>959</v>
      </c>
      <c r="Y4" s="551" t="s">
        <v>960</v>
      </c>
    </row>
    <row r="5" spans="1:61">
      <c r="A5" s="554">
        <v>42268</v>
      </c>
      <c r="B5" s="359" t="s">
        <v>287</v>
      </c>
      <c r="C5" s="359" t="s">
        <v>287</v>
      </c>
      <c r="D5" s="359" t="s">
        <v>7</v>
      </c>
      <c r="E5" s="361" t="s">
        <v>15</v>
      </c>
      <c r="F5" s="24" t="s">
        <v>54</v>
      </c>
      <c r="G5" s="24">
        <v>1</v>
      </c>
      <c r="H5" s="24">
        <v>17</v>
      </c>
      <c r="I5" s="24">
        <v>17</v>
      </c>
      <c r="J5" s="24"/>
      <c r="K5" s="24"/>
      <c r="L5" s="24"/>
      <c r="M5" s="24"/>
      <c r="N5" s="24"/>
      <c r="O5" s="24"/>
      <c r="P5" s="360"/>
      <c r="Q5" s="360"/>
      <c r="R5" s="535"/>
      <c r="S5" s="535">
        <v>0</v>
      </c>
      <c r="T5" s="535">
        <f ca="1">IF(Data_Shelter_t[[#This Row],[Status]]="Open",Data_Shelter_t[[#This Row],[HH Covered]],0)</f>
        <v>0</v>
      </c>
      <c r="U5" s="535"/>
      <c r="V5" s="537" t="str">
        <f ca="1">IFERROR(OFFSET(Camp_List[Status],MATCH(Data_Shelter_t[[#This Row],[Camp Name]],Camp_List[Camp Name],0)-1,0,1,1),"")</f>
        <v>Relocated in Individual Housing</v>
      </c>
      <c r="W5" s="538">
        <f ca="1">IFERROR(Data_Shelter_t[[#This Row],[HH Covered]]/OFFSET(Camp_List[HH],MATCH(Data_Shelter_t[[#This Row],[Camp Name]],Camp_List[Camp Name],0)-1,0,1,1),"")</f>
        <v>0</v>
      </c>
      <c r="X5" s="535">
        <f>Data_Shelter_t[[#This Row],['# of Permanent House Planned (Target)]]+Data_Shelter_t[[#This Row],['# of Individual Shelter Planned (Target)]]</f>
        <v>0</v>
      </c>
      <c r="Y5" s="557">
        <f>Data_Shelter_t[[#This Row],['# of Permanent House Built]]+Data_Shelter_t[[#This Row],['# of Individual Shelter Built]]</f>
        <v>0</v>
      </c>
    </row>
    <row r="6" spans="1:61">
      <c r="A6" s="554">
        <v>42186</v>
      </c>
      <c r="B6" s="359" t="s">
        <v>295</v>
      </c>
      <c r="C6" s="359" t="s">
        <v>295</v>
      </c>
      <c r="D6" s="359" t="s">
        <v>7</v>
      </c>
      <c r="E6" s="361" t="s">
        <v>17</v>
      </c>
      <c r="F6" s="359" t="s">
        <v>58</v>
      </c>
      <c r="G6" s="31">
        <v>1</v>
      </c>
      <c r="H6" s="359"/>
      <c r="I6" s="359"/>
      <c r="J6" s="31"/>
      <c r="K6" s="31"/>
      <c r="L6" s="31"/>
      <c r="M6" s="31">
        <v>47</v>
      </c>
      <c r="N6" s="31"/>
      <c r="O6" s="359"/>
      <c r="P6" s="359"/>
      <c r="Q6" s="359"/>
      <c r="R6" s="126"/>
      <c r="S6" s="126">
        <v>0</v>
      </c>
      <c r="T6" s="126">
        <f ca="1">IF(Data_Shelter_t[[#This Row],[Status]]="Open",Data_Shelter_t[[#This Row],[HH Covered]],0)</f>
        <v>0</v>
      </c>
      <c r="U6" s="535" t="s">
        <v>146</v>
      </c>
      <c r="V6" s="537" t="str">
        <f ca="1">IFERROR(OFFSET(Camp_List[Status],MATCH(Data_Shelter_t[[#This Row],[Camp Name]],Camp_List[Camp Name],0)-1,0,1,1),"")</f>
        <v>Open</v>
      </c>
      <c r="W6" s="538">
        <f ca="1">IFERROR(Data_Shelter_t[[#This Row],[HH Covered]]/OFFSET(Camp_List[HH],MATCH(Data_Shelter_t[[#This Row],[Camp Name]],Camp_List[Camp Name],0)-1,0,1,1),"")</f>
        <v>0</v>
      </c>
      <c r="X6" s="24">
        <f>Data_Shelter_t[[#This Row],['# of Permanent House Planned (Target)]]+Data_Shelter_t[[#This Row],['# of Individual Shelter Planned (Target)]]</f>
        <v>47</v>
      </c>
      <c r="Y6" s="553">
        <f>Data_Shelter_t[[#This Row],['# of Permanent House Built]]+Data_Shelter_t[[#This Row],['# of Individual Shelter Built]]</f>
        <v>0</v>
      </c>
    </row>
    <row r="7" spans="1:61">
      <c r="A7" s="554">
        <v>42186</v>
      </c>
      <c r="B7" s="359" t="s">
        <v>295</v>
      </c>
      <c r="C7" s="359" t="s">
        <v>295</v>
      </c>
      <c r="D7" s="359" t="s">
        <v>7</v>
      </c>
      <c r="E7" s="361" t="s">
        <v>17</v>
      </c>
      <c r="F7" s="359" t="s">
        <v>958</v>
      </c>
      <c r="G7" s="31">
        <v>1</v>
      </c>
      <c r="H7" s="359"/>
      <c r="I7" s="359"/>
      <c r="J7" s="31"/>
      <c r="K7" s="31"/>
      <c r="L7" s="31"/>
      <c r="M7" s="31">
        <v>53</v>
      </c>
      <c r="N7" s="31"/>
      <c r="O7" s="359"/>
      <c r="P7" s="359"/>
      <c r="Q7" s="359"/>
      <c r="R7" s="126"/>
      <c r="S7" s="126">
        <v>0</v>
      </c>
      <c r="T7" s="126">
        <f ca="1">IF(Data_Shelter_t[[#This Row],[Status]]="Open",Data_Shelter_t[[#This Row],[HH Covered]],0)</f>
        <v>0</v>
      </c>
      <c r="U7" s="535" t="s">
        <v>962</v>
      </c>
      <c r="V7" s="537" t="str">
        <f ca="1">IFERROR(OFFSET(Camp_List[Status],MATCH(Data_Shelter_t[[#This Row],[Camp Name]],Camp_List[Camp Name],0)-1,0,1,1),"")</f>
        <v/>
      </c>
      <c r="W7" s="538" t="str">
        <f ca="1">IFERROR(Data_Shelter_t[[#This Row],[HH Covered]]/OFFSET(Camp_List[HH],MATCH(Data_Shelter_t[[#This Row],[Camp Name]],Camp_List[Camp Name],0)-1,0,1,1),"")</f>
        <v/>
      </c>
      <c r="X7" s="24">
        <f>Data_Shelter_t[[#This Row],['# of Permanent House Planned (Target)]]+Data_Shelter_t[[#This Row],['# of Individual Shelter Planned (Target)]]</f>
        <v>53</v>
      </c>
      <c r="Y7" s="553">
        <f>Data_Shelter_t[[#This Row],['# of Permanent House Built]]+Data_Shelter_t[[#This Row],['# of Individual Shelter Built]]</f>
        <v>0</v>
      </c>
    </row>
    <row r="8" spans="1:61">
      <c r="A8" s="554">
        <v>42186</v>
      </c>
      <c r="B8" s="359" t="s">
        <v>295</v>
      </c>
      <c r="C8" s="359" t="s">
        <v>295</v>
      </c>
      <c r="D8" s="359" t="s">
        <v>7</v>
      </c>
      <c r="E8" s="361" t="s">
        <v>15</v>
      </c>
      <c r="F8" s="359" t="s">
        <v>46</v>
      </c>
      <c r="G8" s="31">
        <v>1</v>
      </c>
      <c r="H8" s="359"/>
      <c r="I8" s="359"/>
      <c r="J8" s="31"/>
      <c r="K8" s="31"/>
      <c r="L8" s="31"/>
      <c r="M8" s="31"/>
      <c r="N8" s="31"/>
      <c r="O8" s="359"/>
      <c r="P8" s="126">
        <v>26</v>
      </c>
      <c r="Q8" s="126">
        <v>26</v>
      </c>
      <c r="R8" s="126"/>
      <c r="S8" s="126">
        <v>26</v>
      </c>
      <c r="T8" s="126">
        <f ca="1">IF(Data_Shelter_t[[#This Row],[Status]]="Open",Data_Shelter_t[[#This Row],[HH Covered]],0)</f>
        <v>0</v>
      </c>
      <c r="U8" s="535" t="s">
        <v>133</v>
      </c>
      <c r="V8" s="537" t="str">
        <f ca="1">IFERROR(OFFSET(Camp_List[Status],MATCH(Data_Shelter_t[[#This Row],[Camp Name]],Camp_List[Camp Name],0)-1,0,1,1),"")</f>
        <v>Returned in Individual Housing</v>
      </c>
      <c r="W8" s="538">
        <f ca="1">IFERROR(Data_Shelter_t[[#This Row],[HH Covered]]/OFFSET(Camp_List[HH],MATCH(Data_Shelter_t[[#This Row],[Camp Name]],Camp_List[Camp Name],0)-1,0,1,1),"")</f>
        <v>1.0833333333333333</v>
      </c>
      <c r="X8" s="24">
        <f>Data_Shelter_t[[#This Row],['# of Permanent House Planned (Target)]]+Data_Shelter_t[[#This Row],['# of Individual Shelter Planned (Target)]]</f>
        <v>26</v>
      </c>
      <c r="Y8" s="553">
        <f>Data_Shelter_t[[#This Row],['# of Permanent House Built]]+Data_Shelter_t[[#This Row],['# of Individual Shelter Built]]</f>
        <v>26</v>
      </c>
    </row>
    <row r="9" spans="1:61">
      <c r="A9" s="554">
        <v>42186</v>
      </c>
      <c r="B9" s="359" t="s">
        <v>295</v>
      </c>
      <c r="C9" s="359" t="s">
        <v>295</v>
      </c>
      <c r="D9" s="359" t="s">
        <v>7</v>
      </c>
      <c r="E9" s="361" t="s">
        <v>15</v>
      </c>
      <c r="F9" s="359" t="s">
        <v>46</v>
      </c>
      <c r="G9" s="31">
        <v>1</v>
      </c>
      <c r="H9" s="359"/>
      <c r="I9" s="359"/>
      <c r="J9" s="31"/>
      <c r="K9" s="31"/>
      <c r="L9" s="31"/>
      <c r="M9" s="31"/>
      <c r="N9" s="31"/>
      <c r="O9" s="359"/>
      <c r="P9" s="126">
        <v>14</v>
      </c>
      <c r="Q9" s="126">
        <v>14</v>
      </c>
      <c r="R9" s="126"/>
      <c r="S9" s="126">
        <v>14</v>
      </c>
      <c r="T9" s="126">
        <f ca="1">IF(Data_Shelter_t[[#This Row],[Status]]="Open",Data_Shelter_t[[#This Row],[HH Covered]],0)</f>
        <v>0</v>
      </c>
      <c r="U9" s="535" t="s">
        <v>136</v>
      </c>
      <c r="V9" s="537" t="str">
        <f ca="1">IFERROR(OFFSET(Camp_List[Status],MATCH(Data_Shelter_t[[#This Row],[Camp Name]],Camp_List[Camp Name],0)-1,0,1,1),"")</f>
        <v>Returned in Individual Housing</v>
      </c>
      <c r="W9" s="538">
        <f ca="1">IFERROR(Data_Shelter_t[[#This Row],[HH Covered]]/OFFSET(Camp_List[HH],MATCH(Data_Shelter_t[[#This Row],[Camp Name]],Camp_List[Camp Name],0)-1,0,1,1),"")</f>
        <v>0.58333333333333337</v>
      </c>
      <c r="X9" s="24">
        <f>Data_Shelter_t[[#This Row],['# of Permanent House Planned (Target)]]+Data_Shelter_t[[#This Row],['# of Individual Shelter Planned (Target)]]</f>
        <v>14</v>
      </c>
      <c r="Y9" s="553">
        <f>Data_Shelter_t[[#This Row],['# of Permanent House Built]]+Data_Shelter_t[[#This Row],['# of Individual Shelter Built]]</f>
        <v>14</v>
      </c>
    </row>
    <row r="10" spans="1:61">
      <c r="A10" s="554">
        <v>42186</v>
      </c>
      <c r="B10" s="359" t="s">
        <v>295</v>
      </c>
      <c r="C10" s="359" t="s">
        <v>295</v>
      </c>
      <c r="D10" s="359" t="s">
        <v>7</v>
      </c>
      <c r="E10" s="361" t="s">
        <v>15</v>
      </c>
      <c r="F10" s="359" t="s">
        <v>48</v>
      </c>
      <c r="G10" s="31">
        <v>1</v>
      </c>
      <c r="H10" s="359"/>
      <c r="I10" s="359"/>
      <c r="J10" s="31"/>
      <c r="K10" s="31"/>
      <c r="L10" s="31"/>
      <c r="M10" s="31"/>
      <c r="N10" s="31"/>
      <c r="O10" s="359"/>
      <c r="P10" s="126">
        <v>48</v>
      </c>
      <c r="Q10" s="126">
        <v>48</v>
      </c>
      <c r="R10" s="126"/>
      <c r="S10" s="126">
        <v>48</v>
      </c>
      <c r="T10" s="126">
        <f ca="1">IF(Data_Shelter_t[[#This Row],[Status]]="Open",Data_Shelter_t[[#This Row],[HH Covered]],0)</f>
        <v>0</v>
      </c>
      <c r="U10" s="535" t="s">
        <v>135</v>
      </c>
      <c r="V10" s="537" t="str">
        <f ca="1">IFERROR(OFFSET(Camp_List[Status],MATCH(Data_Shelter_t[[#This Row],[Camp Name]],Camp_List[Camp Name],0)-1,0,1,1),"")</f>
        <v>Returned in Individual Housing</v>
      </c>
      <c r="W10" s="538">
        <f ca="1">IFERROR(Data_Shelter_t[[#This Row],[HH Covered]]/OFFSET(Camp_List[HH],MATCH(Data_Shelter_t[[#This Row],[Camp Name]],Camp_List[Camp Name],0)-1,0,1,1),"")</f>
        <v>0.52173913043478259</v>
      </c>
      <c r="X10" s="24">
        <f>Data_Shelter_t[[#This Row],['# of Permanent House Planned (Target)]]+Data_Shelter_t[[#This Row],['# of Individual Shelter Planned (Target)]]</f>
        <v>48</v>
      </c>
      <c r="Y10" s="553">
        <f>Data_Shelter_t[[#This Row],['# of Permanent House Built]]+Data_Shelter_t[[#This Row],['# of Individual Shelter Built]]</f>
        <v>48</v>
      </c>
    </row>
    <row r="11" spans="1:61">
      <c r="A11" s="554">
        <v>42186</v>
      </c>
      <c r="B11" s="359" t="s">
        <v>295</v>
      </c>
      <c r="C11" s="359" t="s">
        <v>295</v>
      </c>
      <c r="D11" s="359" t="s">
        <v>7</v>
      </c>
      <c r="E11" s="361" t="s">
        <v>15</v>
      </c>
      <c r="F11" s="359" t="s">
        <v>44</v>
      </c>
      <c r="G11" s="31">
        <v>1</v>
      </c>
      <c r="H11" s="359"/>
      <c r="I11" s="359"/>
      <c r="J11" s="31"/>
      <c r="K11" s="31"/>
      <c r="L11" s="31"/>
      <c r="M11" s="31"/>
      <c r="N11" s="31"/>
      <c r="O11" s="359"/>
      <c r="P11" s="126">
        <v>18</v>
      </c>
      <c r="Q11" s="126">
        <v>18</v>
      </c>
      <c r="R11" s="126"/>
      <c r="S11" s="126">
        <v>18</v>
      </c>
      <c r="T11" s="126">
        <f ca="1">IF(Data_Shelter_t[[#This Row],[Status]]="Open",Data_Shelter_t[[#This Row],[HH Covered]],0)</f>
        <v>0</v>
      </c>
      <c r="U11" s="535" t="s">
        <v>131</v>
      </c>
      <c r="V11" s="537" t="str">
        <f ca="1">IFERROR(OFFSET(Camp_List[Status],MATCH(Data_Shelter_t[[#This Row],[Camp Name]],Camp_List[Camp Name],0)-1,0,1,1),"")</f>
        <v>Returned in Individual Housing</v>
      </c>
      <c r="W11" s="538">
        <f ca="1">IFERROR(Data_Shelter_t[[#This Row],[HH Covered]]/OFFSET(Camp_List[HH],MATCH(Data_Shelter_t[[#This Row],[Camp Name]],Camp_List[Camp Name],0)-1,0,1,1),"")</f>
        <v>1</v>
      </c>
      <c r="X11" s="24">
        <f>Data_Shelter_t[[#This Row],['# of Permanent House Planned (Target)]]+Data_Shelter_t[[#This Row],['# of Individual Shelter Planned (Target)]]</f>
        <v>18</v>
      </c>
      <c r="Y11" s="553">
        <f>Data_Shelter_t[[#This Row],['# of Permanent House Built]]+Data_Shelter_t[[#This Row],['# of Individual Shelter Built]]</f>
        <v>18</v>
      </c>
    </row>
    <row r="12" spans="1:61">
      <c r="A12" s="554">
        <v>42186</v>
      </c>
      <c r="B12" s="359" t="s">
        <v>295</v>
      </c>
      <c r="C12" s="359" t="s">
        <v>295</v>
      </c>
      <c r="D12" s="359" t="s">
        <v>7</v>
      </c>
      <c r="E12" s="361" t="s">
        <v>15</v>
      </c>
      <c r="F12" s="359" t="s">
        <v>45</v>
      </c>
      <c r="G12" s="31">
        <v>1</v>
      </c>
      <c r="H12" s="359"/>
      <c r="I12" s="359"/>
      <c r="J12" s="31"/>
      <c r="K12" s="31"/>
      <c r="L12" s="31"/>
      <c r="M12" s="31"/>
      <c r="N12" s="31"/>
      <c r="O12" s="359"/>
      <c r="P12" s="126">
        <v>62</v>
      </c>
      <c r="Q12" s="126">
        <v>62</v>
      </c>
      <c r="R12" s="126"/>
      <c r="S12" s="126">
        <v>62</v>
      </c>
      <c r="T12" s="126">
        <f ca="1">IF(Data_Shelter_t[[#This Row],[Status]]="Open",Data_Shelter_t[[#This Row],[HH Covered]],0)</f>
        <v>0</v>
      </c>
      <c r="U12" s="535" t="s">
        <v>132</v>
      </c>
      <c r="V12" s="537" t="str">
        <f ca="1">IFERROR(OFFSET(Camp_List[Status],MATCH(Data_Shelter_t[[#This Row],[Camp Name]],Camp_List[Camp Name],0)-1,0,1,1),"")</f>
        <v>Returned in Individual Housing</v>
      </c>
      <c r="W12" s="538">
        <f ca="1">IFERROR(Data_Shelter_t[[#This Row],[HH Covered]]/OFFSET(Camp_List[HH],MATCH(Data_Shelter_t[[#This Row],[Camp Name]],Camp_List[Camp Name],0)-1,0,1,1),"")</f>
        <v>0.98412698412698407</v>
      </c>
      <c r="X12" s="24">
        <f>Data_Shelter_t[[#This Row],['# of Permanent House Planned (Target)]]+Data_Shelter_t[[#This Row],['# of Individual Shelter Planned (Target)]]</f>
        <v>62</v>
      </c>
      <c r="Y12" s="553">
        <f>Data_Shelter_t[[#This Row],['# of Permanent House Built]]+Data_Shelter_t[[#This Row],['# of Individual Shelter Built]]</f>
        <v>62</v>
      </c>
    </row>
    <row r="13" spans="1:61">
      <c r="A13" s="554">
        <v>42186</v>
      </c>
      <c r="B13" s="359" t="s">
        <v>295</v>
      </c>
      <c r="C13" s="359" t="s">
        <v>295</v>
      </c>
      <c r="D13" s="359" t="s">
        <v>7</v>
      </c>
      <c r="E13" s="361" t="s">
        <v>11</v>
      </c>
      <c r="F13" s="359" t="s">
        <v>30</v>
      </c>
      <c r="G13" s="31">
        <v>1</v>
      </c>
      <c r="H13" s="359"/>
      <c r="I13" s="359"/>
      <c r="J13" s="31"/>
      <c r="K13" s="31"/>
      <c r="L13" s="31"/>
      <c r="M13" s="31"/>
      <c r="N13" s="31"/>
      <c r="O13" s="359"/>
      <c r="P13" s="126">
        <v>44</v>
      </c>
      <c r="Q13" s="126">
        <v>44</v>
      </c>
      <c r="R13" s="126"/>
      <c r="S13" s="126">
        <v>44</v>
      </c>
      <c r="T13" s="126">
        <f ca="1">IF(Data_Shelter_t[[#This Row],[Status]]="Open",Data_Shelter_t[[#This Row],[HH Covered]],0)</f>
        <v>0</v>
      </c>
      <c r="U13" s="535" t="s">
        <v>117</v>
      </c>
      <c r="V13" s="537" t="str">
        <f ca="1">IFERROR(OFFSET(Camp_List[Status],MATCH(Data_Shelter_t[[#This Row],[Camp Name]],Camp_List[Camp Name],0)-1,0,1,1),"")</f>
        <v>Returned in Individual Housing</v>
      </c>
      <c r="W13" s="538">
        <f ca="1">IFERROR(Data_Shelter_t[[#This Row],[HH Covered]]/OFFSET(Camp_List[HH],MATCH(Data_Shelter_t[[#This Row],[Camp Name]],Camp_List[Camp Name],0)-1,0,1,1),"")</f>
        <v>0.51162790697674421</v>
      </c>
      <c r="X13" s="24">
        <f>Data_Shelter_t[[#This Row],['# of Permanent House Planned (Target)]]+Data_Shelter_t[[#This Row],['# of Individual Shelter Planned (Target)]]</f>
        <v>44</v>
      </c>
      <c r="Y13" s="556">
        <f>Data_Shelter_t[[#This Row],['# of Permanent House Built]]+Data_Shelter_t[[#This Row],['# of Individual Shelter Built]]</f>
        <v>44</v>
      </c>
    </row>
    <row r="14" spans="1:61">
      <c r="A14" s="554">
        <v>42186</v>
      </c>
      <c r="B14" s="359" t="s">
        <v>295</v>
      </c>
      <c r="C14" s="359" t="s">
        <v>295</v>
      </c>
      <c r="D14" s="359" t="s">
        <v>7</v>
      </c>
      <c r="E14" s="361" t="s">
        <v>11</v>
      </c>
      <c r="F14" s="359" t="s">
        <v>25</v>
      </c>
      <c r="G14" s="31">
        <v>1</v>
      </c>
      <c r="H14" s="359"/>
      <c r="I14" s="359"/>
      <c r="J14" s="31"/>
      <c r="K14" s="31"/>
      <c r="L14" s="31"/>
      <c r="M14" s="31"/>
      <c r="N14" s="31"/>
      <c r="O14" s="359"/>
      <c r="P14" s="126">
        <v>19</v>
      </c>
      <c r="Q14" s="126">
        <v>19</v>
      </c>
      <c r="R14" s="126"/>
      <c r="S14" s="126">
        <v>19</v>
      </c>
      <c r="T14" s="126">
        <f ca="1">IF(Data_Shelter_t[[#This Row],[Status]]="Open",Data_Shelter_t[[#This Row],[HH Covered]],0)</f>
        <v>0</v>
      </c>
      <c r="U14" s="535" t="s">
        <v>112</v>
      </c>
      <c r="V14" s="537" t="str">
        <f ca="1">IFERROR(OFFSET(Camp_List[Status],MATCH(Data_Shelter_t[[#This Row],[Camp Name]],Camp_List[Camp Name],0)-1,0,1,1),"")</f>
        <v>Returned in Individual Housing</v>
      </c>
      <c r="W14" s="538">
        <f ca="1">IFERROR(Data_Shelter_t[[#This Row],[HH Covered]]/OFFSET(Camp_List[HH],MATCH(Data_Shelter_t[[#This Row],[Camp Name]],Camp_List[Camp Name],0)-1,0,1,1),"")</f>
        <v>1</v>
      </c>
      <c r="X14" s="24">
        <f>Data_Shelter_t[[#This Row],['# of Permanent House Planned (Target)]]+Data_Shelter_t[[#This Row],['# of Individual Shelter Planned (Target)]]</f>
        <v>19</v>
      </c>
      <c r="Y14" s="556">
        <f>Data_Shelter_t[[#This Row],['# of Permanent House Built]]+Data_Shelter_t[[#This Row],['# of Individual Shelter Built]]</f>
        <v>19</v>
      </c>
    </row>
    <row r="15" spans="1:61">
      <c r="A15" s="554">
        <v>42186</v>
      </c>
      <c r="B15" s="359" t="s">
        <v>295</v>
      </c>
      <c r="C15" s="359" t="s">
        <v>295</v>
      </c>
      <c r="D15" s="359" t="s">
        <v>7</v>
      </c>
      <c r="E15" s="361" t="s">
        <v>11</v>
      </c>
      <c r="F15" s="359" t="s">
        <v>32</v>
      </c>
      <c r="G15" s="31">
        <v>1</v>
      </c>
      <c r="H15" s="359"/>
      <c r="I15" s="359"/>
      <c r="J15" s="31"/>
      <c r="K15" s="31"/>
      <c r="L15" s="31"/>
      <c r="M15" s="31"/>
      <c r="N15" s="31"/>
      <c r="O15" s="359"/>
      <c r="P15" s="126">
        <v>110</v>
      </c>
      <c r="Q15" s="126">
        <v>110</v>
      </c>
      <c r="R15" s="126"/>
      <c r="S15" s="126">
        <v>110</v>
      </c>
      <c r="T15" s="126">
        <f ca="1">IF(Data_Shelter_t[[#This Row],[Status]]="Open",Data_Shelter_t[[#This Row],[HH Covered]],0)</f>
        <v>0</v>
      </c>
      <c r="U15" s="535" t="s">
        <v>119</v>
      </c>
      <c r="V15" s="537" t="str">
        <f ca="1">IFERROR(OFFSET(Camp_List[Status],MATCH(Data_Shelter_t[[#This Row],[Camp Name]],Camp_List[Camp Name],0)-1,0,1,1),"")</f>
        <v>Returned in Individual Housing</v>
      </c>
      <c r="W15" s="538">
        <f ca="1">IFERROR(Data_Shelter_t[[#This Row],[HH Covered]]/OFFSET(Camp_List[HH],MATCH(Data_Shelter_t[[#This Row],[Camp Name]],Camp_List[Camp Name],0)-1,0,1,1),"")</f>
        <v>0.48888888888888887</v>
      </c>
      <c r="X15" s="24">
        <f>Data_Shelter_t[[#This Row],['# of Permanent House Planned (Target)]]+Data_Shelter_t[[#This Row],['# of Individual Shelter Planned (Target)]]</f>
        <v>110</v>
      </c>
      <c r="Y15" s="556">
        <f>Data_Shelter_t[[#This Row],['# of Permanent House Built]]+Data_Shelter_t[[#This Row],['# of Individual Shelter Built]]</f>
        <v>110</v>
      </c>
    </row>
    <row r="16" spans="1:61">
      <c r="A16" s="554">
        <v>42186</v>
      </c>
      <c r="B16" s="359" t="s">
        <v>295</v>
      </c>
      <c r="C16" s="359" t="s">
        <v>295</v>
      </c>
      <c r="D16" s="359" t="s">
        <v>7</v>
      </c>
      <c r="E16" s="361" t="s">
        <v>11</v>
      </c>
      <c r="F16" s="359" t="s">
        <v>27</v>
      </c>
      <c r="G16" s="31">
        <v>1</v>
      </c>
      <c r="H16" s="359"/>
      <c r="I16" s="359"/>
      <c r="J16" s="31"/>
      <c r="K16" s="31"/>
      <c r="L16" s="31"/>
      <c r="M16" s="31"/>
      <c r="N16" s="31"/>
      <c r="O16" s="359"/>
      <c r="P16" s="126">
        <v>43</v>
      </c>
      <c r="Q16" s="126">
        <v>43</v>
      </c>
      <c r="R16" s="126"/>
      <c r="S16" s="126">
        <v>43</v>
      </c>
      <c r="T16" s="126">
        <f ca="1">IF(Data_Shelter_t[[#This Row],[Status]]="Open",Data_Shelter_t[[#This Row],[HH Covered]],0)</f>
        <v>0</v>
      </c>
      <c r="U16" s="535" t="s">
        <v>114</v>
      </c>
      <c r="V16" s="537" t="str">
        <f ca="1">IFERROR(OFFSET(Camp_List[Status],MATCH(Data_Shelter_t[[#This Row],[Camp Name]],Camp_List[Camp Name],0)-1,0,1,1),"")</f>
        <v>Returned in Individual Housing</v>
      </c>
      <c r="W16" s="538">
        <f ca="1">IFERROR(Data_Shelter_t[[#This Row],[HH Covered]]/OFFSET(Camp_List[HH],MATCH(Data_Shelter_t[[#This Row],[Camp Name]],Camp_List[Camp Name],0)-1,0,1,1),"")</f>
        <v>0.5</v>
      </c>
      <c r="X16" s="24">
        <f>Data_Shelter_t[[#This Row],['# of Permanent House Planned (Target)]]+Data_Shelter_t[[#This Row],['# of Individual Shelter Planned (Target)]]</f>
        <v>43</v>
      </c>
      <c r="Y16" s="556">
        <f>Data_Shelter_t[[#This Row],['# of Permanent House Built]]+Data_Shelter_t[[#This Row],['# of Individual Shelter Built]]</f>
        <v>43</v>
      </c>
    </row>
    <row r="17" spans="1:25">
      <c r="A17" s="554">
        <v>42186</v>
      </c>
      <c r="B17" s="359" t="s">
        <v>295</v>
      </c>
      <c r="C17" s="359" t="s">
        <v>295</v>
      </c>
      <c r="D17" s="359" t="s">
        <v>7</v>
      </c>
      <c r="E17" s="361" t="s">
        <v>11</v>
      </c>
      <c r="F17" s="359" t="s">
        <v>957</v>
      </c>
      <c r="G17" s="31">
        <v>1</v>
      </c>
      <c r="H17" s="359"/>
      <c r="I17" s="359"/>
      <c r="J17" s="31"/>
      <c r="K17" s="31"/>
      <c r="L17" s="31"/>
      <c r="M17" s="31">
        <v>4</v>
      </c>
      <c r="N17" s="31">
        <v>4</v>
      </c>
      <c r="O17" s="359"/>
      <c r="P17" s="359"/>
      <c r="Q17" s="359"/>
      <c r="R17" s="126"/>
      <c r="S17" s="126">
        <v>4</v>
      </c>
      <c r="T17" s="126">
        <f ca="1">IF(Data_Shelter_t[[#This Row],[Status]]="Open",Data_Shelter_t[[#This Row],[HH Covered]],0)</f>
        <v>0</v>
      </c>
      <c r="U17" s="535" t="s">
        <v>962</v>
      </c>
      <c r="V17" s="537" t="str">
        <f ca="1">IFERROR(OFFSET(Camp_List[Status],MATCH(Data_Shelter_t[[#This Row],[Camp Name]],Camp_List[Camp Name],0)-1,0,1,1),"")</f>
        <v/>
      </c>
      <c r="W17" s="538" t="str">
        <f ca="1">IFERROR(Data_Shelter_t[[#This Row],[HH Covered]]/OFFSET(Camp_List[HH],MATCH(Data_Shelter_t[[#This Row],[Camp Name]],Camp_List[Camp Name],0)-1,0,1,1),"")</f>
        <v/>
      </c>
      <c r="X17" s="24">
        <f>Data_Shelter_t[[#This Row],['# of Permanent House Planned (Target)]]+Data_Shelter_t[[#This Row],['# of Individual Shelter Planned (Target)]]</f>
        <v>4</v>
      </c>
      <c r="Y17" s="556">
        <f>Data_Shelter_t[[#This Row],['# of Permanent House Built]]+Data_Shelter_t[[#This Row],['# of Individual Shelter Built]]</f>
        <v>4</v>
      </c>
    </row>
    <row r="18" spans="1:25">
      <c r="A18" s="554">
        <v>42186</v>
      </c>
      <c r="B18" s="359" t="s">
        <v>295</v>
      </c>
      <c r="C18" s="359" t="s">
        <v>295</v>
      </c>
      <c r="D18" s="359" t="s">
        <v>7</v>
      </c>
      <c r="E18" s="361" t="s">
        <v>11</v>
      </c>
      <c r="F18" s="359" t="s">
        <v>573</v>
      </c>
      <c r="G18" s="31">
        <v>1</v>
      </c>
      <c r="H18" s="359"/>
      <c r="I18" s="359"/>
      <c r="J18" s="31"/>
      <c r="K18" s="31"/>
      <c r="L18" s="31"/>
      <c r="M18" s="31">
        <v>18</v>
      </c>
      <c r="N18" s="31">
        <v>18</v>
      </c>
      <c r="O18" s="359"/>
      <c r="P18" s="359"/>
      <c r="Q18" s="359"/>
      <c r="R18" s="126"/>
      <c r="S18" s="126">
        <v>18</v>
      </c>
      <c r="T18" s="126">
        <f ca="1">IF(Data_Shelter_t[[#This Row],[Status]]="Open",Data_Shelter_t[[#This Row],[HH Covered]],0)</f>
        <v>0</v>
      </c>
      <c r="U18" s="535" t="s">
        <v>574</v>
      </c>
      <c r="V18" s="537" t="str">
        <f ca="1">IFERROR(OFFSET(Camp_List[Status],MATCH(Data_Shelter_t[[#This Row],[Camp Name]],Camp_List[Camp Name],0)-1,0,1,1),"")</f>
        <v>Returned in Individual Housing</v>
      </c>
      <c r="W18" s="538">
        <f ca="1">IFERROR(Data_Shelter_t[[#This Row],[HH Covered]]/OFFSET(Camp_List[HH],MATCH(Data_Shelter_t[[#This Row],[Camp Name]],Camp_List[Camp Name],0)-1,0,1,1),"")</f>
        <v>1.0588235294117647</v>
      </c>
      <c r="X18" s="24">
        <f>Data_Shelter_t[[#This Row],['# of Permanent House Planned (Target)]]+Data_Shelter_t[[#This Row],['# of Individual Shelter Planned (Target)]]</f>
        <v>18</v>
      </c>
      <c r="Y18" s="556">
        <f>Data_Shelter_t[[#This Row],['# of Permanent House Built]]+Data_Shelter_t[[#This Row],['# of Individual Shelter Built]]</f>
        <v>18</v>
      </c>
    </row>
    <row r="19" spans="1:25">
      <c r="A19" s="554">
        <v>42186</v>
      </c>
      <c r="B19" s="359" t="s">
        <v>295</v>
      </c>
      <c r="C19" s="359" t="s">
        <v>295</v>
      </c>
      <c r="D19" s="359" t="s">
        <v>7</v>
      </c>
      <c r="E19" s="361" t="s">
        <v>11</v>
      </c>
      <c r="F19" s="359" t="s">
        <v>26</v>
      </c>
      <c r="G19" s="31">
        <v>1</v>
      </c>
      <c r="H19" s="359"/>
      <c r="I19" s="359"/>
      <c r="J19" s="31"/>
      <c r="K19" s="31"/>
      <c r="L19" s="31"/>
      <c r="M19" s="31"/>
      <c r="N19" s="31"/>
      <c r="O19" s="359"/>
      <c r="P19" s="126">
        <v>96</v>
      </c>
      <c r="Q19" s="126">
        <v>96</v>
      </c>
      <c r="R19" s="126"/>
      <c r="S19" s="126">
        <v>96</v>
      </c>
      <c r="T19" s="126">
        <f ca="1">IF(Data_Shelter_t[[#This Row],[Status]]="Open",Data_Shelter_t[[#This Row],[HH Covered]],0)</f>
        <v>0</v>
      </c>
      <c r="U19" s="535" t="s">
        <v>113</v>
      </c>
      <c r="V19" s="537" t="str">
        <f ca="1">IFERROR(OFFSET(Camp_List[Status],MATCH(Data_Shelter_t[[#This Row],[Camp Name]],Camp_List[Camp Name],0)-1,0,1,1),"")</f>
        <v>Returned in Individual Housing</v>
      </c>
      <c r="W19" s="538">
        <f ca="1">IFERROR(Data_Shelter_t[[#This Row],[HH Covered]]/OFFSET(Camp_List[HH],MATCH(Data_Shelter_t[[#This Row],[Camp Name]],Camp_List[Camp Name],0)-1,0,1,1),"")</f>
        <v>0.47290640394088668</v>
      </c>
      <c r="X19" s="24">
        <f>Data_Shelter_t[[#This Row],['# of Permanent House Planned (Target)]]+Data_Shelter_t[[#This Row],['# of Individual Shelter Planned (Target)]]</f>
        <v>96</v>
      </c>
      <c r="Y19" s="556">
        <f>Data_Shelter_t[[#This Row],['# of Permanent House Built]]+Data_Shelter_t[[#This Row],['# of Individual Shelter Built]]</f>
        <v>96</v>
      </c>
    </row>
    <row r="20" spans="1:25">
      <c r="A20" s="554">
        <v>42186</v>
      </c>
      <c r="B20" s="359" t="s">
        <v>295</v>
      </c>
      <c r="C20" s="359" t="s">
        <v>295</v>
      </c>
      <c r="D20" s="359" t="s">
        <v>7</v>
      </c>
      <c r="E20" s="361" t="s">
        <v>11</v>
      </c>
      <c r="F20" s="359" t="s">
        <v>29</v>
      </c>
      <c r="G20" s="31">
        <v>1</v>
      </c>
      <c r="H20" s="359"/>
      <c r="I20" s="359"/>
      <c r="J20" s="31"/>
      <c r="K20" s="31"/>
      <c r="L20" s="31"/>
      <c r="M20" s="31"/>
      <c r="N20" s="31"/>
      <c r="O20" s="359"/>
      <c r="P20" s="126">
        <v>139</v>
      </c>
      <c r="Q20" s="126">
        <v>139</v>
      </c>
      <c r="R20" s="126"/>
      <c r="S20" s="126">
        <v>139</v>
      </c>
      <c r="T20" s="126">
        <f ca="1">IF(Data_Shelter_t[[#This Row],[Status]]="Open",Data_Shelter_t[[#This Row],[HH Covered]],0)</f>
        <v>0</v>
      </c>
      <c r="U20" s="535" t="s">
        <v>116</v>
      </c>
      <c r="V20" s="537" t="str">
        <f ca="1">IFERROR(OFFSET(Camp_List[Status],MATCH(Data_Shelter_t[[#This Row],[Camp Name]],Camp_List[Camp Name],0)-1,0,1,1),"")</f>
        <v>Returned in Individual Housing</v>
      </c>
      <c r="W20" s="538">
        <f ca="1">IFERROR(Data_Shelter_t[[#This Row],[HH Covered]]/OFFSET(Camp_List[HH],MATCH(Data_Shelter_t[[#This Row],[Camp Name]],Camp_List[Camp Name],0)-1,0,1,1),"")</f>
        <v>0.50545454545454549</v>
      </c>
      <c r="X20" s="24">
        <f>Data_Shelter_t[[#This Row],['# of Permanent House Planned (Target)]]+Data_Shelter_t[[#This Row],['# of Individual Shelter Planned (Target)]]</f>
        <v>139</v>
      </c>
      <c r="Y20" s="556">
        <f>Data_Shelter_t[[#This Row],['# of Permanent House Built]]+Data_Shelter_t[[#This Row],['# of Individual Shelter Built]]</f>
        <v>139</v>
      </c>
    </row>
    <row r="21" spans="1:25" s="5" customFormat="1">
      <c r="A21" s="554">
        <v>42186</v>
      </c>
      <c r="B21" s="359" t="s">
        <v>295</v>
      </c>
      <c r="C21" s="359" t="s">
        <v>295</v>
      </c>
      <c r="D21" s="359" t="s">
        <v>7</v>
      </c>
      <c r="E21" s="361" t="s">
        <v>12</v>
      </c>
      <c r="F21" s="359" t="s">
        <v>33</v>
      </c>
      <c r="G21" s="31">
        <v>1</v>
      </c>
      <c r="H21" s="359"/>
      <c r="I21" s="359"/>
      <c r="J21" s="31"/>
      <c r="K21" s="31"/>
      <c r="L21" s="31"/>
      <c r="M21" s="31"/>
      <c r="N21" s="31"/>
      <c r="O21" s="359"/>
      <c r="P21" s="126">
        <v>102</v>
      </c>
      <c r="Q21" s="126">
        <v>102</v>
      </c>
      <c r="R21" s="126"/>
      <c r="S21" s="126">
        <v>102</v>
      </c>
      <c r="T21" s="126">
        <f ca="1">IF(Data_Shelter_t[[#This Row],[Status]]="Open",Data_Shelter_t[[#This Row],[HH Covered]],0)</f>
        <v>0</v>
      </c>
      <c r="U21" s="535" t="s">
        <v>120</v>
      </c>
      <c r="V21" s="537" t="str">
        <f ca="1">IFERROR(OFFSET(Camp_List[Status],MATCH(Data_Shelter_t[[#This Row],[Camp Name]],Camp_List[Camp Name],0)-1,0,1,1),"")</f>
        <v>Returned in Individual Housing</v>
      </c>
      <c r="W21" s="538">
        <f ca="1">IFERROR(Data_Shelter_t[[#This Row],[HH Covered]]/OFFSET(Camp_List[HH],MATCH(Data_Shelter_t[[#This Row],[Camp Name]],Camp_List[Camp Name],0)-1,0,1,1),"")</f>
        <v>0.5</v>
      </c>
      <c r="X21" s="24">
        <f>Data_Shelter_t[[#This Row],['# of Permanent House Planned (Target)]]+Data_Shelter_t[[#This Row],['# of Individual Shelter Planned (Target)]]</f>
        <v>102</v>
      </c>
      <c r="Y21" s="556">
        <f>Data_Shelter_t[[#This Row],['# of Permanent House Built]]+Data_Shelter_t[[#This Row],['# of Individual Shelter Built]]</f>
        <v>102</v>
      </c>
    </row>
    <row r="22" spans="1:25" s="5" customFormat="1">
      <c r="A22" s="554">
        <v>42186</v>
      </c>
      <c r="B22" s="359" t="s">
        <v>295</v>
      </c>
      <c r="C22" s="359" t="s">
        <v>295</v>
      </c>
      <c r="D22" s="359" t="s">
        <v>7</v>
      </c>
      <c r="E22" s="361" t="s">
        <v>12</v>
      </c>
      <c r="F22" s="359" t="s">
        <v>36</v>
      </c>
      <c r="G22" s="31">
        <v>1</v>
      </c>
      <c r="H22" s="359"/>
      <c r="I22" s="359"/>
      <c r="J22" s="31"/>
      <c r="K22" s="31"/>
      <c r="L22" s="31"/>
      <c r="M22" s="31">
        <v>10</v>
      </c>
      <c r="N22" s="31">
        <v>10</v>
      </c>
      <c r="O22" s="359"/>
      <c r="P22" s="359"/>
      <c r="Q22" s="359"/>
      <c r="R22" s="126"/>
      <c r="S22" s="126">
        <v>10</v>
      </c>
      <c r="T22" s="126">
        <f ca="1">IF(Data_Shelter_t[[#This Row],[Status]]="Open",Data_Shelter_t[[#This Row],[HH Covered]],0)</f>
        <v>0</v>
      </c>
      <c r="U22" s="535" t="s">
        <v>123</v>
      </c>
      <c r="V22" s="537" t="str">
        <f ca="1">IFERROR(OFFSET(Camp_List[Status],MATCH(Data_Shelter_t[[#This Row],[Camp Name]],Camp_List[Camp Name],0)-1,0,1,1),"")</f>
        <v>Relocated in Individual Housing</v>
      </c>
      <c r="W22" s="538">
        <f ca="1">IFERROR(Data_Shelter_t[[#This Row],[HH Covered]]/OFFSET(Camp_List[HH],MATCH(Data_Shelter_t[[#This Row],[Camp Name]],Camp_List[Camp Name],0)-1,0,1,1),"")</f>
        <v>1</v>
      </c>
      <c r="X22" s="24">
        <f>Data_Shelter_t[[#This Row],['# of Permanent House Planned (Target)]]+Data_Shelter_t[[#This Row],['# of Individual Shelter Planned (Target)]]</f>
        <v>10</v>
      </c>
      <c r="Y22" s="556">
        <f>Data_Shelter_t[[#This Row],['# of Permanent House Built]]+Data_Shelter_t[[#This Row],['# of Individual Shelter Built]]</f>
        <v>10</v>
      </c>
    </row>
    <row r="23" spans="1:25">
      <c r="A23" s="554">
        <v>42186</v>
      </c>
      <c r="B23" s="359" t="s">
        <v>295</v>
      </c>
      <c r="C23" s="359" t="s">
        <v>295</v>
      </c>
      <c r="D23" s="359" t="s">
        <v>7</v>
      </c>
      <c r="E23" s="361" t="s">
        <v>12</v>
      </c>
      <c r="F23" s="359" t="s">
        <v>645</v>
      </c>
      <c r="G23" s="31">
        <v>1</v>
      </c>
      <c r="H23" s="359"/>
      <c r="I23" s="359"/>
      <c r="J23" s="31"/>
      <c r="K23" s="31"/>
      <c r="L23" s="31"/>
      <c r="M23" s="31">
        <v>32</v>
      </c>
      <c r="N23" s="31">
        <v>32</v>
      </c>
      <c r="O23" s="359"/>
      <c r="P23" s="359"/>
      <c r="Q23" s="359"/>
      <c r="R23" s="126"/>
      <c r="S23" s="126">
        <v>32</v>
      </c>
      <c r="T23" s="126">
        <f ca="1">IF(Data_Shelter_t[[#This Row],[Status]]="Open",Data_Shelter_t[[#This Row],[HH Covered]],0)</f>
        <v>0</v>
      </c>
      <c r="U23" s="535" t="s">
        <v>646</v>
      </c>
      <c r="V23" s="537" t="str">
        <f ca="1">IFERROR(OFFSET(Camp_List[Status],MATCH(Data_Shelter_t[[#This Row],[Camp Name]],Camp_List[Camp Name],0)-1,0,1,1),"")</f>
        <v>Relocated in Individual Housing</v>
      </c>
      <c r="W23" s="538">
        <f ca="1">IFERROR(Data_Shelter_t[[#This Row],[HH Covered]]/OFFSET(Camp_List[HH],MATCH(Data_Shelter_t[[#This Row],[Camp Name]],Camp_List[Camp Name],0)-1,0,1,1),"")</f>
        <v>1.032258064516129</v>
      </c>
      <c r="X23" s="24">
        <f>Data_Shelter_t[[#This Row],['# of Permanent House Planned (Target)]]+Data_Shelter_t[[#This Row],['# of Individual Shelter Planned (Target)]]</f>
        <v>32</v>
      </c>
      <c r="Y23" s="556">
        <f>Data_Shelter_t[[#This Row],['# of Permanent House Built]]+Data_Shelter_t[[#This Row],['# of Individual Shelter Built]]</f>
        <v>32</v>
      </c>
    </row>
    <row r="24" spans="1:25">
      <c r="A24" s="554">
        <v>42186</v>
      </c>
      <c r="B24" s="359" t="s">
        <v>295</v>
      </c>
      <c r="C24" s="359" t="s">
        <v>295</v>
      </c>
      <c r="D24" s="359" t="s">
        <v>7</v>
      </c>
      <c r="E24" s="361" t="s">
        <v>12</v>
      </c>
      <c r="F24" s="359" t="s">
        <v>34</v>
      </c>
      <c r="G24" s="31">
        <v>1</v>
      </c>
      <c r="H24" s="359"/>
      <c r="I24" s="359"/>
      <c r="J24" s="31"/>
      <c r="K24" s="31"/>
      <c r="L24" s="31"/>
      <c r="M24" s="31"/>
      <c r="N24" s="31"/>
      <c r="O24" s="359"/>
      <c r="P24" s="126">
        <v>182</v>
      </c>
      <c r="Q24" s="126">
        <v>182</v>
      </c>
      <c r="R24" s="126"/>
      <c r="S24" s="126">
        <v>182</v>
      </c>
      <c r="T24" s="126">
        <f ca="1">IF(Data_Shelter_t[[#This Row],[Status]]="Open",Data_Shelter_t[[#This Row],[HH Covered]],0)</f>
        <v>0</v>
      </c>
      <c r="U24" s="535" t="s">
        <v>121</v>
      </c>
      <c r="V24" s="537" t="str">
        <f ca="1">IFERROR(OFFSET(Camp_List[Status],MATCH(Data_Shelter_t[[#This Row],[Camp Name]],Camp_List[Camp Name],0)-1,0,1,1),"")</f>
        <v>Returned in Individual Housing</v>
      </c>
      <c r="W24" s="538">
        <f ca="1">IFERROR(Data_Shelter_t[[#This Row],[HH Covered]]/OFFSET(Camp_List[HH],MATCH(Data_Shelter_t[[#This Row],[Camp Name]],Camp_List[Camp Name],0)-1,0,1,1),"")</f>
        <v>0.49863013698630138</v>
      </c>
      <c r="X24" s="24">
        <f>Data_Shelter_t[[#This Row],['# of Permanent House Planned (Target)]]+Data_Shelter_t[[#This Row],['# of Individual Shelter Planned (Target)]]</f>
        <v>182</v>
      </c>
      <c r="Y24" s="556">
        <f>Data_Shelter_t[[#This Row],['# of Permanent House Built]]+Data_Shelter_t[[#This Row],['# of Individual Shelter Built]]</f>
        <v>182</v>
      </c>
    </row>
    <row r="25" spans="1:25">
      <c r="A25" s="554">
        <v>42186</v>
      </c>
      <c r="B25" s="359" t="s">
        <v>287</v>
      </c>
      <c r="C25" s="359" t="s">
        <v>642</v>
      </c>
      <c r="D25" s="359" t="s">
        <v>7</v>
      </c>
      <c r="E25" s="361" t="s">
        <v>12</v>
      </c>
      <c r="F25" s="359" t="s">
        <v>33</v>
      </c>
      <c r="G25" s="31">
        <v>1</v>
      </c>
      <c r="H25" s="359"/>
      <c r="I25" s="359"/>
      <c r="J25" s="31"/>
      <c r="K25" s="31"/>
      <c r="L25" s="31"/>
      <c r="M25" s="31"/>
      <c r="N25" s="31"/>
      <c r="O25" s="359"/>
      <c r="P25" s="126">
        <v>102</v>
      </c>
      <c r="Q25" s="359"/>
      <c r="R25" s="126"/>
      <c r="S25" s="126">
        <v>0</v>
      </c>
      <c r="T25" s="126">
        <f ca="1">IF(Data_Shelter_t[[#This Row],[Status]]="Open",Data_Shelter_t[[#This Row],[HH Covered]],0)</f>
        <v>0</v>
      </c>
      <c r="U25" s="535" t="s">
        <v>120</v>
      </c>
      <c r="V25" s="537" t="str">
        <f ca="1">IFERROR(OFFSET(Camp_List[Status],MATCH(Data_Shelter_t[[#This Row],[Camp Name]],Camp_List[Camp Name],0)-1,0,1,1),"")</f>
        <v>Returned in Individual Housing</v>
      </c>
      <c r="W25" s="538">
        <f ca="1">IFERROR(Data_Shelter_t[[#This Row],[HH Covered]]/OFFSET(Camp_List[HH],MATCH(Data_Shelter_t[[#This Row],[Camp Name]],Camp_List[Camp Name],0)-1,0,1,1),"")</f>
        <v>0</v>
      </c>
      <c r="X25" s="24">
        <f>Data_Shelter_t[[#This Row],['# of Permanent House Planned (Target)]]+Data_Shelter_t[[#This Row],['# of Individual Shelter Planned (Target)]]</f>
        <v>102</v>
      </c>
      <c r="Y25" s="556">
        <f>Data_Shelter_t[[#This Row],['# of Permanent House Built]]+Data_Shelter_t[[#This Row],['# of Individual Shelter Built]]</f>
        <v>0</v>
      </c>
    </row>
    <row r="26" spans="1:25" s="100" customFormat="1">
      <c r="A26" s="554">
        <v>42186</v>
      </c>
      <c r="B26" s="359" t="s">
        <v>287</v>
      </c>
      <c r="C26" s="359" t="s">
        <v>642</v>
      </c>
      <c r="D26" s="359" t="s">
        <v>7</v>
      </c>
      <c r="E26" s="361" t="s">
        <v>12</v>
      </c>
      <c r="F26" s="359" t="s">
        <v>34</v>
      </c>
      <c r="G26" s="31">
        <v>1</v>
      </c>
      <c r="H26" s="359"/>
      <c r="I26" s="359"/>
      <c r="J26" s="31"/>
      <c r="K26" s="31"/>
      <c r="L26" s="31"/>
      <c r="M26" s="31"/>
      <c r="N26" s="31"/>
      <c r="O26" s="359"/>
      <c r="P26" s="126">
        <v>183</v>
      </c>
      <c r="Q26" s="359"/>
      <c r="R26" s="126"/>
      <c r="S26" s="126">
        <v>0</v>
      </c>
      <c r="T26" s="126">
        <f ca="1">IF(Data_Shelter_t[[#This Row],[Status]]="Open",Data_Shelter_t[[#This Row],[HH Covered]],0)</f>
        <v>0</v>
      </c>
      <c r="U26" s="535" t="s">
        <v>121</v>
      </c>
      <c r="V26" s="537" t="str">
        <f ca="1">IFERROR(OFFSET(Camp_List[Status],MATCH(Data_Shelter_t[[#This Row],[Camp Name]],Camp_List[Camp Name],0)-1,0,1,1),"")</f>
        <v>Returned in Individual Housing</v>
      </c>
      <c r="W26" s="538">
        <f ca="1">IFERROR(Data_Shelter_t[[#This Row],[HH Covered]]/OFFSET(Camp_List[HH],MATCH(Data_Shelter_t[[#This Row],[Camp Name]],Camp_List[Camp Name],0)-1,0,1,1),"")</f>
        <v>0</v>
      </c>
      <c r="X26" s="24">
        <f>Data_Shelter_t[[#This Row],['# of Permanent House Planned (Target)]]+Data_Shelter_t[[#This Row],['# of Individual Shelter Planned (Target)]]</f>
        <v>183</v>
      </c>
      <c r="Y26" s="556">
        <f>Data_Shelter_t[[#This Row],['# of Permanent House Built]]+Data_Shelter_t[[#This Row],['# of Individual Shelter Built]]</f>
        <v>0</v>
      </c>
    </row>
    <row r="27" spans="1:25">
      <c r="A27" s="554">
        <v>42186</v>
      </c>
      <c r="B27" s="359" t="s">
        <v>295</v>
      </c>
      <c r="C27" s="359" t="s">
        <v>295</v>
      </c>
      <c r="D27" s="359" t="s">
        <v>7</v>
      </c>
      <c r="E27" s="361" t="s">
        <v>900</v>
      </c>
      <c r="F27" s="359" t="s">
        <v>37</v>
      </c>
      <c r="G27" s="31">
        <v>1</v>
      </c>
      <c r="H27" s="359"/>
      <c r="I27" s="359"/>
      <c r="J27" s="31"/>
      <c r="K27" s="31"/>
      <c r="L27" s="31"/>
      <c r="M27" s="31">
        <v>42</v>
      </c>
      <c r="N27" s="31"/>
      <c r="O27" s="359"/>
      <c r="P27" s="359"/>
      <c r="Q27" s="359"/>
      <c r="R27" s="126"/>
      <c r="S27" s="126">
        <v>0</v>
      </c>
      <c r="T27" s="126">
        <f ca="1">IF(Data_Shelter_t[[#This Row],[Status]]="Open",Data_Shelter_t[[#This Row],[HH Covered]],0)</f>
        <v>0</v>
      </c>
      <c r="U27" s="535" t="s">
        <v>124</v>
      </c>
      <c r="V27" s="537" t="str">
        <f ca="1">IFERROR(OFFSET(Camp_List[Status],MATCH(Data_Shelter_t[[#This Row],[Camp Name]],Camp_List[Camp Name],0)-1,0,1,1),"")</f>
        <v>Open</v>
      </c>
      <c r="W27" s="538">
        <f ca="1">IFERROR(Data_Shelter_t[[#This Row],[HH Covered]]/OFFSET(Camp_List[HH],MATCH(Data_Shelter_t[[#This Row],[Camp Name]],Camp_List[Camp Name],0)-1,0,1,1),"")</f>
        <v>0</v>
      </c>
      <c r="X27" s="24">
        <f>Data_Shelter_t[[#This Row],['# of Permanent House Planned (Target)]]+Data_Shelter_t[[#This Row],['# of Individual Shelter Planned (Target)]]</f>
        <v>42</v>
      </c>
      <c r="Y27" s="556">
        <f>Data_Shelter_t[[#This Row],['# of Permanent House Built]]+Data_Shelter_t[[#This Row],['# of Individual Shelter Built]]</f>
        <v>0</v>
      </c>
    </row>
    <row r="28" spans="1:25">
      <c r="A28" s="554">
        <v>42186</v>
      </c>
      <c r="B28" s="359" t="s">
        <v>295</v>
      </c>
      <c r="C28" s="359" t="s">
        <v>295</v>
      </c>
      <c r="D28" s="359" t="s">
        <v>7</v>
      </c>
      <c r="E28" s="361" t="s">
        <v>14</v>
      </c>
      <c r="F28" s="359" t="s">
        <v>42</v>
      </c>
      <c r="G28" s="31">
        <v>1</v>
      </c>
      <c r="H28" s="359"/>
      <c r="I28" s="359"/>
      <c r="J28" s="31"/>
      <c r="K28" s="31"/>
      <c r="L28" s="31"/>
      <c r="M28" s="31"/>
      <c r="N28" s="31"/>
      <c r="O28" s="359"/>
      <c r="P28" s="126">
        <v>112</v>
      </c>
      <c r="Q28" s="126">
        <v>112</v>
      </c>
      <c r="R28" s="126"/>
      <c r="S28" s="126">
        <v>112</v>
      </c>
      <c r="T28" s="126">
        <f ca="1">IF(Data_Shelter_t[[#This Row],[Status]]="Open",Data_Shelter_t[[#This Row],[HH Covered]],0)</f>
        <v>112</v>
      </c>
      <c r="U28" s="535" t="s">
        <v>129</v>
      </c>
      <c r="V28" s="537" t="str">
        <f ca="1">IFERROR(OFFSET(Camp_List[Status],MATCH(Data_Shelter_t[[#This Row],[Camp Name]],Camp_List[Camp Name],0)-1,0,1,1),"")</f>
        <v>Open</v>
      </c>
      <c r="W28" s="538">
        <f ca="1">IFERROR(Data_Shelter_t[[#This Row],[HH Covered]]/OFFSET(Camp_List[HH],MATCH(Data_Shelter_t[[#This Row],[Camp Name]],Camp_List[Camp Name],0)-1,0,1,1),"")</f>
        <v>9.7222222222222224E-2</v>
      </c>
      <c r="X28" s="24">
        <f>Data_Shelter_t[[#This Row],['# of Permanent House Planned (Target)]]+Data_Shelter_t[[#This Row],['# of Individual Shelter Planned (Target)]]</f>
        <v>112</v>
      </c>
      <c r="Y28" s="556">
        <f>Data_Shelter_t[[#This Row],['# of Permanent House Built]]+Data_Shelter_t[[#This Row],['# of Individual Shelter Built]]</f>
        <v>112</v>
      </c>
    </row>
    <row r="29" spans="1:25" s="5" customFormat="1">
      <c r="A29" s="554">
        <v>42186</v>
      </c>
      <c r="B29" s="359" t="s">
        <v>295</v>
      </c>
      <c r="C29" s="359" t="s">
        <v>295</v>
      </c>
      <c r="D29" s="359" t="s">
        <v>7</v>
      </c>
      <c r="E29" s="361" t="s">
        <v>14</v>
      </c>
      <c r="F29" s="359" t="s">
        <v>41</v>
      </c>
      <c r="G29" s="31">
        <v>1</v>
      </c>
      <c r="H29" s="359"/>
      <c r="I29" s="359"/>
      <c r="J29" s="31"/>
      <c r="K29" s="31"/>
      <c r="L29" s="31"/>
      <c r="M29" s="31"/>
      <c r="N29" s="31"/>
      <c r="O29" s="359"/>
      <c r="P29" s="126">
        <v>660</v>
      </c>
      <c r="Q29" s="126">
        <v>660</v>
      </c>
      <c r="R29" s="126"/>
      <c r="S29" s="126">
        <v>660</v>
      </c>
      <c r="T29" s="126">
        <f ca="1">IF(Data_Shelter_t[[#This Row],[Status]]="Open",Data_Shelter_t[[#This Row],[HH Covered]],0)</f>
        <v>660</v>
      </c>
      <c r="U29" s="535" t="s">
        <v>128</v>
      </c>
      <c r="V29" s="537" t="str">
        <f ca="1">IFERROR(OFFSET(Camp_List[Status],MATCH(Data_Shelter_t[[#This Row],[Camp Name]],Camp_List[Camp Name],0)-1,0,1,1),"")</f>
        <v>Open</v>
      </c>
      <c r="W29" s="538">
        <f ca="1">IFERROR(Data_Shelter_t[[#This Row],[HH Covered]]/OFFSET(Camp_List[HH],MATCH(Data_Shelter_t[[#This Row],[Camp Name]],Camp_List[Camp Name],0)-1,0,1,1),"")</f>
        <v>0.77012835472578767</v>
      </c>
      <c r="X29" s="24">
        <f>Data_Shelter_t[[#This Row],['# of Permanent House Planned (Target)]]+Data_Shelter_t[[#This Row],['# of Individual Shelter Planned (Target)]]</f>
        <v>660</v>
      </c>
      <c r="Y29" s="556">
        <f>Data_Shelter_t[[#This Row],['# of Permanent House Built]]+Data_Shelter_t[[#This Row],['# of Individual Shelter Built]]</f>
        <v>660</v>
      </c>
    </row>
    <row r="30" spans="1:25">
      <c r="A30" s="554">
        <v>42186</v>
      </c>
      <c r="B30" s="359" t="s">
        <v>287</v>
      </c>
      <c r="C30" s="359" t="s">
        <v>642</v>
      </c>
      <c r="D30" s="359" t="s">
        <v>7</v>
      </c>
      <c r="E30" s="536" t="s">
        <v>14</v>
      </c>
      <c r="F30" s="24" t="s">
        <v>41</v>
      </c>
      <c r="G30" s="31">
        <v>1</v>
      </c>
      <c r="H30" s="24"/>
      <c r="I30" s="24"/>
      <c r="J30" s="24"/>
      <c r="K30" s="24"/>
      <c r="L30" s="24"/>
      <c r="M30" s="24"/>
      <c r="N30" s="24"/>
      <c r="O30" s="24"/>
      <c r="P30" s="126">
        <v>36</v>
      </c>
      <c r="Q30" s="360"/>
      <c r="R30" s="535"/>
      <c r="S30" s="535">
        <v>0</v>
      </c>
      <c r="T30" s="535">
        <f ca="1">IF(Data_Shelter_t[[#This Row],[Status]]="Open",Data_Shelter_t[[#This Row],[HH Covered]],0)</f>
        <v>0</v>
      </c>
      <c r="U30" s="535" t="s">
        <v>128</v>
      </c>
      <c r="V30" s="537" t="str">
        <f ca="1">IFERROR(OFFSET(Camp_List[Status],MATCH(Data_Shelter_t[[#This Row],[Camp Name]],Camp_List[Camp Name],0)-1,0,1,1),"")</f>
        <v>Open</v>
      </c>
      <c r="W30" s="538">
        <f ca="1">IFERROR(Data_Shelter_t[[#This Row],[HH Covered]]/OFFSET(Camp_List[HH],MATCH(Data_Shelter_t[[#This Row],[Camp Name]],Camp_List[Camp Name],0)-1,0,1,1),"")</f>
        <v>0</v>
      </c>
      <c r="X30" s="24">
        <f>Data_Shelter_t[[#This Row],['# of Permanent House Planned (Target)]]+Data_Shelter_t[[#This Row],['# of Individual Shelter Planned (Target)]]</f>
        <v>36</v>
      </c>
      <c r="Y30" s="556">
        <f>Data_Shelter_t[[#This Row],['# of Permanent House Built]]+Data_Shelter_t[[#This Row],['# of Individual Shelter Built]]</f>
        <v>0</v>
      </c>
    </row>
    <row r="31" spans="1:25">
      <c r="A31" s="554">
        <v>42186</v>
      </c>
      <c r="B31" s="359" t="s">
        <v>295</v>
      </c>
      <c r="C31" s="359" t="s">
        <v>295</v>
      </c>
      <c r="D31" s="359" t="s">
        <v>7</v>
      </c>
      <c r="E31" s="361" t="s">
        <v>18</v>
      </c>
      <c r="F31" s="359" t="s">
        <v>60</v>
      </c>
      <c r="G31" s="31">
        <v>1</v>
      </c>
      <c r="H31" s="359"/>
      <c r="I31" s="359"/>
      <c r="J31" s="31"/>
      <c r="K31" s="31"/>
      <c r="L31" s="31"/>
      <c r="M31" s="31">
        <v>3</v>
      </c>
      <c r="N31" s="31"/>
      <c r="O31" s="359"/>
      <c r="P31" s="359"/>
      <c r="Q31" s="359"/>
      <c r="R31" s="126"/>
      <c r="S31" s="126">
        <v>0</v>
      </c>
      <c r="T31" s="126">
        <f ca="1">IF(Data_Shelter_t[[#This Row],[Status]]="Open",Data_Shelter_t[[#This Row],[HH Covered]],0)</f>
        <v>0</v>
      </c>
      <c r="U31" s="535" t="s">
        <v>149</v>
      </c>
      <c r="V31" s="537" t="str">
        <f ca="1">IFERROR(OFFSET(Camp_List[Status],MATCH(Data_Shelter_t[[#This Row],[Camp Name]],Camp_List[Camp Name],0)-1,0,1,1),"")</f>
        <v>Open</v>
      </c>
      <c r="W31" s="538">
        <f ca="1">IFERROR(Data_Shelter_t[[#This Row],[HH Covered]]/OFFSET(Camp_List[HH],MATCH(Data_Shelter_t[[#This Row],[Camp Name]],Camp_List[Camp Name],0)-1,0,1,1),"")</f>
        <v>0</v>
      </c>
      <c r="X31" s="24">
        <f>Data_Shelter_t[[#This Row],['# of Permanent House Planned (Target)]]+Data_Shelter_t[[#This Row],['# of Individual Shelter Planned (Target)]]</f>
        <v>3</v>
      </c>
      <c r="Y31" s="556">
        <f>Data_Shelter_t[[#This Row],['# of Permanent House Built]]+Data_Shelter_t[[#This Row],['# of Individual Shelter Built]]</f>
        <v>0</v>
      </c>
    </row>
    <row r="32" spans="1:25">
      <c r="A32" s="554">
        <v>42186</v>
      </c>
      <c r="B32" s="359" t="s">
        <v>295</v>
      </c>
      <c r="C32" s="359" t="s">
        <v>295</v>
      </c>
      <c r="D32" s="359" t="s">
        <v>7</v>
      </c>
      <c r="E32" s="361" t="s">
        <v>18</v>
      </c>
      <c r="F32" s="359" t="s">
        <v>59</v>
      </c>
      <c r="G32" s="31">
        <v>1</v>
      </c>
      <c r="H32" s="359"/>
      <c r="I32" s="359"/>
      <c r="J32" s="31"/>
      <c r="K32" s="31"/>
      <c r="L32" s="31"/>
      <c r="M32" s="31">
        <v>59</v>
      </c>
      <c r="N32" s="31"/>
      <c r="O32" s="359"/>
      <c r="P32" s="359"/>
      <c r="Q32" s="359"/>
      <c r="R32" s="126"/>
      <c r="S32" s="126">
        <v>0</v>
      </c>
      <c r="T32" s="126">
        <f ca="1">IF(Data_Shelter_t[[#This Row],[Status]]="Open",Data_Shelter_t[[#This Row],[HH Covered]],0)</f>
        <v>0</v>
      </c>
      <c r="U32" s="535" t="s">
        <v>148</v>
      </c>
      <c r="V32" s="537" t="str">
        <f ca="1">IFERROR(OFFSET(Camp_List[Status],MATCH(Data_Shelter_t[[#This Row],[Camp Name]],Camp_List[Camp Name],0)-1,0,1,1),"")</f>
        <v>Open</v>
      </c>
      <c r="W32" s="538">
        <f ca="1">IFERROR(Data_Shelter_t[[#This Row],[HH Covered]]/OFFSET(Camp_List[HH],MATCH(Data_Shelter_t[[#This Row],[Camp Name]],Camp_List[Camp Name],0)-1,0,1,1),"")</f>
        <v>0</v>
      </c>
      <c r="X32" s="24">
        <f>Data_Shelter_t[[#This Row],['# of Permanent House Planned (Target)]]+Data_Shelter_t[[#This Row],['# of Individual Shelter Planned (Target)]]</f>
        <v>59</v>
      </c>
      <c r="Y32" s="556">
        <f>Data_Shelter_t[[#This Row],['# of Permanent House Built]]+Data_Shelter_t[[#This Row],['# of Individual Shelter Built]]</f>
        <v>0</v>
      </c>
    </row>
    <row r="33" spans="1:25" s="100" customFormat="1">
      <c r="A33" s="554">
        <v>42186</v>
      </c>
      <c r="B33" s="359" t="s">
        <v>295</v>
      </c>
      <c r="C33" s="359" t="s">
        <v>295</v>
      </c>
      <c r="D33" s="359" t="s">
        <v>7</v>
      </c>
      <c r="E33" s="361" t="s">
        <v>16</v>
      </c>
      <c r="F33" s="359" t="s">
        <v>56</v>
      </c>
      <c r="G33" s="31">
        <v>1</v>
      </c>
      <c r="H33" s="359"/>
      <c r="I33" s="359"/>
      <c r="J33" s="31"/>
      <c r="K33" s="31"/>
      <c r="L33" s="31"/>
      <c r="M33" s="31"/>
      <c r="N33" s="31"/>
      <c r="O33" s="359"/>
      <c r="P33" s="126">
        <v>32</v>
      </c>
      <c r="Q33" s="126">
        <v>32</v>
      </c>
      <c r="R33" s="126"/>
      <c r="S33" s="126">
        <v>32</v>
      </c>
      <c r="T33" s="126">
        <f ca="1">IF(Data_Shelter_t[[#This Row],[Status]]="Open",Data_Shelter_t[[#This Row],[HH Covered]],0)</f>
        <v>0</v>
      </c>
      <c r="U33" s="535" t="s">
        <v>143</v>
      </c>
      <c r="V33" s="537" t="str">
        <f ca="1">IFERROR(OFFSET(Camp_List[Status],MATCH(Data_Shelter_t[[#This Row],[Camp Name]],Camp_List[Camp Name],0)-1,0,1,1),"")</f>
        <v>Returned in Individual Housing</v>
      </c>
      <c r="W33" s="538">
        <f ca="1">IFERROR(Data_Shelter_t[[#This Row],[HH Covered]]/OFFSET(Camp_List[HH],MATCH(Data_Shelter_t[[#This Row],[Camp Name]],Camp_List[Camp Name],0)-1,0,1,1),"")</f>
        <v>1</v>
      </c>
      <c r="X33" s="24">
        <f>Data_Shelter_t[[#This Row],['# of Permanent House Planned (Target)]]+Data_Shelter_t[[#This Row],['# of Individual Shelter Planned (Target)]]</f>
        <v>32</v>
      </c>
      <c r="Y33" s="556">
        <f>Data_Shelter_t[[#This Row],['# of Permanent House Built]]+Data_Shelter_t[[#This Row],['# of Individual Shelter Built]]</f>
        <v>32</v>
      </c>
    </row>
    <row r="34" spans="1:25" s="100" customFormat="1">
      <c r="A34" s="554">
        <v>42186</v>
      </c>
      <c r="B34" s="359" t="s">
        <v>295</v>
      </c>
      <c r="C34" s="359" t="s">
        <v>295</v>
      </c>
      <c r="D34" s="359" t="s">
        <v>7</v>
      </c>
      <c r="E34" s="361" t="s">
        <v>16</v>
      </c>
      <c r="F34" s="359" t="s">
        <v>55</v>
      </c>
      <c r="G34" s="31">
        <v>1</v>
      </c>
      <c r="H34" s="359"/>
      <c r="I34" s="359"/>
      <c r="J34" s="31"/>
      <c r="K34" s="31"/>
      <c r="L34" s="31"/>
      <c r="M34" s="31"/>
      <c r="N34" s="31"/>
      <c r="O34" s="359"/>
      <c r="P34" s="126">
        <v>56</v>
      </c>
      <c r="Q34" s="126">
        <v>56</v>
      </c>
      <c r="R34" s="126"/>
      <c r="S34" s="126">
        <v>56</v>
      </c>
      <c r="T34" s="126">
        <f ca="1">IF(Data_Shelter_t[[#This Row],[Status]]="Open",Data_Shelter_t[[#This Row],[HH Covered]],0)</f>
        <v>0</v>
      </c>
      <c r="U34" s="535" t="s">
        <v>142</v>
      </c>
      <c r="V34" s="537" t="str">
        <f ca="1">IFERROR(OFFSET(Camp_List[Status],MATCH(Data_Shelter_t[[#This Row],[Camp Name]],Camp_List[Camp Name],0)-1,0,1,1),"")</f>
        <v>Returned in Individual Housing</v>
      </c>
      <c r="W34" s="538">
        <f ca="1">IFERROR(Data_Shelter_t[[#This Row],[HH Covered]]/OFFSET(Camp_List[HH],MATCH(Data_Shelter_t[[#This Row],[Camp Name]],Camp_List[Camp Name],0)-1,0,1,1),"")</f>
        <v>1.037037037037037</v>
      </c>
      <c r="X34" s="24">
        <f>Data_Shelter_t[[#This Row],['# of Permanent House Planned (Target)]]+Data_Shelter_t[[#This Row],['# of Individual Shelter Planned (Target)]]</f>
        <v>56</v>
      </c>
      <c r="Y34" s="556">
        <f>Data_Shelter_t[[#This Row],['# of Permanent House Built]]+Data_Shelter_t[[#This Row],['# of Individual Shelter Built]]</f>
        <v>56</v>
      </c>
    </row>
    <row r="35" spans="1:25">
      <c r="A35" s="554">
        <v>42186</v>
      </c>
      <c r="B35" s="359" t="s">
        <v>287</v>
      </c>
      <c r="C35" s="359" t="s">
        <v>287</v>
      </c>
      <c r="D35" s="359" t="s">
        <v>7</v>
      </c>
      <c r="E35" s="361" t="s">
        <v>19</v>
      </c>
      <c r="F35" s="359" t="s">
        <v>78</v>
      </c>
      <c r="G35" s="31">
        <v>1</v>
      </c>
      <c r="H35" s="359"/>
      <c r="I35" s="359"/>
      <c r="J35" s="31"/>
      <c r="K35" s="31"/>
      <c r="L35" s="31"/>
      <c r="M35" s="31">
        <v>72</v>
      </c>
      <c r="N35" s="31">
        <v>72</v>
      </c>
      <c r="O35" s="359"/>
      <c r="P35" s="359"/>
      <c r="Q35" s="359"/>
      <c r="R35" s="126"/>
      <c r="S35" s="126">
        <v>72</v>
      </c>
      <c r="T35" s="126">
        <f ca="1">IF(Data_Shelter_t[[#This Row],[Status]]="Open",Data_Shelter_t[[#This Row],[HH Covered]],0)</f>
        <v>0</v>
      </c>
      <c r="U35" s="535" t="s">
        <v>167</v>
      </c>
      <c r="V35" s="537" t="str">
        <f ca="1">IFERROR(OFFSET(Camp_List[Status],MATCH(Data_Shelter_t[[#This Row],[Camp Name]],Camp_List[Camp Name],0)-1,0,1,1),"")</f>
        <v>Relocated in Individual Housing</v>
      </c>
      <c r="W35" s="538">
        <f ca="1">IFERROR(Data_Shelter_t[[#This Row],[HH Covered]]/OFFSET(Camp_List[HH],MATCH(Data_Shelter_t[[#This Row],[Camp Name]],Camp_List[Camp Name],0)-1,0,1,1),"")</f>
        <v>1</v>
      </c>
      <c r="X35" s="24">
        <f>Data_Shelter_t[[#This Row],['# of Permanent House Planned (Target)]]+Data_Shelter_t[[#This Row],['# of Individual Shelter Planned (Target)]]</f>
        <v>72</v>
      </c>
      <c r="Y35" s="556">
        <f>Data_Shelter_t[[#This Row],['# of Permanent House Built]]+Data_Shelter_t[[#This Row],['# of Individual Shelter Built]]</f>
        <v>72</v>
      </c>
    </row>
    <row r="36" spans="1:25" s="100" customFormat="1">
      <c r="A36" s="554">
        <v>42186</v>
      </c>
      <c r="B36" s="359" t="s">
        <v>295</v>
      </c>
      <c r="C36" s="359" t="s">
        <v>295</v>
      </c>
      <c r="D36" s="359" t="s">
        <v>7</v>
      </c>
      <c r="E36" s="361" t="s">
        <v>15</v>
      </c>
      <c r="F36" s="359" t="s">
        <v>51</v>
      </c>
      <c r="G36" s="31">
        <v>1</v>
      </c>
      <c r="H36" s="359"/>
      <c r="I36" s="359"/>
      <c r="J36" s="31"/>
      <c r="K36" s="31"/>
      <c r="L36" s="31"/>
      <c r="M36" s="31"/>
      <c r="N36" s="31"/>
      <c r="O36" s="359"/>
      <c r="P36" s="126">
        <v>116</v>
      </c>
      <c r="Q36" s="359"/>
      <c r="R36" s="126"/>
      <c r="S36" s="126">
        <v>0</v>
      </c>
      <c r="T36" s="126">
        <f ca="1">IF(Data_Shelter_t[[#This Row],[Status]]="Open",Data_Shelter_t[[#This Row],[HH Covered]],0)</f>
        <v>0</v>
      </c>
      <c r="U36" s="535" t="s">
        <v>138</v>
      </c>
      <c r="V36" s="537" t="str">
        <f ca="1">IFERROR(OFFSET(Camp_List[Status],MATCH(Data_Shelter_t[[#This Row],[Camp Name]],Camp_List[Camp Name],0)-1,0,1,1),"")</f>
        <v>Returned in Individual Housing</v>
      </c>
      <c r="W36" s="538">
        <f ca="1">IFERROR(Data_Shelter_t[[#This Row],[HH Covered]]/OFFSET(Camp_List[HH],MATCH(Data_Shelter_t[[#This Row],[Camp Name]],Camp_List[Camp Name],0)-1,0,1,1),"")</f>
        <v>0</v>
      </c>
      <c r="X36" s="535">
        <f>Data_Shelter_t[[#This Row],['# of Permanent House Planned (Target)]]+Data_Shelter_t[[#This Row],['# of Individual Shelter Planned (Target)]]</f>
        <v>116</v>
      </c>
      <c r="Y36" s="557">
        <f>Data_Shelter_t[[#This Row],['# of Permanent House Built]]+Data_Shelter_t[[#This Row],['# of Individual Shelter Built]]</f>
        <v>0</v>
      </c>
    </row>
    <row r="37" spans="1:25">
      <c r="A37" s="554">
        <v>42186</v>
      </c>
      <c r="B37" s="359" t="s">
        <v>295</v>
      </c>
      <c r="C37" s="359" t="s">
        <v>295</v>
      </c>
      <c r="D37" s="359" t="s">
        <v>7</v>
      </c>
      <c r="E37" s="361" t="s">
        <v>15</v>
      </c>
      <c r="F37" s="359" t="s">
        <v>50</v>
      </c>
      <c r="G37" s="31">
        <v>1</v>
      </c>
      <c r="H37" s="359"/>
      <c r="I37" s="359"/>
      <c r="J37" s="31"/>
      <c r="K37" s="31"/>
      <c r="L37" s="31"/>
      <c r="M37" s="31"/>
      <c r="N37" s="31"/>
      <c r="O37" s="359"/>
      <c r="P37" s="126">
        <v>236</v>
      </c>
      <c r="Q37" s="359"/>
      <c r="R37" s="126"/>
      <c r="S37" s="126">
        <v>0</v>
      </c>
      <c r="T37" s="126">
        <f ca="1">IF(Data_Shelter_t[[#This Row],[Status]]="Open",Data_Shelter_t[[#This Row],[HH Covered]],0)</f>
        <v>0</v>
      </c>
      <c r="U37" s="535" t="s">
        <v>137</v>
      </c>
      <c r="V37" s="537" t="str">
        <f ca="1">IFERROR(OFFSET(Camp_List[Status],MATCH(Data_Shelter_t[[#This Row],[Camp Name]],Camp_List[Camp Name],0)-1,0,1,1),"")</f>
        <v>Returned in Individual Housing</v>
      </c>
      <c r="W37" s="538">
        <f ca="1">IFERROR(Data_Shelter_t[[#This Row],[HH Covered]]/OFFSET(Camp_List[HH],MATCH(Data_Shelter_t[[#This Row],[Camp Name]],Camp_List[Camp Name],0)-1,0,1,1),"")</f>
        <v>0</v>
      </c>
      <c r="X37" s="535">
        <f>Data_Shelter_t[[#This Row],['# of Permanent House Planned (Target)]]+Data_Shelter_t[[#This Row],['# of Individual Shelter Planned (Target)]]</f>
        <v>236</v>
      </c>
      <c r="Y37" s="557">
        <f>Data_Shelter_t[[#This Row],['# of Permanent House Built]]+Data_Shelter_t[[#This Row],['# of Individual Shelter Built]]</f>
        <v>0</v>
      </c>
    </row>
    <row r="38" spans="1:25">
      <c r="A38" s="554">
        <v>42186</v>
      </c>
      <c r="B38" s="359" t="s">
        <v>295</v>
      </c>
      <c r="C38" s="359" t="s">
        <v>295</v>
      </c>
      <c r="D38" s="359" t="s">
        <v>7</v>
      </c>
      <c r="E38" s="361" t="s">
        <v>15</v>
      </c>
      <c r="F38" s="359" t="s">
        <v>47</v>
      </c>
      <c r="G38" s="31">
        <v>1</v>
      </c>
      <c r="H38" s="359"/>
      <c r="I38" s="359"/>
      <c r="J38" s="31"/>
      <c r="K38" s="31"/>
      <c r="L38" s="31"/>
      <c r="M38" s="31"/>
      <c r="N38" s="31"/>
      <c r="O38" s="359"/>
      <c r="P38" s="126">
        <v>85</v>
      </c>
      <c r="Q38" s="359"/>
      <c r="R38" s="126"/>
      <c r="S38" s="126">
        <v>0</v>
      </c>
      <c r="T38" s="126">
        <f ca="1">IF(Data_Shelter_t[[#This Row],[Status]]="Open",Data_Shelter_t[[#This Row],[HH Covered]],0)</f>
        <v>0</v>
      </c>
      <c r="U38" s="535" t="s">
        <v>134</v>
      </c>
      <c r="V38" s="537" t="str">
        <f ca="1">IFERROR(OFFSET(Camp_List[Status],MATCH(Data_Shelter_t[[#This Row],[Camp Name]],Camp_List[Camp Name],0)-1,0,1,1),"")</f>
        <v>Open</v>
      </c>
      <c r="W38" s="538">
        <f ca="1">IFERROR(Data_Shelter_t[[#This Row],[HH Covered]]/OFFSET(Camp_List[HH],MATCH(Data_Shelter_t[[#This Row],[Camp Name]],Camp_List[Camp Name],0)-1,0,1,1),"")</f>
        <v>0</v>
      </c>
      <c r="X38" s="535">
        <f>Data_Shelter_t[[#This Row],['# of Permanent House Planned (Target)]]+Data_Shelter_t[[#This Row],['# of Individual Shelter Planned (Target)]]</f>
        <v>85</v>
      </c>
      <c r="Y38" s="557">
        <f>Data_Shelter_t[[#This Row],['# of Permanent House Built]]+Data_Shelter_t[[#This Row],['# of Individual Shelter Built]]</f>
        <v>0</v>
      </c>
    </row>
    <row r="39" spans="1:25">
      <c r="A39" s="554">
        <v>42186</v>
      </c>
      <c r="B39" s="359" t="s">
        <v>295</v>
      </c>
      <c r="C39" s="359" t="s">
        <v>295</v>
      </c>
      <c r="D39" s="359" t="s">
        <v>7</v>
      </c>
      <c r="E39" s="361" t="s">
        <v>15</v>
      </c>
      <c r="F39" s="359" t="s">
        <v>53</v>
      </c>
      <c r="G39" s="31">
        <v>1</v>
      </c>
      <c r="H39" s="359"/>
      <c r="I39" s="359"/>
      <c r="J39" s="31"/>
      <c r="K39" s="31"/>
      <c r="L39" s="31"/>
      <c r="M39" s="31"/>
      <c r="N39" s="31"/>
      <c r="O39" s="359"/>
      <c r="P39" s="126">
        <v>144</v>
      </c>
      <c r="Q39" s="359"/>
      <c r="R39" s="126"/>
      <c r="S39" s="126">
        <v>0</v>
      </c>
      <c r="T39" s="126">
        <f ca="1">IF(Data_Shelter_t[[#This Row],[Status]]="Open",Data_Shelter_t[[#This Row],[HH Covered]],0)</f>
        <v>0</v>
      </c>
      <c r="U39" s="535" t="s">
        <v>140</v>
      </c>
      <c r="V39" s="537" t="str">
        <f ca="1">IFERROR(OFFSET(Camp_List[Status],MATCH(Data_Shelter_t[[#This Row],[Camp Name]],Camp_List[Camp Name],0)-1,0,1,1),"")</f>
        <v>Returned in Individual Housing</v>
      </c>
      <c r="W39" s="538">
        <f ca="1">IFERROR(Data_Shelter_t[[#This Row],[HH Covered]]/OFFSET(Camp_List[HH],MATCH(Data_Shelter_t[[#This Row],[Camp Name]],Camp_List[Camp Name],0)-1,0,1,1),"")</f>
        <v>0</v>
      </c>
      <c r="X39" s="535">
        <f>Data_Shelter_t[[#This Row],['# of Permanent House Planned (Target)]]+Data_Shelter_t[[#This Row],['# of Individual Shelter Planned (Target)]]</f>
        <v>144</v>
      </c>
      <c r="Y39" s="557">
        <f>Data_Shelter_t[[#This Row],['# of Permanent House Built]]+Data_Shelter_t[[#This Row],['# of Individual Shelter Built]]</f>
        <v>0</v>
      </c>
    </row>
    <row r="40" spans="1:25">
      <c r="A40" s="554">
        <v>42186</v>
      </c>
      <c r="B40" s="359" t="s">
        <v>295</v>
      </c>
      <c r="C40" s="359" t="s">
        <v>295</v>
      </c>
      <c r="D40" s="359" t="s">
        <v>7</v>
      </c>
      <c r="E40" s="361" t="s">
        <v>15</v>
      </c>
      <c r="F40" s="24" t="s">
        <v>52</v>
      </c>
      <c r="G40" s="24">
        <v>1</v>
      </c>
      <c r="H40" s="24"/>
      <c r="I40" s="24"/>
      <c r="J40" s="24"/>
      <c r="K40" s="24"/>
      <c r="L40" s="24"/>
      <c r="M40" s="24"/>
      <c r="N40" s="24"/>
      <c r="O40" s="24"/>
      <c r="P40" s="535">
        <v>112</v>
      </c>
      <c r="Q40" s="360"/>
      <c r="R40" s="535"/>
      <c r="S40" s="535">
        <v>0</v>
      </c>
      <c r="T40" s="535">
        <f ca="1">IF(Data_Shelter_t[[#This Row],[Status]]="Open",Data_Shelter_t[[#This Row],[HH Covered]],0)</f>
        <v>0</v>
      </c>
      <c r="U40" s="535" t="s">
        <v>139</v>
      </c>
      <c r="V40" s="537" t="str">
        <f ca="1">IFERROR(OFFSET(Camp_List[Status],MATCH(Data_Shelter_t[[#This Row],[Camp Name]],Camp_List[Camp Name],0)-1,0,1,1),"")</f>
        <v>Returned in Individual Housing</v>
      </c>
      <c r="W40" s="538">
        <f ca="1">IFERROR(Data_Shelter_t[[#This Row],[HH Covered]]/OFFSET(Camp_List[HH],MATCH(Data_Shelter_t[[#This Row],[Camp Name]],Camp_List[Camp Name],0)-1,0,1,1),"")</f>
        <v>0</v>
      </c>
      <c r="X40" s="535">
        <f>Data_Shelter_t[[#This Row],['# of Permanent House Planned (Target)]]+Data_Shelter_t[[#This Row],['# of Individual Shelter Planned (Target)]]</f>
        <v>112</v>
      </c>
      <c r="Y40" s="557">
        <f>Data_Shelter_t[[#This Row],['# of Permanent House Built]]+Data_Shelter_t[[#This Row],['# of Individual Shelter Built]]</f>
        <v>0</v>
      </c>
    </row>
    <row r="41" spans="1:25" s="5" customFormat="1">
      <c r="A41" s="554">
        <v>42186</v>
      </c>
      <c r="B41" s="359" t="s">
        <v>287</v>
      </c>
      <c r="C41" s="359" t="s">
        <v>642</v>
      </c>
      <c r="D41" s="359" t="s">
        <v>7</v>
      </c>
      <c r="E41" s="361" t="s">
        <v>11</v>
      </c>
      <c r="F41" s="24" t="s">
        <v>30</v>
      </c>
      <c r="G41" s="24">
        <v>1</v>
      </c>
      <c r="H41" s="24"/>
      <c r="I41" s="24"/>
      <c r="J41" s="24"/>
      <c r="K41" s="24"/>
      <c r="L41" s="24"/>
      <c r="M41" s="24"/>
      <c r="N41" s="24"/>
      <c r="O41" s="24"/>
      <c r="P41" s="535">
        <v>43</v>
      </c>
      <c r="Q41" s="360"/>
      <c r="R41" s="535"/>
      <c r="S41" s="535">
        <v>0</v>
      </c>
      <c r="T41" s="535">
        <f ca="1">IF(Data_Shelter_t[[#This Row],[Status]]="Open",Data_Shelter_t[[#This Row],[HH Covered]],0)</f>
        <v>0</v>
      </c>
      <c r="U41" s="535" t="s">
        <v>117</v>
      </c>
      <c r="V41" s="537" t="str">
        <f ca="1">IFERROR(OFFSET(Camp_List[Status],MATCH(Data_Shelter_t[[#This Row],[Camp Name]],Camp_List[Camp Name],0)-1,0,1,1),"")</f>
        <v>Returned in Individual Housing</v>
      </c>
      <c r="W41" s="538">
        <f ca="1">IFERROR(Data_Shelter_t[[#This Row],[HH Covered]]/OFFSET(Camp_List[HH],MATCH(Data_Shelter_t[[#This Row],[Camp Name]],Camp_List[Camp Name],0)-1,0,1,1),"")</f>
        <v>0</v>
      </c>
      <c r="X41" s="535">
        <f>Data_Shelter_t[[#This Row],['# of Permanent House Planned (Target)]]+Data_Shelter_t[[#This Row],['# of Individual Shelter Planned (Target)]]</f>
        <v>43</v>
      </c>
      <c r="Y41" s="557">
        <f>Data_Shelter_t[[#This Row],['# of Permanent House Built]]+Data_Shelter_t[[#This Row],['# of Individual Shelter Built]]</f>
        <v>0</v>
      </c>
    </row>
    <row r="42" spans="1:25">
      <c r="A42" s="554">
        <v>42186</v>
      </c>
      <c r="B42" s="359" t="s">
        <v>287</v>
      </c>
      <c r="C42" s="359" t="s">
        <v>642</v>
      </c>
      <c r="D42" s="359" t="s">
        <v>7</v>
      </c>
      <c r="E42" s="361" t="s">
        <v>11</v>
      </c>
      <c r="F42" s="24" t="s">
        <v>32</v>
      </c>
      <c r="G42" s="24">
        <v>1</v>
      </c>
      <c r="H42" s="24"/>
      <c r="I42" s="24"/>
      <c r="J42" s="24"/>
      <c r="K42" s="24"/>
      <c r="L42" s="24"/>
      <c r="M42" s="24"/>
      <c r="N42" s="24"/>
      <c r="O42" s="24"/>
      <c r="P42" s="535">
        <v>114</v>
      </c>
      <c r="Q42" s="360"/>
      <c r="R42" s="535"/>
      <c r="S42" s="535">
        <v>0</v>
      </c>
      <c r="T42" s="535">
        <f ca="1">IF(Data_Shelter_t[[#This Row],[Status]]="Open",Data_Shelter_t[[#This Row],[HH Covered]],0)</f>
        <v>0</v>
      </c>
      <c r="U42" s="535" t="s">
        <v>119</v>
      </c>
      <c r="V42" s="537" t="str">
        <f ca="1">IFERROR(OFFSET(Camp_List[Status],MATCH(Data_Shelter_t[[#This Row],[Camp Name]],Camp_List[Camp Name],0)-1,0,1,1),"")</f>
        <v>Returned in Individual Housing</v>
      </c>
      <c r="W42" s="538">
        <f ca="1">IFERROR(Data_Shelter_t[[#This Row],[HH Covered]]/OFFSET(Camp_List[HH],MATCH(Data_Shelter_t[[#This Row],[Camp Name]],Camp_List[Camp Name],0)-1,0,1,1),"")</f>
        <v>0</v>
      </c>
      <c r="X42" s="535">
        <f>Data_Shelter_t[[#This Row],['# of Permanent House Planned (Target)]]+Data_Shelter_t[[#This Row],['# of Individual Shelter Planned (Target)]]</f>
        <v>114</v>
      </c>
      <c r="Y42" s="557">
        <f>Data_Shelter_t[[#This Row],['# of Permanent House Built]]+Data_Shelter_t[[#This Row],['# of Individual Shelter Built]]</f>
        <v>0</v>
      </c>
    </row>
    <row r="43" spans="1:25">
      <c r="A43" s="554">
        <v>42186</v>
      </c>
      <c r="B43" s="359" t="s">
        <v>287</v>
      </c>
      <c r="C43" s="359" t="s">
        <v>642</v>
      </c>
      <c r="D43" s="359" t="s">
        <v>7</v>
      </c>
      <c r="E43" s="361" t="s">
        <v>11</v>
      </c>
      <c r="F43" s="24" t="s">
        <v>27</v>
      </c>
      <c r="G43" s="24">
        <v>1</v>
      </c>
      <c r="H43" s="24"/>
      <c r="I43" s="24"/>
      <c r="J43" s="24"/>
      <c r="K43" s="24"/>
      <c r="L43" s="24"/>
      <c r="M43" s="24"/>
      <c r="N43" s="24"/>
      <c r="O43" s="24"/>
      <c r="P43" s="535">
        <v>43</v>
      </c>
      <c r="Q43" s="360"/>
      <c r="R43" s="535"/>
      <c r="S43" s="535">
        <v>0</v>
      </c>
      <c r="T43" s="535">
        <f ca="1">IF(Data_Shelter_t[[#This Row],[Status]]="Open",Data_Shelter_t[[#This Row],[HH Covered]],0)</f>
        <v>0</v>
      </c>
      <c r="U43" s="535" t="s">
        <v>114</v>
      </c>
      <c r="V43" s="537" t="str">
        <f ca="1">IFERROR(OFFSET(Camp_List[Status],MATCH(Data_Shelter_t[[#This Row],[Camp Name]],Camp_List[Camp Name],0)-1,0,1,1),"")</f>
        <v>Returned in Individual Housing</v>
      </c>
      <c r="W43" s="538">
        <f ca="1">IFERROR(Data_Shelter_t[[#This Row],[HH Covered]]/OFFSET(Camp_List[HH],MATCH(Data_Shelter_t[[#This Row],[Camp Name]],Camp_List[Camp Name],0)-1,0,1,1),"")</f>
        <v>0</v>
      </c>
      <c r="X43" s="535">
        <f>Data_Shelter_t[[#This Row],['# of Permanent House Planned (Target)]]+Data_Shelter_t[[#This Row],['# of Individual Shelter Planned (Target)]]</f>
        <v>43</v>
      </c>
      <c r="Y43" s="557">
        <f>Data_Shelter_t[[#This Row],['# of Permanent House Built]]+Data_Shelter_t[[#This Row],['# of Individual Shelter Built]]</f>
        <v>0</v>
      </c>
    </row>
    <row r="44" spans="1:25">
      <c r="A44" s="554">
        <v>42186</v>
      </c>
      <c r="B44" s="359" t="s">
        <v>287</v>
      </c>
      <c r="C44" s="359" t="s">
        <v>642</v>
      </c>
      <c r="D44" s="359" t="s">
        <v>7</v>
      </c>
      <c r="E44" s="361" t="s">
        <v>11</v>
      </c>
      <c r="F44" s="24" t="s">
        <v>26</v>
      </c>
      <c r="G44" s="24">
        <v>1</v>
      </c>
      <c r="H44" s="24"/>
      <c r="I44" s="24"/>
      <c r="J44" s="24"/>
      <c r="K44" s="24"/>
      <c r="L44" s="24"/>
      <c r="M44" s="24"/>
      <c r="N44" s="24"/>
      <c r="O44" s="24"/>
      <c r="P44" s="535">
        <v>107</v>
      </c>
      <c r="Q44" s="360"/>
      <c r="R44" s="535"/>
      <c r="S44" s="535">
        <v>0</v>
      </c>
      <c r="T44" s="535">
        <f ca="1">IF(Data_Shelter_t[[#This Row],[Status]]="Open",Data_Shelter_t[[#This Row],[HH Covered]],0)</f>
        <v>0</v>
      </c>
      <c r="U44" s="535" t="s">
        <v>113</v>
      </c>
      <c r="V44" s="537" t="str">
        <f ca="1">IFERROR(OFFSET(Camp_List[Status],MATCH(Data_Shelter_t[[#This Row],[Camp Name]],Camp_List[Camp Name],0)-1,0,1,1),"")</f>
        <v>Returned in Individual Housing</v>
      </c>
      <c r="W44" s="538">
        <f ca="1">IFERROR(Data_Shelter_t[[#This Row],[HH Covered]]/OFFSET(Camp_List[HH],MATCH(Data_Shelter_t[[#This Row],[Camp Name]],Camp_List[Camp Name],0)-1,0,1,1),"")</f>
        <v>0</v>
      </c>
      <c r="X44" s="535">
        <f>Data_Shelter_t[[#This Row],['# of Permanent House Planned (Target)]]+Data_Shelter_t[[#This Row],['# of Individual Shelter Planned (Target)]]</f>
        <v>107</v>
      </c>
      <c r="Y44" s="557">
        <f>Data_Shelter_t[[#This Row],['# of Permanent House Built]]+Data_Shelter_t[[#This Row],['# of Individual Shelter Built]]</f>
        <v>0</v>
      </c>
    </row>
    <row r="45" spans="1:25">
      <c r="A45" s="554">
        <v>42186</v>
      </c>
      <c r="B45" s="359" t="s">
        <v>287</v>
      </c>
      <c r="C45" s="359" t="s">
        <v>642</v>
      </c>
      <c r="D45" s="359" t="s">
        <v>7</v>
      </c>
      <c r="E45" s="361" t="s">
        <v>11</v>
      </c>
      <c r="F45" s="24" t="s">
        <v>29</v>
      </c>
      <c r="G45" s="24">
        <v>1</v>
      </c>
      <c r="H45" s="24"/>
      <c r="I45" s="24"/>
      <c r="J45" s="24"/>
      <c r="K45" s="24"/>
      <c r="L45" s="24"/>
      <c r="M45" s="24"/>
      <c r="N45" s="24"/>
      <c r="O45" s="24"/>
      <c r="P45" s="535">
        <v>140</v>
      </c>
      <c r="Q45" s="360"/>
      <c r="R45" s="535"/>
      <c r="S45" s="535">
        <v>0</v>
      </c>
      <c r="T45" s="535">
        <f ca="1">IF(Data_Shelter_t[[#This Row],[Status]]="Open",Data_Shelter_t[[#This Row],[HH Covered]],0)</f>
        <v>0</v>
      </c>
      <c r="U45" s="535" t="s">
        <v>116</v>
      </c>
      <c r="V45" s="537" t="str">
        <f ca="1">IFERROR(OFFSET(Camp_List[Status],MATCH(Data_Shelter_t[[#This Row],[Camp Name]],Camp_List[Camp Name],0)-1,0,1,1),"")</f>
        <v>Returned in Individual Housing</v>
      </c>
      <c r="W45" s="538">
        <f ca="1">IFERROR(Data_Shelter_t[[#This Row],[HH Covered]]/OFFSET(Camp_List[HH],MATCH(Data_Shelter_t[[#This Row],[Camp Name]],Camp_List[Camp Name],0)-1,0,1,1),"")</f>
        <v>0</v>
      </c>
      <c r="X45" s="535">
        <f>Data_Shelter_t[[#This Row],['# of Permanent House Planned (Target)]]+Data_Shelter_t[[#This Row],['# of Individual Shelter Planned (Target)]]</f>
        <v>140</v>
      </c>
      <c r="Y45" s="557">
        <f>Data_Shelter_t[[#This Row],['# of Permanent House Built]]+Data_Shelter_t[[#This Row],['# of Individual Shelter Built]]</f>
        <v>0</v>
      </c>
    </row>
    <row r="46" spans="1:25">
      <c r="A46" s="554">
        <v>42186</v>
      </c>
      <c r="B46" s="359" t="s">
        <v>287</v>
      </c>
      <c r="C46" s="359" t="s">
        <v>642</v>
      </c>
      <c r="D46" s="359" t="s">
        <v>7</v>
      </c>
      <c r="E46" s="361" t="s">
        <v>15</v>
      </c>
      <c r="F46" s="24" t="s">
        <v>48</v>
      </c>
      <c r="G46" s="24">
        <v>1</v>
      </c>
      <c r="H46" s="24"/>
      <c r="I46" s="24"/>
      <c r="J46" s="24"/>
      <c r="K46" s="24"/>
      <c r="L46" s="24"/>
      <c r="M46" s="24"/>
      <c r="N46" s="24"/>
      <c r="O46" s="24"/>
      <c r="P46" s="535">
        <v>52</v>
      </c>
      <c r="Q46" s="360"/>
      <c r="R46" s="535"/>
      <c r="S46" s="535">
        <v>0</v>
      </c>
      <c r="T46" s="535">
        <f ca="1">IF(Data_Shelter_t[[#This Row],[Status]]="Open",Data_Shelter_t[[#This Row],[HH Covered]],0)</f>
        <v>0</v>
      </c>
      <c r="U46" s="535" t="s">
        <v>135</v>
      </c>
      <c r="V46" s="537" t="str">
        <f ca="1">IFERROR(OFFSET(Camp_List[Status],MATCH(Data_Shelter_t[[#This Row],[Camp Name]],Camp_List[Camp Name],0)-1,0,1,1),"")</f>
        <v>Returned in Individual Housing</v>
      </c>
      <c r="W46" s="538">
        <f ca="1">IFERROR(Data_Shelter_t[[#This Row],[HH Covered]]/OFFSET(Camp_List[HH],MATCH(Data_Shelter_t[[#This Row],[Camp Name]],Camp_List[Camp Name],0)-1,0,1,1),"")</f>
        <v>0</v>
      </c>
      <c r="X46" s="535">
        <f>Data_Shelter_t[[#This Row],['# of Permanent House Planned (Target)]]+Data_Shelter_t[[#This Row],['# of Individual Shelter Planned (Target)]]</f>
        <v>52</v>
      </c>
      <c r="Y46" s="557">
        <f>Data_Shelter_t[[#This Row],['# of Permanent House Built]]+Data_Shelter_t[[#This Row],['# of Individual Shelter Built]]</f>
        <v>0</v>
      </c>
    </row>
    <row r="47" spans="1:25" s="5" customFormat="1">
      <c r="A47" s="554">
        <v>42186</v>
      </c>
      <c r="B47" s="359" t="s">
        <v>287</v>
      </c>
      <c r="C47" s="359" t="s">
        <v>642</v>
      </c>
      <c r="D47" s="359" t="s">
        <v>7</v>
      </c>
      <c r="E47" s="361" t="s">
        <v>14</v>
      </c>
      <c r="F47" s="24" t="s">
        <v>42</v>
      </c>
      <c r="G47" s="24">
        <v>1</v>
      </c>
      <c r="H47" s="24"/>
      <c r="I47" s="24"/>
      <c r="J47" s="24"/>
      <c r="K47" s="24"/>
      <c r="L47" s="24"/>
      <c r="M47" s="24"/>
      <c r="N47" s="24"/>
      <c r="O47" s="24"/>
      <c r="P47" s="535">
        <v>232</v>
      </c>
      <c r="Q47" s="360"/>
      <c r="R47" s="535"/>
      <c r="S47" s="535">
        <v>0</v>
      </c>
      <c r="T47" s="535">
        <f ca="1">IF(Data_Shelter_t[[#This Row],[Status]]="Open",Data_Shelter_t[[#This Row],[HH Covered]],0)</f>
        <v>0</v>
      </c>
      <c r="U47" s="535" t="s">
        <v>129</v>
      </c>
      <c r="V47" s="537" t="str">
        <f ca="1">IFERROR(OFFSET(Camp_List[Status],MATCH(Data_Shelter_t[[#This Row],[Camp Name]],Camp_List[Camp Name],0)-1,0,1,1),"")</f>
        <v>Open</v>
      </c>
      <c r="W47" s="538">
        <f ca="1">IFERROR(Data_Shelter_t[[#This Row],[HH Covered]]/OFFSET(Camp_List[HH],MATCH(Data_Shelter_t[[#This Row],[Camp Name]],Camp_List[Camp Name],0)-1,0,1,1),"")</f>
        <v>0</v>
      </c>
      <c r="X47" s="535">
        <f>Data_Shelter_t[[#This Row],['# of Permanent House Planned (Target)]]+Data_Shelter_t[[#This Row],['# of Individual Shelter Planned (Target)]]</f>
        <v>232</v>
      </c>
      <c r="Y47" s="557">
        <f>Data_Shelter_t[[#This Row],['# of Permanent House Built]]+Data_Shelter_t[[#This Row],['# of Individual Shelter Built]]</f>
        <v>0</v>
      </c>
    </row>
    <row r="48" spans="1:25" s="5" customFormat="1">
      <c r="A48" s="554">
        <v>42186</v>
      </c>
      <c r="B48" s="359" t="s">
        <v>295</v>
      </c>
      <c r="C48" s="359" t="s">
        <v>295</v>
      </c>
      <c r="D48" s="359" t="s">
        <v>7</v>
      </c>
      <c r="E48" s="361" t="s">
        <v>14</v>
      </c>
      <c r="F48" s="24" t="s">
        <v>42</v>
      </c>
      <c r="G48" s="24">
        <v>1</v>
      </c>
      <c r="H48" s="24"/>
      <c r="I48" s="24"/>
      <c r="J48" s="24"/>
      <c r="K48" s="24"/>
      <c r="L48" s="24"/>
      <c r="M48" s="24"/>
      <c r="N48" s="24"/>
      <c r="O48" s="24"/>
      <c r="P48" s="535">
        <v>647</v>
      </c>
      <c r="Q48" s="360"/>
      <c r="R48" s="535"/>
      <c r="S48" s="535">
        <v>0</v>
      </c>
      <c r="T48" s="535">
        <f ca="1">IF(Data_Shelter_t[[#This Row],[Status]]="Open",Data_Shelter_t[[#This Row],[HH Covered]],0)</f>
        <v>0</v>
      </c>
      <c r="U48" s="535" t="s">
        <v>129</v>
      </c>
      <c r="V48" s="537" t="str">
        <f ca="1">IFERROR(OFFSET(Camp_List[Status],MATCH(Data_Shelter_t[[#This Row],[Camp Name]],Camp_List[Camp Name],0)-1,0,1,1),"")</f>
        <v>Open</v>
      </c>
      <c r="W48" s="538">
        <f ca="1">IFERROR(Data_Shelter_t[[#This Row],[HH Covered]]/OFFSET(Camp_List[HH],MATCH(Data_Shelter_t[[#This Row],[Camp Name]],Camp_List[Camp Name],0)-1,0,1,1),"")</f>
        <v>0</v>
      </c>
      <c r="X48" s="535">
        <f>Data_Shelter_t[[#This Row],['# of Permanent House Planned (Target)]]+Data_Shelter_t[[#This Row],['# of Individual Shelter Planned (Target)]]</f>
        <v>647</v>
      </c>
      <c r="Y48" s="557">
        <f>Data_Shelter_t[[#This Row],['# of Permanent House Built]]+Data_Shelter_t[[#This Row],['# of Individual Shelter Built]]</f>
        <v>0</v>
      </c>
    </row>
    <row r="49" spans="1:25" s="5" customFormat="1">
      <c r="A49" s="554">
        <v>42186</v>
      </c>
      <c r="B49" s="359" t="s">
        <v>295</v>
      </c>
      <c r="C49" s="359" t="s">
        <v>295</v>
      </c>
      <c r="D49" s="359" t="s">
        <v>7</v>
      </c>
      <c r="E49" s="361" t="s">
        <v>14</v>
      </c>
      <c r="F49" s="24" t="s">
        <v>41</v>
      </c>
      <c r="G49" s="24">
        <v>1</v>
      </c>
      <c r="H49" s="24"/>
      <c r="I49" s="24"/>
      <c r="J49" s="24"/>
      <c r="K49" s="24"/>
      <c r="L49" s="24"/>
      <c r="M49" s="24"/>
      <c r="N49" s="24"/>
      <c r="O49" s="24"/>
      <c r="P49" s="535">
        <v>642</v>
      </c>
      <c r="Q49" s="360"/>
      <c r="R49" s="535"/>
      <c r="S49" s="535">
        <v>0</v>
      </c>
      <c r="T49" s="535">
        <f ca="1">IF(Data_Shelter_t[[#This Row],[Status]]="Open",Data_Shelter_t[[#This Row],[HH Covered]],0)</f>
        <v>0</v>
      </c>
      <c r="U49" s="535" t="s">
        <v>128</v>
      </c>
      <c r="V49" s="537" t="str">
        <f ca="1">IFERROR(OFFSET(Camp_List[Status],MATCH(Data_Shelter_t[[#This Row],[Camp Name]],Camp_List[Camp Name],0)-1,0,1,1),"")</f>
        <v>Open</v>
      </c>
      <c r="W49" s="538">
        <f ca="1">IFERROR(Data_Shelter_t[[#This Row],[HH Covered]]/OFFSET(Camp_List[HH],MATCH(Data_Shelter_t[[#This Row],[Camp Name]],Camp_List[Camp Name],0)-1,0,1,1),"")</f>
        <v>0</v>
      </c>
      <c r="X49" s="535">
        <f>Data_Shelter_t[[#This Row],['# of Permanent House Planned (Target)]]+Data_Shelter_t[[#This Row],['# of Individual Shelter Planned (Target)]]</f>
        <v>642</v>
      </c>
      <c r="Y49" s="557">
        <f>Data_Shelter_t[[#This Row],['# of Permanent House Built]]+Data_Shelter_t[[#This Row],['# of Individual Shelter Built]]</f>
        <v>0</v>
      </c>
    </row>
    <row r="50" spans="1:25">
      <c r="A50" s="554">
        <v>42030</v>
      </c>
      <c r="B50" s="359" t="s">
        <v>287</v>
      </c>
      <c r="C50" s="359" t="s">
        <v>287</v>
      </c>
      <c r="D50" s="359" t="s">
        <v>7</v>
      </c>
      <c r="E50" s="361" t="s">
        <v>14</v>
      </c>
      <c r="F50" s="24" t="s">
        <v>42</v>
      </c>
      <c r="G50" s="24">
        <v>1</v>
      </c>
      <c r="H50" s="24">
        <v>110</v>
      </c>
      <c r="I50" s="24">
        <v>110</v>
      </c>
      <c r="J50" s="24"/>
      <c r="K50" s="24"/>
      <c r="L50" s="24"/>
      <c r="M50" s="24"/>
      <c r="N50" s="24"/>
      <c r="O50" s="24"/>
      <c r="P50" s="360"/>
      <c r="Q50" s="360"/>
      <c r="R50" s="535"/>
      <c r="S50" s="535">
        <v>0</v>
      </c>
      <c r="T50" s="535">
        <f ca="1">IF(Data_Shelter_t[[#This Row],[Status]]="Open",Data_Shelter_t[[#This Row],[HH Covered]],0)</f>
        <v>0</v>
      </c>
      <c r="U50" s="535"/>
      <c r="V50" s="537" t="str">
        <f ca="1">IFERROR(OFFSET(Camp_List[Status],MATCH(Data_Shelter_t[[#This Row],[Camp Name]],Camp_List[Camp Name],0)-1,0,1,1),"")</f>
        <v>Open</v>
      </c>
      <c r="W50" s="538">
        <f ca="1">IFERROR(Data_Shelter_t[[#This Row],[HH Covered]]/OFFSET(Camp_List[HH],MATCH(Data_Shelter_t[[#This Row],[Camp Name]],Camp_List[Camp Name],0)-1,0,1,1),"")</f>
        <v>0</v>
      </c>
      <c r="X50" s="535">
        <f>Data_Shelter_t[[#This Row],['# of Permanent House Planned (Target)]]+Data_Shelter_t[[#This Row],['# of Individual Shelter Planned (Target)]]</f>
        <v>0</v>
      </c>
      <c r="Y50" s="557">
        <f>Data_Shelter_t[[#This Row],['# of Permanent House Built]]+Data_Shelter_t[[#This Row],['# of Individual Shelter Built]]</f>
        <v>0</v>
      </c>
    </row>
    <row r="51" spans="1:25">
      <c r="A51" s="554">
        <v>41548</v>
      </c>
      <c r="B51" s="359" t="s">
        <v>295</v>
      </c>
      <c r="C51" s="359" t="s">
        <v>295</v>
      </c>
      <c r="D51" s="359" t="s">
        <v>7</v>
      </c>
      <c r="E51" s="361" t="s">
        <v>15</v>
      </c>
      <c r="F51" s="359" t="s">
        <v>46</v>
      </c>
      <c r="G51" s="31">
        <v>8</v>
      </c>
      <c r="H51" s="359"/>
      <c r="I51" s="359"/>
      <c r="J51" s="31">
        <v>2</v>
      </c>
      <c r="K51" s="31">
        <v>2</v>
      </c>
      <c r="L51" s="31"/>
      <c r="M51" s="31"/>
      <c r="N51" s="31"/>
      <c r="O51" s="359"/>
      <c r="P51" s="359"/>
      <c r="Q51" s="359"/>
      <c r="R51" s="126"/>
      <c r="S51" s="126">
        <v>16</v>
      </c>
      <c r="T51" s="126">
        <f ca="1">IF(Data_Shelter_t[[#This Row],[Status]]="Open",Data_Shelter_t[[#This Row],[HH Covered]],0)</f>
        <v>0</v>
      </c>
      <c r="U51" s="360" t="s">
        <v>133</v>
      </c>
      <c r="V51" s="564" t="str">
        <f ca="1">IFERROR(OFFSET(Camp_List[Status],MATCH(Data_Shelter_t[[#This Row],[Camp Name]],Camp_List[Camp Name],0)-1,0,1,1),"")</f>
        <v>Returned in Individual Housing</v>
      </c>
      <c r="W51" s="538">
        <f ca="1">IFERROR(Data_Shelter_t[[#This Row],[HH Covered]]/OFFSET(Camp_List[HH],MATCH(Data_Shelter_t[[#This Row],[Camp Name]],Camp_List[Camp Name],0)-1,0,1,1),"")</f>
        <v>0.66666666666666663</v>
      </c>
      <c r="X51" s="31">
        <f>Data_Shelter_t[[#This Row],['# of Permanent House Planned (Target)]]+Data_Shelter_t[[#This Row],['# of Individual Shelter Planned (Target)]]</f>
        <v>0</v>
      </c>
      <c r="Y51" s="553">
        <f>Data_Shelter_t[[#This Row],['# of Permanent House Built]]+Data_Shelter_t[[#This Row],['# of Individual Shelter Built]]</f>
        <v>0</v>
      </c>
    </row>
    <row r="52" spans="1:25">
      <c r="A52" s="554">
        <v>41548</v>
      </c>
      <c r="B52" s="359" t="s">
        <v>295</v>
      </c>
      <c r="C52" s="359" t="s">
        <v>295</v>
      </c>
      <c r="D52" s="359" t="s">
        <v>7</v>
      </c>
      <c r="E52" s="361" t="s">
        <v>15</v>
      </c>
      <c r="F52" s="359" t="s">
        <v>49</v>
      </c>
      <c r="G52" s="31">
        <v>8</v>
      </c>
      <c r="H52" s="359"/>
      <c r="I52" s="359"/>
      <c r="J52" s="31">
        <v>2</v>
      </c>
      <c r="K52" s="31">
        <v>2</v>
      </c>
      <c r="L52" s="31"/>
      <c r="M52" s="31"/>
      <c r="N52" s="31"/>
      <c r="O52" s="359"/>
      <c r="P52" s="359"/>
      <c r="Q52" s="359"/>
      <c r="R52" s="126"/>
      <c r="S52" s="126">
        <v>16</v>
      </c>
      <c r="T52" s="126">
        <f ca="1">IF(Data_Shelter_t[[#This Row],[Status]]="Open",Data_Shelter_t[[#This Row],[HH Covered]],0)</f>
        <v>0</v>
      </c>
      <c r="U52" s="360" t="s">
        <v>136</v>
      </c>
      <c r="V52" s="564" t="str">
        <f ca="1">IFERROR(OFFSET(Camp_List[Status],MATCH(Data_Shelter_t[[#This Row],[Camp Name]],Camp_List[Camp Name],0)-1,0,1,1),"")</f>
        <v>Returned in Individual Housing</v>
      </c>
      <c r="W52" s="538">
        <f ca="1">IFERROR(Data_Shelter_t[[#This Row],[HH Covered]]/OFFSET(Camp_List[HH],MATCH(Data_Shelter_t[[#This Row],[Camp Name]],Camp_List[Camp Name],0)-1,0,1,1),"")</f>
        <v>1.1428571428571428</v>
      </c>
      <c r="X52" s="31">
        <f>Data_Shelter_t[[#This Row],['# of Permanent House Planned (Target)]]+Data_Shelter_t[[#This Row],['# of Individual Shelter Planned (Target)]]</f>
        <v>0</v>
      </c>
      <c r="Y52" s="553">
        <f>Data_Shelter_t[[#This Row],['# of Permanent House Built]]+Data_Shelter_t[[#This Row],['# of Individual Shelter Built]]</f>
        <v>0</v>
      </c>
    </row>
    <row r="53" spans="1:25" s="100" customFormat="1">
      <c r="A53" s="554">
        <v>41548</v>
      </c>
      <c r="B53" s="359" t="s">
        <v>295</v>
      </c>
      <c r="C53" s="359" t="s">
        <v>295</v>
      </c>
      <c r="D53" s="359" t="s">
        <v>7</v>
      </c>
      <c r="E53" s="361" t="s">
        <v>16</v>
      </c>
      <c r="F53" s="359" t="s">
        <v>56</v>
      </c>
      <c r="G53" s="31">
        <v>8</v>
      </c>
      <c r="H53" s="359"/>
      <c r="I53" s="359"/>
      <c r="J53" s="31">
        <v>4</v>
      </c>
      <c r="K53" s="31">
        <v>4</v>
      </c>
      <c r="L53" s="31"/>
      <c r="M53" s="31"/>
      <c r="N53" s="31"/>
      <c r="O53" s="359"/>
      <c r="P53" s="359"/>
      <c r="Q53" s="359"/>
      <c r="R53" s="126"/>
      <c r="S53" s="126">
        <v>32</v>
      </c>
      <c r="T53" s="126">
        <f ca="1">IF(Data_Shelter_t[[#This Row],[Status]]="Open",Data_Shelter_t[[#This Row],[HH Covered]],0)</f>
        <v>0</v>
      </c>
      <c r="U53" s="360" t="s">
        <v>143</v>
      </c>
      <c r="V53" s="564" t="str">
        <f ca="1">IFERROR(OFFSET(Camp_List[Status],MATCH(Data_Shelter_t[[#This Row],[Camp Name]],Camp_List[Camp Name],0)-1,0,1,1),"")</f>
        <v>Returned in Individual Housing</v>
      </c>
      <c r="W53" s="538">
        <f ca="1">IFERROR(Data_Shelter_t[[#This Row],[HH Covered]]/OFFSET(Camp_List[HH],MATCH(Data_Shelter_t[[#This Row],[Camp Name]],Camp_List[Camp Name],0)-1,0,1,1),"")</f>
        <v>1</v>
      </c>
      <c r="X53" s="31">
        <f>Data_Shelter_t[[#This Row],['# of Permanent House Planned (Target)]]+Data_Shelter_t[[#This Row],['# of Individual Shelter Planned (Target)]]</f>
        <v>0</v>
      </c>
      <c r="Y53" s="553">
        <f>Data_Shelter_t[[#This Row],['# of Permanent House Built]]+Data_Shelter_t[[#This Row],['# of Individual Shelter Built]]</f>
        <v>0</v>
      </c>
    </row>
    <row r="54" spans="1:25">
      <c r="A54" s="554">
        <v>41548</v>
      </c>
      <c r="B54" s="359" t="s">
        <v>290</v>
      </c>
      <c r="C54" s="359" t="s">
        <v>290</v>
      </c>
      <c r="D54" s="359" t="s">
        <v>7</v>
      </c>
      <c r="E54" s="361" t="s">
        <v>14</v>
      </c>
      <c r="F54" s="359" t="s">
        <v>40</v>
      </c>
      <c r="G54" s="31">
        <v>8</v>
      </c>
      <c r="H54" s="359"/>
      <c r="I54" s="359"/>
      <c r="J54" s="31">
        <v>96</v>
      </c>
      <c r="K54" s="31">
        <v>96</v>
      </c>
      <c r="L54" s="24">
        <v>0</v>
      </c>
      <c r="M54" s="31"/>
      <c r="N54" s="31"/>
      <c r="O54" s="359"/>
      <c r="P54" s="359"/>
      <c r="Q54" s="359"/>
      <c r="R54" s="126"/>
      <c r="S54" s="126">
        <v>768</v>
      </c>
      <c r="T54" s="126">
        <f ca="1">IF(Data_Shelter_t[[#This Row],[Status]]="Open",Data_Shelter_t[[#This Row],[HH Covered]],0)</f>
        <v>768</v>
      </c>
      <c r="U54" s="360" t="s">
        <v>127</v>
      </c>
      <c r="V54" s="564" t="str">
        <f ca="1">IFERROR(OFFSET(Camp_List[Status],MATCH(Data_Shelter_t[[#This Row],[Camp Name]],Camp_List[Camp Name],0)-1,0,1,1),"")</f>
        <v>Open</v>
      </c>
      <c r="W54" s="538">
        <f ca="1">IFERROR(Data_Shelter_t[[#This Row],[HH Covered]]/OFFSET(Camp_List[HH],MATCH(Data_Shelter_t[[#This Row],[Camp Name]],Camp_List[Camp Name],0)-1,0,1,1),"")</f>
        <v>0.62540716612377845</v>
      </c>
      <c r="X54" s="31">
        <f>Data_Shelter_t[[#This Row],['# of Permanent House Planned (Target)]]+Data_Shelter_t[[#This Row],['# of Individual Shelter Planned (Target)]]</f>
        <v>0</v>
      </c>
      <c r="Y54" s="553">
        <f>Data_Shelter_t[[#This Row],['# of Permanent House Built]]+Data_Shelter_t[[#This Row],['# of Individual Shelter Built]]</f>
        <v>0</v>
      </c>
    </row>
    <row r="55" spans="1:25">
      <c r="A55" s="554">
        <v>41548</v>
      </c>
      <c r="B55" s="359" t="s">
        <v>295</v>
      </c>
      <c r="C55" s="359" t="s">
        <v>295</v>
      </c>
      <c r="D55" s="359" t="s">
        <v>7</v>
      </c>
      <c r="E55" s="361" t="s">
        <v>15</v>
      </c>
      <c r="F55" s="359" t="s">
        <v>48</v>
      </c>
      <c r="G55" s="31">
        <v>8</v>
      </c>
      <c r="H55" s="359"/>
      <c r="I55" s="359"/>
      <c r="J55" s="31">
        <v>7</v>
      </c>
      <c r="K55" s="31">
        <v>7</v>
      </c>
      <c r="L55" s="31"/>
      <c r="M55" s="31"/>
      <c r="N55" s="31"/>
      <c r="O55" s="359"/>
      <c r="P55" s="359"/>
      <c r="Q55" s="359"/>
      <c r="R55" s="126"/>
      <c r="S55" s="126">
        <v>56</v>
      </c>
      <c r="T55" s="126">
        <f ca="1">IF(Data_Shelter_t[[#This Row],[Status]]="Open",Data_Shelter_t[[#This Row],[HH Covered]],0)</f>
        <v>0</v>
      </c>
      <c r="U55" s="360" t="s">
        <v>135</v>
      </c>
      <c r="V55" s="564" t="str">
        <f ca="1">IFERROR(OFFSET(Camp_List[Status],MATCH(Data_Shelter_t[[#This Row],[Camp Name]],Camp_List[Camp Name],0)-1,0,1,1),"")</f>
        <v>Returned in Individual Housing</v>
      </c>
      <c r="W55" s="538">
        <f ca="1">IFERROR(Data_Shelter_t[[#This Row],[HH Covered]]/OFFSET(Camp_List[HH],MATCH(Data_Shelter_t[[#This Row],[Camp Name]],Camp_List[Camp Name],0)-1,0,1,1),"")</f>
        <v>0.60869565217391308</v>
      </c>
      <c r="X55" s="31">
        <f>Data_Shelter_t[[#This Row],['# of Permanent House Planned (Target)]]+Data_Shelter_t[[#This Row],['# of Individual Shelter Planned (Target)]]</f>
        <v>0</v>
      </c>
      <c r="Y55" s="553">
        <f>Data_Shelter_t[[#This Row],['# of Permanent House Built]]+Data_Shelter_t[[#This Row],['# of Individual Shelter Built]]</f>
        <v>0</v>
      </c>
    </row>
    <row r="56" spans="1:25">
      <c r="A56" s="554">
        <v>41548</v>
      </c>
      <c r="B56" s="360" t="s">
        <v>295</v>
      </c>
      <c r="C56" s="360" t="s">
        <v>295</v>
      </c>
      <c r="D56" s="359" t="s">
        <v>7</v>
      </c>
      <c r="E56" s="375" t="s">
        <v>11</v>
      </c>
      <c r="F56" s="360" t="s">
        <v>30</v>
      </c>
      <c r="G56" s="24">
        <v>8</v>
      </c>
      <c r="H56" s="359"/>
      <c r="I56" s="359"/>
      <c r="J56" s="24">
        <v>10</v>
      </c>
      <c r="K56" s="24">
        <v>10</v>
      </c>
      <c r="L56" s="24"/>
      <c r="M56" s="31"/>
      <c r="N56" s="31"/>
      <c r="O56" s="359"/>
      <c r="P56" s="359"/>
      <c r="Q56" s="359"/>
      <c r="R56" s="126"/>
      <c r="S56" s="126">
        <v>80</v>
      </c>
      <c r="T56" s="126">
        <f ca="1">IF(Data_Shelter_t[[#This Row],[Status]]="Open",Data_Shelter_t[[#This Row],[HH Covered]],0)</f>
        <v>0</v>
      </c>
      <c r="U56" s="360" t="s">
        <v>117</v>
      </c>
      <c r="V56" s="564" t="str">
        <f ca="1">IFERROR(OFFSET(Camp_List[Status],MATCH(Data_Shelter_t[[#This Row],[Camp Name]],Camp_List[Camp Name],0)-1,0,1,1),"")</f>
        <v>Returned in Individual Housing</v>
      </c>
      <c r="W56" s="538">
        <f ca="1">IFERROR(Data_Shelter_t[[#This Row],[HH Covered]]/OFFSET(Camp_List[HH],MATCH(Data_Shelter_t[[#This Row],[Camp Name]],Camp_List[Camp Name],0)-1,0,1,1),"")</f>
        <v>0.93023255813953487</v>
      </c>
      <c r="X56" s="31">
        <f>Data_Shelter_t[[#This Row],['# of Permanent House Planned (Target)]]+Data_Shelter_t[[#This Row],['# of Individual Shelter Planned (Target)]]</f>
        <v>0</v>
      </c>
      <c r="Y56" s="553">
        <f>Data_Shelter_t[[#This Row],['# of Permanent House Built]]+Data_Shelter_t[[#This Row],['# of Individual Shelter Built]]</f>
        <v>0</v>
      </c>
    </row>
    <row r="57" spans="1:25">
      <c r="A57" s="555">
        <v>41548</v>
      </c>
      <c r="B57" s="360" t="s">
        <v>295</v>
      </c>
      <c r="C57" s="360" t="s">
        <v>295</v>
      </c>
      <c r="D57" s="360" t="s">
        <v>7</v>
      </c>
      <c r="E57" s="375" t="s">
        <v>14</v>
      </c>
      <c r="F57" s="360" t="s">
        <v>39</v>
      </c>
      <c r="G57" s="24">
        <v>10</v>
      </c>
      <c r="H57" s="360"/>
      <c r="I57" s="360"/>
      <c r="J57" s="24">
        <v>3</v>
      </c>
      <c r="K57" s="24">
        <v>3</v>
      </c>
      <c r="L57" s="24"/>
      <c r="M57" s="24"/>
      <c r="N57" s="24"/>
      <c r="O57" s="360"/>
      <c r="P57" s="360"/>
      <c r="Q57" s="360"/>
      <c r="R57" s="126"/>
      <c r="S57" s="126">
        <v>30</v>
      </c>
      <c r="T57" s="126">
        <f ca="1">IF(Data_Shelter_t[[#This Row],[Status]]="Open",Data_Shelter_t[[#This Row],[HH Covered]],0)</f>
        <v>0</v>
      </c>
      <c r="U57" s="360" t="s">
        <v>126</v>
      </c>
      <c r="V57" s="564" t="str">
        <f ca="1">IFERROR(OFFSET(Camp_List[Status],MATCH(Data_Shelter_t[[#This Row],[Camp Name]],Camp_List[Camp Name],0)-1,0,1,1),"")</f>
        <v>Relocated in Individual Housing</v>
      </c>
      <c r="W57" s="538">
        <f ca="1">IFERROR(Data_Shelter_t[[#This Row],[HH Covered]]/OFFSET(Camp_List[HH],MATCH(Data_Shelter_t[[#This Row],[Camp Name]],Camp_List[Camp Name],0)-1,0,1,1),"")</f>
        <v>1.4285714285714286</v>
      </c>
      <c r="X57" s="31">
        <f>Data_Shelter_t[[#This Row],['# of Permanent House Planned (Target)]]+Data_Shelter_t[[#This Row],['# of Individual Shelter Planned (Target)]]</f>
        <v>0</v>
      </c>
      <c r="Y57" s="553">
        <f>Data_Shelter_t[[#This Row],['# of Permanent House Built]]+Data_Shelter_t[[#This Row],['# of Individual Shelter Built]]</f>
        <v>0</v>
      </c>
    </row>
    <row r="58" spans="1:25">
      <c r="A58" s="554">
        <v>41548</v>
      </c>
      <c r="B58" s="359" t="s">
        <v>295</v>
      </c>
      <c r="C58" s="359" t="s">
        <v>295</v>
      </c>
      <c r="D58" s="359" t="s">
        <v>7</v>
      </c>
      <c r="E58" s="361" t="s">
        <v>19</v>
      </c>
      <c r="F58" s="359" t="s">
        <v>61</v>
      </c>
      <c r="G58" s="31">
        <v>8</v>
      </c>
      <c r="H58" s="359"/>
      <c r="I58" s="359"/>
      <c r="J58" s="31">
        <v>52</v>
      </c>
      <c r="K58" s="31">
        <v>52</v>
      </c>
      <c r="L58" s="31"/>
      <c r="M58" s="31"/>
      <c r="N58" s="31"/>
      <c r="O58" s="359"/>
      <c r="P58" s="359"/>
      <c r="Q58" s="359"/>
      <c r="R58" s="126"/>
      <c r="S58" s="126">
        <v>416</v>
      </c>
      <c r="T58" s="126">
        <f ca="1">IF(Data_Shelter_t[[#This Row],[Status]]="Open",Data_Shelter_t[[#This Row],[HH Covered]],0)</f>
        <v>416</v>
      </c>
      <c r="U58" s="360" t="s">
        <v>150</v>
      </c>
      <c r="V58" s="564" t="str">
        <f ca="1">IFERROR(OFFSET(Camp_List[Status],MATCH(Data_Shelter_t[[#This Row],[Camp Name]],Camp_List[Camp Name],0)-1,0,1,1),"")</f>
        <v>Open</v>
      </c>
      <c r="W58" s="538">
        <f ca="1">IFERROR(Data_Shelter_t[[#This Row],[HH Covered]]/OFFSET(Camp_List[HH],MATCH(Data_Shelter_t[[#This Row],[Camp Name]],Camp_List[Camp Name],0)-1,0,1,1),"")</f>
        <v>1.0478589420654911</v>
      </c>
      <c r="X58" s="31">
        <f>Data_Shelter_t[[#This Row],['# of Permanent House Planned (Target)]]+Data_Shelter_t[[#This Row],['# of Individual Shelter Planned (Target)]]</f>
        <v>0</v>
      </c>
      <c r="Y58" s="553">
        <f>Data_Shelter_t[[#This Row],['# of Permanent House Built]]+Data_Shelter_t[[#This Row],['# of Individual Shelter Built]]</f>
        <v>0</v>
      </c>
    </row>
    <row r="59" spans="1:25">
      <c r="A59" s="554">
        <v>41548</v>
      </c>
      <c r="B59" s="359" t="s">
        <v>454</v>
      </c>
      <c r="C59" s="359" t="s">
        <v>454</v>
      </c>
      <c r="D59" s="359" t="s">
        <v>7</v>
      </c>
      <c r="E59" s="361" t="s">
        <v>19</v>
      </c>
      <c r="F59" s="359" t="s">
        <v>648</v>
      </c>
      <c r="G59" s="31">
        <v>8</v>
      </c>
      <c r="H59" s="359"/>
      <c r="I59" s="359"/>
      <c r="J59" s="24">
        <v>50</v>
      </c>
      <c r="K59" s="31">
        <v>50</v>
      </c>
      <c r="L59" s="31"/>
      <c r="M59" s="31"/>
      <c r="N59" s="31"/>
      <c r="O59" s="359"/>
      <c r="P59" s="359"/>
      <c r="Q59" s="359"/>
      <c r="R59" s="126"/>
      <c r="S59" s="126">
        <v>400</v>
      </c>
      <c r="T59" s="126">
        <f ca="1">IF(Data_Shelter_t[[#This Row],[Status]]="Open",Data_Shelter_t[[#This Row],[HH Covered]],0)</f>
        <v>400</v>
      </c>
      <c r="U59" s="360" t="s">
        <v>650</v>
      </c>
      <c r="V59" s="564" t="str">
        <f ca="1">IFERROR(OFFSET(Camp_List[Status],MATCH(Data_Shelter_t[[#This Row],[Camp Name]],Camp_List[Camp Name],0)-1,0,1,1),"")</f>
        <v>Open</v>
      </c>
      <c r="W59" s="538">
        <f ca="1">IFERROR(Data_Shelter_t[[#This Row],[HH Covered]]/OFFSET(Camp_List[HH],MATCH(Data_Shelter_t[[#This Row],[Camp Name]],Camp_List[Camp Name],0)-1,0,1,1),"")</f>
        <v>0.4012036108324975</v>
      </c>
      <c r="X59" s="31">
        <f>Data_Shelter_t[[#This Row],['# of Permanent House Planned (Target)]]+Data_Shelter_t[[#This Row],['# of Individual Shelter Planned (Target)]]</f>
        <v>0</v>
      </c>
      <c r="Y59" s="553">
        <f>Data_Shelter_t[[#This Row],['# of Permanent House Built]]+Data_Shelter_t[[#This Row],['# of Individual Shelter Built]]</f>
        <v>0</v>
      </c>
    </row>
    <row r="60" spans="1:25">
      <c r="A60" s="554">
        <v>41548</v>
      </c>
      <c r="B60" s="359" t="s">
        <v>295</v>
      </c>
      <c r="C60" s="359" t="s">
        <v>295</v>
      </c>
      <c r="D60" s="359" t="s">
        <v>7</v>
      </c>
      <c r="E60" s="361" t="s">
        <v>19</v>
      </c>
      <c r="F60" s="359" t="s">
        <v>648</v>
      </c>
      <c r="G60" s="31">
        <v>8</v>
      </c>
      <c r="H60" s="359"/>
      <c r="I60" s="359"/>
      <c r="J60" s="31">
        <v>40</v>
      </c>
      <c r="K60" s="31">
        <v>40</v>
      </c>
      <c r="L60" s="31"/>
      <c r="M60" s="31"/>
      <c r="N60" s="31"/>
      <c r="O60" s="359"/>
      <c r="P60" s="359"/>
      <c r="Q60" s="359"/>
      <c r="R60" s="126"/>
      <c r="S60" s="126">
        <v>320</v>
      </c>
      <c r="T60" s="126">
        <f ca="1">IF(Data_Shelter_t[[#This Row],[Status]]="Open",Data_Shelter_t[[#This Row],[HH Covered]],0)</f>
        <v>320</v>
      </c>
      <c r="U60" s="360" t="s">
        <v>650</v>
      </c>
      <c r="V60" s="564" t="str">
        <f ca="1">IFERROR(OFFSET(Camp_List[Status],MATCH(Data_Shelter_t[[#This Row],[Camp Name]],Camp_List[Camp Name],0)-1,0,1,1),"")</f>
        <v>Open</v>
      </c>
      <c r="W60" s="538">
        <f ca="1">IFERROR(Data_Shelter_t[[#This Row],[HH Covered]]/OFFSET(Camp_List[HH],MATCH(Data_Shelter_t[[#This Row],[Camp Name]],Camp_List[Camp Name],0)-1,0,1,1),"")</f>
        <v>0.32096288866599798</v>
      </c>
      <c r="X60" s="31">
        <f>Data_Shelter_t[[#This Row],['# of Permanent House Planned (Target)]]+Data_Shelter_t[[#This Row],['# of Individual Shelter Planned (Target)]]</f>
        <v>0</v>
      </c>
      <c r="Y60" s="553">
        <f>Data_Shelter_t[[#This Row],['# of Permanent House Built]]+Data_Shelter_t[[#This Row],['# of Individual Shelter Built]]</f>
        <v>0</v>
      </c>
    </row>
    <row r="61" spans="1:25">
      <c r="A61" s="554">
        <v>41548</v>
      </c>
      <c r="B61" s="359" t="s">
        <v>580</v>
      </c>
      <c r="C61" s="359" t="s">
        <v>580</v>
      </c>
      <c r="D61" s="359" t="s">
        <v>7</v>
      </c>
      <c r="E61" s="361" t="s">
        <v>19</v>
      </c>
      <c r="F61" s="359" t="s">
        <v>648</v>
      </c>
      <c r="G61" s="31">
        <v>8</v>
      </c>
      <c r="H61" s="359"/>
      <c r="I61" s="359"/>
      <c r="J61" s="31">
        <v>5</v>
      </c>
      <c r="K61" s="31">
        <v>5</v>
      </c>
      <c r="L61" s="31"/>
      <c r="M61" s="31"/>
      <c r="N61" s="31"/>
      <c r="O61" s="359"/>
      <c r="P61" s="359"/>
      <c r="Q61" s="359"/>
      <c r="R61" s="126"/>
      <c r="S61" s="126">
        <v>40</v>
      </c>
      <c r="T61" s="126">
        <f ca="1">IF(Data_Shelter_t[[#This Row],[Status]]="Open",Data_Shelter_t[[#This Row],[HH Covered]],0)</f>
        <v>40</v>
      </c>
      <c r="U61" s="360" t="s">
        <v>650</v>
      </c>
      <c r="V61" s="564" t="str">
        <f ca="1">IFERROR(OFFSET(Camp_List[Status],MATCH(Data_Shelter_t[[#This Row],[Camp Name]],Camp_List[Camp Name],0)-1,0,1,1),"")</f>
        <v>Open</v>
      </c>
      <c r="W61" s="538">
        <f ca="1">IFERROR(Data_Shelter_t[[#This Row],[HH Covered]]/OFFSET(Camp_List[HH],MATCH(Data_Shelter_t[[#This Row],[Camp Name]],Camp_List[Camp Name],0)-1,0,1,1),"")</f>
        <v>4.0120361083249748E-2</v>
      </c>
      <c r="X61" s="31">
        <f>Data_Shelter_t[[#This Row],['# of Permanent House Planned (Target)]]+Data_Shelter_t[[#This Row],['# of Individual Shelter Planned (Target)]]</f>
        <v>0</v>
      </c>
      <c r="Y61" s="553">
        <f>Data_Shelter_t[[#This Row],['# of Permanent House Built]]+Data_Shelter_t[[#This Row],['# of Individual Shelter Built]]</f>
        <v>0</v>
      </c>
    </row>
    <row r="62" spans="1:25">
      <c r="A62" s="554">
        <v>41548</v>
      </c>
      <c r="B62" s="359" t="s">
        <v>297</v>
      </c>
      <c r="C62" s="359" t="s">
        <v>297</v>
      </c>
      <c r="D62" s="359" t="s">
        <v>7</v>
      </c>
      <c r="E62" s="361" t="s">
        <v>19</v>
      </c>
      <c r="F62" s="359" t="s">
        <v>648</v>
      </c>
      <c r="G62" s="31">
        <v>8</v>
      </c>
      <c r="H62" s="359"/>
      <c r="I62" s="359"/>
      <c r="J62" s="31">
        <v>32</v>
      </c>
      <c r="K62" s="31">
        <v>32</v>
      </c>
      <c r="L62" s="31">
        <v>0</v>
      </c>
      <c r="M62" s="31"/>
      <c r="N62" s="31"/>
      <c r="O62" s="359"/>
      <c r="P62" s="359"/>
      <c r="Q62" s="359"/>
      <c r="R62" s="126"/>
      <c r="S62" s="126">
        <v>256</v>
      </c>
      <c r="T62" s="126">
        <f ca="1">IF(Data_Shelter_t[[#This Row],[Status]]="Open",Data_Shelter_t[[#This Row],[HH Covered]],0)</f>
        <v>256</v>
      </c>
      <c r="U62" s="360" t="s">
        <v>650</v>
      </c>
      <c r="V62" s="564" t="str">
        <f ca="1">IFERROR(OFFSET(Camp_List[Status],MATCH(Data_Shelter_t[[#This Row],[Camp Name]],Camp_List[Camp Name],0)-1,0,1,1),"")</f>
        <v>Open</v>
      </c>
      <c r="W62" s="538">
        <f ca="1">IFERROR(Data_Shelter_t[[#This Row],[HH Covered]]/OFFSET(Camp_List[HH],MATCH(Data_Shelter_t[[#This Row],[Camp Name]],Camp_List[Camp Name],0)-1,0,1,1),"")</f>
        <v>0.2567703109327984</v>
      </c>
      <c r="X62" s="31">
        <f>Data_Shelter_t[[#This Row],['# of Permanent House Planned (Target)]]+Data_Shelter_t[[#This Row],['# of Individual Shelter Planned (Target)]]</f>
        <v>0</v>
      </c>
      <c r="Y62" s="553">
        <f>Data_Shelter_t[[#This Row],['# of Permanent House Built]]+Data_Shelter_t[[#This Row],['# of Individual Shelter Built]]</f>
        <v>0</v>
      </c>
    </row>
    <row r="63" spans="1:25">
      <c r="A63" s="554">
        <v>41548</v>
      </c>
      <c r="B63" s="360" t="s">
        <v>295</v>
      </c>
      <c r="C63" s="360" t="s">
        <v>295</v>
      </c>
      <c r="D63" s="360" t="s">
        <v>7</v>
      </c>
      <c r="E63" s="375" t="s">
        <v>19</v>
      </c>
      <c r="F63" s="360" t="s">
        <v>649</v>
      </c>
      <c r="G63" s="24">
        <v>8</v>
      </c>
      <c r="H63" s="360"/>
      <c r="I63" s="360"/>
      <c r="J63" s="24">
        <v>100</v>
      </c>
      <c r="K63" s="24">
        <v>100</v>
      </c>
      <c r="L63" s="24">
        <v>0</v>
      </c>
      <c r="M63" s="24"/>
      <c r="N63" s="24"/>
      <c r="O63" s="360"/>
      <c r="P63" s="360"/>
      <c r="Q63" s="360"/>
      <c r="R63" s="126"/>
      <c r="S63" s="126">
        <v>800</v>
      </c>
      <c r="T63" s="126">
        <f ca="1">IF(Data_Shelter_t[[#This Row],[Status]]="Open",Data_Shelter_t[[#This Row],[HH Covered]],0)</f>
        <v>800</v>
      </c>
      <c r="U63" s="360" t="s">
        <v>651</v>
      </c>
      <c r="V63" s="564" t="str">
        <f ca="1">IFERROR(OFFSET(Camp_List[Status],MATCH(Data_Shelter_t[[#This Row],[Camp Name]],Camp_List[Camp Name],0)-1,0,1,1),"")</f>
        <v>Open</v>
      </c>
      <c r="W63" s="538">
        <f ca="1">IFERROR(Data_Shelter_t[[#This Row],[HH Covered]]/OFFSET(Camp_List[HH],MATCH(Data_Shelter_t[[#This Row],[Camp Name]],Camp_List[Camp Name],0)-1,0,1,1),"")</f>
        <v>0.61680801850424061</v>
      </c>
      <c r="X63" s="31">
        <f>Data_Shelter_t[[#This Row],['# of Permanent House Planned (Target)]]+Data_Shelter_t[[#This Row],['# of Individual Shelter Planned (Target)]]</f>
        <v>0</v>
      </c>
      <c r="Y63" s="553">
        <f>Data_Shelter_t[[#This Row],['# of Permanent House Built]]+Data_Shelter_t[[#This Row],['# of Individual Shelter Built]]</f>
        <v>0</v>
      </c>
    </row>
    <row r="64" spans="1:25">
      <c r="A64" s="554">
        <v>41548</v>
      </c>
      <c r="B64" s="359" t="s">
        <v>580</v>
      </c>
      <c r="C64" s="359" t="s">
        <v>580</v>
      </c>
      <c r="D64" s="359" t="s">
        <v>7</v>
      </c>
      <c r="E64" s="361" t="s">
        <v>19</v>
      </c>
      <c r="F64" s="359" t="s">
        <v>649</v>
      </c>
      <c r="G64" s="31">
        <v>8</v>
      </c>
      <c r="H64" s="359"/>
      <c r="I64" s="359"/>
      <c r="J64" s="24">
        <v>14</v>
      </c>
      <c r="K64" s="31">
        <v>14</v>
      </c>
      <c r="L64" s="31"/>
      <c r="M64" s="31"/>
      <c r="N64" s="31"/>
      <c r="O64" s="359"/>
      <c r="P64" s="359"/>
      <c r="Q64" s="359"/>
      <c r="R64" s="126"/>
      <c r="S64" s="126">
        <v>112</v>
      </c>
      <c r="T64" s="126">
        <f ca="1">IF(Data_Shelter_t[[#This Row],[Status]]="Open",Data_Shelter_t[[#This Row],[HH Covered]],0)</f>
        <v>112</v>
      </c>
      <c r="U64" s="360" t="s">
        <v>651</v>
      </c>
      <c r="V64" s="564" t="str">
        <f ca="1">IFERROR(OFFSET(Camp_List[Status],MATCH(Data_Shelter_t[[#This Row],[Camp Name]],Camp_List[Camp Name],0)-1,0,1,1),"")</f>
        <v>Open</v>
      </c>
      <c r="W64" s="538">
        <f ca="1">IFERROR(Data_Shelter_t[[#This Row],[HH Covered]]/OFFSET(Camp_List[HH],MATCH(Data_Shelter_t[[#This Row],[Camp Name]],Camp_List[Camp Name],0)-1,0,1,1),"")</f>
        <v>8.6353122590593676E-2</v>
      </c>
      <c r="X64" s="24">
        <f>Data_Shelter_t[[#This Row],['# of Permanent House Planned (Target)]]+Data_Shelter_t[[#This Row],['# of Individual Shelter Planned (Target)]]</f>
        <v>0</v>
      </c>
      <c r="Y64" s="556">
        <f>Data_Shelter_t[[#This Row],['# of Permanent House Built]]+Data_Shelter_t[[#This Row],['# of Individual Shelter Built]]</f>
        <v>0</v>
      </c>
    </row>
    <row r="65" spans="1:25">
      <c r="A65" s="554">
        <v>41548</v>
      </c>
      <c r="B65" s="360" t="s">
        <v>298</v>
      </c>
      <c r="C65" s="360" t="s">
        <v>298</v>
      </c>
      <c r="D65" s="360" t="s">
        <v>7</v>
      </c>
      <c r="E65" s="375" t="s">
        <v>19</v>
      </c>
      <c r="F65" s="360" t="s">
        <v>649</v>
      </c>
      <c r="G65" s="24">
        <v>10</v>
      </c>
      <c r="H65" s="360"/>
      <c r="I65" s="360"/>
      <c r="J65" s="24">
        <v>40</v>
      </c>
      <c r="K65" s="24">
        <v>40</v>
      </c>
      <c r="L65" s="24"/>
      <c r="M65" s="24"/>
      <c r="N65" s="24"/>
      <c r="O65" s="360"/>
      <c r="P65" s="360"/>
      <c r="Q65" s="360"/>
      <c r="R65" s="126"/>
      <c r="S65" s="126">
        <v>400</v>
      </c>
      <c r="T65" s="126">
        <f ca="1">IF(Data_Shelter_t[[#This Row],[Status]]="Open",Data_Shelter_t[[#This Row],[HH Covered]],0)</f>
        <v>400</v>
      </c>
      <c r="U65" s="360" t="s">
        <v>651</v>
      </c>
      <c r="V65" s="564" t="str">
        <f ca="1">IFERROR(OFFSET(Camp_List[Status],MATCH(Data_Shelter_t[[#This Row],[Camp Name]],Camp_List[Camp Name],0)-1,0,1,1),"")</f>
        <v>Open</v>
      </c>
      <c r="W65" s="538">
        <f ca="1">IFERROR(Data_Shelter_t[[#This Row],[HH Covered]]/OFFSET(Camp_List[HH],MATCH(Data_Shelter_t[[#This Row],[Camp Name]],Camp_List[Camp Name],0)-1,0,1,1),"")</f>
        <v>0.3084040092521203</v>
      </c>
      <c r="X65" s="24">
        <f>Data_Shelter_t[[#This Row],['# of Permanent House Planned (Target)]]+Data_Shelter_t[[#This Row],['# of Individual Shelter Planned (Target)]]</f>
        <v>0</v>
      </c>
      <c r="Y65" s="556">
        <f>Data_Shelter_t[[#This Row],['# of Permanent House Built]]+Data_Shelter_t[[#This Row],['# of Individual Shelter Built]]</f>
        <v>0</v>
      </c>
    </row>
    <row r="66" spans="1:25">
      <c r="A66" s="554">
        <v>41548</v>
      </c>
      <c r="B66" s="359" t="s">
        <v>295</v>
      </c>
      <c r="C66" s="359" t="s">
        <v>295</v>
      </c>
      <c r="D66" s="359" t="s">
        <v>7</v>
      </c>
      <c r="E66" s="361" t="s">
        <v>16</v>
      </c>
      <c r="F66" s="359" t="s">
        <v>623</v>
      </c>
      <c r="G66" s="31">
        <v>8</v>
      </c>
      <c r="H66" s="359"/>
      <c r="I66" s="359"/>
      <c r="J66" s="31">
        <v>24</v>
      </c>
      <c r="K66" s="31">
        <v>24</v>
      </c>
      <c r="L66" s="31"/>
      <c r="M66" s="31"/>
      <c r="N66" s="31"/>
      <c r="O66" s="359"/>
      <c r="P66" s="359"/>
      <c r="Q66" s="359"/>
      <c r="R66" s="126"/>
      <c r="S66" s="126">
        <v>192</v>
      </c>
      <c r="T66" s="126">
        <f ca="1">IF(Data_Shelter_t[[#This Row],[Status]]="Open",Data_Shelter_t[[#This Row],[HH Covered]],0)</f>
        <v>192</v>
      </c>
      <c r="U66" s="360" t="s">
        <v>144</v>
      </c>
      <c r="V66" s="564" t="str">
        <f ca="1">IFERROR(OFFSET(Camp_List[Status],MATCH(Data_Shelter_t[[#This Row],[Camp Name]],Camp_List[Camp Name],0)-1,0,1,1),"")</f>
        <v>Open</v>
      </c>
      <c r="W66" s="538">
        <f ca="1">IFERROR(Data_Shelter_t[[#This Row],[HH Covered]]/OFFSET(Camp_List[HH],MATCH(Data_Shelter_t[[#This Row],[Camp Name]],Camp_List[Camp Name],0)-1,0,1,1),"")</f>
        <v>0.88479262672811065</v>
      </c>
      <c r="X66" s="31">
        <f>Data_Shelter_t[[#This Row],['# of Permanent House Planned (Target)]]+Data_Shelter_t[[#This Row],['# of Individual Shelter Planned (Target)]]</f>
        <v>0</v>
      </c>
      <c r="Y66" s="553">
        <f>Data_Shelter_t[[#This Row],['# of Permanent House Built]]+Data_Shelter_t[[#This Row],['# of Individual Shelter Built]]</f>
        <v>0</v>
      </c>
    </row>
    <row r="67" spans="1:25">
      <c r="A67" s="554">
        <v>41548</v>
      </c>
      <c r="B67" s="359" t="s">
        <v>454</v>
      </c>
      <c r="C67" s="359" t="s">
        <v>454</v>
      </c>
      <c r="D67" s="359" t="s">
        <v>7</v>
      </c>
      <c r="E67" s="361" t="s">
        <v>19</v>
      </c>
      <c r="F67" s="359" t="s">
        <v>63</v>
      </c>
      <c r="G67" s="31">
        <v>8</v>
      </c>
      <c r="H67" s="359"/>
      <c r="I67" s="359"/>
      <c r="J67" s="31">
        <v>41</v>
      </c>
      <c r="K67" s="31">
        <v>41</v>
      </c>
      <c r="L67" s="31"/>
      <c r="M67" s="31"/>
      <c r="N67" s="31"/>
      <c r="O67" s="359"/>
      <c r="P67" s="359"/>
      <c r="Q67" s="359"/>
      <c r="R67" s="126"/>
      <c r="S67" s="126">
        <v>328</v>
      </c>
      <c r="T67" s="126">
        <f ca="1">IF(Data_Shelter_t[[#This Row],[Status]]="Open",Data_Shelter_t[[#This Row],[HH Covered]],0)</f>
        <v>328</v>
      </c>
      <c r="U67" s="360" t="s">
        <v>152</v>
      </c>
      <c r="V67" s="564" t="str">
        <f ca="1">IFERROR(OFFSET(Camp_List[Status],MATCH(Data_Shelter_t[[#This Row],[Camp Name]],Camp_List[Camp Name],0)-1,0,1,1),"")</f>
        <v>Open</v>
      </c>
      <c r="W67" s="538">
        <f ca="1">IFERROR(Data_Shelter_t[[#This Row],[HH Covered]]/OFFSET(Camp_List[HH],MATCH(Data_Shelter_t[[#This Row],[Camp Name]],Camp_List[Camp Name],0)-1,0,1,1),"")</f>
        <v>0.23478883321403007</v>
      </c>
      <c r="X67" s="31">
        <f>Data_Shelter_t[[#This Row],['# of Permanent House Planned (Target)]]+Data_Shelter_t[[#This Row],['# of Individual Shelter Planned (Target)]]</f>
        <v>0</v>
      </c>
      <c r="Y67" s="553">
        <f>Data_Shelter_t[[#This Row],['# of Permanent House Built]]+Data_Shelter_t[[#This Row],['# of Individual Shelter Built]]</f>
        <v>0</v>
      </c>
    </row>
    <row r="68" spans="1:25">
      <c r="A68" s="554">
        <v>41548</v>
      </c>
      <c r="B68" s="359" t="s">
        <v>295</v>
      </c>
      <c r="C68" s="359" t="s">
        <v>295</v>
      </c>
      <c r="D68" s="359" t="s">
        <v>7</v>
      </c>
      <c r="E68" s="361" t="s">
        <v>19</v>
      </c>
      <c r="F68" s="359" t="s">
        <v>63</v>
      </c>
      <c r="G68" s="31">
        <v>8</v>
      </c>
      <c r="H68" s="359"/>
      <c r="I68" s="359"/>
      <c r="J68" s="31">
        <v>141</v>
      </c>
      <c r="K68" s="31">
        <v>141</v>
      </c>
      <c r="L68" s="31"/>
      <c r="M68" s="31"/>
      <c r="N68" s="31"/>
      <c r="O68" s="359"/>
      <c r="P68" s="359"/>
      <c r="Q68" s="359"/>
      <c r="R68" s="126"/>
      <c r="S68" s="126">
        <v>1128</v>
      </c>
      <c r="T68" s="126">
        <f ca="1">IF(Data_Shelter_t[[#This Row],[Status]]="Open",Data_Shelter_t[[#This Row],[HH Covered]],0)</f>
        <v>1128</v>
      </c>
      <c r="U68" s="360" t="s">
        <v>152</v>
      </c>
      <c r="V68" s="564" t="str">
        <f ca="1">IFERROR(OFFSET(Camp_List[Status],MATCH(Data_Shelter_t[[#This Row],[Camp Name]],Camp_List[Camp Name],0)-1,0,1,1),"")</f>
        <v>Open</v>
      </c>
      <c r="W68" s="538">
        <f ca="1">IFERROR(Data_Shelter_t[[#This Row],[HH Covered]]/OFFSET(Camp_List[HH],MATCH(Data_Shelter_t[[#This Row],[Camp Name]],Camp_List[Camp Name],0)-1,0,1,1),"")</f>
        <v>0.80744452397995703</v>
      </c>
      <c r="X68" s="31">
        <f>Data_Shelter_t[[#This Row],['# of Permanent House Planned (Target)]]+Data_Shelter_t[[#This Row],['# of Individual Shelter Planned (Target)]]</f>
        <v>0</v>
      </c>
      <c r="Y68" s="553">
        <f>Data_Shelter_t[[#This Row],['# of Permanent House Built]]+Data_Shelter_t[[#This Row],['# of Individual Shelter Built]]</f>
        <v>0</v>
      </c>
    </row>
    <row r="69" spans="1:25">
      <c r="A69" s="554">
        <v>41548</v>
      </c>
      <c r="B69" s="359" t="s">
        <v>295</v>
      </c>
      <c r="C69" s="359" t="s">
        <v>295</v>
      </c>
      <c r="D69" s="359" t="s">
        <v>7</v>
      </c>
      <c r="E69" s="361" t="s">
        <v>15</v>
      </c>
      <c r="F69" s="359" t="s">
        <v>51</v>
      </c>
      <c r="G69" s="31">
        <v>8</v>
      </c>
      <c r="H69" s="359"/>
      <c r="I69" s="359"/>
      <c r="J69" s="31">
        <v>10</v>
      </c>
      <c r="K69" s="31">
        <v>10</v>
      </c>
      <c r="L69" s="31"/>
      <c r="M69" s="31"/>
      <c r="N69" s="31"/>
      <c r="O69" s="359"/>
      <c r="P69" s="359"/>
      <c r="Q69" s="359"/>
      <c r="R69" s="126"/>
      <c r="S69" s="126">
        <v>80</v>
      </c>
      <c r="T69" s="126">
        <f ca="1">IF(Data_Shelter_t[[#This Row],[Status]]="Open",Data_Shelter_t[[#This Row],[HH Covered]],0)</f>
        <v>0</v>
      </c>
      <c r="U69" s="360" t="s">
        <v>138</v>
      </c>
      <c r="V69" s="564" t="str">
        <f ca="1">IFERROR(OFFSET(Camp_List[Status],MATCH(Data_Shelter_t[[#This Row],[Camp Name]],Camp_List[Camp Name],0)-1,0,1,1),"")</f>
        <v>Returned in Individual Housing</v>
      </c>
      <c r="W69" s="538">
        <f ca="1">IFERROR(Data_Shelter_t[[#This Row],[HH Covered]]/OFFSET(Camp_List[HH],MATCH(Data_Shelter_t[[#This Row],[Camp Name]],Camp_List[Camp Name],0)-1,0,1,1),"")</f>
        <v>0.68965517241379315</v>
      </c>
      <c r="X69" s="31">
        <f>Data_Shelter_t[[#This Row],['# of Permanent House Planned (Target)]]+Data_Shelter_t[[#This Row],['# of Individual Shelter Planned (Target)]]</f>
        <v>0</v>
      </c>
      <c r="Y69" s="553">
        <f>Data_Shelter_t[[#This Row],['# of Permanent House Built]]+Data_Shelter_t[[#This Row],['# of Individual Shelter Built]]</f>
        <v>0</v>
      </c>
    </row>
    <row r="70" spans="1:25">
      <c r="A70" s="554">
        <v>41548</v>
      </c>
      <c r="B70" s="359" t="s">
        <v>295</v>
      </c>
      <c r="C70" s="359" t="s">
        <v>295</v>
      </c>
      <c r="D70" s="359" t="s">
        <v>7</v>
      </c>
      <c r="E70" s="361" t="s">
        <v>15</v>
      </c>
      <c r="F70" s="359" t="s">
        <v>50</v>
      </c>
      <c r="G70" s="31">
        <v>8</v>
      </c>
      <c r="H70" s="359"/>
      <c r="I70" s="359"/>
      <c r="J70" s="31">
        <v>29</v>
      </c>
      <c r="K70" s="31">
        <v>29</v>
      </c>
      <c r="L70" s="31"/>
      <c r="M70" s="31"/>
      <c r="N70" s="31"/>
      <c r="O70" s="359"/>
      <c r="P70" s="359"/>
      <c r="Q70" s="359"/>
      <c r="R70" s="126"/>
      <c r="S70" s="126">
        <v>232</v>
      </c>
      <c r="T70" s="126">
        <f ca="1">IF(Data_Shelter_t[[#This Row],[Status]]="Open",Data_Shelter_t[[#This Row],[HH Covered]],0)</f>
        <v>0</v>
      </c>
      <c r="U70" s="360" t="s">
        <v>137</v>
      </c>
      <c r="V70" s="564" t="str">
        <f ca="1">IFERROR(OFFSET(Camp_List[Status],MATCH(Data_Shelter_t[[#This Row],[Camp Name]],Camp_List[Camp Name],0)-1,0,1,1),"")</f>
        <v>Returned in Individual Housing</v>
      </c>
      <c r="W70" s="538">
        <f ca="1">IFERROR(Data_Shelter_t[[#This Row],[HH Covered]]/OFFSET(Camp_List[HH],MATCH(Data_Shelter_t[[#This Row],[Camp Name]],Camp_List[Camp Name],0)-1,0,1,1),"")</f>
        <v>0.98305084745762716</v>
      </c>
      <c r="X70" s="31">
        <f>Data_Shelter_t[[#This Row],['# of Permanent House Planned (Target)]]+Data_Shelter_t[[#This Row],['# of Individual Shelter Planned (Target)]]</f>
        <v>0</v>
      </c>
      <c r="Y70" s="553">
        <f>Data_Shelter_t[[#This Row],['# of Permanent House Built]]+Data_Shelter_t[[#This Row],['# of Individual Shelter Built]]</f>
        <v>0</v>
      </c>
    </row>
    <row r="71" spans="1:25">
      <c r="A71" s="554">
        <v>41548</v>
      </c>
      <c r="B71" s="359" t="s">
        <v>287</v>
      </c>
      <c r="C71" s="359" t="s">
        <v>287</v>
      </c>
      <c r="D71" s="359" t="s">
        <v>7</v>
      </c>
      <c r="E71" s="361" t="s">
        <v>900</v>
      </c>
      <c r="F71" s="359" t="s">
        <v>37</v>
      </c>
      <c r="G71" s="31">
        <v>8</v>
      </c>
      <c r="H71" s="359"/>
      <c r="I71" s="359"/>
      <c r="J71" s="31">
        <v>6</v>
      </c>
      <c r="K71" s="31">
        <v>6</v>
      </c>
      <c r="L71" s="31"/>
      <c r="M71" s="31"/>
      <c r="N71" s="31"/>
      <c r="O71" s="359"/>
      <c r="P71" s="359"/>
      <c r="Q71" s="359"/>
      <c r="R71" s="126"/>
      <c r="S71" s="126">
        <v>48</v>
      </c>
      <c r="T71" s="126">
        <f ca="1">IF(Data_Shelter_t[[#This Row],[Status]]="Open",Data_Shelter_t[[#This Row],[HH Covered]],0)</f>
        <v>48</v>
      </c>
      <c r="U71" s="360" t="s">
        <v>124</v>
      </c>
      <c r="V71" s="564" t="str">
        <f ca="1">IFERROR(OFFSET(Camp_List[Status],MATCH(Data_Shelter_t[[#This Row],[Camp Name]],Camp_List[Camp Name],0)-1,0,1,1),"")</f>
        <v>Open</v>
      </c>
      <c r="W71" s="538">
        <f ca="1">IFERROR(Data_Shelter_t[[#This Row],[HH Covered]]/OFFSET(Camp_List[HH],MATCH(Data_Shelter_t[[#This Row],[Camp Name]],Camp_List[Camp Name],0)-1,0,1,1),"")</f>
        <v>1.1428571428571428</v>
      </c>
      <c r="X71" s="24">
        <f>Data_Shelter_t[[#This Row],['# of Permanent House Planned (Target)]]+Data_Shelter_t[[#This Row],['# of Individual Shelter Planned (Target)]]</f>
        <v>0</v>
      </c>
      <c r="Y71" s="556">
        <f>Data_Shelter_t[[#This Row],['# of Permanent House Built]]+Data_Shelter_t[[#This Row],['# of Individual Shelter Built]]</f>
        <v>0</v>
      </c>
    </row>
    <row r="72" spans="1:25">
      <c r="A72" s="554">
        <v>41548</v>
      </c>
      <c r="B72" s="359" t="s">
        <v>662</v>
      </c>
      <c r="C72" s="359" t="s">
        <v>662</v>
      </c>
      <c r="D72" s="359" t="s">
        <v>7</v>
      </c>
      <c r="E72" s="361" t="s">
        <v>20</v>
      </c>
      <c r="F72" s="359" t="s">
        <v>101</v>
      </c>
      <c r="G72" s="31">
        <v>1</v>
      </c>
      <c r="H72" s="359"/>
      <c r="I72" s="359"/>
      <c r="J72" s="31"/>
      <c r="K72" s="31"/>
      <c r="L72" s="31"/>
      <c r="M72" s="31">
        <v>10</v>
      </c>
      <c r="N72" s="31">
        <v>10</v>
      </c>
      <c r="O72" s="359"/>
      <c r="P72" s="359"/>
      <c r="Q72" s="359"/>
      <c r="R72" s="126"/>
      <c r="S72" s="126">
        <v>10</v>
      </c>
      <c r="T72" s="126">
        <f ca="1">IF(Data_Shelter_t[[#This Row],[Status]]="Open",Data_Shelter_t[[#This Row],[HH Covered]],0)</f>
        <v>0</v>
      </c>
      <c r="U72" s="360" t="s">
        <v>190</v>
      </c>
      <c r="V72" s="564" t="str">
        <f ca="1">IFERROR(OFFSET(Camp_List[Status],MATCH(Data_Shelter_t[[#This Row],[Camp Name]],Camp_List[Camp Name],0)-1,0,1,1),"")</f>
        <v>Close</v>
      </c>
      <c r="W72" s="538" t="str">
        <f ca="1">IFERROR(Data_Shelter_t[[#This Row],[HH Covered]]/OFFSET(Camp_List[HH],MATCH(Data_Shelter_t[[#This Row],[Camp Name]],Camp_List[Camp Name],0)-1,0,1,1),"")</f>
        <v/>
      </c>
      <c r="X72" s="31">
        <f>Data_Shelter_t[[#This Row],['# of Permanent House Planned (Target)]]+Data_Shelter_t[[#This Row],['# of Individual Shelter Planned (Target)]]</f>
        <v>10</v>
      </c>
      <c r="Y72" s="553">
        <f>Data_Shelter_t[[#This Row],['# of Permanent House Built]]+Data_Shelter_t[[#This Row],['# of Individual Shelter Built]]</f>
        <v>10</v>
      </c>
    </row>
    <row r="73" spans="1:25">
      <c r="A73" s="554">
        <v>41548</v>
      </c>
      <c r="B73" s="359" t="s">
        <v>661</v>
      </c>
      <c r="C73" s="359" t="s">
        <v>661</v>
      </c>
      <c r="D73" s="359" t="s">
        <v>7</v>
      </c>
      <c r="E73" s="361" t="s">
        <v>20</v>
      </c>
      <c r="F73" s="359" t="s">
        <v>101</v>
      </c>
      <c r="G73" s="31">
        <v>1</v>
      </c>
      <c r="H73" s="359"/>
      <c r="I73" s="359"/>
      <c r="J73" s="31"/>
      <c r="K73" s="31"/>
      <c r="L73" s="31"/>
      <c r="M73" s="31">
        <v>31</v>
      </c>
      <c r="N73" s="31">
        <v>27</v>
      </c>
      <c r="O73" s="359"/>
      <c r="P73" s="359"/>
      <c r="Q73" s="359"/>
      <c r="R73" s="126"/>
      <c r="S73" s="126">
        <v>27</v>
      </c>
      <c r="T73" s="126">
        <f ca="1">IF(Data_Shelter_t[[#This Row],[Status]]="Open",Data_Shelter_t[[#This Row],[HH Covered]],0)</f>
        <v>0</v>
      </c>
      <c r="U73" s="360" t="s">
        <v>190</v>
      </c>
      <c r="V73" s="564" t="str">
        <f ca="1">IFERROR(OFFSET(Camp_List[Status],MATCH(Data_Shelter_t[[#This Row],[Camp Name]],Camp_List[Camp Name],0)-1,0,1,1),"")</f>
        <v>Close</v>
      </c>
      <c r="W73" s="538" t="str">
        <f ca="1">IFERROR(Data_Shelter_t[[#This Row],[HH Covered]]/OFFSET(Camp_List[HH],MATCH(Data_Shelter_t[[#This Row],[Camp Name]],Camp_List[Camp Name],0)-1,0,1,1),"")</f>
        <v/>
      </c>
      <c r="X73" s="31">
        <f>Data_Shelter_t[[#This Row],['# of Permanent House Planned (Target)]]+Data_Shelter_t[[#This Row],['# of Individual Shelter Planned (Target)]]</f>
        <v>31</v>
      </c>
      <c r="Y73" s="553">
        <f>Data_Shelter_t[[#This Row],['# of Permanent House Built]]+Data_Shelter_t[[#This Row],['# of Individual Shelter Built]]</f>
        <v>27</v>
      </c>
    </row>
    <row r="74" spans="1:25">
      <c r="A74" s="554">
        <v>41548</v>
      </c>
      <c r="B74" s="359" t="s">
        <v>454</v>
      </c>
      <c r="C74" s="359" t="s">
        <v>454</v>
      </c>
      <c r="D74" s="359" t="s">
        <v>7</v>
      </c>
      <c r="E74" s="361" t="s">
        <v>19</v>
      </c>
      <c r="F74" s="359" t="s">
        <v>64</v>
      </c>
      <c r="G74" s="31">
        <v>8</v>
      </c>
      <c r="H74" s="359"/>
      <c r="I74" s="359"/>
      <c r="J74" s="31">
        <v>25</v>
      </c>
      <c r="K74" s="31">
        <v>25</v>
      </c>
      <c r="L74" s="31"/>
      <c r="M74" s="31"/>
      <c r="N74" s="31"/>
      <c r="O74" s="359"/>
      <c r="P74" s="359"/>
      <c r="Q74" s="359"/>
      <c r="R74" s="126"/>
      <c r="S74" s="126">
        <v>200</v>
      </c>
      <c r="T74" s="126">
        <f ca="1">IF(Data_Shelter_t[[#This Row],[Status]]="Open",Data_Shelter_t[[#This Row],[HH Covered]],0)</f>
        <v>200</v>
      </c>
      <c r="U74" s="360" t="s">
        <v>153</v>
      </c>
      <c r="V74" s="564" t="str">
        <f ca="1">IFERROR(OFFSET(Camp_List[Status],MATCH(Data_Shelter_t[[#This Row],[Camp Name]],Camp_List[Camp Name],0)-1,0,1,1),"")</f>
        <v>Open</v>
      </c>
      <c r="W74" s="538">
        <f ca="1">IFERROR(Data_Shelter_t[[#This Row],[HH Covered]]/OFFSET(Camp_List[HH],MATCH(Data_Shelter_t[[#This Row],[Camp Name]],Camp_List[Camp Name],0)-1,0,1,1),"")</f>
        <v>0.25031289111389238</v>
      </c>
      <c r="X74" s="31">
        <f>Data_Shelter_t[[#This Row],['# of Permanent House Planned (Target)]]+Data_Shelter_t[[#This Row],['# of Individual Shelter Planned (Target)]]</f>
        <v>0</v>
      </c>
      <c r="Y74" s="553">
        <f>Data_Shelter_t[[#This Row],['# of Permanent House Built]]+Data_Shelter_t[[#This Row],['# of Individual Shelter Built]]</f>
        <v>0</v>
      </c>
    </row>
    <row r="75" spans="1:25">
      <c r="A75" s="554">
        <v>41548</v>
      </c>
      <c r="B75" s="359" t="s">
        <v>295</v>
      </c>
      <c r="C75" s="359" t="s">
        <v>295</v>
      </c>
      <c r="D75" s="359" t="s">
        <v>7</v>
      </c>
      <c r="E75" s="361" t="s">
        <v>19</v>
      </c>
      <c r="F75" s="359" t="s">
        <v>64</v>
      </c>
      <c r="G75" s="31">
        <v>8</v>
      </c>
      <c r="H75" s="359"/>
      <c r="I75" s="359"/>
      <c r="J75" s="31">
        <v>75</v>
      </c>
      <c r="K75" s="31">
        <v>75</v>
      </c>
      <c r="L75" s="31"/>
      <c r="M75" s="31"/>
      <c r="N75" s="31"/>
      <c r="O75" s="359"/>
      <c r="P75" s="359"/>
      <c r="Q75" s="359"/>
      <c r="R75" s="126"/>
      <c r="S75" s="126">
        <v>600</v>
      </c>
      <c r="T75" s="126">
        <f ca="1">IF(Data_Shelter_t[[#This Row],[Status]]="Open",Data_Shelter_t[[#This Row],[HH Covered]],0)</f>
        <v>600</v>
      </c>
      <c r="U75" s="360" t="s">
        <v>153</v>
      </c>
      <c r="V75" s="564" t="str">
        <f ca="1">IFERROR(OFFSET(Camp_List[Status],MATCH(Data_Shelter_t[[#This Row],[Camp Name]],Camp_List[Camp Name],0)-1,0,1,1),"")</f>
        <v>Open</v>
      </c>
      <c r="W75" s="538">
        <f ca="1">IFERROR(Data_Shelter_t[[#This Row],[HH Covered]]/OFFSET(Camp_List[HH],MATCH(Data_Shelter_t[[#This Row],[Camp Name]],Camp_List[Camp Name],0)-1,0,1,1),"")</f>
        <v>0.75093867334167708</v>
      </c>
      <c r="X75" s="31">
        <f>Data_Shelter_t[[#This Row],['# of Permanent House Planned (Target)]]+Data_Shelter_t[[#This Row],['# of Individual Shelter Planned (Target)]]</f>
        <v>0</v>
      </c>
      <c r="Y75" s="553">
        <f>Data_Shelter_t[[#This Row],['# of Permanent House Built]]+Data_Shelter_t[[#This Row],['# of Individual Shelter Built]]</f>
        <v>0</v>
      </c>
    </row>
    <row r="76" spans="1:25">
      <c r="A76" s="554">
        <v>41548</v>
      </c>
      <c r="B76" s="359" t="s">
        <v>295</v>
      </c>
      <c r="C76" s="359" t="s">
        <v>295</v>
      </c>
      <c r="D76" s="359" t="s">
        <v>7</v>
      </c>
      <c r="E76" s="361" t="s">
        <v>15</v>
      </c>
      <c r="F76" s="359" t="s">
        <v>54</v>
      </c>
      <c r="G76" s="31">
        <v>8</v>
      </c>
      <c r="H76" s="359"/>
      <c r="I76" s="359"/>
      <c r="J76" s="31">
        <v>10</v>
      </c>
      <c r="K76" s="31">
        <v>10</v>
      </c>
      <c r="L76" s="31"/>
      <c r="M76" s="31"/>
      <c r="N76" s="31"/>
      <c r="O76" s="359"/>
      <c r="P76" s="359"/>
      <c r="Q76" s="359"/>
      <c r="R76" s="126"/>
      <c r="S76" s="126">
        <v>80</v>
      </c>
      <c r="T76" s="126">
        <f ca="1">IF(Data_Shelter_t[[#This Row],[Status]]="Open",Data_Shelter_t[[#This Row],[HH Covered]],0)</f>
        <v>0</v>
      </c>
      <c r="U76" s="360" t="s">
        <v>141</v>
      </c>
      <c r="V76" s="564" t="str">
        <f ca="1">IFERROR(OFFSET(Camp_List[Status],MATCH(Data_Shelter_t[[#This Row],[Camp Name]],Camp_List[Camp Name],0)-1,0,1,1),"")</f>
        <v>Relocated in Individual Housing</v>
      </c>
      <c r="W76" s="538">
        <f ca="1">IFERROR(Data_Shelter_t[[#This Row],[HH Covered]]/OFFSET(Camp_List[HH],MATCH(Data_Shelter_t[[#This Row],[Camp Name]],Camp_List[Camp Name],0)-1,0,1,1),"")</f>
        <v>0.82474226804123707</v>
      </c>
      <c r="X76" s="31">
        <f>Data_Shelter_t[[#This Row],['# of Permanent House Planned (Target)]]+Data_Shelter_t[[#This Row],['# of Individual Shelter Planned (Target)]]</f>
        <v>0</v>
      </c>
      <c r="Y76" s="553">
        <f>Data_Shelter_t[[#This Row],['# of Permanent House Built]]+Data_Shelter_t[[#This Row],['# of Individual Shelter Built]]</f>
        <v>0</v>
      </c>
    </row>
    <row r="77" spans="1:25">
      <c r="A77" s="554">
        <v>41548</v>
      </c>
      <c r="B77" s="359" t="s">
        <v>662</v>
      </c>
      <c r="C77" s="359" t="s">
        <v>662</v>
      </c>
      <c r="D77" s="359" t="s">
        <v>7</v>
      </c>
      <c r="E77" s="361" t="s">
        <v>20</v>
      </c>
      <c r="F77" s="359" t="s">
        <v>518</v>
      </c>
      <c r="G77" s="31">
        <v>1</v>
      </c>
      <c r="H77" s="359"/>
      <c r="I77" s="359"/>
      <c r="J77" s="31"/>
      <c r="K77" s="31"/>
      <c r="L77" s="31"/>
      <c r="M77" s="31">
        <v>15</v>
      </c>
      <c r="N77" s="31">
        <v>15</v>
      </c>
      <c r="O77" s="359"/>
      <c r="P77" s="359"/>
      <c r="Q77" s="359"/>
      <c r="R77" s="126"/>
      <c r="S77" s="126">
        <v>15</v>
      </c>
      <c r="T77" s="126">
        <f ca="1">IF(Data_Shelter_t[[#This Row],[Status]]="Open",Data_Shelter_t[[#This Row],[HH Covered]],0)</f>
        <v>0</v>
      </c>
      <c r="U77" s="360" t="s">
        <v>962</v>
      </c>
      <c r="V77" s="564" t="str">
        <f ca="1">IFERROR(OFFSET(Camp_List[Status],MATCH(Data_Shelter_t[[#This Row],[Camp Name]],Camp_List[Camp Name],0)-1,0,1,1),"")</f>
        <v/>
      </c>
      <c r="W77" s="538" t="str">
        <f ca="1">IFERROR(Data_Shelter_t[[#This Row],[HH Covered]]/OFFSET(Camp_List[HH],MATCH(Data_Shelter_t[[#This Row],[Camp Name]],Camp_List[Camp Name],0)-1,0,1,1),"")</f>
        <v/>
      </c>
      <c r="X77" s="31">
        <f>Data_Shelter_t[[#This Row],['# of Permanent House Planned (Target)]]+Data_Shelter_t[[#This Row],['# of Individual Shelter Planned (Target)]]</f>
        <v>15</v>
      </c>
      <c r="Y77" s="553">
        <f>Data_Shelter_t[[#This Row],['# of Permanent House Built]]+Data_Shelter_t[[#This Row],['# of Individual Shelter Built]]</f>
        <v>15</v>
      </c>
    </row>
    <row r="78" spans="1:25">
      <c r="A78" s="554">
        <v>41548</v>
      </c>
      <c r="B78" s="359" t="s">
        <v>295</v>
      </c>
      <c r="C78" s="359" t="s">
        <v>295</v>
      </c>
      <c r="D78" s="359" t="s">
        <v>7</v>
      </c>
      <c r="E78" s="361" t="s">
        <v>16</v>
      </c>
      <c r="F78" s="359" t="s">
        <v>409</v>
      </c>
      <c r="G78" s="31">
        <v>8</v>
      </c>
      <c r="H78" s="359"/>
      <c r="I78" s="359"/>
      <c r="J78" s="31">
        <v>29</v>
      </c>
      <c r="K78" s="31">
        <v>29</v>
      </c>
      <c r="L78" s="31"/>
      <c r="M78" s="31"/>
      <c r="N78" s="31"/>
      <c r="O78" s="359"/>
      <c r="P78" s="359"/>
      <c r="Q78" s="359"/>
      <c r="R78" s="126"/>
      <c r="S78" s="126">
        <v>232</v>
      </c>
      <c r="T78" s="126">
        <f ca="1">IF(Data_Shelter_t[[#This Row],[Status]]="Open",Data_Shelter_t[[#This Row],[HH Covered]],0)</f>
        <v>232</v>
      </c>
      <c r="U78" s="360" t="s">
        <v>624</v>
      </c>
      <c r="V78" s="564" t="str">
        <f ca="1">IFERROR(OFFSET(Camp_List[Status],MATCH(Data_Shelter_t[[#This Row],[Camp Name]],Camp_List[Camp Name],0)-1,0,1,1),"")</f>
        <v>Open</v>
      </c>
      <c r="W78" s="538">
        <f ca="1">IFERROR(Data_Shelter_t[[#This Row],[HH Covered]]/OFFSET(Camp_List[HH],MATCH(Data_Shelter_t[[#This Row],[Camp Name]],Camp_List[Camp Name],0)-1,0,1,1),"")</f>
        <v>1.2020725388601037</v>
      </c>
      <c r="X78" s="31">
        <f>Data_Shelter_t[[#This Row],['# of Permanent House Planned (Target)]]+Data_Shelter_t[[#This Row],['# of Individual Shelter Planned (Target)]]</f>
        <v>0</v>
      </c>
      <c r="Y78" s="553">
        <f>Data_Shelter_t[[#This Row],['# of Permanent House Built]]+Data_Shelter_t[[#This Row],['# of Individual Shelter Built]]</f>
        <v>0</v>
      </c>
    </row>
    <row r="79" spans="1:25">
      <c r="A79" s="554">
        <v>41548</v>
      </c>
      <c r="B79" s="359" t="s">
        <v>662</v>
      </c>
      <c r="C79" s="359" t="s">
        <v>662</v>
      </c>
      <c r="D79" s="359" t="s">
        <v>7</v>
      </c>
      <c r="E79" s="361" t="s">
        <v>20</v>
      </c>
      <c r="F79" s="359" t="s">
        <v>103</v>
      </c>
      <c r="G79" s="31">
        <v>1</v>
      </c>
      <c r="H79" s="359"/>
      <c r="I79" s="359"/>
      <c r="J79" s="31"/>
      <c r="K79" s="31"/>
      <c r="L79" s="31"/>
      <c r="M79" s="31">
        <v>10</v>
      </c>
      <c r="N79" s="31">
        <v>10</v>
      </c>
      <c r="O79" s="359"/>
      <c r="P79" s="359"/>
      <c r="Q79" s="359"/>
      <c r="R79" s="126"/>
      <c r="S79" s="126">
        <v>10</v>
      </c>
      <c r="T79" s="126">
        <f ca="1">IF(Data_Shelter_t[[#This Row],[Status]]="Open",Data_Shelter_t[[#This Row],[HH Covered]],0)</f>
        <v>0</v>
      </c>
      <c r="U79" s="360" t="s">
        <v>192</v>
      </c>
      <c r="V79" s="564" t="str">
        <f ca="1">IFERROR(OFFSET(Camp_List[Status],MATCH(Data_Shelter_t[[#This Row],[Camp Name]],Camp_List[Camp Name],0)-1,0,1,1),"")</f>
        <v>Close</v>
      </c>
      <c r="W79" s="538" t="str">
        <f ca="1">IFERROR(Data_Shelter_t[[#This Row],[HH Covered]]/OFFSET(Camp_List[HH],MATCH(Data_Shelter_t[[#This Row],[Camp Name]],Camp_List[Camp Name],0)-1,0,1,1),"")</f>
        <v/>
      </c>
      <c r="X79" s="31">
        <f>Data_Shelter_t[[#This Row],['# of Permanent House Planned (Target)]]+Data_Shelter_t[[#This Row],['# of Individual Shelter Planned (Target)]]</f>
        <v>10</v>
      </c>
      <c r="Y79" s="553">
        <f>Data_Shelter_t[[#This Row],['# of Permanent House Built]]+Data_Shelter_t[[#This Row],['# of Individual Shelter Built]]</f>
        <v>10</v>
      </c>
    </row>
    <row r="80" spans="1:25">
      <c r="A80" s="554">
        <v>41548</v>
      </c>
      <c r="B80" s="359" t="s">
        <v>661</v>
      </c>
      <c r="C80" s="359" t="s">
        <v>661</v>
      </c>
      <c r="D80" s="359" t="s">
        <v>7</v>
      </c>
      <c r="E80" s="361" t="s">
        <v>20</v>
      </c>
      <c r="F80" s="359" t="s">
        <v>103</v>
      </c>
      <c r="G80" s="31">
        <v>1</v>
      </c>
      <c r="H80" s="359"/>
      <c r="I80" s="359"/>
      <c r="J80" s="31"/>
      <c r="K80" s="31"/>
      <c r="L80" s="31"/>
      <c r="M80" s="31">
        <v>21</v>
      </c>
      <c r="N80" s="31">
        <v>21</v>
      </c>
      <c r="O80" s="359"/>
      <c r="P80" s="359"/>
      <c r="Q80" s="359"/>
      <c r="R80" s="126"/>
      <c r="S80" s="126">
        <v>21</v>
      </c>
      <c r="T80" s="126">
        <f ca="1">IF(Data_Shelter_t[[#This Row],[Status]]="Open",Data_Shelter_t[[#This Row],[HH Covered]],0)</f>
        <v>0</v>
      </c>
      <c r="U80" s="360" t="s">
        <v>192</v>
      </c>
      <c r="V80" s="564" t="str">
        <f ca="1">IFERROR(OFFSET(Camp_List[Status],MATCH(Data_Shelter_t[[#This Row],[Camp Name]],Camp_List[Camp Name],0)-1,0,1,1),"")</f>
        <v>Close</v>
      </c>
      <c r="W80" s="538" t="str">
        <f ca="1">IFERROR(Data_Shelter_t[[#This Row],[HH Covered]]/OFFSET(Camp_List[HH],MATCH(Data_Shelter_t[[#This Row],[Camp Name]],Camp_List[Camp Name],0)-1,0,1,1),"")</f>
        <v/>
      </c>
      <c r="X80" s="31">
        <f>Data_Shelter_t[[#This Row],['# of Permanent House Planned (Target)]]+Data_Shelter_t[[#This Row],['# of Individual Shelter Planned (Target)]]</f>
        <v>21</v>
      </c>
      <c r="Y80" s="556">
        <f>Data_Shelter_t[[#This Row],['# of Permanent House Built]]+Data_Shelter_t[[#This Row],['# of Individual Shelter Built]]</f>
        <v>21</v>
      </c>
    </row>
    <row r="81" spans="1:25">
      <c r="A81" s="554">
        <v>41548</v>
      </c>
      <c r="B81" s="359" t="s">
        <v>295</v>
      </c>
      <c r="C81" s="359" t="s">
        <v>295</v>
      </c>
      <c r="D81" s="359" t="s">
        <v>7</v>
      </c>
      <c r="E81" s="361" t="s">
        <v>17</v>
      </c>
      <c r="F81" s="359" t="s">
        <v>58</v>
      </c>
      <c r="G81" s="31">
        <v>8</v>
      </c>
      <c r="H81" s="359"/>
      <c r="I81" s="359"/>
      <c r="J81" s="31">
        <v>22</v>
      </c>
      <c r="K81" s="31">
        <v>22</v>
      </c>
      <c r="L81" s="31"/>
      <c r="M81" s="31"/>
      <c r="N81" s="31"/>
      <c r="O81" s="359"/>
      <c r="P81" s="359"/>
      <c r="Q81" s="359"/>
      <c r="R81" s="126"/>
      <c r="S81" s="126">
        <v>176</v>
      </c>
      <c r="T81" s="126">
        <f ca="1">IF(Data_Shelter_t[[#This Row],[Status]]="Open",Data_Shelter_t[[#This Row],[HH Covered]],0)</f>
        <v>176</v>
      </c>
      <c r="U81" s="360" t="s">
        <v>146</v>
      </c>
      <c r="V81" s="564" t="str">
        <f ca="1">IFERROR(OFFSET(Camp_List[Status],MATCH(Data_Shelter_t[[#This Row],[Camp Name]],Camp_List[Camp Name],0)-1,0,1,1),"")</f>
        <v>Open</v>
      </c>
      <c r="W81" s="538">
        <f ca="1">IFERROR(Data_Shelter_t[[#This Row],[HH Covered]]/OFFSET(Camp_List[HH],MATCH(Data_Shelter_t[[#This Row],[Camp Name]],Camp_List[Camp Name],0)-1,0,1,1),"")</f>
        <v>0.41217798594847777</v>
      </c>
      <c r="X81" s="31">
        <f>Data_Shelter_t[[#This Row],['# of Permanent House Planned (Target)]]+Data_Shelter_t[[#This Row],['# of Individual Shelter Planned (Target)]]</f>
        <v>0</v>
      </c>
      <c r="Y81" s="553">
        <f>Data_Shelter_t[[#This Row],['# of Permanent House Built]]+Data_Shelter_t[[#This Row],['# of Individual Shelter Built]]</f>
        <v>0</v>
      </c>
    </row>
    <row r="82" spans="1:25">
      <c r="A82" s="554">
        <v>41548</v>
      </c>
      <c r="B82" s="359" t="s">
        <v>300</v>
      </c>
      <c r="C82" s="359" t="s">
        <v>300</v>
      </c>
      <c r="D82" s="359" t="s">
        <v>7</v>
      </c>
      <c r="E82" s="361" t="s">
        <v>17</v>
      </c>
      <c r="F82" s="359" t="s">
        <v>58</v>
      </c>
      <c r="G82" s="31">
        <v>8</v>
      </c>
      <c r="H82" s="359"/>
      <c r="I82" s="359"/>
      <c r="J82" s="31">
        <v>31</v>
      </c>
      <c r="K82" s="31">
        <v>31</v>
      </c>
      <c r="L82" s="31"/>
      <c r="M82" s="31"/>
      <c r="N82" s="31"/>
      <c r="O82" s="359"/>
      <c r="P82" s="359"/>
      <c r="Q82" s="359"/>
      <c r="R82" s="126"/>
      <c r="S82" s="126">
        <v>248</v>
      </c>
      <c r="T82" s="126">
        <f ca="1">IF(Data_Shelter_t[[#This Row],[Status]]="Open",Data_Shelter_t[[#This Row],[HH Covered]],0)</f>
        <v>248</v>
      </c>
      <c r="U82" s="360" t="s">
        <v>146</v>
      </c>
      <c r="V82" s="564" t="str">
        <f ca="1">IFERROR(OFFSET(Camp_List[Status],MATCH(Data_Shelter_t[[#This Row],[Camp Name]],Camp_List[Camp Name],0)-1,0,1,1),"")</f>
        <v>Open</v>
      </c>
      <c r="W82" s="538">
        <f ca="1">IFERROR(Data_Shelter_t[[#This Row],[HH Covered]]/OFFSET(Camp_List[HH],MATCH(Data_Shelter_t[[#This Row],[Camp Name]],Camp_List[Camp Name],0)-1,0,1,1),"")</f>
        <v>0.58079625292740045</v>
      </c>
      <c r="X82" s="31">
        <f>Data_Shelter_t[[#This Row],['# of Permanent House Planned (Target)]]+Data_Shelter_t[[#This Row],['# of Individual Shelter Planned (Target)]]</f>
        <v>0</v>
      </c>
      <c r="Y82" s="553">
        <f>Data_Shelter_t[[#This Row],['# of Permanent House Built]]+Data_Shelter_t[[#This Row],['# of Individual Shelter Built]]</f>
        <v>0</v>
      </c>
    </row>
    <row r="83" spans="1:25">
      <c r="A83" s="554">
        <v>41548</v>
      </c>
      <c r="B83" s="359" t="s">
        <v>287</v>
      </c>
      <c r="C83" s="359" t="s">
        <v>287</v>
      </c>
      <c r="D83" s="359" t="s">
        <v>7</v>
      </c>
      <c r="E83" s="361" t="s">
        <v>14</v>
      </c>
      <c r="F83" s="359" t="s">
        <v>42</v>
      </c>
      <c r="G83" s="31">
        <v>8</v>
      </c>
      <c r="H83" s="359"/>
      <c r="I83" s="359"/>
      <c r="J83" s="31">
        <v>98</v>
      </c>
      <c r="K83" s="31">
        <v>98</v>
      </c>
      <c r="L83" s="31"/>
      <c r="M83" s="31"/>
      <c r="N83" s="31"/>
      <c r="O83" s="359"/>
      <c r="P83" s="359"/>
      <c r="Q83" s="359"/>
      <c r="R83" s="126"/>
      <c r="S83" s="126">
        <v>784</v>
      </c>
      <c r="T83" s="126">
        <f ca="1">IF(Data_Shelter_t[[#This Row],[Status]]="Open",Data_Shelter_t[[#This Row],[HH Covered]],0)</f>
        <v>784</v>
      </c>
      <c r="U83" s="360" t="s">
        <v>129</v>
      </c>
      <c r="V83" s="564" t="str">
        <f ca="1">IFERROR(OFFSET(Camp_List[Status],MATCH(Data_Shelter_t[[#This Row],[Camp Name]],Camp_List[Camp Name],0)-1,0,1,1),"")</f>
        <v>Open</v>
      </c>
      <c r="W83" s="538">
        <f ca="1">IFERROR(Data_Shelter_t[[#This Row],[HH Covered]]/OFFSET(Camp_List[HH],MATCH(Data_Shelter_t[[#This Row],[Camp Name]],Camp_List[Camp Name],0)-1,0,1,1),"")</f>
        <v>0.68055555555555558</v>
      </c>
      <c r="X83" s="31">
        <f>Data_Shelter_t[[#This Row],['# of Permanent House Planned (Target)]]+Data_Shelter_t[[#This Row],['# of Individual Shelter Planned (Target)]]</f>
        <v>0</v>
      </c>
      <c r="Y83" s="553">
        <f>Data_Shelter_t[[#This Row],['# of Permanent House Built]]+Data_Shelter_t[[#This Row],['# of Individual Shelter Built]]</f>
        <v>0</v>
      </c>
    </row>
    <row r="84" spans="1:25">
      <c r="A84" s="554">
        <v>41548</v>
      </c>
      <c r="B84" s="359" t="s">
        <v>295</v>
      </c>
      <c r="C84" s="359" t="s">
        <v>295</v>
      </c>
      <c r="D84" s="359" t="s">
        <v>7</v>
      </c>
      <c r="E84" s="361" t="s">
        <v>15</v>
      </c>
      <c r="F84" s="359" t="s">
        <v>44</v>
      </c>
      <c r="G84" s="31">
        <v>8</v>
      </c>
      <c r="H84" s="359"/>
      <c r="I84" s="359"/>
      <c r="J84" s="31">
        <v>2</v>
      </c>
      <c r="K84" s="31">
        <v>2</v>
      </c>
      <c r="L84" s="31"/>
      <c r="M84" s="31"/>
      <c r="N84" s="31"/>
      <c r="O84" s="359"/>
      <c r="P84" s="359"/>
      <c r="Q84" s="359"/>
      <c r="R84" s="126"/>
      <c r="S84" s="126">
        <v>16</v>
      </c>
      <c r="T84" s="126">
        <f ca="1">IF(Data_Shelter_t[[#This Row],[Status]]="Open",Data_Shelter_t[[#This Row],[HH Covered]],0)</f>
        <v>0</v>
      </c>
      <c r="U84" s="360" t="s">
        <v>131</v>
      </c>
      <c r="V84" s="564" t="str">
        <f ca="1">IFERROR(OFFSET(Camp_List[Status],MATCH(Data_Shelter_t[[#This Row],[Camp Name]],Camp_List[Camp Name],0)-1,0,1,1),"")</f>
        <v>Returned in Individual Housing</v>
      </c>
      <c r="W84" s="538">
        <f ca="1">IFERROR(Data_Shelter_t[[#This Row],[HH Covered]]/OFFSET(Camp_List[HH],MATCH(Data_Shelter_t[[#This Row],[Camp Name]],Camp_List[Camp Name],0)-1,0,1,1),"")</f>
        <v>0.88888888888888884</v>
      </c>
      <c r="X84" s="31">
        <f>Data_Shelter_t[[#This Row],['# of Permanent House Planned (Target)]]+Data_Shelter_t[[#This Row],['# of Individual Shelter Planned (Target)]]</f>
        <v>0</v>
      </c>
      <c r="Y84" s="553">
        <f>Data_Shelter_t[[#This Row],['# of Permanent House Built]]+Data_Shelter_t[[#This Row],['# of Individual Shelter Built]]</f>
        <v>0</v>
      </c>
    </row>
    <row r="85" spans="1:25">
      <c r="A85" s="554">
        <v>41548</v>
      </c>
      <c r="B85" s="359" t="s">
        <v>295</v>
      </c>
      <c r="C85" s="359" t="s">
        <v>295</v>
      </c>
      <c r="D85" s="359" t="s">
        <v>7</v>
      </c>
      <c r="E85" s="361" t="s">
        <v>19</v>
      </c>
      <c r="F85" s="359" t="s">
        <v>647</v>
      </c>
      <c r="G85" s="31">
        <v>8</v>
      </c>
      <c r="H85" s="359"/>
      <c r="I85" s="359"/>
      <c r="J85" s="31">
        <v>78</v>
      </c>
      <c r="K85" s="31">
        <v>78</v>
      </c>
      <c r="L85" s="31"/>
      <c r="M85" s="31"/>
      <c r="N85" s="31"/>
      <c r="O85" s="359"/>
      <c r="P85" s="359"/>
      <c r="Q85" s="359"/>
      <c r="R85" s="126"/>
      <c r="S85" s="126">
        <v>624</v>
      </c>
      <c r="T85" s="126">
        <f ca="1">IF(Data_Shelter_t[[#This Row],[Status]]="Open",Data_Shelter_t[[#This Row],[HH Covered]],0)</f>
        <v>624</v>
      </c>
      <c r="U85" s="360" t="s">
        <v>283</v>
      </c>
      <c r="V85" s="564" t="str">
        <f ca="1">IFERROR(OFFSET(Camp_List[Status],MATCH(Data_Shelter_t[[#This Row],[Camp Name]],Camp_List[Camp Name],0)-1,0,1,1),"")</f>
        <v>Open</v>
      </c>
      <c r="W85" s="538">
        <f ca="1">IFERROR(Data_Shelter_t[[#This Row],[HH Covered]]/OFFSET(Camp_List[HH],MATCH(Data_Shelter_t[[#This Row],[Camp Name]],Camp_List[Camp Name],0)-1,0,1,1),"")</f>
        <v>1</v>
      </c>
      <c r="X85" s="24">
        <f>Data_Shelter_t[[#This Row],['# of Permanent House Planned (Target)]]+Data_Shelter_t[[#This Row],['# of Individual Shelter Planned (Target)]]</f>
        <v>0</v>
      </c>
      <c r="Y85" s="556">
        <f>Data_Shelter_t[[#This Row],['# of Permanent House Built]]+Data_Shelter_t[[#This Row],['# of Individual Shelter Built]]</f>
        <v>0</v>
      </c>
    </row>
    <row r="86" spans="1:25">
      <c r="A86" s="554">
        <v>41548</v>
      </c>
      <c r="B86" s="359" t="s">
        <v>662</v>
      </c>
      <c r="C86" s="359" t="s">
        <v>662</v>
      </c>
      <c r="D86" s="359" t="s">
        <v>7</v>
      </c>
      <c r="E86" s="361" t="s">
        <v>20</v>
      </c>
      <c r="F86" s="359" t="s">
        <v>517</v>
      </c>
      <c r="G86" s="31">
        <v>1</v>
      </c>
      <c r="H86" s="359"/>
      <c r="I86" s="359"/>
      <c r="J86" s="31"/>
      <c r="K86" s="31"/>
      <c r="L86" s="31"/>
      <c r="M86" s="31">
        <v>2</v>
      </c>
      <c r="N86" s="31">
        <v>2</v>
      </c>
      <c r="O86" s="359"/>
      <c r="P86" s="359"/>
      <c r="Q86" s="359"/>
      <c r="R86" s="126"/>
      <c r="S86" s="126">
        <v>2</v>
      </c>
      <c r="T86" s="126">
        <f ca="1">IF(Data_Shelter_t[[#This Row],[Status]]="Open",Data_Shelter_t[[#This Row],[HH Covered]],0)</f>
        <v>0</v>
      </c>
      <c r="U86" s="360" t="s">
        <v>962</v>
      </c>
      <c r="V86" s="564" t="str">
        <f ca="1">IFERROR(OFFSET(Camp_List[Status],MATCH(Data_Shelter_t[[#This Row],[Camp Name]],Camp_List[Camp Name],0)-1,0,1,1),"")</f>
        <v/>
      </c>
      <c r="W86" s="538" t="str">
        <f ca="1">IFERROR(Data_Shelter_t[[#This Row],[HH Covered]]/OFFSET(Camp_List[HH],MATCH(Data_Shelter_t[[#This Row],[Camp Name]],Camp_List[Camp Name],0)-1,0,1,1),"")</f>
        <v/>
      </c>
      <c r="X86" s="31">
        <f>Data_Shelter_t[[#This Row],['# of Permanent House Planned (Target)]]+Data_Shelter_t[[#This Row],['# of Individual Shelter Planned (Target)]]</f>
        <v>2</v>
      </c>
      <c r="Y86" s="556">
        <f>Data_Shelter_t[[#This Row],['# of Permanent House Built]]+Data_Shelter_t[[#This Row],['# of Individual Shelter Built]]</f>
        <v>2</v>
      </c>
    </row>
    <row r="87" spans="1:25">
      <c r="A87" s="554">
        <v>41548</v>
      </c>
      <c r="B87" s="359" t="s">
        <v>662</v>
      </c>
      <c r="C87" s="359" t="s">
        <v>662</v>
      </c>
      <c r="D87" s="359" t="s">
        <v>7</v>
      </c>
      <c r="E87" s="361" t="s">
        <v>20</v>
      </c>
      <c r="F87" s="359" t="s">
        <v>519</v>
      </c>
      <c r="G87" s="31">
        <v>1</v>
      </c>
      <c r="H87" s="359"/>
      <c r="I87" s="359"/>
      <c r="J87" s="31"/>
      <c r="K87" s="31"/>
      <c r="L87" s="31"/>
      <c r="M87" s="31">
        <v>22</v>
      </c>
      <c r="N87" s="31">
        <v>22</v>
      </c>
      <c r="O87" s="359"/>
      <c r="P87" s="359"/>
      <c r="Q87" s="359"/>
      <c r="R87" s="126"/>
      <c r="S87" s="126">
        <v>22</v>
      </c>
      <c r="T87" s="126">
        <f ca="1">IF(Data_Shelter_t[[#This Row],[Status]]="Open",Data_Shelter_t[[#This Row],[HH Covered]],0)</f>
        <v>0</v>
      </c>
      <c r="U87" s="360" t="s">
        <v>962</v>
      </c>
      <c r="V87" s="564" t="str">
        <f ca="1">IFERROR(OFFSET(Camp_List[Status],MATCH(Data_Shelter_t[[#This Row],[Camp Name]],Camp_List[Camp Name],0)-1,0,1,1),"")</f>
        <v/>
      </c>
      <c r="W87" s="538" t="str">
        <f ca="1">IFERROR(Data_Shelter_t[[#This Row],[HH Covered]]/OFFSET(Camp_List[HH],MATCH(Data_Shelter_t[[#This Row],[Camp Name]],Camp_List[Camp Name],0)-1,0,1,1),"")</f>
        <v/>
      </c>
      <c r="X87" s="31">
        <f>Data_Shelter_t[[#This Row],['# of Permanent House Planned (Target)]]+Data_Shelter_t[[#This Row],['# of Individual Shelter Planned (Target)]]</f>
        <v>22</v>
      </c>
      <c r="Y87" s="556">
        <f>Data_Shelter_t[[#This Row],['# of Permanent House Built]]+Data_Shelter_t[[#This Row],['# of Individual Shelter Built]]</f>
        <v>22</v>
      </c>
    </row>
    <row r="88" spans="1:25">
      <c r="A88" s="554">
        <v>41548</v>
      </c>
      <c r="B88" s="359" t="s">
        <v>287</v>
      </c>
      <c r="C88" s="359" t="s">
        <v>287</v>
      </c>
      <c r="D88" s="359" t="s">
        <v>7</v>
      </c>
      <c r="E88" s="361" t="s">
        <v>14</v>
      </c>
      <c r="F88" s="359" t="s">
        <v>41</v>
      </c>
      <c r="G88" s="31">
        <v>8</v>
      </c>
      <c r="H88" s="359"/>
      <c r="I88" s="359"/>
      <c r="J88" s="31">
        <v>169</v>
      </c>
      <c r="K88" s="31">
        <v>169</v>
      </c>
      <c r="L88" s="31"/>
      <c r="M88" s="31"/>
      <c r="N88" s="31"/>
      <c r="O88" s="359"/>
      <c r="P88" s="359"/>
      <c r="Q88" s="359"/>
      <c r="R88" s="126"/>
      <c r="S88" s="126">
        <v>1352</v>
      </c>
      <c r="T88" s="126">
        <f ca="1">IF(Data_Shelter_t[[#This Row],[Status]]="Open",Data_Shelter_t[[#This Row],[HH Covered]],0)</f>
        <v>1352</v>
      </c>
      <c r="U88" s="360" t="s">
        <v>128</v>
      </c>
      <c r="V88" s="564" t="str">
        <f ca="1">IFERROR(OFFSET(Camp_List[Status],MATCH(Data_Shelter_t[[#This Row],[Camp Name]],Camp_List[Camp Name],0)-1,0,1,1),"")</f>
        <v>Open</v>
      </c>
      <c r="W88" s="538">
        <f ca="1">IFERROR(Data_Shelter_t[[#This Row],[HH Covered]]/OFFSET(Camp_List[HH],MATCH(Data_Shelter_t[[#This Row],[Camp Name]],Camp_List[Camp Name],0)-1,0,1,1),"")</f>
        <v>1.5775962660443408</v>
      </c>
      <c r="X88" s="31">
        <f>Data_Shelter_t[[#This Row],['# of Permanent House Planned (Target)]]+Data_Shelter_t[[#This Row],['# of Individual Shelter Planned (Target)]]</f>
        <v>0</v>
      </c>
      <c r="Y88" s="553">
        <f>Data_Shelter_t[[#This Row],['# of Permanent House Built]]+Data_Shelter_t[[#This Row],['# of Individual Shelter Built]]</f>
        <v>0</v>
      </c>
    </row>
    <row r="89" spans="1:25">
      <c r="A89" s="554">
        <v>41548</v>
      </c>
      <c r="B89" s="359" t="s">
        <v>295</v>
      </c>
      <c r="C89" s="359" t="s">
        <v>295</v>
      </c>
      <c r="D89" s="359" t="s">
        <v>7</v>
      </c>
      <c r="E89" s="361" t="s">
        <v>15</v>
      </c>
      <c r="F89" s="359" t="s">
        <v>47</v>
      </c>
      <c r="G89" s="31">
        <v>8</v>
      </c>
      <c r="H89" s="359"/>
      <c r="I89" s="359"/>
      <c r="J89" s="31">
        <v>9</v>
      </c>
      <c r="K89" s="31">
        <v>9</v>
      </c>
      <c r="L89" s="31"/>
      <c r="M89" s="31"/>
      <c r="N89" s="31"/>
      <c r="O89" s="359"/>
      <c r="P89" s="359"/>
      <c r="Q89" s="359"/>
      <c r="R89" s="126"/>
      <c r="S89" s="126">
        <v>72</v>
      </c>
      <c r="T89" s="126">
        <f ca="1">IF(Data_Shelter_t[[#This Row],[Status]]="Open",Data_Shelter_t[[#This Row],[HH Covered]],0)</f>
        <v>72</v>
      </c>
      <c r="U89" s="360" t="s">
        <v>134</v>
      </c>
      <c r="V89" s="564" t="str">
        <f ca="1">IFERROR(OFFSET(Camp_List[Status],MATCH(Data_Shelter_t[[#This Row],[Camp Name]],Camp_List[Camp Name],0)-1,0,1,1),"")</f>
        <v>Open</v>
      </c>
      <c r="W89" s="538">
        <f ca="1">IFERROR(Data_Shelter_t[[#This Row],[HH Covered]]/OFFSET(Camp_List[HH],MATCH(Data_Shelter_t[[#This Row],[Camp Name]],Camp_List[Camp Name],0)-1,0,1,1),"")</f>
        <v>0.84705882352941175</v>
      </c>
      <c r="X89" s="31">
        <f>Data_Shelter_t[[#This Row],['# of Permanent House Planned (Target)]]+Data_Shelter_t[[#This Row],['# of Individual Shelter Planned (Target)]]</f>
        <v>0</v>
      </c>
      <c r="Y89" s="553">
        <f>Data_Shelter_t[[#This Row],['# of Permanent House Built]]+Data_Shelter_t[[#This Row],['# of Individual Shelter Built]]</f>
        <v>0</v>
      </c>
    </row>
    <row r="90" spans="1:25">
      <c r="A90" s="554">
        <v>41548</v>
      </c>
      <c r="B90" s="359" t="s">
        <v>295</v>
      </c>
      <c r="C90" s="359" t="s">
        <v>295</v>
      </c>
      <c r="D90" s="359" t="s">
        <v>7</v>
      </c>
      <c r="E90" s="361" t="s">
        <v>16</v>
      </c>
      <c r="F90" s="359" t="s">
        <v>55</v>
      </c>
      <c r="G90" s="31">
        <v>8</v>
      </c>
      <c r="H90" s="359"/>
      <c r="I90" s="359"/>
      <c r="J90" s="31">
        <v>7</v>
      </c>
      <c r="K90" s="31">
        <v>7</v>
      </c>
      <c r="L90" s="31"/>
      <c r="M90" s="31"/>
      <c r="N90" s="31"/>
      <c r="O90" s="359"/>
      <c r="P90" s="359"/>
      <c r="Q90" s="359"/>
      <c r="R90" s="126"/>
      <c r="S90" s="126">
        <v>56</v>
      </c>
      <c r="T90" s="126">
        <f ca="1">IF(Data_Shelter_t[[#This Row],[Status]]="Open",Data_Shelter_t[[#This Row],[HH Covered]],0)</f>
        <v>0</v>
      </c>
      <c r="U90" s="360" t="s">
        <v>142</v>
      </c>
      <c r="V90" s="564" t="str">
        <f ca="1">IFERROR(OFFSET(Camp_List[Status],MATCH(Data_Shelter_t[[#This Row],[Camp Name]],Camp_List[Camp Name],0)-1,0,1,1),"")</f>
        <v>Returned in Individual Housing</v>
      </c>
      <c r="W90" s="538">
        <f ca="1">IFERROR(Data_Shelter_t[[#This Row],[HH Covered]]/OFFSET(Camp_List[HH],MATCH(Data_Shelter_t[[#This Row],[Camp Name]],Camp_List[Camp Name],0)-1,0,1,1),"")</f>
        <v>1.037037037037037</v>
      </c>
      <c r="X90" s="31">
        <f>Data_Shelter_t[[#This Row],['# of Permanent House Planned (Target)]]+Data_Shelter_t[[#This Row],['# of Individual Shelter Planned (Target)]]</f>
        <v>0</v>
      </c>
      <c r="Y90" s="553">
        <f>Data_Shelter_t[[#This Row],['# of Permanent House Built]]+Data_Shelter_t[[#This Row],['# of Individual Shelter Built]]</f>
        <v>0</v>
      </c>
    </row>
    <row r="91" spans="1:25">
      <c r="A91" s="554">
        <v>41548</v>
      </c>
      <c r="B91" s="359" t="s">
        <v>287</v>
      </c>
      <c r="C91" s="359" t="s">
        <v>287</v>
      </c>
      <c r="D91" s="359" t="s">
        <v>7</v>
      </c>
      <c r="E91" s="361" t="s">
        <v>19</v>
      </c>
      <c r="F91" s="359" t="s">
        <v>652</v>
      </c>
      <c r="G91" s="31">
        <v>8</v>
      </c>
      <c r="H91" s="359"/>
      <c r="I91" s="359"/>
      <c r="J91" s="31">
        <v>80</v>
      </c>
      <c r="K91" s="31">
        <v>80</v>
      </c>
      <c r="L91" s="31"/>
      <c r="M91" s="31"/>
      <c r="N91" s="31"/>
      <c r="O91" s="359"/>
      <c r="P91" s="359"/>
      <c r="Q91" s="359"/>
      <c r="R91" s="126"/>
      <c r="S91" s="126">
        <v>640</v>
      </c>
      <c r="T91" s="126">
        <f ca="1">IF(Data_Shelter_t[[#This Row],[Status]]="Open",Data_Shelter_t[[#This Row],[HH Covered]],0)</f>
        <v>640</v>
      </c>
      <c r="U91" s="360" t="s">
        <v>560</v>
      </c>
      <c r="V91" s="564" t="str">
        <f ca="1">IFERROR(OFFSET(Camp_List[Status],MATCH(Data_Shelter_t[[#This Row],[Camp Name]],Camp_List[Camp Name],0)-1,0,1,1),"")</f>
        <v>Open</v>
      </c>
      <c r="W91" s="538">
        <f ca="1">IFERROR(Data_Shelter_t[[#This Row],[HH Covered]]/OFFSET(Camp_List[HH],MATCH(Data_Shelter_t[[#This Row],[Camp Name]],Camp_List[Camp Name],0)-1,0,1,1),"")</f>
        <v>0.98613251155624038</v>
      </c>
      <c r="X91" s="31">
        <f>Data_Shelter_t[[#This Row],['# of Permanent House Planned (Target)]]+Data_Shelter_t[[#This Row],['# of Individual Shelter Planned (Target)]]</f>
        <v>0</v>
      </c>
      <c r="Y91" s="553">
        <f>Data_Shelter_t[[#This Row],['# of Permanent House Built]]+Data_Shelter_t[[#This Row],['# of Individual Shelter Built]]</f>
        <v>0</v>
      </c>
    </row>
    <row r="92" spans="1:25">
      <c r="A92" s="554">
        <v>41548</v>
      </c>
      <c r="B92" s="359" t="s">
        <v>454</v>
      </c>
      <c r="C92" s="359" t="s">
        <v>454</v>
      </c>
      <c r="D92" s="359" t="s">
        <v>7</v>
      </c>
      <c r="E92" s="361" t="s">
        <v>19</v>
      </c>
      <c r="F92" s="359" t="s">
        <v>653</v>
      </c>
      <c r="G92" s="31">
        <v>8</v>
      </c>
      <c r="H92" s="359"/>
      <c r="I92" s="359"/>
      <c r="J92" s="31">
        <v>45</v>
      </c>
      <c r="K92" s="31">
        <v>45</v>
      </c>
      <c r="L92" s="31"/>
      <c r="M92" s="31"/>
      <c r="N92" s="31"/>
      <c r="O92" s="359"/>
      <c r="P92" s="359"/>
      <c r="Q92" s="359"/>
      <c r="R92" s="126"/>
      <c r="S92" s="126">
        <v>360</v>
      </c>
      <c r="T92" s="126">
        <f ca="1">IF(Data_Shelter_t[[#This Row],[Status]]="Open",Data_Shelter_t[[#This Row],[HH Covered]],0)</f>
        <v>360</v>
      </c>
      <c r="U92" s="360" t="s">
        <v>655</v>
      </c>
      <c r="V92" s="564" t="str">
        <f ca="1">IFERROR(OFFSET(Camp_List[Status],MATCH(Data_Shelter_t[[#This Row],[Camp Name]],Camp_List[Camp Name],0)-1,0,1,1),"")</f>
        <v>Open</v>
      </c>
      <c r="W92" s="538">
        <f ca="1">IFERROR(Data_Shelter_t[[#This Row],[HH Covered]]/OFFSET(Camp_List[HH],MATCH(Data_Shelter_t[[#This Row],[Camp Name]],Camp_List[Camp Name],0)-1,0,1,1),"")</f>
        <v>0.13693419551160138</v>
      </c>
      <c r="X92" s="31">
        <f>Data_Shelter_t[[#This Row],['# of Permanent House Planned (Target)]]+Data_Shelter_t[[#This Row],['# of Individual Shelter Planned (Target)]]</f>
        <v>0</v>
      </c>
      <c r="Y92" s="553">
        <f>Data_Shelter_t[[#This Row],['# of Permanent House Built]]+Data_Shelter_t[[#This Row],['# of Individual Shelter Built]]</f>
        <v>0</v>
      </c>
    </row>
    <row r="93" spans="1:25" s="5" customFormat="1">
      <c r="A93" s="554">
        <v>41548</v>
      </c>
      <c r="B93" s="359" t="s">
        <v>295</v>
      </c>
      <c r="C93" s="359" t="s">
        <v>295</v>
      </c>
      <c r="D93" s="359" t="s">
        <v>7</v>
      </c>
      <c r="E93" s="361" t="s">
        <v>19</v>
      </c>
      <c r="F93" s="359" t="s">
        <v>653</v>
      </c>
      <c r="G93" s="31">
        <v>8</v>
      </c>
      <c r="H93" s="359"/>
      <c r="I93" s="359"/>
      <c r="J93" s="31">
        <v>60</v>
      </c>
      <c r="K93" s="31">
        <v>60</v>
      </c>
      <c r="L93" s="24"/>
      <c r="M93" s="31"/>
      <c r="N93" s="31"/>
      <c r="O93" s="359"/>
      <c r="P93" s="359"/>
      <c r="Q93" s="359"/>
      <c r="R93" s="126"/>
      <c r="S93" s="126">
        <v>480</v>
      </c>
      <c r="T93" s="126">
        <f ca="1">IF(Data_Shelter_t[[#This Row],[Status]]="Open",Data_Shelter_t[[#This Row],[HH Covered]],0)</f>
        <v>480</v>
      </c>
      <c r="U93" s="360" t="s">
        <v>655</v>
      </c>
      <c r="V93" s="564" t="str">
        <f ca="1">IFERROR(OFFSET(Camp_List[Status],MATCH(Data_Shelter_t[[#This Row],[Camp Name]],Camp_List[Camp Name],0)-1,0,1,1),"")</f>
        <v>Open</v>
      </c>
      <c r="W93" s="538">
        <f ca="1">IFERROR(Data_Shelter_t[[#This Row],[HH Covered]]/OFFSET(Camp_List[HH],MATCH(Data_Shelter_t[[#This Row],[Camp Name]],Camp_List[Camp Name],0)-1,0,1,1),"")</f>
        <v>0.18257892734880182</v>
      </c>
      <c r="X93" s="31">
        <f>Data_Shelter_t[[#This Row],['# of Permanent House Planned (Target)]]+Data_Shelter_t[[#This Row],['# of Individual Shelter Planned (Target)]]</f>
        <v>0</v>
      </c>
      <c r="Y93" s="553">
        <f>Data_Shelter_t[[#This Row],['# of Permanent House Built]]+Data_Shelter_t[[#This Row],['# of Individual Shelter Built]]</f>
        <v>0</v>
      </c>
    </row>
    <row r="94" spans="1:25" s="5" customFormat="1">
      <c r="A94" s="555">
        <v>41548</v>
      </c>
      <c r="B94" s="360" t="s">
        <v>641</v>
      </c>
      <c r="C94" s="360" t="s">
        <v>641</v>
      </c>
      <c r="D94" s="360" t="s">
        <v>7</v>
      </c>
      <c r="E94" s="375" t="s">
        <v>19</v>
      </c>
      <c r="F94" s="360" t="s">
        <v>653</v>
      </c>
      <c r="G94" s="24">
        <v>8</v>
      </c>
      <c r="H94" s="360"/>
      <c r="I94" s="360"/>
      <c r="J94" s="24">
        <v>115</v>
      </c>
      <c r="K94" s="24">
        <v>115</v>
      </c>
      <c r="L94" s="24"/>
      <c r="M94" s="24"/>
      <c r="N94" s="24"/>
      <c r="O94" s="360"/>
      <c r="P94" s="360"/>
      <c r="Q94" s="360"/>
      <c r="R94" s="126"/>
      <c r="S94" s="126">
        <v>920</v>
      </c>
      <c r="T94" s="126">
        <f ca="1">IF(Data_Shelter_t[[#This Row],[Status]]="Open",Data_Shelter_t[[#This Row],[HH Covered]],0)</f>
        <v>920</v>
      </c>
      <c r="U94" s="360" t="s">
        <v>655</v>
      </c>
      <c r="V94" s="564" t="str">
        <f ca="1">IFERROR(OFFSET(Camp_List[Status],MATCH(Data_Shelter_t[[#This Row],[Camp Name]],Camp_List[Camp Name],0)-1,0,1,1),"")</f>
        <v>Open</v>
      </c>
      <c r="W94" s="538">
        <f ca="1">IFERROR(Data_Shelter_t[[#This Row],[HH Covered]]/OFFSET(Camp_List[HH],MATCH(Data_Shelter_t[[#This Row],[Camp Name]],Camp_List[Camp Name],0)-1,0,1,1),"")</f>
        <v>0.34994294408520349</v>
      </c>
      <c r="X94" s="31">
        <f>Data_Shelter_t[[#This Row],['# of Permanent House Planned (Target)]]+Data_Shelter_t[[#This Row],['# of Individual Shelter Planned (Target)]]</f>
        <v>0</v>
      </c>
      <c r="Y94" s="553">
        <f>Data_Shelter_t[[#This Row],['# of Permanent House Built]]+Data_Shelter_t[[#This Row],['# of Individual Shelter Built]]</f>
        <v>0</v>
      </c>
    </row>
    <row r="95" spans="1:25" s="5" customFormat="1">
      <c r="A95" s="554">
        <v>41548</v>
      </c>
      <c r="B95" s="359" t="s">
        <v>287</v>
      </c>
      <c r="C95" s="359" t="s">
        <v>287</v>
      </c>
      <c r="D95" s="359" t="s">
        <v>7</v>
      </c>
      <c r="E95" s="361" t="s">
        <v>19</v>
      </c>
      <c r="F95" s="359" t="s">
        <v>653</v>
      </c>
      <c r="G95" s="31">
        <v>8</v>
      </c>
      <c r="H95" s="359"/>
      <c r="I95" s="359"/>
      <c r="J95" s="24">
        <v>115</v>
      </c>
      <c r="K95" s="31">
        <v>115</v>
      </c>
      <c r="L95" s="31"/>
      <c r="M95" s="31"/>
      <c r="N95" s="31"/>
      <c r="O95" s="359"/>
      <c r="P95" s="359"/>
      <c r="Q95" s="359"/>
      <c r="R95" s="126"/>
      <c r="S95" s="126">
        <v>920</v>
      </c>
      <c r="T95" s="126">
        <f ca="1">IF(Data_Shelter_t[[#This Row],[Status]]="Open",Data_Shelter_t[[#This Row],[HH Covered]],0)</f>
        <v>920</v>
      </c>
      <c r="U95" s="360" t="s">
        <v>655</v>
      </c>
      <c r="V95" s="564" t="str">
        <f ca="1">IFERROR(OFFSET(Camp_List[Status],MATCH(Data_Shelter_t[[#This Row],[Camp Name]],Camp_List[Camp Name],0)-1,0,1,1),"")</f>
        <v>Open</v>
      </c>
      <c r="W95" s="538">
        <f ca="1">IFERROR(Data_Shelter_t[[#This Row],[HH Covered]]/OFFSET(Camp_List[HH],MATCH(Data_Shelter_t[[#This Row],[Camp Name]],Camp_List[Camp Name],0)-1,0,1,1),"")</f>
        <v>0.34994294408520349</v>
      </c>
      <c r="X95" s="31">
        <f>Data_Shelter_t[[#This Row],['# of Permanent House Planned (Target)]]+Data_Shelter_t[[#This Row],['# of Individual Shelter Planned (Target)]]</f>
        <v>0</v>
      </c>
      <c r="Y95" s="553">
        <f>Data_Shelter_t[[#This Row],['# of Permanent House Built]]+Data_Shelter_t[[#This Row],['# of Individual Shelter Built]]</f>
        <v>0</v>
      </c>
    </row>
    <row r="96" spans="1:25" s="5" customFormat="1">
      <c r="A96" s="554">
        <v>41548</v>
      </c>
      <c r="B96" s="359" t="s">
        <v>295</v>
      </c>
      <c r="C96" s="359" t="s">
        <v>295</v>
      </c>
      <c r="D96" s="359" t="s">
        <v>7</v>
      </c>
      <c r="E96" s="361" t="s">
        <v>19</v>
      </c>
      <c r="F96" s="359" t="s">
        <v>654</v>
      </c>
      <c r="G96" s="31">
        <v>8</v>
      </c>
      <c r="H96" s="359"/>
      <c r="I96" s="359"/>
      <c r="J96" s="31">
        <v>221</v>
      </c>
      <c r="K96" s="31">
        <v>221</v>
      </c>
      <c r="L96" s="24"/>
      <c r="M96" s="31"/>
      <c r="N96" s="31"/>
      <c r="O96" s="359"/>
      <c r="P96" s="359"/>
      <c r="Q96" s="359"/>
      <c r="R96" s="126"/>
      <c r="S96" s="126">
        <v>1768</v>
      </c>
      <c r="T96" s="126">
        <f ca="1">IF(Data_Shelter_t[[#This Row],[Status]]="Open",Data_Shelter_t[[#This Row],[HH Covered]],0)</f>
        <v>1768</v>
      </c>
      <c r="U96" s="360" t="s">
        <v>656</v>
      </c>
      <c r="V96" s="564" t="str">
        <f ca="1">IFERROR(OFFSET(Camp_List[Status],MATCH(Data_Shelter_t[[#This Row],[Camp Name]],Camp_List[Camp Name],0)-1,0,1,1),"")</f>
        <v>Open</v>
      </c>
      <c r="W96" s="538">
        <f ca="1">IFERROR(Data_Shelter_t[[#This Row],[HH Covered]]/OFFSET(Camp_List[HH],MATCH(Data_Shelter_t[[#This Row],[Camp Name]],Camp_List[Camp Name],0)-1,0,1,1),"")</f>
        <v>0.78752783964365258</v>
      </c>
      <c r="X96" s="31">
        <f>Data_Shelter_t[[#This Row],['# of Permanent House Planned (Target)]]+Data_Shelter_t[[#This Row],['# of Individual Shelter Planned (Target)]]</f>
        <v>0</v>
      </c>
      <c r="Y96" s="553">
        <f>Data_Shelter_t[[#This Row],['# of Permanent House Built]]+Data_Shelter_t[[#This Row],['# of Individual Shelter Built]]</f>
        <v>0</v>
      </c>
    </row>
    <row r="97" spans="1:25" s="5" customFormat="1">
      <c r="A97" s="554">
        <v>41548</v>
      </c>
      <c r="B97" s="359" t="s">
        <v>295</v>
      </c>
      <c r="C97" s="359" t="s">
        <v>295</v>
      </c>
      <c r="D97" s="359" t="s">
        <v>7</v>
      </c>
      <c r="E97" s="361" t="s">
        <v>19</v>
      </c>
      <c r="F97" s="359" t="s">
        <v>654</v>
      </c>
      <c r="G97" s="31">
        <v>10</v>
      </c>
      <c r="H97" s="359"/>
      <c r="I97" s="359"/>
      <c r="J97" s="31">
        <v>20</v>
      </c>
      <c r="K97" s="31">
        <v>20</v>
      </c>
      <c r="L97" s="31"/>
      <c r="M97" s="31"/>
      <c r="N97" s="31"/>
      <c r="O97" s="359"/>
      <c r="P97" s="359"/>
      <c r="Q97" s="359"/>
      <c r="R97" s="126"/>
      <c r="S97" s="126">
        <v>200</v>
      </c>
      <c r="T97" s="126">
        <f ca="1">IF(Data_Shelter_t[[#This Row],[Status]]="Open",Data_Shelter_t[[#This Row],[HH Covered]],0)</f>
        <v>200</v>
      </c>
      <c r="U97" s="360" t="s">
        <v>656</v>
      </c>
      <c r="V97" s="564" t="str">
        <f ca="1">IFERROR(OFFSET(Camp_List[Status],MATCH(Data_Shelter_t[[#This Row],[Camp Name]],Camp_List[Camp Name],0)-1,0,1,1),"")</f>
        <v>Open</v>
      </c>
      <c r="W97" s="538">
        <f ca="1">IFERROR(Data_Shelter_t[[#This Row],[HH Covered]]/OFFSET(Camp_List[HH],MATCH(Data_Shelter_t[[#This Row],[Camp Name]],Camp_List[Camp Name],0)-1,0,1,1),"")</f>
        <v>8.9086859688195991E-2</v>
      </c>
      <c r="X97" s="31">
        <f>Data_Shelter_t[[#This Row],['# of Permanent House Planned (Target)]]+Data_Shelter_t[[#This Row],['# of Individual Shelter Planned (Target)]]</f>
        <v>0</v>
      </c>
      <c r="Y97" s="553">
        <f>Data_Shelter_t[[#This Row],['# of Permanent House Built]]+Data_Shelter_t[[#This Row],['# of Individual Shelter Built]]</f>
        <v>0</v>
      </c>
    </row>
    <row r="98" spans="1:25" s="5" customFormat="1">
      <c r="A98" s="554">
        <v>41548</v>
      </c>
      <c r="B98" s="359" t="s">
        <v>287</v>
      </c>
      <c r="C98" s="359" t="s">
        <v>287</v>
      </c>
      <c r="D98" s="359" t="s">
        <v>7</v>
      </c>
      <c r="E98" s="361" t="s">
        <v>19</v>
      </c>
      <c r="F98" s="359" t="s">
        <v>654</v>
      </c>
      <c r="G98" s="31">
        <v>8</v>
      </c>
      <c r="H98" s="359"/>
      <c r="I98" s="359"/>
      <c r="J98" s="31">
        <v>35</v>
      </c>
      <c r="K98" s="31">
        <v>35</v>
      </c>
      <c r="L98" s="31"/>
      <c r="M98" s="31"/>
      <c r="N98" s="31"/>
      <c r="O98" s="359"/>
      <c r="P98" s="359"/>
      <c r="Q98" s="359"/>
      <c r="R98" s="126"/>
      <c r="S98" s="126">
        <v>280</v>
      </c>
      <c r="T98" s="126">
        <f ca="1">IF(Data_Shelter_t[[#This Row],[Status]]="Open",Data_Shelter_t[[#This Row],[HH Covered]],0)</f>
        <v>280</v>
      </c>
      <c r="U98" s="360" t="s">
        <v>656</v>
      </c>
      <c r="V98" s="564" t="str">
        <f ca="1">IFERROR(OFFSET(Camp_List[Status],MATCH(Data_Shelter_t[[#This Row],[Camp Name]],Camp_List[Camp Name],0)-1,0,1,1),"")</f>
        <v>Open</v>
      </c>
      <c r="W98" s="538">
        <f ca="1">IFERROR(Data_Shelter_t[[#This Row],[HH Covered]]/OFFSET(Camp_List[HH],MATCH(Data_Shelter_t[[#This Row],[Camp Name]],Camp_List[Camp Name],0)-1,0,1,1),"")</f>
        <v>0.12472160356347439</v>
      </c>
      <c r="X98" s="31">
        <f>Data_Shelter_t[[#This Row],['# of Permanent House Planned (Target)]]+Data_Shelter_t[[#This Row],['# of Individual Shelter Planned (Target)]]</f>
        <v>0</v>
      </c>
      <c r="Y98" s="553">
        <f>Data_Shelter_t[[#This Row],['# of Permanent House Built]]+Data_Shelter_t[[#This Row],['# of Individual Shelter Built]]</f>
        <v>0</v>
      </c>
    </row>
    <row r="99" spans="1:25" s="5" customFormat="1">
      <c r="A99" s="554">
        <v>41548</v>
      </c>
      <c r="B99" s="359" t="s">
        <v>295</v>
      </c>
      <c r="C99" s="359" t="s">
        <v>295</v>
      </c>
      <c r="D99" s="359" t="s">
        <v>7</v>
      </c>
      <c r="E99" s="361" t="s">
        <v>12</v>
      </c>
      <c r="F99" s="359" t="s">
        <v>33</v>
      </c>
      <c r="G99" s="31">
        <v>8</v>
      </c>
      <c r="H99" s="359"/>
      <c r="I99" s="359"/>
      <c r="J99" s="31">
        <v>26</v>
      </c>
      <c r="K99" s="31">
        <v>26</v>
      </c>
      <c r="L99" s="31"/>
      <c r="M99" s="31"/>
      <c r="N99" s="31"/>
      <c r="O99" s="359"/>
      <c r="P99" s="359"/>
      <c r="Q99" s="359"/>
      <c r="R99" s="126"/>
      <c r="S99" s="126">
        <v>208</v>
      </c>
      <c r="T99" s="126">
        <f ca="1">IF(Data_Shelter_t[[#This Row],[Status]]="Open",Data_Shelter_t[[#This Row],[HH Covered]],0)</f>
        <v>0</v>
      </c>
      <c r="U99" s="360" t="s">
        <v>120</v>
      </c>
      <c r="V99" s="564" t="str">
        <f ca="1">IFERROR(OFFSET(Camp_List[Status],MATCH(Data_Shelter_t[[#This Row],[Camp Name]],Camp_List[Camp Name],0)-1,0,1,1),"")</f>
        <v>Returned in Individual Housing</v>
      </c>
      <c r="W99" s="538">
        <f ca="1">IFERROR(Data_Shelter_t[[#This Row],[HH Covered]]/OFFSET(Camp_List[HH],MATCH(Data_Shelter_t[[#This Row],[Camp Name]],Camp_List[Camp Name],0)-1,0,1,1),"")</f>
        <v>1.0196078431372548</v>
      </c>
      <c r="X99" s="31">
        <f>Data_Shelter_t[[#This Row],['# of Permanent House Planned (Target)]]+Data_Shelter_t[[#This Row],['# of Individual Shelter Planned (Target)]]</f>
        <v>0</v>
      </c>
      <c r="Y99" s="553">
        <f>Data_Shelter_t[[#This Row],['# of Permanent House Built]]+Data_Shelter_t[[#This Row],['# of Individual Shelter Built]]</f>
        <v>0</v>
      </c>
    </row>
    <row r="100" spans="1:25" s="5" customFormat="1">
      <c r="A100" s="554">
        <v>41548</v>
      </c>
      <c r="B100" s="359" t="s">
        <v>295</v>
      </c>
      <c r="C100" s="359" t="s">
        <v>295</v>
      </c>
      <c r="D100" s="359" t="s">
        <v>7</v>
      </c>
      <c r="E100" s="361" t="s">
        <v>11</v>
      </c>
      <c r="F100" s="359" t="s">
        <v>25</v>
      </c>
      <c r="G100" s="31">
        <v>8</v>
      </c>
      <c r="H100" s="359"/>
      <c r="I100" s="359"/>
      <c r="J100" s="31">
        <v>2</v>
      </c>
      <c r="K100" s="31">
        <v>2</v>
      </c>
      <c r="L100" s="31"/>
      <c r="M100" s="31"/>
      <c r="N100" s="31"/>
      <c r="O100" s="359"/>
      <c r="P100" s="359"/>
      <c r="Q100" s="359"/>
      <c r="R100" s="126"/>
      <c r="S100" s="126">
        <v>16</v>
      </c>
      <c r="T100" s="126">
        <f ca="1">IF(Data_Shelter_t[[#This Row],[Status]]="Open",Data_Shelter_t[[#This Row],[HH Covered]],0)</f>
        <v>0</v>
      </c>
      <c r="U100" s="360" t="s">
        <v>112</v>
      </c>
      <c r="V100" s="564" t="str">
        <f ca="1">IFERROR(OFFSET(Camp_List[Status],MATCH(Data_Shelter_t[[#This Row],[Camp Name]],Camp_List[Camp Name],0)-1,0,1,1),"")</f>
        <v>Returned in Individual Housing</v>
      </c>
      <c r="W100" s="538">
        <f ca="1">IFERROR(Data_Shelter_t[[#This Row],[HH Covered]]/OFFSET(Camp_List[HH],MATCH(Data_Shelter_t[[#This Row],[Camp Name]],Camp_List[Camp Name],0)-1,0,1,1),"")</f>
        <v>0.84210526315789469</v>
      </c>
      <c r="X100" s="31">
        <f>Data_Shelter_t[[#This Row],['# of Permanent House Planned (Target)]]+Data_Shelter_t[[#This Row],['# of Individual Shelter Planned (Target)]]</f>
        <v>0</v>
      </c>
      <c r="Y100" s="553">
        <f>Data_Shelter_t[[#This Row],['# of Permanent House Built]]+Data_Shelter_t[[#This Row],['# of Individual Shelter Built]]</f>
        <v>0</v>
      </c>
    </row>
    <row r="101" spans="1:25" s="5" customFormat="1">
      <c r="A101" s="554">
        <v>41548</v>
      </c>
      <c r="B101" s="359" t="s">
        <v>300</v>
      </c>
      <c r="C101" s="359" t="s">
        <v>300</v>
      </c>
      <c r="D101" s="359" t="s">
        <v>7</v>
      </c>
      <c r="E101" s="361" t="s">
        <v>17</v>
      </c>
      <c r="F101" s="359" t="s">
        <v>483</v>
      </c>
      <c r="G101" s="31">
        <v>8</v>
      </c>
      <c r="H101" s="359"/>
      <c r="I101" s="359"/>
      <c r="J101" s="31">
        <v>7</v>
      </c>
      <c r="K101" s="31">
        <v>7</v>
      </c>
      <c r="L101" s="31"/>
      <c r="M101" s="31"/>
      <c r="N101" s="31"/>
      <c r="O101" s="359"/>
      <c r="P101" s="359"/>
      <c r="Q101" s="359"/>
      <c r="R101" s="126"/>
      <c r="S101" s="126">
        <v>56</v>
      </c>
      <c r="T101" s="126">
        <f ca="1">IF(Data_Shelter_t[[#This Row],[Status]]="Open",Data_Shelter_t[[#This Row],[HH Covered]],0)</f>
        <v>56</v>
      </c>
      <c r="U101" s="360" t="s">
        <v>147</v>
      </c>
      <c r="V101" s="564" t="str">
        <f ca="1">IFERROR(OFFSET(Camp_List[Status],MATCH(Data_Shelter_t[[#This Row],[Camp Name]],Camp_List[Camp Name],0)-1,0,1,1),"")</f>
        <v>Open</v>
      </c>
      <c r="W101" s="538">
        <f ca="1">IFERROR(Data_Shelter_t[[#This Row],[HH Covered]]/OFFSET(Camp_List[HH],MATCH(Data_Shelter_t[[#This Row],[Camp Name]],Camp_List[Camp Name],0)-1,0,1,1),"")</f>
        <v>0.86153846153846159</v>
      </c>
      <c r="X101" s="31">
        <f>Data_Shelter_t[[#This Row],['# of Permanent House Planned (Target)]]+Data_Shelter_t[[#This Row],['# of Individual Shelter Planned (Target)]]</f>
        <v>0</v>
      </c>
      <c r="Y101" s="553">
        <f>Data_Shelter_t[[#This Row],['# of Permanent House Built]]+Data_Shelter_t[[#This Row],['# of Individual Shelter Built]]</f>
        <v>0</v>
      </c>
    </row>
    <row r="102" spans="1:25" s="5" customFormat="1">
      <c r="A102" s="555">
        <v>41548</v>
      </c>
      <c r="B102" s="360" t="s">
        <v>295</v>
      </c>
      <c r="C102" s="360" t="s">
        <v>295</v>
      </c>
      <c r="D102" s="360" t="s">
        <v>7</v>
      </c>
      <c r="E102" s="375" t="s">
        <v>18</v>
      </c>
      <c r="F102" s="360" t="s">
        <v>59</v>
      </c>
      <c r="G102" s="24">
        <v>8</v>
      </c>
      <c r="H102" s="360"/>
      <c r="I102" s="360"/>
      <c r="J102" s="24">
        <v>12</v>
      </c>
      <c r="K102" s="24">
        <v>12</v>
      </c>
      <c r="L102" s="24"/>
      <c r="M102" s="24"/>
      <c r="N102" s="24"/>
      <c r="O102" s="360"/>
      <c r="P102" s="360"/>
      <c r="Q102" s="360"/>
      <c r="R102" s="126"/>
      <c r="S102" s="126">
        <v>96</v>
      </c>
      <c r="T102" s="126">
        <f ca="1">IF(Data_Shelter_t[[#This Row],[Status]]="Open",Data_Shelter_t[[#This Row],[HH Covered]],0)</f>
        <v>96</v>
      </c>
      <c r="U102" s="360" t="s">
        <v>148</v>
      </c>
      <c r="V102" s="564" t="str">
        <f ca="1">IFERROR(OFFSET(Camp_List[Status],MATCH(Data_Shelter_t[[#This Row],[Camp Name]],Camp_List[Camp Name],0)-1,0,1,1),"")</f>
        <v>Open</v>
      </c>
      <c r="W102" s="538">
        <f ca="1">IFERROR(Data_Shelter_t[[#This Row],[HH Covered]]/OFFSET(Camp_List[HH],MATCH(Data_Shelter_t[[#This Row],[Camp Name]],Camp_List[Camp Name],0)-1,0,1,1),"")</f>
        <v>1.6842105263157894</v>
      </c>
      <c r="X102" s="31">
        <f>Data_Shelter_t[[#This Row],['# of Permanent House Planned (Target)]]+Data_Shelter_t[[#This Row],['# of Individual Shelter Planned (Target)]]</f>
        <v>0</v>
      </c>
      <c r="Y102" s="553">
        <f>Data_Shelter_t[[#This Row],['# of Permanent House Built]]+Data_Shelter_t[[#This Row],['# of Individual Shelter Built]]</f>
        <v>0</v>
      </c>
    </row>
    <row r="103" spans="1:25" s="5" customFormat="1">
      <c r="A103" s="554">
        <v>41548</v>
      </c>
      <c r="B103" s="360" t="s">
        <v>295</v>
      </c>
      <c r="C103" s="360" t="s">
        <v>295</v>
      </c>
      <c r="D103" s="359" t="s">
        <v>7</v>
      </c>
      <c r="E103" s="375" t="s">
        <v>11</v>
      </c>
      <c r="F103" s="360" t="s">
        <v>32</v>
      </c>
      <c r="G103" s="24">
        <v>8</v>
      </c>
      <c r="H103" s="359"/>
      <c r="I103" s="359"/>
      <c r="J103" s="24">
        <v>28</v>
      </c>
      <c r="K103" s="24">
        <v>28</v>
      </c>
      <c r="L103" s="24"/>
      <c r="M103" s="31"/>
      <c r="N103" s="31"/>
      <c r="O103" s="359"/>
      <c r="P103" s="359"/>
      <c r="Q103" s="359"/>
      <c r="R103" s="126"/>
      <c r="S103" s="126">
        <v>224</v>
      </c>
      <c r="T103" s="126">
        <f ca="1">IF(Data_Shelter_t[[#This Row],[Status]]="Open",Data_Shelter_t[[#This Row],[HH Covered]],0)</f>
        <v>0</v>
      </c>
      <c r="U103" s="360" t="s">
        <v>119</v>
      </c>
      <c r="V103" s="564" t="str">
        <f ca="1">IFERROR(OFFSET(Camp_List[Status],MATCH(Data_Shelter_t[[#This Row],[Camp Name]],Camp_List[Camp Name],0)-1,0,1,1),"")</f>
        <v>Returned in Individual Housing</v>
      </c>
      <c r="W103" s="538">
        <f ca="1">IFERROR(Data_Shelter_t[[#This Row],[HH Covered]]/OFFSET(Camp_List[HH],MATCH(Data_Shelter_t[[#This Row],[Camp Name]],Camp_List[Camp Name],0)-1,0,1,1),"")</f>
        <v>0.99555555555555553</v>
      </c>
      <c r="X103" s="31">
        <f>Data_Shelter_t[[#This Row],['# of Permanent House Planned (Target)]]+Data_Shelter_t[[#This Row],['# of Individual Shelter Planned (Target)]]</f>
        <v>0</v>
      </c>
      <c r="Y103" s="553">
        <f>Data_Shelter_t[[#This Row],['# of Permanent House Built]]+Data_Shelter_t[[#This Row],['# of Individual Shelter Built]]</f>
        <v>0</v>
      </c>
    </row>
    <row r="104" spans="1:25" s="5" customFormat="1">
      <c r="A104" s="554">
        <v>41548</v>
      </c>
      <c r="B104" s="360" t="s">
        <v>295</v>
      </c>
      <c r="C104" s="360" t="s">
        <v>295</v>
      </c>
      <c r="D104" s="359" t="s">
        <v>7</v>
      </c>
      <c r="E104" s="375" t="s">
        <v>11</v>
      </c>
      <c r="F104" s="360" t="s">
        <v>27</v>
      </c>
      <c r="G104" s="24">
        <v>8</v>
      </c>
      <c r="H104" s="359"/>
      <c r="I104" s="359"/>
      <c r="J104" s="24">
        <v>10</v>
      </c>
      <c r="K104" s="24">
        <v>10</v>
      </c>
      <c r="L104" s="24"/>
      <c r="M104" s="31"/>
      <c r="N104" s="31"/>
      <c r="O104" s="359"/>
      <c r="P104" s="359"/>
      <c r="Q104" s="359"/>
      <c r="R104" s="126"/>
      <c r="S104" s="126">
        <v>80</v>
      </c>
      <c r="T104" s="126">
        <f ca="1">IF(Data_Shelter_t[[#This Row],[Status]]="Open",Data_Shelter_t[[#This Row],[HH Covered]],0)</f>
        <v>0</v>
      </c>
      <c r="U104" s="360" t="s">
        <v>114</v>
      </c>
      <c r="V104" s="564" t="str">
        <f ca="1">IFERROR(OFFSET(Camp_List[Status],MATCH(Data_Shelter_t[[#This Row],[Camp Name]],Camp_List[Camp Name],0)-1,0,1,1),"")</f>
        <v>Returned in Individual Housing</v>
      </c>
      <c r="W104" s="538">
        <f ca="1">IFERROR(Data_Shelter_t[[#This Row],[HH Covered]]/OFFSET(Camp_List[HH],MATCH(Data_Shelter_t[[#This Row],[Camp Name]],Camp_List[Camp Name],0)-1,0,1,1),"")</f>
        <v>0.93023255813953487</v>
      </c>
      <c r="X104" s="31">
        <f>Data_Shelter_t[[#This Row],['# of Permanent House Planned (Target)]]+Data_Shelter_t[[#This Row],['# of Individual Shelter Planned (Target)]]</f>
        <v>0</v>
      </c>
      <c r="Y104" s="553">
        <f>Data_Shelter_t[[#This Row],['# of Permanent House Built]]+Data_Shelter_t[[#This Row],['# of Individual Shelter Built]]</f>
        <v>0</v>
      </c>
    </row>
    <row r="105" spans="1:25" s="5" customFormat="1">
      <c r="A105" s="554">
        <v>41548</v>
      </c>
      <c r="B105" s="359" t="s">
        <v>661</v>
      </c>
      <c r="C105" s="359" t="s">
        <v>661</v>
      </c>
      <c r="D105" s="359" t="s">
        <v>7</v>
      </c>
      <c r="E105" s="361" t="s">
        <v>20</v>
      </c>
      <c r="F105" s="359" t="s">
        <v>519</v>
      </c>
      <c r="G105" s="31">
        <v>1</v>
      </c>
      <c r="H105" s="359"/>
      <c r="I105" s="359"/>
      <c r="J105" s="31"/>
      <c r="K105" s="31"/>
      <c r="L105" s="31"/>
      <c r="M105" s="31">
        <v>25</v>
      </c>
      <c r="N105" s="31">
        <v>25</v>
      </c>
      <c r="O105" s="359"/>
      <c r="P105" s="359"/>
      <c r="Q105" s="359"/>
      <c r="R105" s="126"/>
      <c r="S105" s="126">
        <v>25</v>
      </c>
      <c r="T105" s="126">
        <f ca="1">IF(Data_Shelter_t[[#This Row],[Status]]="Open",Data_Shelter_t[[#This Row],[HH Covered]],0)</f>
        <v>0</v>
      </c>
      <c r="U105" s="360" t="s">
        <v>962</v>
      </c>
      <c r="V105" s="564" t="str">
        <f ca="1">IFERROR(OFFSET(Camp_List[Status],MATCH(Data_Shelter_t[[#This Row],[Camp Name]],Camp_List[Camp Name],0)-1,0,1,1),"")</f>
        <v/>
      </c>
      <c r="W105" s="538" t="str">
        <f ca="1">IFERROR(Data_Shelter_t[[#This Row],[HH Covered]]/OFFSET(Camp_List[HH],MATCH(Data_Shelter_t[[#This Row],[Camp Name]],Camp_List[Camp Name],0)-1,0,1,1),"")</f>
        <v/>
      </c>
      <c r="X105" s="31">
        <f>Data_Shelter_t[[#This Row],['# of Permanent House Planned (Target)]]+Data_Shelter_t[[#This Row],['# of Individual Shelter Planned (Target)]]</f>
        <v>25</v>
      </c>
      <c r="Y105" s="553">
        <f>Data_Shelter_t[[#This Row],['# of Permanent House Built]]+Data_Shelter_t[[#This Row],['# of Individual Shelter Built]]</f>
        <v>25</v>
      </c>
    </row>
    <row r="106" spans="1:25" s="5" customFormat="1">
      <c r="A106" s="554">
        <v>41548</v>
      </c>
      <c r="B106" s="359" t="s">
        <v>454</v>
      </c>
      <c r="C106" s="359" t="s">
        <v>454</v>
      </c>
      <c r="D106" s="359" t="s">
        <v>7</v>
      </c>
      <c r="E106" s="361" t="s">
        <v>20</v>
      </c>
      <c r="F106" s="359" t="s">
        <v>102</v>
      </c>
      <c r="G106" s="31">
        <v>1</v>
      </c>
      <c r="H106" s="359"/>
      <c r="I106" s="359"/>
      <c r="J106" s="31"/>
      <c r="K106" s="31"/>
      <c r="L106" s="31"/>
      <c r="M106" s="31">
        <v>25</v>
      </c>
      <c r="N106" s="31">
        <v>25</v>
      </c>
      <c r="O106" s="359"/>
      <c r="P106" s="359"/>
      <c r="Q106" s="359"/>
      <c r="R106" s="126"/>
      <c r="S106" s="126">
        <v>25</v>
      </c>
      <c r="T106" s="126">
        <f ca="1">IF(Data_Shelter_t[[#This Row],[Status]]="Open",Data_Shelter_t[[#This Row],[HH Covered]],0)</f>
        <v>0</v>
      </c>
      <c r="U106" s="360" t="s">
        <v>191</v>
      </c>
      <c r="V106" s="564" t="str">
        <f ca="1">IFERROR(OFFSET(Camp_List[Status],MATCH(Data_Shelter_t[[#This Row],[Camp Name]],Camp_List[Camp Name],0)-1,0,1,1),"")</f>
        <v>Close</v>
      </c>
      <c r="W106" s="538" t="str">
        <f ca="1">IFERROR(Data_Shelter_t[[#This Row],[HH Covered]]/OFFSET(Camp_List[HH],MATCH(Data_Shelter_t[[#This Row],[Camp Name]],Camp_List[Camp Name],0)-1,0,1,1),"")</f>
        <v/>
      </c>
      <c r="X106" s="31">
        <f>Data_Shelter_t[[#This Row],['# of Permanent House Planned (Target)]]+Data_Shelter_t[[#This Row],['# of Individual Shelter Planned (Target)]]</f>
        <v>25</v>
      </c>
      <c r="Y106" s="553">
        <f>Data_Shelter_t[[#This Row],['# of Permanent House Built]]+Data_Shelter_t[[#This Row],['# of Individual Shelter Built]]</f>
        <v>25</v>
      </c>
    </row>
    <row r="107" spans="1:25" s="5" customFormat="1">
      <c r="A107" s="554">
        <v>41548</v>
      </c>
      <c r="B107" s="359" t="s">
        <v>290</v>
      </c>
      <c r="C107" s="359" t="s">
        <v>290</v>
      </c>
      <c r="D107" s="359" t="s">
        <v>7</v>
      </c>
      <c r="E107" s="361" t="s">
        <v>19</v>
      </c>
      <c r="F107" s="359" t="s">
        <v>67</v>
      </c>
      <c r="G107" s="31">
        <v>8</v>
      </c>
      <c r="H107" s="359"/>
      <c r="I107" s="359"/>
      <c r="J107" s="31">
        <v>27</v>
      </c>
      <c r="K107" s="31">
        <v>27</v>
      </c>
      <c r="L107" s="31"/>
      <c r="M107" s="31"/>
      <c r="N107" s="31"/>
      <c r="O107" s="359"/>
      <c r="P107" s="359"/>
      <c r="Q107" s="359"/>
      <c r="R107" s="126"/>
      <c r="S107" s="126">
        <v>216</v>
      </c>
      <c r="T107" s="126">
        <f ca="1">IF(Data_Shelter_t[[#This Row],[Status]]="Open",Data_Shelter_t[[#This Row],[HH Covered]],0)</f>
        <v>216</v>
      </c>
      <c r="U107" s="360" t="s">
        <v>156</v>
      </c>
      <c r="V107" s="564" t="str">
        <f ca="1">IFERROR(OFFSET(Camp_List[Status],MATCH(Data_Shelter_t[[#This Row],[Camp Name]],Camp_List[Camp Name],0)-1,0,1,1),"")</f>
        <v>Open</v>
      </c>
      <c r="W107" s="538">
        <f ca="1">IFERROR(Data_Shelter_t[[#This Row],[HH Covered]]/OFFSET(Camp_List[HH],MATCH(Data_Shelter_t[[#This Row],[Camp Name]],Camp_List[Camp Name],0)-1,0,1,1),"")</f>
        <v>8.8669950738916259E-2</v>
      </c>
      <c r="X107" s="31">
        <f>Data_Shelter_t[[#This Row],['# of Permanent House Planned (Target)]]+Data_Shelter_t[[#This Row],['# of Individual Shelter Planned (Target)]]</f>
        <v>0</v>
      </c>
      <c r="Y107" s="553">
        <f>Data_Shelter_t[[#This Row],['# of Permanent House Built]]+Data_Shelter_t[[#This Row],['# of Individual Shelter Built]]</f>
        <v>0</v>
      </c>
    </row>
    <row r="108" spans="1:25" s="5" customFormat="1">
      <c r="A108" s="554">
        <v>41548</v>
      </c>
      <c r="B108" s="359" t="s">
        <v>295</v>
      </c>
      <c r="C108" s="359" t="s">
        <v>295</v>
      </c>
      <c r="D108" s="359" t="s">
        <v>7</v>
      </c>
      <c r="E108" s="361" t="s">
        <v>19</v>
      </c>
      <c r="F108" s="359" t="s">
        <v>67</v>
      </c>
      <c r="G108" s="31">
        <v>10</v>
      </c>
      <c r="H108" s="359"/>
      <c r="I108" s="359"/>
      <c r="J108" s="31">
        <v>63</v>
      </c>
      <c r="K108" s="31">
        <v>63</v>
      </c>
      <c r="L108" s="31"/>
      <c r="M108" s="31"/>
      <c r="N108" s="31"/>
      <c r="O108" s="359"/>
      <c r="P108" s="359"/>
      <c r="Q108" s="359"/>
      <c r="R108" s="126"/>
      <c r="S108" s="126">
        <v>630</v>
      </c>
      <c r="T108" s="126">
        <f ca="1">IF(Data_Shelter_t[[#This Row],[Status]]="Open",Data_Shelter_t[[#This Row],[HH Covered]],0)</f>
        <v>630</v>
      </c>
      <c r="U108" s="360" t="s">
        <v>156</v>
      </c>
      <c r="V108" s="564" t="str">
        <f ca="1">IFERROR(OFFSET(Camp_List[Status],MATCH(Data_Shelter_t[[#This Row],[Camp Name]],Camp_List[Camp Name],0)-1,0,1,1),"")</f>
        <v>Open</v>
      </c>
      <c r="W108" s="538">
        <f ca="1">IFERROR(Data_Shelter_t[[#This Row],[HH Covered]]/OFFSET(Camp_List[HH],MATCH(Data_Shelter_t[[#This Row],[Camp Name]],Camp_List[Camp Name],0)-1,0,1,1),"")</f>
        <v>0.25862068965517243</v>
      </c>
      <c r="X108" s="31">
        <f>Data_Shelter_t[[#This Row],['# of Permanent House Planned (Target)]]+Data_Shelter_t[[#This Row],['# of Individual Shelter Planned (Target)]]</f>
        <v>0</v>
      </c>
      <c r="Y108" s="553">
        <f>Data_Shelter_t[[#This Row],['# of Permanent House Built]]+Data_Shelter_t[[#This Row],['# of Individual Shelter Built]]</f>
        <v>0</v>
      </c>
    </row>
    <row r="109" spans="1:25" s="5" customFormat="1">
      <c r="A109" s="554">
        <v>41548</v>
      </c>
      <c r="B109" s="359" t="s">
        <v>299</v>
      </c>
      <c r="C109" s="359" t="s">
        <v>299</v>
      </c>
      <c r="D109" s="359" t="s">
        <v>7</v>
      </c>
      <c r="E109" s="361" t="s">
        <v>19</v>
      </c>
      <c r="F109" s="359" t="s">
        <v>67</v>
      </c>
      <c r="G109" s="31">
        <v>8</v>
      </c>
      <c r="H109" s="359"/>
      <c r="I109" s="359"/>
      <c r="J109" s="31">
        <v>40</v>
      </c>
      <c r="K109" s="31">
        <v>40</v>
      </c>
      <c r="L109" s="31"/>
      <c r="M109" s="31"/>
      <c r="N109" s="31"/>
      <c r="O109" s="359"/>
      <c r="P109" s="359"/>
      <c r="Q109" s="359"/>
      <c r="R109" s="126"/>
      <c r="S109" s="126">
        <v>320</v>
      </c>
      <c r="T109" s="126">
        <f ca="1">IF(Data_Shelter_t[[#This Row],[Status]]="Open",Data_Shelter_t[[#This Row],[HH Covered]],0)</f>
        <v>320</v>
      </c>
      <c r="U109" s="360" t="s">
        <v>156</v>
      </c>
      <c r="V109" s="564" t="str">
        <f ca="1">IFERROR(OFFSET(Camp_List[Status],MATCH(Data_Shelter_t[[#This Row],[Camp Name]],Camp_List[Camp Name],0)-1,0,1,1),"")</f>
        <v>Open</v>
      </c>
      <c r="W109" s="538">
        <f ca="1">IFERROR(Data_Shelter_t[[#This Row],[HH Covered]]/OFFSET(Camp_List[HH],MATCH(Data_Shelter_t[[#This Row],[Camp Name]],Camp_List[Camp Name],0)-1,0,1,1),"")</f>
        <v>0.13136288998357964</v>
      </c>
      <c r="X109" s="31">
        <f>Data_Shelter_t[[#This Row],['# of Permanent House Planned (Target)]]+Data_Shelter_t[[#This Row],['# of Individual Shelter Planned (Target)]]</f>
        <v>0</v>
      </c>
      <c r="Y109" s="553">
        <f>Data_Shelter_t[[#This Row],['# of Permanent House Built]]+Data_Shelter_t[[#This Row],['# of Individual Shelter Built]]</f>
        <v>0</v>
      </c>
    </row>
    <row r="110" spans="1:25" s="5" customFormat="1">
      <c r="A110" s="554">
        <v>41548</v>
      </c>
      <c r="B110" s="359" t="s">
        <v>296</v>
      </c>
      <c r="C110" s="359" t="s">
        <v>296</v>
      </c>
      <c r="D110" s="359" t="s">
        <v>7</v>
      </c>
      <c r="E110" s="361" t="s">
        <v>19</v>
      </c>
      <c r="F110" s="359" t="s">
        <v>67</v>
      </c>
      <c r="G110" s="31">
        <v>8</v>
      </c>
      <c r="H110" s="359"/>
      <c r="I110" s="359"/>
      <c r="J110" s="31">
        <v>60</v>
      </c>
      <c r="K110" s="31">
        <v>60</v>
      </c>
      <c r="L110" s="31"/>
      <c r="M110" s="31"/>
      <c r="N110" s="31"/>
      <c r="O110" s="359"/>
      <c r="P110" s="359"/>
      <c r="Q110" s="359"/>
      <c r="R110" s="126"/>
      <c r="S110" s="126">
        <v>480</v>
      </c>
      <c r="T110" s="126">
        <f ca="1">IF(Data_Shelter_t[[#This Row],[Status]]="Open",Data_Shelter_t[[#This Row],[HH Covered]],0)</f>
        <v>480</v>
      </c>
      <c r="U110" s="360" t="s">
        <v>156</v>
      </c>
      <c r="V110" s="564" t="str">
        <f ca="1">IFERROR(OFFSET(Camp_List[Status],MATCH(Data_Shelter_t[[#This Row],[Camp Name]],Camp_List[Camp Name],0)-1,0,1,1),"")</f>
        <v>Open</v>
      </c>
      <c r="W110" s="538">
        <f ca="1">IFERROR(Data_Shelter_t[[#This Row],[HH Covered]]/OFFSET(Camp_List[HH],MATCH(Data_Shelter_t[[#This Row],[Camp Name]],Camp_List[Camp Name],0)-1,0,1,1),"")</f>
        <v>0.19704433497536947</v>
      </c>
      <c r="X110" s="31">
        <f>Data_Shelter_t[[#This Row],['# of Permanent House Planned (Target)]]+Data_Shelter_t[[#This Row],['# of Individual Shelter Planned (Target)]]</f>
        <v>0</v>
      </c>
      <c r="Y110" s="553">
        <f>Data_Shelter_t[[#This Row],['# of Permanent House Built]]+Data_Shelter_t[[#This Row],['# of Individual Shelter Built]]</f>
        <v>0</v>
      </c>
    </row>
    <row r="111" spans="1:25" s="5" customFormat="1">
      <c r="A111" s="554">
        <v>41548</v>
      </c>
      <c r="B111" s="359" t="s">
        <v>641</v>
      </c>
      <c r="C111" s="359" t="s">
        <v>641</v>
      </c>
      <c r="D111" s="359" t="s">
        <v>7</v>
      </c>
      <c r="E111" s="361" t="s">
        <v>19</v>
      </c>
      <c r="F111" s="359" t="s">
        <v>67</v>
      </c>
      <c r="G111" s="31">
        <v>10</v>
      </c>
      <c r="H111" s="359"/>
      <c r="I111" s="359"/>
      <c r="J111" s="31">
        <v>77</v>
      </c>
      <c r="K111" s="31">
        <v>77</v>
      </c>
      <c r="L111" s="24"/>
      <c r="M111" s="31"/>
      <c r="N111" s="31"/>
      <c r="O111" s="359"/>
      <c r="P111" s="359"/>
      <c r="Q111" s="359"/>
      <c r="R111" s="126"/>
      <c r="S111" s="126">
        <v>770</v>
      </c>
      <c r="T111" s="126">
        <f ca="1">IF(Data_Shelter_t[[#This Row],[Status]]="Open",Data_Shelter_t[[#This Row],[HH Covered]],0)</f>
        <v>770</v>
      </c>
      <c r="U111" s="360" t="s">
        <v>156</v>
      </c>
      <c r="V111" s="564" t="str">
        <f ca="1">IFERROR(OFFSET(Camp_List[Status],MATCH(Data_Shelter_t[[#This Row],[Camp Name]],Camp_List[Camp Name],0)-1,0,1,1),"")</f>
        <v>Open</v>
      </c>
      <c r="W111" s="538">
        <f ca="1">IFERROR(Data_Shelter_t[[#This Row],[HH Covered]]/OFFSET(Camp_List[HH],MATCH(Data_Shelter_t[[#This Row],[Camp Name]],Camp_List[Camp Name],0)-1,0,1,1),"")</f>
        <v>0.31609195402298851</v>
      </c>
      <c r="X111" s="31">
        <f>Data_Shelter_t[[#This Row],['# of Permanent House Planned (Target)]]+Data_Shelter_t[[#This Row],['# of Individual Shelter Planned (Target)]]</f>
        <v>0</v>
      </c>
      <c r="Y111" s="553">
        <f>Data_Shelter_t[[#This Row],['# of Permanent House Built]]+Data_Shelter_t[[#This Row],['# of Individual Shelter Built]]</f>
        <v>0</v>
      </c>
    </row>
    <row r="112" spans="1:25" s="5" customFormat="1">
      <c r="A112" s="554">
        <v>41548</v>
      </c>
      <c r="B112" s="359" t="s">
        <v>287</v>
      </c>
      <c r="C112" s="359" t="s">
        <v>287</v>
      </c>
      <c r="D112" s="359" t="s">
        <v>7</v>
      </c>
      <c r="E112" s="361" t="s">
        <v>19</v>
      </c>
      <c r="F112" s="359" t="s">
        <v>67</v>
      </c>
      <c r="G112" s="31">
        <v>8</v>
      </c>
      <c r="H112" s="359"/>
      <c r="I112" s="359"/>
      <c r="J112" s="31">
        <v>33</v>
      </c>
      <c r="K112" s="31">
        <v>33</v>
      </c>
      <c r="L112" s="31"/>
      <c r="M112" s="31"/>
      <c r="N112" s="31"/>
      <c r="O112" s="359"/>
      <c r="P112" s="359"/>
      <c r="Q112" s="359"/>
      <c r="R112" s="126"/>
      <c r="S112" s="126">
        <v>264</v>
      </c>
      <c r="T112" s="126">
        <f ca="1">IF(Data_Shelter_t[[#This Row],[Status]]="Open",Data_Shelter_t[[#This Row],[HH Covered]],0)</f>
        <v>264</v>
      </c>
      <c r="U112" s="360" t="s">
        <v>156</v>
      </c>
      <c r="V112" s="564" t="str">
        <f ca="1">IFERROR(OFFSET(Camp_List[Status],MATCH(Data_Shelter_t[[#This Row],[Camp Name]],Camp_List[Camp Name],0)-1,0,1,1),"")</f>
        <v>Open</v>
      </c>
      <c r="W112" s="538">
        <f ca="1">IFERROR(Data_Shelter_t[[#This Row],[HH Covered]]/OFFSET(Camp_List[HH],MATCH(Data_Shelter_t[[#This Row],[Camp Name]],Camp_List[Camp Name],0)-1,0,1,1),"")</f>
        <v>0.10837438423645321</v>
      </c>
      <c r="X112" s="31">
        <f>Data_Shelter_t[[#This Row],['# of Permanent House Planned (Target)]]+Data_Shelter_t[[#This Row],['# of Individual Shelter Planned (Target)]]</f>
        <v>0</v>
      </c>
      <c r="Y112" s="553">
        <f>Data_Shelter_t[[#This Row],['# of Permanent House Built]]+Data_Shelter_t[[#This Row],['# of Individual Shelter Built]]</f>
        <v>0</v>
      </c>
    </row>
    <row r="113" spans="1:25" s="5" customFormat="1">
      <c r="A113" s="554">
        <v>41548</v>
      </c>
      <c r="B113" s="359" t="s">
        <v>295</v>
      </c>
      <c r="C113" s="359" t="s">
        <v>295</v>
      </c>
      <c r="D113" s="359" t="s">
        <v>7</v>
      </c>
      <c r="E113" s="361" t="s">
        <v>19</v>
      </c>
      <c r="F113" s="359" t="s">
        <v>78</v>
      </c>
      <c r="G113" s="31">
        <v>10</v>
      </c>
      <c r="H113" s="359"/>
      <c r="I113" s="359"/>
      <c r="J113" s="31">
        <v>22</v>
      </c>
      <c r="K113" s="31">
        <v>22</v>
      </c>
      <c r="L113" s="31"/>
      <c r="M113" s="31"/>
      <c r="N113" s="31"/>
      <c r="O113" s="359"/>
      <c r="P113" s="359"/>
      <c r="Q113" s="359"/>
      <c r="R113" s="126"/>
      <c r="S113" s="126">
        <v>220</v>
      </c>
      <c r="T113" s="126">
        <f ca="1">IF(Data_Shelter_t[[#This Row],[Status]]="Open",Data_Shelter_t[[#This Row],[HH Covered]],0)</f>
        <v>0</v>
      </c>
      <c r="U113" s="360" t="s">
        <v>167</v>
      </c>
      <c r="V113" s="564" t="str">
        <f ca="1">IFERROR(OFFSET(Camp_List[Status],MATCH(Data_Shelter_t[[#This Row],[Camp Name]],Camp_List[Camp Name],0)-1,0,1,1),"")</f>
        <v>Relocated in Individual Housing</v>
      </c>
      <c r="W113" s="538">
        <f ca="1">IFERROR(Data_Shelter_t[[#This Row],[HH Covered]]/OFFSET(Camp_List[HH],MATCH(Data_Shelter_t[[#This Row],[Camp Name]],Camp_List[Camp Name],0)-1,0,1,1),"")</f>
        <v>3.0555555555555554</v>
      </c>
      <c r="X113" s="31">
        <f>Data_Shelter_t[[#This Row],['# of Permanent House Planned (Target)]]+Data_Shelter_t[[#This Row],['# of Individual Shelter Planned (Target)]]</f>
        <v>0</v>
      </c>
      <c r="Y113" s="553">
        <f>Data_Shelter_t[[#This Row],['# of Permanent House Built]]+Data_Shelter_t[[#This Row],['# of Individual Shelter Built]]</f>
        <v>0</v>
      </c>
    </row>
    <row r="114" spans="1:25" s="5" customFormat="1">
      <c r="A114" s="554">
        <v>41548</v>
      </c>
      <c r="B114" s="359" t="s">
        <v>287</v>
      </c>
      <c r="C114" s="359" t="s">
        <v>287</v>
      </c>
      <c r="D114" s="359" t="s">
        <v>7</v>
      </c>
      <c r="E114" s="361" t="s">
        <v>19</v>
      </c>
      <c r="F114" s="359" t="s">
        <v>247</v>
      </c>
      <c r="G114" s="31">
        <v>8</v>
      </c>
      <c r="H114" s="359"/>
      <c r="I114" s="359"/>
      <c r="J114" s="31">
        <v>22</v>
      </c>
      <c r="K114" s="31">
        <v>22</v>
      </c>
      <c r="L114" s="31"/>
      <c r="M114" s="31"/>
      <c r="N114" s="31"/>
      <c r="O114" s="359"/>
      <c r="P114" s="359"/>
      <c r="Q114" s="359"/>
      <c r="R114" s="126"/>
      <c r="S114" s="126">
        <v>176</v>
      </c>
      <c r="T114" s="126">
        <f ca="1">IF(Data_Shelter_t[[#This Row],[Status]]="Open",Data_Shelter_t[[#This Row],[HH Covered]],0)</f>
        <v>0</v>
      </c>
      <c r="U114" s="360" t="s">
        <v>284</v>
      </c>
      <c r="V114" s="564" t="str">
        <f ca="1">IFERROR(OFFSET(Camp_List[Status],MATCH(Data_Shelter_t[[#This Row],[Camp Name]],Camp_List[Camp Name],0)-1,0,1,1),"")</f>
        <v>Relocated in Individual Housing</v>
      </c>
      <c r="W114" s="538">
        <f ca="1">IFERROR(Data_Shelter_t[[#This Row],[HH Covered]]/OFFSET(Camp_List[HH],MATCH(Data_Shelter_t[[#This Row],[Camp Name]],Camp_List[Camp Name],0)-1,0,1,1),"")</f>
        <v>1.1655629139072847</v>
      </c>
      <c r="X114" s="31">
        <f>Data_Shelter_t[[#This Row],['# of Permanent House Planned (Target)]]+Data_Shelter_t[[#This Row],['# of Individual Shelter Planned (Target)]]</f>
        <v>0</v>
      </c>
      <c r="Y114" s="553">
        <f>Data_Shelter_t[[#This Row],['# of Permanent House Built]]+Data_Shelter_t[[#This Row],['# of Individual Shelter Built]]</f>
        <v>0</v>
      </c>
    </row>
    <row r="115" spans="1:25" s="5" customFormat="1">
      <c r="A115" s="554">
        <v>41548</v>
      </c>
      <c r="B115" s="359" t="s">
        <v>295</v>
      </c>
      <c r="C115" s="359" t="s">
        <v>295</v>
      </c>
      <c r="D115" s="359" t="s">
        <v>7</v>
      </c>
      <c r="E115" s="361" t="s">
        <v>15</v>
      </c>
      <c r="F115" s="359" t="s">
        <v>53</v>
      </c>
      <c r="G115" s="31">
        <v>8</v>
      </c>
      <c r="H115" s="359"/>
      <c r="I115" s="359"/>
      <c r="J115" s="31">
        <v>18</v>
      </c>
      <c r="K115" s="31">
        <v>18</v>
      </c>
      <c r="L115" s="31"/>
      <c r="M115" s="31"/>
      <c r="N115" s="31"/>
      <c r="O115" s="359"/>
      <c r="P115" s="359"/>
      <c r="Q115" s="359"/>
      <c r="R115" s="126"/>
      <c r="S115" s="126">
        <v>144</v>
      </c>
      <c r="T115" s="126">
        <f ca="1">IF(Data_Shelter_t[[#This Row],[Status]]="Open",Data_Shelter_t[[#This Row],[HH Covered]],0)</f>
        <v>0</v>
      </c>
      <c r="U115" s="360" t="s">
        <v>140</v>
      </c>
      <c r="V115" s="564" t="str">
        <f ca="1">IFERROR(OFFSET(Camp_List[Status],MATCH(Data_Shelter_t[[#This Row],[Camp Name]],Camp_List[Camp Name],0)-1,0,1,1),"")</f>
        <v>Returned in Individual Housing</v>
      </c>
      <c r="W115" s="538">
        <f ca="1">IFERROR(Data_Shelter_t[[#This Row],[HH Covered]]/OFFSET(Camp_List[HH],MATCH(Data_Shelter_t[[#This Row],[Camp Name]],Camp_List[Camp Name],0)-1,0,1,1),"")</f>
        <v>1</v>
      </c>
      <c r="X115" s="31">
        <f>Data_Shelter_t[[#This Row],['# of Permanent House Planned (Target)]]+Data_Shelter_t[[#This Row],['# of Individual Shelter Planned (Target)]]</f>
        <v>0</v>
      </c>
      <c r="Y115" s="553">
        <f>Data_Shelter_t[[#This Row],['# of Permanent House Built]]+Data_Shelter_t[[#This Row],['# of Individual Shelter Built]]</f>
        <v>0</v>
      </c>
    </row>
    <row r="116" spans="1:25" s="5" customFormat="1">
      <c r="A116" s="554">
        <v>41548</v>
      </c>
      <c r="B116" s="359" t="s">
        <v>662</v>
      </c>
      <c r="C116" s="359" t="s">
        <v>662</v>
      </c>
      <c r="D116" s="359" t="s">
        <v>7</v>
      </c>
      <c r="E116" s="361" t="s">
        <v>20</v>
      </c>
      <c r="F116" s="359" t="s">
        <v>100</v>
      </c>
      <c r="G116" s="31">
        <v>1</v>
      </c>
      <c r="H116" s="359"/>
      <c r="I116" s="359"/>
      <c r="J116" s="31"/>
      <c r="K116" s="31"/>
      <c r="L116" s="31"/>
      <c r="M116" s="31">
        <v>36</v>
      </c>
      <c r="N116" s="31">
        <v>36</v>
      </c>
      <c r="O116" s="359"/>
      <c r="P116" s="359"/>
      <c r="Q116" s="359"/>
      <c r="R116" s="126"/>
      <c r="S116" s="126">
        <v>36</v>
      </c>
      <c r="T116" s="126">
        <f ca="1">IF(Data_Shelter_t[[#This Row],[Status]]="Open",Data_Shelter_t[[#This Row],[HH Covered]],0)</f>
        <v>0</v>
      </c>
      <c r="U116" s="360" t="s">
        <v>189</v>
      </c>
      <c r="V116" s="564" t="str">
        <f ca="1">IFERROR(OFFSET(Camp_List[Status],MATCH(Data_Shelter_t[[#This Row],[Camp Name]],Camp_List[Camp Name],0)-1,0,1,1),"")</f>
        <v>Close</v>
      </c>
      <c r="W116" s="538" t="str">
        <f ca="1">IFERROR(Data_Shelter_t[[#This Row],[HH Covered]]/OFFSET(Camp_List[HH],MATCH(Data_Shelter_t[[#This Row],[Camp Name]],Camp_List[Camp Name],0)-1,0,1,1),"")</f>
        <v/>
      </c>
      <c r="X116" s="31">
        <f>Data_Shelter_t[[#This Row],['# of Permanent House Planned (Target)]]+Data_Shelter_t[[#This Row],['# of Individual Shelter Planned (Target)]]</f>
        <v>36</v>
      </c>
      <c r="Y116" s="553">
        <f>Data_Shelter_t[[#This Row],['# of Permanent House Built]]+Data_Shelter_t[[#This Row],['# of Individual Shelter Built]]</f>
        <v>36</v>
      </c>
    </row>
    <row r="117" spans="1:25" s="5" customFormat="1">
      <c r="A117" s="554">
        <v>41548</v>
      </c>
      <c r="B117" s="359" t="s">
        <v>290</v>
      </c>
      <c r="C117" s="359" t="s">
        <v>290</v>
      </c>
      <c r="D117" s="359" t="s">
        <v>7</v>
      </c>
      <c r="E117" s="361" t="s">
        <v>14</v>
      </c>
      <c r="F117" s="359" t="s">
        <v>43</v>
      </c>
      <c r="G117" s="31">
        <v>8</v>
      </c>
      <c r="H117" s="359"/>
      <c r="I117" s="359"/>
      <c r="J117" s="31">
        <v>106</v>
      </c>
      <c r="K117" s="31">
        <v>106</v>
      </c>
      <c r="L117" s="31"/>
      <c r="M117" s="31"/>
      <c r="N117" s="31"/>
      <c r="O117" s="359"/>
      <c r="P117" s="359"/>
      <c r="Q117" s="359"/>
      <c r="R117" s="126"/>
      <c r="S117" s="126">
        <v>848</v>
      </c>
      <c r="T117" s="126">
        <f ca="1">IF(Data_Shelter_t[[#This Row],[Status]]="Open",Data_Shelter_t[[#This Row],[HH Covered]],0)</f>
        <v>848</v>
      </c>
      <c r="U117" s="360" t="s">
        <v>130</v>
      </c>
      <c r="V117" s="564" t="str">
        <f ca="1">IFERROR(OFFSET(Camp_List[Status],MATCH(Data_Shelter_t[[#This Row],[Camp Name]],Camp_List[Camp Name],0)-1,0,1,1),"")</f>
        <v>Open</v>
      </c>
      <c r="W117" s="538">
        <f ca="1">IFERROR(Data_Shelter_t[[#This Row],[HH Covered]]/OFFSET(Camp_List[HH],MATCH(Data_Shelter_t[[#This Row],[Camp Name]],Camp_List[Camp Name],0)-1,0,1,1),"")</f>
        <v>1.0680100755667505</v>
      </c>
      <c r="X117" s="31">
        <f>Data_Shelter_t[[#This Row],['# of Permanent House Planned (Target)]]+Data_Shelter_t[[#This Row],['# of Individual Shelter Planned (Target)]]</f>
        <v>0</v>
      </c>
      <c r="Y117" s="553">
        <f>Data_Shelter_t[[#This Row],['# of Permanent House Built]]+Data_Shelter_t[[#This Row],['# of Individual Shelter Built]]</f>
        <v>0</v>
      </c>
    </row>
    <row r="118" spans="1:25" s="5" customFormat="1">
      <c r="A118" s="554">
        <v>41548</v>
      </c>
      <c r="B118" s="359" t="s">
        <v>295</v>
      </c>
      <c r="C118" s="359" t="s">
        <v>295</v>
      </c>
      <c r="D118" s="359" t="s">
        <v>7</v>
      </c>
      <c r="E118" s="361" t="s">
        <v>15</v>
      </c>
      <c r="F118" s="359" t="s">
        <v>45</v>
      </c>
      <c r="G118" s="31">
        <v>8</v>
      </c>
      <c r="H118" s="359"/>
      <c r="I118" s="359"/>
      <c r="J118" s="31">
        <v>8</v>
      </c>
      <c r="K118" s="31">
        <v>8</v>
      </c>
      <c r="L118" s="31"/>
      <c r="M118" s="31"/>
      <c r="N118" s="31"/>
      <c r="O118" s="359"/>
      <c r="P118" s="359"/>
      <c r="Q118" s="359"/>
      <c r="R118" s="126"/>
      <c r="S118" s="126">
        <v>64</v>
      </c>
      <c r="T118" s="126">
        <f ca="1">IF(Data_Shelter_t[[#This Row],[Status]]="Open",Data_Shelter_t[[#This Row],[HH Covered]],0)</f>
        <v>0</v>
      </c>
      <c r="U118" s="360" t="s">
        <v>132</v>
      </c>
      <c r="V118" s="564" t="str">
        <f ca="1">IFERROR(OFFSET(Camp_List[Status],MATCH(Data_Shelter_t[[#This Row],[Camp Name]],Camp_List[Camp Name],0)-1,0,1,1),"")</f>
        <v>Returned in Individual Housing</v>
      </c>
      <c r="W118" s="538">
        <f ca="1">IFERROR(Data_Shelter_t[[#This Row],[HH Covered]]/OFFSET(Camp_List[HH],MATCH(Data_Shelter_t[[#This Row],[Camp Name]],Camp_List[Camp Name],0)-1,0,1,1),"")</f>
        <v>1.0158730158730158</v>
      </c>
      <c r="X118" s="31">
        <f>Data_Shelter_t[[#This Row],['# of Permanent House Planned (Target)]]+Data_Shelter_t[[#This Row],['# of Individual Shelter Planned (Target)]]</f>
        <v>0</v>
      </c>
      <c r="Y118" s="553">
        <f>Data_Shelter_t[[#This Row],['# of Permanent House Built]]+Data_Shelter_t[[#This Row],['# of Individual Shelter Built]]</f>
        <v>0</v>
      </c>
    </row>
    <row r="119" spans="1:25" s="5" customFormat="1">
      <c r="A119" s="554">
        <v>41548</v>
      </c>
      <c r="B119" s="359" t="s">
        <v>287</v>
      </c>
      <c r="C119" s="359" t="s">
        <v>287</v>
      </c>
      <c r="D119" s="359" t="s">
        <v>7</v>
      </c>
      <c r="E119" s="361" t="s">
        <v>900</v>
      </c>
      <c r="F119" s="359" t="s">
        <v>38</v>
      </c>
      <c r="G119" s="31">
        <v>8</v>
      </c>
      <c r="H119" s="359"/>
      <c r="I119" s="359"/>
      <c r="J119" s="31">
        <v>89</v>
      </c>
      <c r="K119" s="31">
        <v>89</v>
      </c>
      <c r="L119" s="31"/>
      <c r="M119" s="31"/>
      <c r="N119" s="31"/>
      <c r="O119" s="359"/>
      <c r="P119" s="359"/>
      <c r="Q119" s="359"/>
      <c r="R119" s="126"/>
      <c r="S119" s="126">
        <v>712</v>
      </c>
      <c r="T119" s="126">
        <f ca="1">IF(Data_Shelter_t[[#This Row],[Status]]="Open",Data_Shelter_t[[#This Row],[HH Covered]],0)</f>
        <v>712</v>
      </c>
      <c r="U119" s="360" t="s">
        <v>125</v>
      </c>
      <c r="V119" s="564" t="str">
        <f ca="1">IFERROR(OFFSET(Camp_List[Status],MATCH(Data_Shelter_t[[#This Row],[Camp Name]],Camp_List[Camp Name],0)-1,0,1,1),"")</f>
        <v>Open</v>
      </c>
      <c r="W119" s="538">
        <f ca="1">IFERROR(Data_Shelter_t[[#This Row],[HH Covered]]/OFFSET(Camp_List[HH],MATCH(Data_Shelter_t[[#This Row],[Camp Name]],Camp_List[Camp Name],0)-1,0,1,1),"")</f>
        <v>1.0439882697947214</v>
      </c>
      <c r="X119" s="31">
        <f>Data_Shelter_t[[#This Row],['# of Permanent House Planned (Target)]]+Data_Shelter_t[[#This Row],['# of Individual Shelter Planned (Target)]]</f>
        <v>0</v>
      </c>
      <c r="Y119" s="553">
        <f>Data_Shelter_t[[#This Row],['# of Permanent House Built]]+Data_Shelter_t[[#This Row],['# of Individual Shelter Built]]</f>
        <v>0</v>
      </c>
    </row>
    <row r="120" spans="1:25" s="5" customFormat="1">
      <c r="A120" s="554">
        <v>41548</v>
      </c>
      <c r="B120" s="359" t="s">
        <v>295</v>
      </c>
      <c r="C120" s="359" t="s">
        <v>295</v>
      </c>
      <c r="D120" s="359" t="s">
        <v>7</v>
      </c>
      <c r="E120" s="361" t="s">
        <v>11</v>
      </c>
      <c r="F120" s="359" t="s">
        <v>26</v>
      </c>
      <c r="G120" s="31">
        <v>8</v>
      </c>
      <c r="H120" s="359"/>
      <c r="I120" s="359"/>
      <c r="J120" s="31">
        <v>14</v>
      </c>
      <c r="K120" s="31">
        <v>14</v>
      </c>
      <c r="L120" s="31"/>
      <c r="M120" s="31"/>
      <c r="N120" s="31"/>
      <c r="O120" s="359"/>
      <c r="P120" s="359"/>
      <c r="Q120" s="359"/>
      <c r="R120" s="126"/>
      <c r="S120" s="126">
        <v>112</v>
      </c>
      <c r="T120" s="126">
        <f ca="1">IF(Data_Shelter_t[[#This Row],[Status]]="Open",Data_Shelter_t[[#This Row],[HH Covered]],0)</f>
        <v>0</v>
      </c>
      <c r="U120" s="360" t="s">
        <v>113</v>
      </c>
      <c r="V120" s="564" t="str">
        <f ca="1">IFERROR(OFFSET(Camp_List[Status],MATCH(Data_Shelter_t[[#This Row],[Camp Name]],Camp_List[Camp Name],0)-1,0,1,1),"")</f>
        <v>Returned in Individual Housing</v>
      </c>
      <c r="W120" s="538">
        <f ca="1">IFERROR(Data_Shelter_t[[#This Row],[HH Covered]]/OFFSET(Camp_List[HH],MATCH(Data_Shelter_t[[#This Row],[Camp Name]],Camp_List[Camp Name],0)-1,0,1,1),"")</f>
        <v>0.55172413793103448</v>
      </c>
      <c r="X120" s="31">
        <f>Data_Shelter_t[[#This Row],['# of Permanent House Planned (Target)]]+Data_Shelter_t[[#This Row],['# of Individual Shelter Planned (Target)]]</f>
        <v>0</v>
      </c>
      <c r="Y120" s="553">
        <f>Data_Shelter_t[[#This Row],['# of Permanent House Built]]+Data_Shelter_t[[#This Row],['# of Individual Shelter Built]]</f>
        <v>0</v>
      </c>
    </row>
    <row r="121" spans="1:25" s="5" customFormat="1">
      <c r="A121" s="554">
        <v>41548</v>
      </c>
      <c r="B121" s="359" t="s">
        <v>661</v>
      </c>
      <c r="C121" s="359" t="s">
        <v>661</v>
      </c>
      <c r="D121" s="359" t="s">
        <v>7</v>
      </c>
      <c r="E121" s="361" t="s">
        <v>20</v>
      </c>
      <c r="F121" s="359" t="s">
        <v>100</v>
      </c>
      <c r="G121" s="31">
        <v>1</v>
      </c>
      <c r="H121" s="359"/>
      <c r="I121" s="359"/>
      <c r="J121" s="31"/>
      <c r="K121" s="31"/>
      <c r="L121" s="31"/>
      <c r="M121" s="31">
        <v>36</v>
      </c>
      <c r="N121" s="31">
        <v>36</v>
      </c>
      <c r="O121" s="359"/>
      <c r="P121" s="359"/>
      <c r="Q121" s="359"/>
      <c r="R121" s="126"/>
      <c r="S121" s="126">
        <v>36</v>
      </c>
      <c r="T121" s="126">
        <f ca="1">IF(Data_Shelter_t[[#This Row],[Status]]="Open",Data_Shelter_t[[#This Row],[HH Covered]],0)</f>
        <v>0</v>
      </c>
      <c r="U121" s="360" t="s">
        <v>189</v>
      </c>
      <c r="V121" s="564" t="str">
        <f ca="1">IFERROR(OFFSET(Camp_List[Status],MATCH(Data_Shelter_t[[#This Row],[Camp Name]],Camp_List[Camp Name],0)-1,0,1,1),"")</f>
        <v>Close</v>
      </c>
      <c r="W121" s="538" t="str">
        <f ca="1">IFERROR(Data_Shelter_t[[#This Row],[HH Covered]]/OFFSET(Camp_List[HH],MATCH(Data_Shelter_t[[#This Row],[Camp Name]],Camp_List[Camp Name],0)-1,0,1,1),"")</f>
        <v/>
      </c>
      <c r="X121" s="24">
        <f>Data_Shelter_t[[#This Row],['# of Permanent House Planned (Target)]]+Data_Shelter_t[[#This Row],['# of Individual Shelter Planned (Target)]]</f>
        <v>36</v>
      </c>
      <c r="Y121" s="553">
        <f>Data_Shelter_t[[#This Row],['# of Permanent House Built]]+Data_Shelter_t[[#This Row],['# of Individual Shelter Built]]</f>
        <v>36</v>
      </c>
    </row>
    <row r="122" spans="1:25" s="5" customFormat="1">
      <c r="A122" s="554">
        <v>41548</v>
      </c>
      <c r="B122" s="359" t="s">
        <v>662</v>
      </c>
      <c r="C122" s="359" t="s">
        <v>662</v>
      </c>
      <c r="D122" s="359" t="s">
        <v>7</v>
      </c>
      <c r="E122" s="361" t="s">
        <v>20</v>
      </c>
      <c r="F122" s="359" t="s">
        <v>98</v>
      </c>
      <c r="G122" s="31">
        <v>1</v>
      </c>
      <c r="H122" s="359"/>
      <c r="I122" s="359"/>
      <c r="J122" s="31"/>
      <c r="K122" s="31"/>
      <c r="L122" s="31"/>
      <c r="M122" s="31">
        <v>11</v>
      </c>
      <c r="N122" s="31">
        <v>11</v>
      </c>
      <c r="O122" s="359"/>
      <c r="P122" s="359"/>
      <c r="Q122" s="359"/>
      <c r="R122" s="126"/>
      <c r="S122" s="126">
        <v>11</v>
      </c>
      <c r="T122" s="126">
        <f ca="1">IF(Data_Shelter_t[[#This Row],[Status]]="Open",Data_Shelter_t[[#This Row],[HH Covered]],0)</f>
        <v>0</v>
      </c>
      <c r="U122" s="360" t="s">
        <v>187</v>
      </c>
      <c r="V122" s="564" t="str">
        <f ca="1">IFERROR(OFFSET(Camp_List[Status],MATCH(Data_Shelter_t[[#This Row],[Camp Name]],Camp_List[Camp Name],0)-1,0,1,1),"")</f>
        <v>Close</v>
      </c>
      <c r="W122" s="538" t="str">
        <f ca="1">IFERROR(Data_Shelter_t[[#This Row],[HH Covered]]/OFFSET(Camp_List[HH],MATCH(Data_Shelter_t[[#This Row],[Camp Name]],Camp_List[Camp Name],0)-1,0,1,1),"")</f>
        <v/>
      </c>
      <c r="X122" s="24">
        <f>Data_Shelter_t[[#This Row],['# of Permanent House Planned (Target)]]+Data_Shelter_t[[#This Row],['# of Individual Shelter Planned (Target)]]</f>
        <v>11</v>
      </c>
      <c r="Y122" s="553">
        <f>Data_Shelter_t[[#This Row],['# of Permanent House Built]]+Data_Shelter_t[[#This Row],['# of Individual Shelter Built]]</f>
        <v>11</v>
      </c>
    </row>
    <row r="123" spans="1:25" s="5" customFormat="1">
      <c r="A123" s="555">
        <v>41548</v>
      </c>
      <c r="B123" s="360" t="s">
        <v>295</v>
      </c>
      <c r="C123" s="360" t="s">
        <v>295</v>
      </c>
      <c r="D123" s="360" t="s">
        <v>7</v>
      </c>
      <c r="E123" s="375" t="s">
        <v>11</v>
      </c>
      <c r="F123" s="360" t="s">
        <v>29</v>
      </c>
      <c r="G123" s="24">
        <v>8</v>
      </c>
      <c r="H123" s="360"/>
      <c r="I123" s="360"/>
      <c r="J123" s="24">
        <v>20</v>
      </c>
      <c r="K123" s="24">
        <v>20</v>
      </c>
      <c r="L123" s="24"/>
      <c r="M123" s="24"/>
      <c r="N123" s="24"/>
      <c r="O123" s="360"/>
      <c r="P123" s="360"/>
      <c r="Q123" s="360"/>
      <c r="R123" s="126"/>
      <c r="S123" s="126">
        <v>160</v>
      </c>
      <c r="T123" s="126">
        <f ca="1">IF(Data_Shelter_t[[#This Row],[Status]]="Open",Data_Shelter_t[[#This Row],[HH Covered]],0)</f>
        <v>0</v>
      </c>
      <c r="U123" s="360" t="s">
        <v>116</v>
      </c>
      <c r="V123" s="564" t="str">
        <f ca="1">IFERROR(OFFSET(Camp_List[Status],MATCH(Data_Shelter_t[[#This Row],[Camp Name]],Camp_List[Camp Name],0)-1,0,1,1),"")</f>
        <v>Returned in Individual Housing</v>
      </c>
      <c r="W123" s="538">
        <f ca="1">IFERROR(Data_Shelter_t[[#This Row],[HH Covered]]/OFFSET(Camp_List[HH],MATCH(Data_Shelter_t[[#This Row],[Camp Name]],Camp_List[Camp Name],0)-1,0,1,1),"")</f>
        <v>0.58181818181818179</v>
      </c>
      <c r="X123" s="31">
        <f>Data_Shelter_t[[#This Row],['# of Permanent House Planned (Target)]]+Data_Shelter_t[[#This Row],['# of Individual Shelter Planned (Target)]]</f>
        <v>0</v>
      </c>
      <c r="Y123" s="553">
        <f>Data_Shelter_t[[#This Row],['# of Permanent House Built]]+Data_Shelter_t[[#This Row],['# of Individual Shelter Built]]</f>
        <v>0</v>
      </c>
    </row>
    <row r="124" spans="1:25" s="5" customFormat="1">
      <c r="A124" s="554">
        <v>41548</v>
      </c>
      <c r="B124" s="359" t="s">
        <v>454</v>
      </c>
      <c r="C124" s="359" t="s">
        <v>454</v>
      </c>
      <c r="D124" s="359" t="s">
        <v>7</v>
      </c>
      <c r="E124" s="361" t="s">
        <v>19</v>
      </c>
      <c r="F124" s="359" t="s">
        <v>70</v>
      </c>
      <c r="G124" s="31">
        <v>8</v>
      </c>
      <c r="H124" s="359"/>
      <c r="I124" s="359"/>
      <c r="J124" s="31">
        <v>63</v>
      </c>
      <c r="K124" s="31">
        <v>63</v>
      </c>
      <c r="L124" s="31">
        <v>0</v>
      </c>
      <c r="M124" s="31"/>
      <c r="N124" s="31"/>
      <c r="O124" s="359"/>
      <c r="P124" s="359"/>
      <c r="Q124" s="359"/>
      <c r="R124" s="126"/>
      <c r="S124" s="126">
        <v>504</v>
      </c>
      <c r="T124" s="126">
        <f ca="1">IF(Data_Shelter_t[[#This Row],[Status]]="Open",Data_Shelter_t[[#This Row],[HH Covered]],0)</f>
        <v>504</v>
      </c>
      <c r="U124" s="360" t="s">
        <v>159</v>
      </c>
      <c r="V124" s="564" t="str">
        <f ca="1">IFERROR(OFFSET(Camp_List[Status],MATCH(Data_Shelter_t[[#This Row],[Camp Name]],Camp_List[Camp Name],0)-1,0,1,1),"")</f>
        <v>Open</v>
      </c>
      <c r="W124" s="538">
        <f ca="1">IFERROR(Data_Shelter_t[[#This Row],[HH Covered]]/OFFSET(Camp_List[HH],MATCH(Data_Shelter_t[[#This Row],[Camp Name]],Camp_List[Camp Name],0)-1,0,1,1),"")</f>
        <v>0.51219512195121952</v>
      </c>
      <c r="X124" s="31">
        <f>Data_Shelter_t[[#This Row],['# of Permanent House Planned (Target)]]+Data_Shelter_t[[#This Row],['# of Individual Shelter Planned (Target)]]</f>
        <v>0</v>
      </c>
      <c r="Y124" s="553">
        <f>Data_Shelter_t[[#This Row],['# of Permanent House Built]]+Data_Shelter_t[[#This Row],['# of Individual Shelter Built]]</f>
        <v>0</v>
      </c>
    </row>
    <row r="125" spans="1:25" s="5" customFormat="1">
      <c r="A125" s="554">
        <v>41548</v>
      </c>
      <c r="B125" s="359" t="s">
        <v>295</v>
      </c>
      <c r="C125" s="359" t="s">
        <v>295</v>
      </c>
      <c r="D125" s="359" t="s">
        <v>7</v>
      </c>
      <c r="E125" s="361" t="s">
        <v>19</v>
      </c>
      <c r="F125" s="359" t="s">
        <v>70</v>
      </c>
      <c r="G125" s="31">
        <v>8</v>
      </c>
      <c r="H125" s="359"/>
      <c r="I125" s="359"/>
      <c r="J125" s="31">
        <v>60</v>
      </c>
      <c r="K125" s="31">
        <v>60</v>
      </c>
      <c r="L125" s="31"/>
      <c r="M125" s="31"/>
      <c r="N125" s="31"/>
      <c r="O125" s="359"/>
      <c r="P125" s="359"/>
      <c r="Q125" s="359"/>
      <c r="R125" s="126"/>
      <c r="S125" s="126">
        <v>480</v>
      </c>
      <c r="T125" s="126">
        <f ca="1">IF(Data_Shelter_t[[#This Row],[Status]]="Open",Data_Shelter_t[[#This Row],[HH Covered]],0)</f>
        <v>480</v>
      </c>
      <c r="U125" s="360" t="s">
        <v>159</v>
      </c>
      <c r="V125" s="564" t="str">
        <f ca="1">IFERROR(OFFSET(Camp_List[Status],MATCH(Data_Shelter_t[[#This Row],[Camp Name]],Camp_List[Camp Name],0)-1,0,1,1),"")</f>
        <v>Open</v>
      </c>
      <c r="W125" s="538">
        <f ca="1">IFERROR(Data_Shelter_t[[#This Row],[HH Covered]]/OFFSET(Camp_List[HH],MATCH(Data_Shelter_t[[#This Row],[Camp Name]],Camp_List[Camp Name],0)-1,0,1,1),"")</f>
        <v>0.48780487804878048</v>
      </c>
      <c r="X125" s="31">
        <f>Data_Shelter_t[[#This Row],['# of Permanent House Planned (Target)]]+Data_Shelter_t[[#This Row],['# of Individual Shelter Planned (Target)]]</f>
        <v>0</v>
      </c>
      <c r="Y125" s="553">
        <f>Data_Shelter_t[[#This Row],['# of Permanent House Built]]+Data_Shelter_t[[#This Row],['# of Individual Shelter Built]]</f>
        <v>0</v>
      </c>
    </row>
    <row r="126" spans="1:25" s="5" customFormat="1">
      <c r="A126" s="554">
        <v>41548</v>
      </c>
      <c r="B126" s="359" t="s">
        <v>661</v>
      </c>
      <c r="C126" s="359" t="s">
        <v>661</v>
      </c>
      <c r="D126" s="359" t="s">
        <v>7</v>
      </c>
      <c r="E126" s="361" t="s">
        <v>20</v>
      </c>
      <c r="F126" s="359" t="s">
        <v>98</v>
      </c>
      <c r="G126" s="31">
        <v>1</v>
      </c>
      <c r="H126" s="359"/>
      <c r="I126" s="359"/>
      <c r="J126" s="31"/>
      <c r="K126" s="31"/>
      <c r="L126" s="31"/>
      <c r="M126" s="31">
        <v>98</v>
      </c>
      <c r="N126" s="31">
        <v>102</v>
      </c>
      <c r="O126" s="359"/>
      <c r="P126" s="359"/>
      <c r="Q126" s="359"/>
      <c r="R126" s="126"/>
      <c r="S126" s="126">
        <v>102</v>
      </c>
      <c r="T126" s="126">
        <f ca="1">IF(Data_Shelter_t[[#This Row],[Status]]="Open",Data_Shelter_t[[#This Row],[HH Covered]],0)</f>
        <v>0</v>
      </c>
      <c r="U126" s="360" t="s">
        <v>187</v>
      </c>
      <c r="V126" s="564" t="str">
        <f ca="1">IFERROR(OFFSET(Camp_List[Status],MATCH(Data_Shelter_t[[#This Row],[Camp Name]],Camp_List[Camp Name],0)-1,0,1,1),"")</f>
        <v>Close</v>
      </c>
      <c r="W126" s="538" t="str">
        <f ca="1">IFERROR(Data_Shelter_t[[#This Row],[HH Covered]]/OFFSET(Camp_List[HH],MATCH(Data_Shelter_t[[#This Row],[Camp Name]],Camp_List[Camp Name],0)-1,0,1,1),"")</f>
        <v/>
      </c>
      <c r="X126" s="24">
        <f>Data_Shelter_t[[#This Row],['# of Permanent House Planned (Target)]]+Data_Shelter_t[[#This Row],['# of Individual Shelter Planned (Target)]]</f>
        <v>98</v>
      </c>
      <c r="Y126" s="553">
        <f>Data_Shelter_t[[#This Row],['# of Permanent House Built]]+Data_Shelter_t[[#This Row],['# of Individual Shelter Built]]</f>
        <v>102</v>
      </c>
    </row>
    <row r="127" spans="1:25" s="5" customFormat="1">
      <c r="A127" s="554">
        <v>41548</v>
      </c>
      <c r="B127" s="359" t="s">
        <v>295</v>
      </c>
      <c r="C127" s="359" t="s">
        <v>295</v>
      </c>
      <c r="D127" s="359" t="s">
        <v>7</v>
      </c>
      <c r="E127" s="361" t="s">
        <v>12</v>
      </c>
      <c r="F127" s="359" t="s">
        <v>34</v>
      </c>
      <c r="G127" s="31">
        <v>8</v>
      </c>
      <c r="H127" s="359"/>
      <c r="I127" s="359"/>
      <c r="J127" s="31">
        <v>46</v>
      </c>
      <c r="K127" s="31">
        <v>46</v>
      </c>
      <c r="L127" s="31"/>
      <c r="M127" s="31"/>
      <c r="N127" s="31"/>
      <c r="O127" s="359"/>
      <c r="P127" s="359"/>
      <c r="Q127" s="359"/>
      <c r="R127" s="126"/>
      <c r="S127" s="126">
        <v>368</v>
      </c>
      <c r="T127" s="126">
        <f ca="1">IF(Data_Shelter_t[[#This Row],[Status]]="Open",Data_Shelter_t[[#This Row],[HH Covered]],0)</f>
        <v>0</v>
      </c>
      <c r="U127" s="360" t="s">
        <v>121</v>
      </c>
      <c r="V127" s="564" t="str">
        <f ca="1">IFERROR(OFFSET(Camp_List[Status],MATCH(Data_Shelter_t[[#This Row],[Camp Name]],Camp_List[Camp Name],0)-1,0,1,1),"")</f>
        <v>Returned in Individual Housing</v>
      </c>
      <c r="W127" s="538">
        <f ca="1">IFERROR(Data_Shelter_t[[#This Row],[HH Covered]]/OFFSET(Camp_List[HH],MATCH(Data_Shelter_t[[#This Row],[Camp Name]],Camp_List[Camp Name],0)-1,0,1,1),"")</f>
        <v>1.0082191780821919</v>
      </c>
      <c r="X127" s="31">
        <f>Data_Shelter_t[[#This Row],['# of Permanent House Planned (Target)]]+Data_Shelter_t[[#This Row],['# of Individual Shelter Planned (Target)]]</f>
        <v>0</v>
      </c>
      <c r="Y127" s="553">
        <f>Data_Shelter_t[[#This Row],['# of Permanent House Built]]+Data_Shelter_t[[#This Row],['# of Individual Shelter Built]]</f>
        <v>0</v>
      </c>
    </row>
    <row r="128" spans="1:25" s="5" customFormat="1">
      <c r="A128" s="554">
        <v>41548</v>
      </c>
      <c r="B128" s="359" t="s">
        <v>295</v>
      </c>
      <c r="C128" s="359" t="s">
        <v>295</v>
      </c>
      <c r="D128" s="359" t="s">
        <v>7</v>
      </c>
      <c r="E128" s="361" t="s">
        <v>15</v>
      </c>
      <c r="F128" s="359" t="s">
        <v>52</v>
      </c>
      <c r="G128" s="31">
        <v>8</v>
      </c>
      <c r="H128" s="359"/>
      <c r="I128" s="359"/>
      <c r="J128" s="31">
        <v>14</v>
      </c>
      <c r="K128" s="31">
        <v>14</v>
      </c>
      <c r="L128" s="31"/>
      <c r="M128" s="31"/>
      <c r="N128" s="31"/>
      <c r="O128" s="359"/>
      <c r="P128" s="359"/>
      <c r="Q128" s="359"/>
      <c r="R128" s="126"/>
      <c r="S128" s="126">
        <v>112</v>
      </c>
      <c r="T128" s="126">
        <f ca="1">IF(Data_Shelter_t[[#This Row],[Status]]="Open",Data_Shelter_t[[#This Row],[HH Covered]],0)</f>
        <v>0</v>
      </c>
      <c r="U128" s="360" t="s">
        <v>139</v>
      </c>
      <c r="V128" s="564" t="str">
        <f ca="1">IFERROR(OFFSET(Camp_List[Status],MATCH(Data_Shelter_t[[#This Row],[Camp Name]],Camp_List[Camp Name],0)-1,0,1,1),"")</f>
        <v>Returned in Individual Housing</v>
      </c>
      <c r="W128" s="538">
        <f ca="1">IFERROR(Data_Shelter_t[[#This Row],[HH Covered]]/OFFSET(Camp_List[HH],MATCH(Data_Shelter_t[[#This Row],[Camp Name]],Camp_List[Camp Name],0)-1,0,1,1),"")</f>
        <v>1</v>
      </c>
      <c r="X128" s="31">
        <f>Data_Shelter_t[[#This Row],['# of Permanent House Planned (Target)]]+Data_Shelter_t[[#This Row],['# of Individual Shelter Planned (Target)]]</f>
        <v>0</v>
      </c>
      <c r="Y128" s="553">
        <f>Data_Shelter_t[[#This Row],['# of Permanent House Built]]+Data_Shelter_t[[#This Row],['# of Individual Shelter Built]]</f>
        <v>0</v>
      </c>
    </row>
    <row r="129" spans="1:25" s="5" customFormat="1">
      <c r="A129" s="554">
        <v>41548</v>
      </c>
      <c r="B129" s="359" t="s">
        <v>662</v>
      </c>
      <c r="C129" s="359" t="s">
        <v>662</v>
      </c>
      <c r="D129" s="359" t="s">
        <v>7</v>
      </c>
      <c r="E129" s="361" t="s">
        <v>20</v>
      </c>
      <c r="F129" s="359" t="s">
        <v>516</v>
      </c>
      <c r="G129" s="31">
        <v>1</v>
      </c>
      <c r="H129" s="359"/>
      <c r="I129" s="359"/>
      <c r="J129" s="31"/>
      <c r="K129" s="31"/>
      <c r="L129" s="31"/>
      <c r="M129" s="31">
        <v>77</v>
      </c>
      <c r="N129" s="31">
        <v>77</v>
      </c>
      <c r="O129" s="359"/>
      <c r="P129" s="359"/>
      <c r="Q129" s="359"/>
      <c r="R129" s="126"/>
      <c r="S129" s="126">
        <v>77</v>
      </c>
      <c r="T129" s="126">
        <f ca="1">IF(Data_Shelter_t[[#This Row],[Status]]="Open",Data_Shelter_t[[#This Row],[HH Covered]],0)</f>
        <v>0</v>
      </c>
      <c r="U129" s="360" t="s">
        <v>962</v>
      </c>
      <c r="V129" s="564" t="str">
        <f ca="1">IFERROR(OFFSET(Camp_List[Status],MATCH(Data_Shelter_t[[#This Row],[Camp Name]],Camp_List[Camp Name],0)-1,0,1,1),"")</f>
        <v/>
      </c>
      <c r="W129" s="538" t="str">
        <f ca="1">IFERROR(Data_Shelter_t[[#This Row],[HH Covered]]/OFFSET(Camp_List[HH],MATCH(Data_Shelter_t[[#This Row],[Camp Name]],Camp_List[Camp Name],0)-1,0,1,1),"")</f>
        <v/>
      </c>
      <c r="X129" s="31">
        <f>Data_Shelter_t[[#This Row],['# of Permanent House Planned (Target)]]+Data_Shelter_t[[#This Row],['# of Individual Shelter Planned (Target)]]</f>
        <v>77</v>
      </c>
      <c r="Y129" s="553">
        <f>Data_Shelter_t[[#This Row],['# of Permanent House Built]]+Data_Shelter_t[[#This Row],['# of Individual Shelter Built]]</f>
        <v>77</v>
      </c>
    </row>
    <row r="130" spans="1:25" s="5" customFormat="1">
      <c r="A130" s="554">
        <v>41548</v>
      </c>
      <c r="B130" s="359" t="s">
        <v>662</v>
      </c>
      <c r="C130" s="359" t="s">
        <v>662</v>
      </c>
      <c r="D130" s="359" t="s">
        <v>7</v>
      </c>
      <c r="E130" s="361" t="s">
        <v>20</v>
      </c>
      <c r="F130" s="359" t="s">
        <v>99</v>
      </c>
      <c r="G130" s="31">
        <v>1</v>
      </c>
      <c r="H130" s="359"/>
      <c r="I130" s="359"/>
      <c r="J130" s="31"/>
      <c r="K130" s="31"/>
      <c r="L130" s="31"/>
      <c r="M130" s="31">
        <v>12</v>
      </c>
      <c r="N130" s="31">
        <v>12</v>
      </c>
      <c r="O130" s="359"/>
      <c r="P130" s="359"/>
      <c r="Q130" s="359"/>
      <c r="R130" s="126"/>
      <c r="S130" s="126">
        <v>12</v>
      </c>
      <c r="T130" s="126">
        <f ca="1">IF(Data_Shelter_t[[#This Row],[Status]]="Open",Data_Shelter_t[[#This Row],[HH Covered]],0)</f>
        <v>0</v>
      </c>
      <c r="U130" s="360" t="s">
        <v>188</v>
      </c>
      <c r="V130" s="564" t="str">
        <f ca="1">IFERROR(OFFSET(Camp_List[Status],MATCH(Data_Shelter_t[[#This Row],[Camp Name]],Camp_List[Camp Name],0)-1,0,1,1),"")</f>
        <v>Close</v>
      </c>
      <c r="W130" s="538" t="str">
        <f ca="1">IFERROR(Data_Shelter_t[[#This Row],[HH Covered]]/OFFSET(Camp_List[HH],MATCH(Data_Shelter_t[[#This Row],[Camp Name]],Camp_List[Camp Name],0)-1,0,1,1),"")</f>
        <v/>
      </c>
      <c r="X130" s="31">
        <f>Data_Shelter_t[[#This Row],['# of Permanent House Planned (Target)]]+Data_Shelter_t[[#This Row],['# of Individual Shelter Planned (Target)]]</f>
        <v>12</v>
      </c>
      <c r="Y130" s="556">
        <f>Data_Shelter_t[[#This Row],['# of Permanent House Built]]+Data_Shelter_t[[#This Row],['# of Individual Shelter Built]]</f>
        <v>12</v>
      </c>
    </row>
    <row r="131" spans="1:25" s="5" customFormat="1">
      <c r="A131" s="554">
        <v>41548</v>
      </c>
      <c r="B131" s="359" t="s">
        <v>454</v>
      </c>
      <c r="C131" s="359" t="s">
        <v>454</v>
      </c>
      <c r="D131" s="359" t="s">
        <v>7</v>
      </c>
      <c r="E131" s="361" t="s">
        <v>20</v>
      </c>
      <c r="F131" s="359" t="s">
        <v>99</v>
      </c>
      <c r="G131" s="31">
        <v>1</v>
      </c>
      <c r="H131" s="359"/>
      <c r="I131" s="359"/>
      <c r="J131" s="31"/>
      <c r="K131" s="31"/>
      <c r="L131" s="31"/>
      <c r="M131" s="31">
        <v>103</v>
      </c>
      <c r="N131" s="31">
        <v>103</v>
      </c>
      <c r="O131" s="359"/>
      <c r="P131" s="359"/>
      <c r="Q131" s="359"/>
      <c r="R131" s="126"/>
      <c r="S131" s="126">
        <v>103</v>
      </c>
      <c r="T131" s="126">
        <f ca="1">IF(Data_Shelter_t[[#This Row],[Status]]="Open",Data_Shelter_t[[#This Row],[HH Covered]],0)</f>
        <v>0</v>
      </c>
      <c r="U131" s="360" t="s">
        <v>188</v>
      </c>
      <c r="V131" s="564" t="str">
        <f ca="1">IFERROR(OFFSET(Camp_List[Status],MATCH(Data_Shelter_t[[#This Row],[Camp Name]],Camp_List[Camp Name],0)-1,0,1,1),"")</f>
        <v>Close</v>
      </c>
      <c r="W131" s="538" t="str">
        <f ca="1">IFERROR(Data_Shelter_t[[#This Row],[HH Covered]]/OFFSET(Camp_List[HH],MATCH(Data_Shelter_t[[#This Row],[Camp Name]],Camp_List[Camp Name],0)-1,0,1,1),"")</f>
        <v/>
      </c>
      <c r="X131" s="31">
        <f>Data_Shelter_t[[#This Row],['# of Permanent House Planned (Target)]]+Data_Shelter_t[[#This Row],['# of Individual Shelter Planned (Target)]]</f>
        <v>103</v>
      </c>
      <c r="Y131" s="556">
        <f>Data_Shelter_t[[#This Row],['# of Permanent House Built]]+Data_Shelter_t[[#This Row],['# of Individual Shelter Built]]</f>
        <v>103</v>
      </c>
    </row>
    <row r="132" spans="1:25" s="5" customFormat="1">
      <c r="A132" s="554">
        <v>41548</v>
      </c>
      <c r="B132" s="359" t="s">
        <v>662</v>
      </c>
      <c r="C132" s="359" t="s">
        <v>662</v>
      </c>
      <c r="D132" s="359" t="s">
        <v>7</v>
      </c>
      <c r="E132" s="361" t="s">
        <v>20</v>
      </c>
      <c r="F132" s="359" t="s">
        <v>515</v>
      </c>
      <c r="G132" s="31">
        <v>1</v>
      </c>
      <c r="H132" s="359"/>
      <c r="I132" s="359"/>
      <c r="J132" s="31"/>
      <c r="K132" s="31"/>
      <c r="L132" s="31"/>
      <c r="M132" s="31">
        <v>9</v>
      </c>
      <c r="N132" s="31">
        <v>9</v>
      </c>
      <c r="O132" s="359"/>
      <c r="P132" s="359"/>
      <c r="Q132" s="359"/>
      <c r="R132" s="126"/>
      <c r="S132" s="126">
        <v>9</v>
      </c>
      <c r="T132" s="126">
        <f ca="1">IF(Data_Shelter_t[[#This Row],[Status]]="Open",Data_Shelter_t[[#This Row],[HH Covered]],0)</f>
        <v>0</v>
      </c>
      <c r="U132" s="360" t="s">
        <v>962</v>
      </c>
      <c r="V132" s="564" t="str">
        <f ca="1">IFERROR(OFFSET(Camp_List[Status],MATCH(Data_Shelter_t[[#This Row],[Camp Name]],Camp_List[Camp Name],0)-1,0,1,1),"")</f>
        <v/>
      </c>
      <c r="W132" s="538" t="str">
        <f ca="1">IFERROR(Data_Shelter_t[[#This Row],[HH Covered]]/OFFSET(Camp_List[HH],MATCH(Data_Shelter_t[[#This Row],[Camp Name]],Camp_List[Camp Name],0)-1,0,1,1),"")</f>
        <v/>
      </c>
      <c r="X132" s="31">
        <f>Data_Shelter_t[[#This Row],['# of Permanent House Planned (Target)]]+Data_Shelter_t[[#This Row],['# of Individual Shelter Planned (Target)]]</f>
        <v>9</v>
      </c>
      <c r="Y132" s="556">
        <f>Data_Shelter_t[[#This Row],['# of Permanent House Built]]+Data_Shelter_t[[#This Row],['# of Individual Shelter Built]]</f>
        <v>9</v>
      </c>
    </row>
    <row r="133" spans="1:25" s="5" customFormat="1">
      <c r="A133" s="554">
        <v>41548</v>
      </c>
      <c r="B133" s="359" t="s">
        <v>661</v>
      </c>
      <c r="C133" s="359" t="s">
        <v>661</v>
      </c>
      <c r="D133" s="359" t="s">
        <v>7</v>
      </c>
      <c r="E133" s="361" t="s">
        <v>20</v>
      </c>
      <c r="F133" s="359"/>
      <c r="G133" s="31">
        <v>1</v>
      </c>
      <c r="H133" s="359"/>
      <c r="I133" s="359"/>
      <c r="J133" s="31"/>
      <c r="K133" s="31"/>
      <c r="L133" s="31"/>
      <c r="M133" s="31">
        <v>11</v>
      </c>
      <c r="N133" s="31">
        <v>11</v>
      </c>
      <c r="O133" s="359"/>
      <c r="P133" s="359"/>
      <c r="Q133" s="359"/>
      <c r="R133" s="126"/>
      <c r="S133" s="126">
        <v>11</v>
      </c>
      <c r="T133" s="126">
        <f ca="1">IF(Data_Shelter_t[[#This Row],[Status]]="Open",Data_Shelter_t[[#This Row],[HH Covered]],0)</f>
        <v>0</v>
      </c>
      <c r="U133" s="360" t="s">
        <v>962</v>
      </c>
      <c r="V133" s="564" t="str">
        <f ca="1">IFERROR(OFFSET(Camp_List[Status],MATCH(Data_Shelter_t[[#This Row],[Camp Name]],Camp_List[Camp Name],0)-1,0,1,1),"")</f>
        <v/>
      </c>
      <c r="W133" s="538" t="str">
        <f ca="1">IFERROR(Data_Shelter_t[[#This Row],[HH Covered]]/OFFSET(Camp_List[HH],MATCH(Data_Shelter_t[[#This Row],[Camp Name]],Camp_List[Camp Name],0)-1,0,1,1),"")</f>
        <v/>
      </c>
      <c r="X133" s="31">
        <f>Data_Shelter_t[[#This Row],['# of Permanent House Planned (Target)]]+Data_Shelter_t[[#This Row],['# of Individual Shelter Planned (Target)]]</f>
        <v>11</v>
      </c>
      <c r="Y133" s="556">
        <f>Data_Shelter_t[[#This Row],['# of Permanent House Built]]+Data_Shelter_t[[#This Row],['# of Individual Shelter Built]]</f>
        <v>11</v>
      </c>
    </row>
    <row r="134" spans="1:25" s="5" customFormat="1">
      <c r="A134" s="554">
        <v>41548</v>
      </c>
      <c r="B134" s="359" t="s">
        <v>295</v>
      </c>
      <c r="C134" s="359" t="s">
        <v>295</v>
      </c>
      <c r="D134" s="359" t="s">
        <v>7</v>
      </c>
      <c r="E134" s="361" t="s">
        <v>14</v>
      </c>
      <c r="F134" s="359" t="s">
        <v>39</v>
      </c>
      <c r="G134" s="31">
        <v>1</v>
      </c>
      <c r="H134" s="359"/>
      <c r="I134" s="359"/>
      <c r="J134" s="31"/>
      <c r="K134" s="31"/>
      <c r="L134" s="31"/>
      <c r="M134" s="31">
        <v>21</v>
      </c>
      <c r="N134" s="31">
        <v>21</v>
      </c>
      <c r="O134" s="359"/>
      <c r="P134" s="359"/>
      <c r="Q134" s="359"/>
      <c r="R134" s="126"/>
      <c r="S134" s="126">
        <v>21</v>
      </c>
      <c r="T134" s="126">
        <f ca="1">IF(Data_Shelter_t[[#This Row],[Status]]="Open",Data_Shelter_t[[#This Row],[HH Covered]],0)</f>
        <v>0</v>
      </c>
      <c r="U134" s="360" t="s">
        <v>126</v>
      </c>
      <c r="V134" s="564" t="str">
        <f ca="1">IFERROR(OFFSET(Camp_List[Status],MATCH(Data_Shelter_t[[#This Row],[Camp Name]],Camp_List[Camp Name],0)-1,0,1,1),"")</f>
        <v>Relocated in Individual Housing</v>
      </c>
      <c r="W134" s="538">
        <f ca="1">IFERROR(Data_Shelter_t[[#This Row],[HH Covered]]/OFFSET(Camp_List[HH],MATCH(Data_Shelter_t[[#This Row],[Camp Name]],Camp_List[Camp Name],0)-1,0,1,1),"")</f>
        <v>1</v>
      </c>
      <c r="X134" s="31">
        <f>Data_Shelter_t[[#This Row],['# of Permanent House Planned (Target)]]+Data_Shelter_t[[#This Row],['# of Individual Shelter Planned (Target)]]</f>
        <v>21</v>
      </c>
      <c r="Y134" s="556">
        <f>Data_Shelter_t[[#This Row],['# of Permanent House Built]]+Data_Shelter_t[[#This Row],['# of Individual Shelter Built]]</f>
        <v>21</v>
      </c>
    </row>
    <row r="135" spans="1:25" s="5" customFormat="1">
      <c r="A135" s="554">
        <v>41548</v>
      </c>
      <c r="B135" s="359" t="s">
        <v>295</v>
      </c>
      <c r="C135" s="359" t="s">
        <v>295</v>
      </c>
      <c r="D135" s="359" t="s">
        <v>7</v>
      </c>
      <c r="E135" s="361" t="s">
        <v>19</v>
      </c>
      <c r="F135" s="359" t="s">
        <v>657</v>
      </c>
      <c r="G135" s="31">
        <v>1</v>
      </c>
      <c r="H135" s="359"/>
      <c r="I135" s="359"/>
      <c r="J135" s="31"/>
      <c r="K135" s="31"/>
      <c r="L135" s="31"/>
      <c r="M135" s="31">
        <v>250</v>
      </c>
      <c r="N135" s="31">
        <v>250</v>
      </c>
      <c r="O135" s="359"/>
      <c r="P135" s="359"/>
      <c r="Q135" s="359"/>
      <c r="R135" s="126"/>
      <c r="S135" s="126">
        <v>250</v>
      </c>
      <c r="T135" s="126">
        <f ca="1">IF(Data_Shelter_t[[#This Row],[Status]]="Open",Data_Shelter_t[[#This Row],[HH Covered]],0)</f>
        <v>0</v>
      </c>
      <c r="U135" s="360" t="s">
        <v>659</v>
      </c>
      <c r="V135" s="564" t="str">
        <f ca="1">IFERROR(OFFSET(Camp_List[Status],MATCH(Data_Shelter_t[[#This Row],[Camp Name]],Camp_List[Camp Name],0)-1,0,1,1),"")</f>
        <v>Relocated in Individual Housing</v>
      </c>
      <c r="W135" s="538">
        <f ca="1">IFERROR(Data_Shelter_t[[#This Row],[HH Covered]]/OFFSET(Camp_List[HH],MATCH(Data_Shelter_t[[#This Row],[Camp Name]],Camp_List[Camp Name],0)-1,0,1,1),"")</f>
        <v>1.0040160642570282</v>
      </c>
      <c r="X135" s="31">
        <f>Data_Shelter_t[[#This Row],['# of Permanent House Planned (Target)]]+Data_Shelter_t[[#This Row],['# of Individual Shelter Planned (Target)]]</f>
        <v>250</v>
      </c>
      <c r="Y135" s="556">
        <f>Data_Shelter_t[[#This Row],['# of Permanent House Built]]+Data_Shelter_t[[#This Row],['# of Individual Shelter Built]]</f>
        <v>250</v>
      </c>
    </row>
    <row r="136" spans="1:25" s="5" customFormat="1">
      <c r="A136" s="558">
        <v>41548</v>
      </c>
      <c r="B136" s="362" t="s">
        <v>295</v>
      </c>
      <c r="C136" s="362" t="s">
        <v>295</v>
      </c>
      <c r="D136" s="362" t="s">
        <v>7</v>
      </c>
      <c r="E136" s="363" t="s">
        <v>19</v>
      </c>
      <c r="F136" s="362" t="s">
        <v>658</v>
      </c>
      <c r="G136" s="130">
        <v>1</v>
      </c>
      <c r="H136" s="362"/>
      <c r="I136" s="362"/>
      <c r="J136" s="130"/>
      <c r="K136" s="130"/>
      <c r="L136" s="130"/>
      <c r="M136" s="130">
        <v>419</v>
      </c>
      <c r="N136" s="130">
        <v>419</v>
      </c>
      <c r="O136" s="362"/>
      <c r="P136" s="362"/>
      <c r="Q136" s="362"/>
      <c r="R136" s="533"/>
      <c r="S136" s="533">
        <v>419</v>
      </c>
      <c r="T136" s="533">
        <f ca="1">IF(Data_Shelter_t[[#This Row],[Status]]="Open",Data_Shelter_t[[#This Row],[HH Covered]],0)</f>
        <v>0</v>
      </c>
      <c r="U136" s="534" t="s">
        <v>660</v>
      </c>
      <c r="V136" s="573" t="str">
        <f ca="1">IFERROR(OFFSET(Camp_List[Status],MATCH(Data_Shelter_t[[#This Row],[Camp Name]],Camp_List[Camp Name],0)-1,0,1,1),"")</f>
        <v>Relocated in Individual Housing</v>
      </c>
      <c r="W136" s="538">
        <f ca="1">IFERROR(Data_Shelter_t[[#This Row],[HH Covered]]/OFFSET(Camp_List[HH],MATCH(Data_Shelter_t[[#This Row],[Camp Name]],Camp_List[Camp Name],0)-1,0,1,1),"")</f>
        <v>1.0023923444976077</v>
      </c>
      <c r="X136" s="130">
        <f>Data_Shelter_t[[#This Row],['# of Permanent House Planned (Target)]]+Data_Shelter_t[[#This Row],['# of Individual Shelter Planned (Target)]]</f>
        <v>419</v>
      </c>
      <c r="Y136" s="562">
        <f>Data_Shelter_t[[#This Row],['# of Permanent House Built]]+Data_Shelter_t[[#This Row],['# of Individual Shelter Built]]</f>
        <v>419</v>
      </c>
    </row>
    <row r="137" spans="1:25" s="5" customFormat="1">
      <c r="A137" s="554">
        <v>41548</v>
      </c>
      <c r="B137" s="359" t="s">
        <v>641</v>
      </c>
      <c r="C137" s="359" t="s">
        <v>641</v>
      </c>
      <c r="D137" s="359" t="s">
        <v>7</v>
      </c>
      <c r="E137" s="361" t="s">
        <v>19</v>
      </c>
      <c r="F137" s="359" t="s">
        <v>654</v>
      </c>
      <c r="G137" s="31">
        <v>8</v>
      </c>
      <c r="H137" s="359"/>
      <c r="I137" s="359"/>
      <c r="J137" s="31">
        <v>9</v>
      </c>
      <c r="K137" s="31">
        <v>9</v>
      </c>
      <c r="L137" s="31"/>
      <c r="M137" s="31"/>
      <c r="N137" s="31"/>
      <c r="O137" s="359"/>
      <c r="P137" s="359"/>
      <c r="Q137" s="359"/>
      <c r="R137" s="126"/>
      <c r="S137" s="126">
        <v>72</v>
      </c>
      <c r="T137" s="126">
        <f ca="1">IF(Data_Shelter_t[[#This Row],[Status]]="Open",Data_Shelter_t[[#This Row],[HH Covered]],0)</f>
        <v>72</v>
      </c>
      <c r="U137" s="360" t="s">
        <v>656</v>
      </c>
      <c r="V137" s="564" t="str">
        <f ca="1">IFERROR(OFFSET(Camp_List[Status],MATCH(Data_Shelter_t[[#This Row],[Camp Name]],Camp_List[Camp Name],0)-1,0,1,1),"")</f>
        <v>Open</v>
      </c>
      <c r="W137" s="538">
        <f ca="1">IFERROR(Data_Shelter_t[[#This Row],[HH Covered]]/OFFSET(Camp_List[HH],MATCH(Data_Shelter_t[[#This Row],[Camp Name]],Camp_List[Camp Name],0)-1,0,1,1),"")</f>
        <v>3.2071269487750555E-2</v>
      </c>
      <c r="X137" s="31">
        <f>Data_Shelter_t[[#This Row],['# of Permanent House Planned (Target)]]+Data_Shelter_t[[#This Row],['# of Individual Shelter Planned (Target)]]</f>
        <v>0</v>
      </c>
      <c r="Y137" s="553">
        <f>Data_Shelter_t[[#This Row],['# of Permanent House Built]]+Data_Shelter_t[[#This Row],['# of Individual Shelter Built]]</f>
        <v>0</v>
      </c>
    </row>
    <row r="138" spans="1:25" s="5" customFormat="1">
      <c r="A138" s="552">
        <v>41509</v>
      </c>
      <c r="B138" s="374" t="s">
        <v>295</v>
      </c>
      <c r="C138" s="374" t="s">
        <v>295</v>
      </c>
      <c r="D138" s="374" t="s">
        <v>7</v>
      </c>
      <c r="E138" s="376" t="s">
        <v>14</v>
      </c>
      <c r="F138" s="374" t="s">
        <v>42</v>
      </c>
      <c r="G138" s="89">
        <v>8</v>
      </c>
      <c r="H138" s="374"/>
      <c r="I138" s="374"/>
      <c r="J138" s="89">
        <v>9</v>
      </c>
      <c r="K138" s="89">
        <v>9</v>
      </c>
      <c r="L138" s="89"/>
      <c r="M138" s="89"/>
      <c r="N138" s="89"/>
      <c r="O138" s="374"/>
      <c r="P138" s="374"/>
      <c r="Q138" s="374"/>
      <c r="R138" s="126"/>
      <c r="S138" s="126">
        <v>72</v>
      </c>
      <c r="T138" s="126">
        <f ca="1">IF(Data_Shelter_t[[#This Row],[Status]]="Open",Data_Shelter_t[[#This Row],[HH Covered]],0)</f>
        <v>72</v>
      </c>
      <c r="U138" s="360" t="s">
        <v>129</v>
      </c>
      <c r="V138" s="564" t="str">
        <f ca="1">IFERROR(OFFSET(Camp_List[Status],MATCH(Data_Shelter_t[[#This Row],[Camp Name]],Camp_List[Camp Name],0)-1,0,1,1),"")</f>
        <v>Open</v>
      </c>
      <c r="W138" s="538">
        <f ca="1">IFERROR(Data_Shelter_t[[#This Row],[HH Covered]]/OFFSET(Camp_List[HH],MATCH(Data_Shelter_t[[#This Row],[Camp Name]],Camp_List[Camp Name],0)-1,0,1,1),"")</f>
        <v>6.25E-2</v>
      </c>
      <c r="X138" s="31">
        <f>Data_Shelter_t[[#This Row],['# of Permanent House Planned (Target)]]+Data_Shelter_t[[#This Row],['# of Individual Shelter Planned (Target)]]</f>
        <v>0</v>
      </c>
      <c r="Y138" s="553">
        <f>Data_Shelter_t[[#This Row],['# of Permanent House Built]]+Data_Shelter_t[[#This Row],['# of Individual Shelter Built]]</f>
        <v>0</v>
      </c>
    </row>
    <row r="139" spans="1:25" s="5" customFormat="1">
      <c r="A139" s="555">
        <v>42339</v>
      </c>
      <c r="B139" s="360" t="s">
        <v>287</v>
      </c>
      <c r="C139" s="360" t="s">
        <v>295</v>
      </c>
      <c r="D139" s="360" t="s">
        <v>7</v>
      </c>
      <c r="E139" s="375" t="s">
        <v>15</v>
      </c>
      <c r="F139" s="360"/>
      <c r="G139" s="24">
        <v>1</v>
      </c>
      <c r="H139" s="360"/>
      <c r="I139" s="360"/>
      <c r="J139" s="24"/>
      <c r="K139" s="24"/>
      <c r="L139" s="24"/>
      <c r="M139" s="24"/>
      <c r="N139" s="24"/>
      <c r="O139" s="360"/>
      <c r="P139" s="360"/>
      <c r="Q139" s="360"/>
      <c r="R139" s="590">
        <v>757</v>
      </c>
      <c r="S139" s="535"/>
      <c r="T139" s="535">
        <f ca="1">IF(Data_Shelter_t[[#This Row],[Status]]="Open",Data_Shelter_t[[#This Row],[HH Covered]],0)</f>
        <v>0</v>
      </c>
      <c r="U139" s="535"/>
      <c r="V139" s="537" t="str">
        <f ca="1">IFERROR(OFFSET(Camp_List[Status],MATCH(Data_Shelter_t[[#This Row],[Camp Name]],Camp_List[Camp Name],0)-1,0,1,1),"")</f>
        <v/>
      </c>
      <c r="W139" s="538" t="str">
        <f ca="1">IFERROR(Data_Shelter_t[[#This Row],[HH Covered]]/OFFSET(Camp_List[HH],MATCH(Data_Shelter_t[[#This Row],[Camp Name]],Camp_List[Camp Name],0)-1,0,1,1),"")</f>
        <v/>
      </c>
      <c r="X139" s="535">
        <f>Data_Shelter_t[[#This Row],['# of Permanent House Planned (Target)]]+Data_Shelter_t[[#This Row],['# of Individual Shelter Planned (Target)]]</f>
        <v>0</v>
      </c>
      <c r="Y139" s="557">
        <f>Data_Shelter_t[[#This Row],['# of Permanent House Built]]+Data_Shelter_t[[#This Row],['# of Individual Shelter Built]]</f>
        <v>0</v>
      </c>
    </row>
    <row r="140" spans="1:25" s="5" customFormat="1">
      <c r="A140" s="555">
        <v>42339</v>
      </c>
      <c r="B140" s="360" t="s">
        <v>287</v>
      </c>
      <c r="C140" s="360" t="s">
        <v>295</v>
      </c>
      <c r="D140" s="360" t="s">
        <v>7</v>
      </c>
      <c r="E140" s="375" t="s">
        <v>14</v>
      </c>
      <c r="F140" s="360"/>
      <c r="G140" s="24">
        <v>1</v>
      </c>
      <c r="H140" s="360"/>
      <c r="I140" s="360"/>
      <c r="J140" s="24"/>
      <c r="K140" s="24"/>
      <c r="L140" s="24"/>
      <c r="M140" s="24"/>
      <c r="N140" s="24"/>
      <c r="O140" s="360"/>
      <c r="P140" s="360"/>
      <c r="Q140" s="360"/>
      <c r="R140" s="590">
        <v>248</v>
      </c>
      <c r="S140" s="535"/>
      <c r="T140" s="535">
        <f ca="1">IF(Data_Shelter_t[[#This Row],[Status]]="Open",Data_Shelter_t[[#This Row],[HH Covered]],0)</f>
        <v>0</v>
      </c>
      <c r="U140" s="535"/>
      <c r="V140" s="537" t="str">
        <f ca="1">IFERROR(OFFSET(Camp_List[Status],MATCH(Data_Shelter_t[[#This Row],[Camp Name]],Camp_List[Camp Name],0)-1,0,1,1),"")</f>
        <v/>
      </c>
      <c r="W140" s="538" t="str">
        <f ca="1">IFERROR(Data_Shelter_t[[#This Row],[HH Covered]]/OFFSET(Camp_List[HH],MATCH(Data_Shelter_t[[#This Row],[Camp Name]],Camp_List[Camp Name],0)-1,0,1,1),"")</f>
        <v/>
      </c>
      <c r="X140" s="535">
        <f>Data_Shelter_t[[#This Row],['# of Permanent House Planned (Target)]]+Data_Shelter_t[[#This Row],['# of Individual Shelter Planned (Target)]]</f>
        <v>0</v>
      </c>
      <c r="Y140" s="557">
        <f>Data_Shelter_t[[#This Row],['# of Permanent House Built]]+Data_Shelter_t[[#This Row],['# of Individual Shelter Built]]</f>
        <v>0</v>
      </c>
    </row>
    <row r="141" spans="1:25" s="5" customFormat="1">
      <c r="A141" s="555">
        <v>42339</v>
      </c>
      <c r="B141" s="360" t="s">
        <v>287</v>
      </c>
      <c r="C141" s="360" t="s">
        <v>295</v>
      </c>
      <c r="D141" s="360" t="s">
        <v>7</v>
      </c>
      <c r="E141" s="375" t="s">
        <v>19</v>
      </c>
      <c r="F141" s="360"/>
      <c r="G141" s="24"/>
      <c r="H141" s="360"/>
      <c r="I141" s="360"/>
      <c r="J141" s="24"/>
      <c r="K141" s="24"/>
      <c r="L141" s="24"/>
      <c r="M141" s="24"/>
      <c r="N141" s="24"/>
      <c r="O141" s="360"/>
      <c r="P141" s="590">
        <v>151</v>
      </c>
      <c r="Q141" s="360"/>
      <c r="R141" s="535"/>
      <c r="S141" s="535"/>
      <c r="T141" s="535">
        <f ca="1">IF(Data_Shelter_t[[#This Row],[Status]]="Open",Data_Shelter_t[[#This Row],[HH Covered]],0)</f>
        <v>0</v>
      </c>
      <c r="U141" s="535"/>
      <c r="V141" s="537" t="str">
        <f ca="1">IFERROR(OFFSET(Camp_List[Status],MATCH(Data_Shelter_t[[#This Row],[Camp Name]],Camp_List[Camp Name],0)-1,0,1,1),"")</f>
        <v/>
      </c>
      <c r="W141" s="538" t="str">
        <f ca="1">IFERROR(Data_Shelter_t[[#This Row],[HH Covered]]/OFFSET(Camp_List[HH],MATCH(Data_Shelter_t[[#This Row],[Camp Name]],Camp_List[Camp Name],0)-1,0,1,1),"")</f>
        <v/>
      </c>
      <c r="X141" s="535">
        <f>Data_Shelter_t[[#This Row],['# of Permanent House Planned (Target)]]+Data_Shelter_t[[#This Row],['# of Individual Shelter Planned (Target)]]</f>
        <v>151</v>
      </c>
      <c r="Y141" s="557">
        <f>Data_Shelter_t[[#This Row],['# of Permanent House Built]]+Data_Shelter_t[[#This Row],['# of Individual Shelter Built]]</f>
        <v>0</v>
      </c>
    </row>
    <row r="142" spans="1:25" s="5" customFormat="1">
      <c r="A142" s="560" t="s">
        <v>5</v>
      </c>
      <c r="B142" s="130"/>
      <c r="C142" s="130"/>
      <c r="D142" s="130"/>
      <c r="E142" s="561"/>
      <c r="F142" s="130"/>
      <c r="G142" s="130"/>
      <c r="H142" s="130">
        <f>SUBTOTAL(109,Data_Shelter_t['#ofFamilyTentPlanned(Target)])</f>
        <v>127</v>
      </c>
      <c r="I142" s="130">
        <f>SUBTOTAL(109,Data_Shelter_t['#ofFamilyTentDistributed])</f>
        <v>127</v>
      </c>
      <c r="J142" s="130">
        <f>SUBTOTAL(109,Data_Shelter_t['# of Temporary Shelter Planned (Target)])</f>
        <v>2839</v>
      </c>
      <c r="K142" s="130">
        <f>SUBTOTAL(109,Data_Shelter_t['# of Temporary Shelter Built])</f>
        <v>2839</v>
      </c>
      <c r="L142" s="130">
        <f>SUBTOTAL(109,Data_Shelter_t['# of Temporary Shelter Under Construction])</f>
        <v>0</v>
      </c>
      <c r="M142" s="130">
        <f>SUBTOTAL(109,Data_Shelter_t['# of Permanent House Planned (Target)])</f>
        <v>1584</v>
      </c>
      <c r="N142" s="130">
        <f>SUBTOTAL(109,Data_Shelter_t['# of Permanent House Built])</f>
        <v>1380</v>
      </c>
      <c r="O142" s="130">
        <f>SUBTOTAL(109,Data_Shelter_t['#of Permanent House Under Construction])</f>
        <v>0</v>
      </c>
      <c r="P142" s="130">
        <f>SUBTOTAL(109,Data_Shelter_t['# of Individual Shelter Planned (Target)])</f>
        <v>4948</v>
      </c>
      <c r="Q142" s="533">
        <f>SUBTOTAL(109,Data_Shelter_t['# of Individual Shelter Built])</f>
        <v>1763</v>
      </c>
      <c r="R142" s="533">
        <f>SUBTOTAL(109,Data_Shelter_t['#of Individual Shelter Under Construction])</f>
        <v>1005</v>
      </c>
      <c r="S142" s="533">
        <f>SUBTOTAL(109,Data_Shelter_t[HH Covered])</f>
        <v>26305</v>
      </c>
      <c r="T142" s="533">
        <f ca="1">SUBTOTAL(109,Data_Shelter_t[HH Covered 2])</f>
        <v>21356</v>
      </c>
      <c r="U142" s="559"/>
      <c r="V142" s="548"/>
      <c r="W142" s="130"/>
      <c r="X142" s="559"/>
      <c r="Y142" s="562">
        <f>SUBTOTAL(109,Data_Shelter_t[Built])</f>
        <v>3143</v>
      </c>
    </row>
    <row r="143" spans="1:25" s="5" customFormat="1">
      <c r="A143" s="236"/>
      <c r="E143" s="85"/>
      <c r="W143" s="237"/>
    </row>
    <row r="144" spans="1:25" s="5" customFormat="1">
      <c r="A144" s="236"/>
      <c r="E144" s="85"/>
      <c r="W144" s="237"/>
    </row>
    <row r="145" spans="1:26" s="5" customFormat="1">
      <c r="A145" s="236"/>
      <c r="E145" s="85"/>
      <c r="W145" s="237"/>
    </row>
    <row r="146" spans="1:26" s="5" customFormat="1">
      <c r="A146" s="236"/>
      <c r="E146" s="85"/>
      <c r="W146" s="237"/>
    </row>
    <row r="147" spans="1:26" s="5" customFormat="1">
      <c r="A147" s="236"/>
      <c r="E147" s="85"/>
      <c r="R147" s="5">
        <v>757</v>
      </c>
      <c r="T147" s="5">
        <v>0</v>
      </c>
      <c r="W147" s="237"/>
    </row>
    <row r="148" spans="1:26" s="5" customFormat="1">
      <c r="A148" s="236"/>
      <c r="E148" s="85"/>
      <c r="R148" s="5">
        <v>248</v>
      </c>
      <c r="T148" s="5">
        <v>0</v>
      </c>
      <c r="W148" s="237"/>
    </row>
    <row r="149" spans="1:26" s="5" customFormat="1">
      <c r="A149" s="236"/>
      <c r="E149" s="85"/>
      <c r="T149" s="5">
        <v>0</v>
      </c>
      <c r="W149" s="237"/>
    </row>
    <row r="150" spans="1:26" s="5" customFormat="1">
      <c r="A150" s="236"/>
      <c r="E150" s="85"/>
      <c r="W150" s="237"/>
    </row>
    <row r="151" spans="1:26" s="5" customFormat="1">
      <c r="A151" s="236"/>
      <c r="E151" s="85"/>
      <c r="W151" s="237"/>
    </row>
    <row r="152" spans="1:26">
      <c r="A152" s="236"/>
      <c r="B152" s="5"/>
      <c r="C152" s="5"/>
      <c r="D152" s="5"/>
      <c r="E152" s="85"/>
      <c r="F152" s="5"/>
      <c r="G152" s="5"/>
      <c r="H152" s="5"/>
      <c r="I152" s="5"/>
      <c r="J152" s="5"/>
      <c r="K152" s="5"/>
      <c r="L152" s="5"/>
      <c r="M152" s="5"/>
      <c r="N152" s="5"/>
      <c r="O152" s="5"/>
      <c r="P152" s="5"/>
      <c r="Q152" s="5"/>
      <c r="R152" s="5"/>
      <c r="S152" s="5"/>
      <c r="T152" s="5"/>
      <c r="U152" s="5"/>
      <c r="W152" s="237"/>
      <c r="X152" s="5"/>
      <c r="Y152" s="5"/>
      <c r="Z152" s="5"/>
    </row>
    <row r="153" spans="1:26">
      <c r="A153" s="236"/>
      <c r="B153" s="5"/>
      <c r="C153" s="5"/>
      <c r="D153" s="5"/>
      <c r="E153" s="85"/>
      <c r="F153" s="5"/>
      <c r="G153" s="5"/>
      <c r="H153" s="5"/>
      <c r="I153" s="5"/>
      <c r="J153" s="5"/>
      <c r="K153" s="5"/>
      <c r="L153" s="5"/>
      <c r="M153" s="5"/>
      <c r="N153" s="5"/>
      <c r="O153" s="5"/>
      <c r="P153" s="5"/>
      <c r="Q153" s="5"/>
      <c r="R153" s="5"/>
      <c r="S153" s="5"/>
      <c r="T153" s="5"/>
      <c r="U153" s="5"/>
      <c r="W153" s="237"/>
      <c r="X153" s="5"/>
      <c r="Y153" s="5"/>
      <c r="Z153" s="5"/>
    </row>
    <row r="154" spans="1:26">
      <c r="A154" s="236"/>
      <c r="B154" s="5"/>
      <c r="C154" s="5"/>
      <c r="D154" s="5"/>
      <c r="E154" s="85"/>
      <c r="F154" s="5"/>
      <c r="G154" s="5"/>
      <c r="H154" s="5"/>
      <c r="I154" s="5"/>
      <c r="J154" s="5"/>
      <c r="K154" s="5"/>
      <c r="L154" s="5"/>
      <c r="M154" s="5"/>
      <c r="N154" s="5"/>
      <c r="O154" s="5"/>
      <c r="P154" s="5"/>
      <c r="Q154" s="5"/>
      <c r="R154" s="5"/>
      <c r="S154" s="5"/>
      <c r="T154" s="5"/>
      <c r="U154" s="5"/>
      <c r="W154" s="237"/>
      <c r="X154" s="5"/>
      <c r="Y154" s="5"/>
      <c r="Z154" s="5"/>
    </row>
    <row r="155" spans="1:26">
      <c r="A155" s="236"/>
      <c r="B155" s="5"/>
      <c r="C155" s="5"/>
      <c r="D155" s="5"/>
      <c r="E155" s="85"/>
      <c r="F155" s="5"/>
      <c r="G155" s="5"/>
      <c r="H155" s="5"/>
      <c r="I155" s="5"/>
      <c r="J155" s="5"/>
      <c r="K155" s="5"/>
      <c r="L155" s="5"/>
      <c r="M155" s="5"/>
      <c r="N155" s="5"/>
      <c r="O155" s="5"/>
      <c r="P155" s="5"/>
      <c r="Q155" s="5"/>
      <c r="R155" s="5"/>
      <c r="S155" s="5"/>
      <c r="T155" s="5"/>
      <c r="U155" s="5"/>
      <c r="W155" s="237"/>
      <c r="X155" s="5"/>
      <c r="Y155" s="5"/>
      <c r="Z155" s="5"/>
    </row>
    <row r="156" spans="1:26">
      <c r="A156" s="236"/>
      <c r="B156" s="5"/>
      <c r="C156" s="5"/>
      <c r="D156" s="5"/>
      <c r="E156" s="85"/>
      <c r="F156" s="5"/>
      <c r="G156" s="5"/>
      <c r="H156" s="5"/>
      <c r="I156" s="5"/>
      <c r="J156" s="5"/>
      <c r="K156" s="5"/>
      <c r="L156" s="5"/>
      <c r="M156" s="5"/>
      <c r="N156" s="5"/>
      <c r="O156" s="5"/>
      <c r="P156" s="5"/>
      <c r="Q156" s="5"/>
      <c r="R156" s="5"/>
      <c r="S156" s="5"/>
      <c r="T156" s="5"/>
      <c r="U156" s="5"/>
      <c r="W156" s="237"/>
      <c r="X156" s="5"/>
      <c r="Y156" s="5"/>
      <c r="Z156" s="5"/>
    </row>
    <row r="157" spans="1:26">
      <c r="A157" s="236"/>
      <c r="B157" s="5"/>
      <c r="C157" s="5"/>
      <c r="D157" s="5"/>
      <c r="E157" s="85"/>
      <c r="F157" s="5"/>
      <c r="G157" s="5"/>
      <c r="H157" s="5"/>
      <c r="I157" s="5"/>
      <c r="J157" s="5"/>
      <c r="K157" s="5"/>
      <c r="L157" s="5"/>
      <c r="M157" s="5"/>
      <c r="N157" s="5"/>
      <c r="O157" s="5"/>
      <c r="P157" s="5"/>
      <c r="Q157" s="5"/>
      <c r="R157" s="5"/>
      <c r="S157" s="5"/>
      <c r="T157" s="5"/>
      <c r="U157" s="5"/>
      <c r="W157" s="237"/>
      <c r="X157" s="5"/>
      <c r="Y157" s="5"/>
      <c r="Z157" s="5"/>
    </row>
    <row r="158" spans="1:26">
      <c r="A158" s="236"/>
      <c r="B158" s="5"/>
      <c r="C158" s="5"/>
      <c r="D158" s="5"/>
      <c r="E158" s="85"/>
      <c r="F158" s="5"/>
      <c r="G158" s="5"/>
      <c r="H158" s="5"/>
      <c r="I158" s="5"/>
      <c r="J158" s="5"/>
      <c r="K158" s="5"/>
      <c r="L158" s="5"/>
      <c r="M158" s="5"/>
      <c r="N158" s="5"/>
      <c r="O158" s="5"/>
      <c r="P158" s="5"/>
      <c r="Q158" s="5"/>
      <c r="R158" s="5"/>
      <c r="S158" s="5"/>
      <c r="T158" s="5"/>
      <c r="U158" s="5"/>
      <c r="W158" s="237"/>
      <c r="X158" s="5"/>
      <c r="Y158" s="5"/>
      <c r="Z158" s="5"/>
    </row>
    <row r="159" spans="1:26">
      <c r="A159" s="236"/>
      <c r="B159" s="5"/>
      <c r="C159" s="5"/>
      <c r="D159" s="5"/>
      <c r="E159" s="85"/>
      <c r="F159" s="5"/>
      <c r="G159" s="5"/>
      <c r="H159" s="5"/>
      <c r="I159" s="5"/>
      <c r="J159" s="5"/>
      <c r="K159" s="5"/>
      <c r="L159" s="5"/>
      <c r="M159" s="5"/>
      <c r="N159" s="5"/>
      <c r="O159" s="5"/>
      <c r="P159" s="5"/>
      <c r="Q159" s="5"/>
      <c r="R159" s="5"/>
      <c r="S159" s="5"/>
      <c r="T159" s="5"/>
      <c r="U159" s="5"/>
      <c r="W159" s="237"/>
      <c r="X159" s="5"/>
      <c r="Y159" s="5"/>
      <c r="Z159" s="5"/>
    </row>
    <row r="160" spans="1:26">
      <c r="A160" s="236"/>
      <c r="B160" s="5"/>
      <c r="C160" s="5"/>
      <c r="D160" s="5"/>
      <c r="E160" s="85"/>
      <c r="F160" s="5"/>
      <c r="G160" s="5"/>
      <c r="H160" s="5"/>
      <c r="I160" s="5"/>
      <c r="J160" s="5"/>
      <c r="K160" s="5"/>
      <c r="L160" s="5"/>
      <c r="M160" s="5"/>
      <c r="N160" s="5"/>
      <c r="O160" s="5"/>
      <c r="P160" s="5"/>
      <c r="Q160" s="5"/>
      <c r="R160" s="5"/>
      <c r="S160" s="5"/>
      <c r="T160" s="5"/>
      <c r="U160" s="5"/>
      <c r="W160" s="237"/>
      <c r="X160" s="5"/>
      <c r="Y160" s="5"/>
      <c r="Z160" s="5"/>
    </row>
    <row r="161" spans="1:26">
      <c r="A161" s="236"/>
      <c r="B161" s="5"/>
      <c r="C161" s="5"/>
      <c r="D161" s="5"/>
      <c r="E161" s="85"/>
      <c r="F161" s="5"/>
      <c r="G161" s="5"/>
      <c r="H161" s="5"/>
      <c r="I161" s="5"/>
      <c r="J161" s="5"/>
      <c r="K161" s="5"/>
      <c r="L161" s="5"/>
      <c r="M161" s="5"/>
      <c r="N161" s="5"/>
      <c r="O161" s="5"/>
      <c r="P161" s="5"/>
      <c r="Q161" s="5"/>
      <c r="R161" s="5"/>
      <c r="S161" s="5"/>
      <c r="T161" s="5"/>
      <c r="U161" s="5"/>
      <c r="W161" s="237"/>
      <c r="X161" s="5"/>
      <c r="Y161" s="5"/>
      <c r="Z161" s="5"/>
    </row>
    <row r="162" spans="1:26">
      <c r="A162" s="236"/>
      <c r="B162" s="5"/>
      <c r="C162" s="5"/>
      <c r="D162" s="5"/>
      <c r="E162" s="85"/>
      <c r="F162" s="5"/>
      <c r="G162" s="5"/>
      <c r="H162" s="5"/>
      <c r="I162" s="5"/>
      <c r="J162" s="5"/>
      <c r="K162" s="5"/>
      <c r="L162" s="5"/>
      <c r="M162" s="5"/>
      <c r="N162" s="5"/>
      <c r="O162" s="5"/>
      <c r="P162" s="5"/>
      <c r="Q162" s="5"/>
      <c r="R162" s="5"/>
      <c r="S162" s="5"/>
      <c r="T162" s="5"/>
      <c r="U162" s="5"/>
      <c r="W162" s="237"/>
      <c r="X162" s="5"/>
      <c r="Y162" s="5"/>
      <c r="Z162" s="5"/>
    </row>
    <row r="163" spans="1:26">
      <c r="A163" s="236"/>
      <c r="B163" s="5"/>
      <c r="C163" s="5"/>
      <c r="D163" s="5"/>
      <c r="E163" s="85"/>
      <c r="F163" s="5"/>
      <c r="G163" s="5"/>
      <c r="H163" s="5"/>
      <c r="I163" s="5"/>
      <c r="J163" s="5"/>
      <c r="K163" s="5"/>
      <c r="L163" s="5"/>
      <c r="M163" s="5"/>
      <c r="N163" s="5"/>
      <c r="O163" s="5"/>
      <c r="P163" s="5"/>
      <c r="Q163" s="5"/>
      <c r="R163" s="5"/>
      <c r="S163" s="5"/>
      <c r="T163" s="5"/>
      <c r="U163" s="5"/>
      <c r="W163" s="237"/>
      <c r="X163" s="5"/>
      <c r="Y163" s="5"/>
      <c r="Z163" s="5"/>
    </row>
    <row r="164" spans="1:26">
      <c r="A164" s="236"/>
      <c r="B164" s="5"/>
      <c r="C164" s="5"/>
      <c r="D164" s="5"/>
      <c r="E164" s="85"/>
      <c r="F164" s="5"/>
      <c r="G164" s="5"/>
      <c r="H164" s="5"/>
      <c r="I164" s="5"/>
      <c r="J164" s="5"/>
      <c r="K164" s="5"/>
      <c r="L164" s="5"/>
      <c r="M164" s="5"/>
      <c r="N164" s="5"/>
      <c r="O164" s="5"/>
      <c r="P164" s="5"/>
      <c r="Q164" s="5"/>
      <c r="R164" s="5"/>
      <c r="S164" s="5"/>
      <c r="T164" s="5"/>
      <c r="U164" s="5"/>
      <c r="W164" s="237"/>
      <c r="X164" s="5"/>
      <c r="Y164" s="5"/>
      <c r="Z164" s="5"/>
    </row>
    <row r="165" spans="1:26">
      <c r="A165" s="236"/>
      <c r="B165" s="5"/>
      <c r="C165" s="5"/>
      <c r="D165" s="5"/>
      <c r="E165" s="85"/>
      <c r="F165" s="5"/>
      <c r="G165" s="5"/>
      <c r="H165" s="5"/>
      <c r="I165" s="5"/>
      <c r="J165" s="5"/>
      <c r="K165" s="5"/>
      <c r="L165" s="5"/>
      <c r="M165" s="5"/>
      <c r="N165" s="5"/>
      <c r="O165" s="5"/>
      <c r="P165" s="5"/>
      <c r="Q165" s="5"/>
      <c r="R165" s="5"/>
      <c r="S165" s="5"/>
      <c r="T165" s="5"/>
      <c r="U165" s="5"/>
      <c r="W165" s="237"/>
      <c r="X165" s="5"/>
      <c r="Y165" s="5"/>
    </row>
    <row r="166" spans="1:26">
      <c r="A166" s="236"/>
      <c r="B166" s="5"/>
      <c r="C166" s="5"/>
      <c r="D166" s="5"/>
      <c r="E166" s="85"/>
      <c r="F166" s="5"/>
      <c r="G166" s="5"/>
      <c r="H166" s="5"/>
      <c r="I166" s="5"/>
      <c r="J166" s="5"/>
      <c r="K166" s="5"/>
      <c r="L166" s="5"/>
      <c r="M166" s="5"/>
      <c r="N166" s="5"/>
      <c r="O166" s="5"/>
      <c r="P166" s="5"/>
      <c r="Q166" s="5"/>
      <c r="R166" s="5"/>
      <c r="S166" s="5"/>
      <c r="T166" s="5"/>
      <c r="U166" s="5"/>
      <c r="W166" s="237"/>
      <c r="X166" s="5"/>
      <c r="Y166" s="5"/>
    </row>
    <row r="167" spans="1:26">
      <c r="A167" s="236"/>
      <c r="B167" s="5"/>
      <c r="C167" s="5"/>
      <c r="D167" s="5"/>
      <c r="E167" s="85"/>
      <c r="F167" s="5"/>
      <c r="G167" s="5"/>
      <c r="H167" s="5"/>
      <c r="I167" s="5"/>
      <c r="J167" s="5"/>
      <c r="K167" s="5"/>
      <c r="L167" s="5"/>
      <c r="M167" s="5"/>
      <c r="N167" s="5"/>
      <c r="O167" s="5"/>
      <c r="P167" s="5"/>
      <c r="Q167" s="5"/>
      <c r="R167" s="5"/>
      <c r="S167" s="5"/>
      <c r="T167" s="5"/>
      <c r="U167" s="5"/>
      <c r="W167" s="237"/>
      <c r="X167" s="5"/>
    </row>
    <row r="168" spans="1:26">
      <c r="A168" s="236"/>
      <c r="B168" s="5"/>
      <c r="C168" s="5"/>
      <c r="D168" s="5"/>
      <c r="E168" s="85"/>
      <c r="F168" s="5"/>
      <c r="G168" s="5"/>
      <c r="H168" s="5"/>
      <c r="I168" s="5"/>
      <c r="J168" s="5"/>
      <c r="K168" s="5"/>
      <c r="L168" s="5"/>
      <c r="M168" s="5"/>
      <c r="N168" s="5"/>
      <c r="O168" s="5"/>
      <c r="P168" s="5"/>
      <c r="Q168" s="5"/>
      <c r="R168" s="5"/>
      <c r="S168" s="5"/>
      <c r="T168" s="5"/>
      <c r="U168" s="5"/>
      <c r="W168" s="237"/>
      <c r="X168" s="5"/>
    </row>
    <row r="169" spans="1:26">
      <c r="A169" s="236"/>
      <c r="B169" s="5"/>
      <c r="C169" s="5"/>
      <c r="D169" s="5"/>
      <c r="E169" s="85"/>
      <c r="F169" s="5"/>
      <c r="G169" s="5"/>
      <c r="H169" s="5"/>
      <c r="I169" s="5"/>
      <c r="J169" s="5"/>
      <c r="K169" s="5"/>
      <c r="L169" s="5"/>
      <c r="M169" s="5"/>
      <c r="N169" s="5"/>
      <c r="O169" s="5"/>
      <c r="P169" s="5"/>
      <c r="Q169" s="5"/>
      <c r="R169" s="5"/>
      <c r="S169" s="5"/>
      <c r="T169" s="5"/>
      <c r="U169" s="5"/>
      <c r="W169" s="237"/>
      <c r="X169" s="5"/>
    </row>
    <row r="170" spans="1:26">
      <c r="A170" s="236"/>
      <c r="B170" s="5"/>
      <c r="C170" s="5"/>
      <c r="D170" s="5"/>
      <c r="E170" s="85"/>
      <c r="F170" s="5"/>
      <c r="G170" s="5"/>
      <c r="H170" s="5"/>
      <c r="I170" s="5"/>
      <c r="J170" s="5"/>
      <c r="K170" s="5"/>
      <c r="L170" s="5"/>
      <c r="M170" s="5"/>
      <c r="N170" s="5"/>
      <c r="O170" s="5"/>
      <c r="P170" s="5"/>
      <c r="Q170" s="5"/>
      <c r="R170" s="5"/>
      <c r="S170" s="5"/>
      <c r="T170" s="5"/>
      <c r="U170" s="5"/>
      <c r="W170" s="237"/>
      <c r="X170" s="5"/>
    </row>
    <row r="171" spans="1:26">
      <c r="A171" s="236"/>
      <c r="B171" s="5"/>
      <c r="C171" s="5"/>
      <c r="D171" s="5"/>
      <c r="E171" s="85"/>
      <c r="F171" s="5"/>
      <c r="G171" s="5"/>
      <c r="H171" s="5"/>
      <c r="I171" s="5"/>
      <c r="J171" s="5"/>
      <c r="K171" s="5"/>
      <c r="L171" s="5"/>
      <c r="M171" s="5"/>
      <c r="N171" s="5"/>
      <c r="O171" s="5"/>
      <c r="P171" s="5"/>
      <c r="Q171" s="5"/>
      <c r="R171" s="5"/>
      <c r="S171" s="5"/>
      <c r="T171" s="5"/>
      <c r="U171" s="5"/>
      <c r="W171" s="237"/>
      <c r="X171" s="5"/>
    </row>
    <row r="172" spans="1:26">
      <c r="A172" s="236"/>
      <c r="B172" s="5"/>
      <c r="C172" s="5"/>
      <c r="D172" s="5"/>
      <c r="E172" s="85"/>
      <c r="F172" s="5"/>
      <c r="G172" s="5"/>
      <c r="H172" s="5"/>
      <c r="I172" s="5"/>
      <c r="J172" s="5"/>
      <c r="K172" s="5"/>
      <c r="L172" s="5"/>
      <c r="M172" s="5"/>
      <c r="N172" s="5"/>
      <c r="O172" s="5"/>
      <c r="P172" s="5"/>
      <c r="Q172" s="5"/>
      <c r="R172" s="5"/>
      <c r="S172" s="5"/>
      <c r="T172" s="5"/>
      <c r="U172" s="5"/>
      <c r="W172" s="237"/>
      <c r="X172" s="5"/>
    </row>
    <row r="173" spans="1:26">
      <c r="A173" s="236"/>
      <c r="B173" s="5"/>
      <c r="C173" s="5"/>
      <c r="D173" s="5"/>
      <c r="E173" s="85"/>
      <c r="F173" s="5"/>
      <c r="G173" s="5"/>
      <c r="H173" s="5"/>
      <c r="I173" s="5"/>
      <c r="J173" s="5"/>
      <c r="K173" s="5"/>
      <c r="L173" s="5"/>
      <c r="M173" s="5"/>
      <c r="N173" s="5"/>
      <c r="O173" s="5"/>
      <c r="P173" s="5"/>
      <c r="Q173" s="5"/>
      <c r="R173" s="5"/>
      <c r="S173" s="5"/>
      <c r="T173" s="5"/>
      <c r="U173" s="5"/>
      <c r="W173" s="237"/>
      <c r="X173" s="5"/>
    </row>
    <row r="174" spans="1:26">
      <c r="A174" s="236"/>
      <c r="B174" s="5"/>
      <c r="C174" s="5"/>
      <c r="D174" s="5"/>
      <c r="E174" s="85"/>
      <c r="F174" s="5"/>
      <c r="G174" s="5"/>
      <c r="H174" s="5"/>
      <c r="I174" s="5"/>
      <c r="J174" s="5"/>
      <c r="K174" s="5"/>
      <c r="L174" s="5"/>
      <c r="M174" s="5"/>
      <c r="N174" s="5"/>
      <c r="O174" s="5"/>
      <c r="P174" s="5"/>
      <c r="Q174" s="5"/>
      <c r="R174" s="5"/>
      <c r="S174" s="5"/>
      <c r="T174" s="5"/>
      <c r="U174" s="5"/>
      <c r="W174" s="237"/>
      <c r="X174" s="5"/>
    </row>
    <row r="175" spans="1:26">
      <c r="A175" s="236"/>
      <c r="B175" s="5"/>
      <c r="C175" s="5"/>
      <c r="D175" s="5"/>
      <c r="E175" s="85"/>
      <c r="F175" s="5"/>
      <c r="G175" s="5"/>
      <c r="H175" s="5"/>
      <c r="I175" s="5"/>
      <c r="J175" s="5"/>
      <c r="K175" s="5"/>
      <c r="L175" s="5"/>
      <c r="M175" s="5"/>
      <c r="N175" s="5"/>
      <c r="O175" s="5"/>
      <c r="P175" s="5"/>
      <c r="Q175" s="5"/>
      <c r="R175" s="5"/>
      <c r="S175" s="5"/>
      <c r="T175" s="5"/>
      <c r="U175" s="5"/>
      <c r="W175" s="237"/>
      <c r="X175" s="5"/>
    </row>
    <row r="176" spans="1:26">
      <c r="A176" s="236"/>
      <c r="B176" s="5"/>
      <c r="C176" s="5"/>
      <c r="D176" s="5"/>
      <c r="E176" s="85"/>
      <c r="F176" s="5"/>
      <c r="G176" s="5"/>
      <c r="H176" s="5"/>
      <c r="I176" s="5"/>
      <c r="J176" s="5"/>
      <c r="K176" s="5"/>
      <c r="L176" s="5"/>
      <c r="M176" s="5"/>
      <c r="N176" s="5"/>
      <c r="O176" s="5"/>
      <c r="P176" s="5"/>
      <c r="Q176" s="5"/>
      <c r="R176" s="5"/>
      <c r="S176" s="5"/>
      <c r="T176" s="5"/>
      <c r="U176" s="5"/>
      <c r="W176" s="237"/>
      <c r="X176" s="5"/>
    </row>
    <row r="177" spans="1:24">
      <c r="A177" s="236"/>
      <c r="B177" s="5"/>
      <c r="C177" s="5"/>
      <c r="D177" s="5"/>
      <c r="E177" s="85"/>
      <c r="F177" s="5"/>
      <c r="G177" s="5"/>
      <c r="H177" s="5"/>
      <c r="I177" s="5"/>
      <c r="J177" s="5"/>
      <c r="K177" s="5"/>
      <c r="L177" s="5"/>
      <c r="M177" s="5"/>
      <c r="N177" s="5"/>
      <c r="O177" s="5"/>
      <c r="P177" s="5"/>
      <c r="Q177" s="5"/>
      <c r="R177" s="5"/>
      <c r="S177" s="5"/>
      <c r="T177" s="5"/>
      <c r="U177" s="5"/>
      <c r="W177" s="237"/>
      <c r="X177" s="5"/>
    </row>
    <row r="178" spans="1:24">
      <c r="A178" s="236"/>
      <c r="B178" s="5"/>
      <c r="C178" s="5"/>
      <c r="D178" s="5"/>
      <c r="E178" s="85"/>
      <c r="F178" s="5"/>
      <c r="G178" s="5"/>
      <c r="H178" s="5"/>
      <c r="I178" s="5"/>
      <c r="J178" s="5"/>
      <c r="K178" s="5"/>
      <c r="L178" s="5"/>
      <c r="M178" s="5"/>
      <c r="N178" s="5"/>
      <c r="O178" s="5"/>
      <c r="P178" s="5"/>
      <c r="Q178" s="5"/>
      <c r="R178" s="5"/>
      <c r="S178" s="5"/>
      <c r="T178" s="5"/>
      <c r="U178" s="5"/>
      <c r="W178" s="237"/>
      <c r="X178" s="5"/>
    </row>
    <row r="179" spans="1:24">
      <c r="A179" s="236"/>
      <c r="B179" s="5"/>
      <c r="C179" s="5"/>
      <c r="D179" s="5"/>
      <c r="E179" s="85"/>
      <c r="F179" s="5"/>
      <c r="G179" s="5"/>
      <c r="H179" s="5"/>
      <c r="I179" s="5"/>
      <c r="J179" s="5"/>
      <c r="K179" s="5"/>
      <c r="L179" s="5"/>
      <c r="M179" s="5"/>
      <c r="N179" s="5"/>
      <c r="O179" s="5"/>
      <c r="P179" s="5"/>
      <c r="Q179" s="5"/>
      <c r="R179" s="5"/>
      <c r="S179" s="5"/>
      <c r="T179" s="5"/>
      <c r="U179" s="5"/>
      <c r="W179" s="237"/>
      <c r="X179" s="5"/>
    </row>
    <row r="180" spans="1:24">
      <c r="A180" s="236"/>
      <c r="B180" s="5"/>
      <c r="C180" s="5"/>
      <c r="D180" s="5"/>
      <c r="E180" s="85"/>
      <c r="F180" s="5"/>
      <c r="G180" s="5"/>
      <c r="H180" s="5"/>
      <c r="I180" s="5"/>
      <c r="J180" s="5"/>
      <c r="K180" s="5"/>
      <c r="L180" s="5"/>
      <c r="M180" s="5"/>
      <c r="N180" s="5"/>
      <c r="O180" s="5"/>
      <c r="P180" s="5"/>
      <c r="Q180" s="5"/>
      <c r="R180" s="5"/>
      <c r="S180" s="5"/>
      <c r="T180" s="5"/>
      <c r="U180" s="5"/>
      <c r="W180" s="237"/>
      <c r="X180" s="5"/>
    </row>
    <row r="181" spans="1:24">
      <c r="A181" s="236"/>
      <c r="B181" s="5"/>
      <c r="C181" s="5"/>
      <c r="D181" s="5"/>
      <c r="E181" s="85"/>
      <c r="F181" s="5"/>
      <c r="G181" s="5"/>
      <c r="H181" s="5"/>
      <c r="I181" s="5"/>
      <c r="J181" s="5"/>
      <c r="K181" s="5"/>
      <c r="L181" s="5"/>
      <c r="M181" s="5"/>
      <c r="N181" s="5"/>
      <c r="O181" s="5"/>
      <c r="P181" s="5"/>
      <c r="Q181" s="5"/>
      <c r="R181" s="5"/>
      <c r="S181" s="5"/>
      <c r="T181" s="5"/>
      <c r="U181" s="5"/>
      <c r="W181" s="237"/>
      <c r="X181" s="5"/>
    </row>
    <row r="182" spans="1:24">
      <c r="A182" s="236"/>
      <c r="B182" s="5"/>
      <c r="C182" s="5"/>
      <c r="D182" s="5"/>
      <c r="E182" s="85"/>
      <c r="F182" s="5"/>
      <c r="G182" s="5"/>
      <c r="H182" s="5"/>
      <c r="I182" s="5"/>
      <c r="J182" s="5"/>
      <c r="K182" s="5"/>
      <c r="L182" s="5"/>
      <c r="M182" s="5"/>
      <c r="N182" s="5"/>
      <c r="O182" s="5"/>
      <c r="P182" s="5"/>
      <c r="Q182" s="5"/>
      <c r="R182" s="5"/>
      <c r="S182" s="5"/>
      <c r="T182" s="5"/>
      <c r="U182" s="5"/>
      <c r="W182" s="237"/>
      <c r="X182" s="5"/>
    </row>
    <row r="183" spans="1:24">
      <c r="A183" s="236"/>
      <c r="B183" s="5"/>
      <c r="C183" s="5"/>
      <c r="D183" s="5"/>
      <c r="E183" s="85"/>
      <c r="F183" s="5"/>
      <c r="G183" s="5"/>
      <c r="H183" s="5"/>
      <c r="I183" s="5"/>
      <c r="J183" s="5"/>
      <c r="K183" s="5"/>
      <c r="L183" s="5"/>
      <c r="M183" s="5"/>
      <c r="N183" s="5"/>
      <c r="O183" s="5"/>
      <c r="P183" s="5"/>
      <c r="Q183" s="5"/>
      <c r="R183" s="5"/>
      <c r="S183" s="5"/>
      <c r="T183" s="5"/>
      <c r="U183" s="5"/>
      <c r="W183" s="237"/>
      <c r="X183" s="5"/>
    </row>
    <row r="184" spans="1:24">
      <c r="A184" s="236"/>
      <c r="B184" s="5"/>
      <c r="C184" s="5"/>
      <c r="D184" s="5"/>
      <c r="E184" s="85"/>
      <c r="F184" s="5"/>
      <c r="G184" s="5"/>
      <c r="H184" s="5"/>
      <c r="I184" s="5"/>
      <c r="J184" s="5"/>
      <c r="K184" s="5"/>
      <c r="L184" s="5"/>
      <c r="M184" s="5"/>
      <c r="N184" s="5"/>
      <c r="O184" s="5"/>
      <c r="P184" s="5"/>
      <c r="Q184" s="5"/>
      <c r="R184" s="5"/>
      <c r="S184" s="5"/>
      <c r="T184" s="5"/>
      <c r="U184" s="5"/>
      <c r="W184" s="237"/>
      <c r="X184" s="5"/>
    </row>
    <row r="185" spans="1:24">
      <c r="A185" s="236"/>
      <c r="B185" s="5"/>
      <c r="C185" s="5"/>
      <c r="D185" s="5"/>
      <c r="E185" s="85"/>
      <c r="F185" s="5"/>
      <c r="G185" s="5"/>
      <c r="H185" s="5"/>
      <c r="I185" s="5"/>
      <c r="J185" s="5"/>
      <c r="K185" s="5"/>
      <c r="L185" s="5"/>
      <c r="M185" s="5"/>
      <c r="N185" s="5"/>
      <c r="O185" s="5"/>
      <c r="P185" s="5"/>
      <c r="Q185" s="5"/>
      <c r="R185" s="5"/>
      <c r="S185" s="5"/>
      <c r="T185" s="5"/>
      <c r="U185" s="5"/>
      <c r="W185" s="237"/>
      <c r="X185" s="5"/>
    </row>
    <row r="186" spans="1:24">
      <c r="A186" s="236"/>
      <c r="B186" s="5"/>
      <c r="C186" s="5"/>
      <c r="D186" s="5"/>
      <c r="E186" s="85"/>
      <c r="F186" s="5"/>
      <c r="G186" s="5"/>
      <c r="H186" s="5"/>
      <c r="I186" s="5"/>
      <c r="J186" s="5"/>
      <c r="K186" s="5"/>
      <c r="L186" s="5"/>
      <c r="M186" s="5"/>
      <c r="N186" s="5"/>
      <c r="O186" s="5"/>
      <c r="P186" s="5"/>
      <c r="Q186" s="5"/>
      <c r="R186" s="5"/>
      <c r="S186" s="5"/>
      <c r="T186" s="5"/>
      <c r="U186" s="5"/>
      <c r="W186" s="237"/>
      <c r="X186" s="5"/>
    </row>
    <row r="187" spans="1:24">
      <c r="A187" s="236"/>
      <c r="B187" s="5"/>
      <c r="C187" s="5"/>
      <c r="D187" s="5"/>
      <c r="E187" s="85"/>
      <c r="F187" s="5"/>
      <c r="G187" s="5"/>
      <c r="H187" s="5"/>
      <c r="I187" s="5"/>
      <c r="J187" s="5"/>
      <c r="K187" s="5"/>
      <c r="L187" s="5"/>
      <c r="M187" s="5"/>
      <c r="N187" s="5"/>
      <c r="O187" s="5"/>
      <c r="P187" s="5"/>
      <c r="Q187" s="5"/>
      <c r="R187" s="5"/>
      <c r="S187" s="5"/>
      <c r="T187" s="5"/>
      <c r="U187" s="5"/>
      <c r="W187" s="237"/>
      <c r="X187" s="5"/>
    </row>
    <row r="188" spans="1:24">
      <c r="A188" s="236"/>
      <c r="B188" s="5"/>
      <c r="C188" s="5"/>
      <c r="D188" s="5"/>
      <c r="E188" s="85"/>
      <c r="F188" s="5"/>
      <c r="G188" s="5"/>
      <c r="H188" s="5"/>
      <c r="I188" s="5"/>
      <c r="J188" s="5"/>
      <c r="K188" s="5"/>
      <c r="L188" s="5"/>
      <c r="M188" s="5"/>
      <c r="N188" s="5"/>
      <c r="O188" s="5"/>
      <c r="P188" s="5"/>
      <c r="Q188" s="5"/>
      <c r="R188" s="5"/>
      <c r="S188" s="5"/>
      <c r="T188" s="5"/>
      <c r="U188" s="5"/>
      <c r="W188" s="237"/>
      <c r="X188" s="5"/>
    </row>
    <row r="189" spans="1:24">
      <c r="A189" s="236"/>
      <c r="B189" s="5"/>
      <c r="C189" s="5"/>
      <c r="D189" s="5"/>
      <c r="E189" s="85"/>
      <c r="F189" s="5"/>
      <c r="G189" s="5"/>
      <c r="H189" s="5"/>
      <c r="I189" s="5"/>
      <c r="J189" s="5"/>
      <c r="K189" s="5"/>
      <c r="L189" s="5"/>
      <c r="M189" s="5"/>
      <c r="N189" s="5"/>
      <c r="O189" s="5"/>
      <c r="P189" s="5"/>
      <c r="Q189" s="5"/>
      <c r="R189" s="5"/>
      <c r="S189" s="5"/>
      <c r="T189" s="5"/>
      <c r="U189" s="5"/>
      <c r="W189" s="237"/>
      <c r="X189" s="5"/>
    </row>
    <row r="190" spans="1:24">
      <c r="A190" s="236"/>
      <c r="B190" s="5"/>
      <c r="C190" s="5"/>
      <c r="D190" s="5"/>
      <c r="E190" s="85"/>
      <c r="F190" s="5"/>
      <c r="G190" s="5"/>
      <c r="H190" s="5"/>
      <c r="I190" s="5"/>
      <c r="J190" s="5"/>
      <c r="K190" s="5"/>
      <c r="L190" s="5"/>
      <c r="M190" s="5"/>
      <c r="N190" s="5"/>
      <c r="O190" s="5"/>
      <c r="P190" s="5"/>
      <c r="Q190" s="5"/>
      <c r="R190" s="5"/>
      <c r="S190" s="5"/>
      <c r="T190" s="5"/>
      <c r="U190" s="5"/>
      <c r="W190" s="237"/>
      <c r="X190" s="5"/>
    </row>
    <row r="191" spans="1:24">
      <c r="A191" s="236"/>
      <c r="B191" s="5"/>
      <c r="C191" s="5"/>
      <c r="D191" s="5"/>
      <c r="E191" s="85"/>
      <c r="F191" s="5"/>
      <c r="G191" s="5"/>
      <c r="H191" s="5"/>
      <c r="I191" s="5"/>
      <c r="J191" s="5"/>
      <c r="K191" s="5"/>
      <c r="L191" s="5"/>
      <c r="M191" s="5"/>
      <c r="N191" s="5"/>
      <c r="O191" s="5"/>
      <c r="P191" s="5"/>
      <c r="Q191" s="5"/>
      <c r="R191" s="5"/>
      <c r="S191" s="5"/>
      <c r="T191" s="5"/>
      <c r="U191" s="5"/>
      <c r="W191" s="237"/>
      <c r="X191" s="5"/>
    </row>
    <row r="192" spans="1:24">
      <c r="A192" s="236"/>
      <c r="B192" s="5"/>
      <c r="C192" s="5"/>
      <c r="D192" s="5"/>
      <c r="E192" s="85"/>
      <c r="F192" s="5"/>
      <c r="G192" s="5"/>
      <c r="H192" s="5"/>
      <c r="I192" s="5"/>
      <c r="J192" s="5"/>
      <c r="K192" s="5"/>
      <c r="L192" s="5"/>
      <c r="M192" s="5"/>
      <c r="N192" s="5"/>
      <c r="O192" s="5"/>
      <c r="P192" s="5"/>
      <c r="Q192" s="5"/>
      <c r="R192" s="5"/>
      <c r="S192" s="5"/>
      <c r="T192" s="5"/>
      <c r="U192" s="5"/>
      <c r="W192" s="237"/>
      <c r="X192" s="5"/>
    </row>
    <row r="193" spans="1:24">
      <c r="A193" s="236"/>
      <c r="B193" s="5"/>
      <c r="C193" s="5"/>
      <c r="D193" s="5"/>
      <c r="E193" s="85"/>
      <c r="F193" s="5"/>
      <c r="G193" s="5"/>
      <c r="H193" s="5"/>
      <c r="I193" s="5"/>
      <c r="J193" s="5"/>
      <c r="K193" s="5"/>
      <c r="L193" s="5"/>
      <c r="M193" s="5"/>
      <c r="N193" s="5"/>
      <c r="O193" s="5"/>
      <c r="P193" s="5"/>
      <c r="Q193" s="5"/>
      <c r="R193" s="5"/>
      <c r="S193" s="5"/>
      <c r="T193" s="5"/>
      <c r="U193" s="5"/>
      <c r="W193" s="237"/>
      <c r="X193" s="5"/>
    </row>
    <row r="194" spans="1:24">
      <c r="A194" s="236"/>
      <c r="B194" s="5"/>
      <c r="C194" s="5"/>
      <c r="D194" s="5"/>
      <c r="E194" s="85"/>
      <c r="F194" s="5"/>
      <c r="G194" s="5"/>
      <c r="H194" s="5"/>
      <c r="I194" s="5"/>
      <c r="J194" s="5"/>
      <c r="K194" s="5"/>
      <c r="L194" s="5"/>
      <c r="M194" s="5"/>
      <c r="N194" s="5"/>
      <c r="O194" s="5"/>
      <c r="P194" s="5"/>
      <c r="Q194" s="5"/>
      <c r="R194" s="5"/>
      <c r="S194" s="5"/>
      <c r="T194" s="5"/>
      <c r="U194" s="5"/>
      <c r="W194" s="237"/>
      <c r="X194" s="5"/>
    </row>
    <row r="195" spans="1:24">
      <c r="A195" s="236"/>
      <c r="B195" s="5"/>
      <c r="C195" s="5"/>
      <c r="D195" s="5"/>
      <c r="E195" s="85"/>
      <c r="F195" s="5"/>
      <c r="G195" s="5"/>
      <c r="H195" s="5"/>
      <c r="I195" s="5"/>
      <c r="J195" s="5"/>
      <c r="K195" s="5"/>
      <c r="L195" s="5"/>
      <c r="M195" s="5"/>
      <c r="N195" s="5"/>
      <c r="O195" s="5"/>
      <c r="P195" s="5"/>
      <c r="Q195" s="5"/>
      <c r="R195" s="5"/>
      <c r="S195" s="5"/>
      <c r="T195" s="5"/>
      <c r="U195" s="5"/>
      <c r="W195" s="237"/>
      <c r="X195" s="5"/>
    </row>
    <row r="196" spans="1:24">
      <c r="A196" s="236"/>
      <c r="B196" s="5"/>
      <c r="C196" s="5"/>
      <c r="D196" s="5"/>
      <c r="E196" s="85"/>
      <c r="F196" s="5"/>
      <c r="G196" s="5"/>
      <c r="H196" s="5"/>
      <c r="I196" s="5"/>
      <c r="J196" s="5"/>
      <c r="K196" s="5"/>
      <c r="L196" s="5"/>
      <c r="M196" s="5"/>
      <c r="N196" s="5"/>
      <c r="O196" s="5"/>
      <c r="P196" s="5"/>
      <c r="Q196" s="5"/>
      <c r="R196" s="5"/>
      <c r="S196" s="5"/>
      <c r="T196" s="5"/>
      <c r="U196" s="5"/>
      <c r="W196" s="237"/>
      <c r="X196" s="5"/>
    </row>
    <row r="197" spans="1:24">
      <c r="A197" s="236"/>
      <c r="B197" s="5"/>
      <c r="C197" s="5"/>
      <c r="D197" s="5"/>
      <c r="E197" s="85"/>
      <c r="F197" s="5"/>
      <c r="G197" s="5"/>
      <c r="H197" s="5"/>
      <c r="I197" s="5"/>
      <c r="J197" s="5"/>
      <c r="K197" s="5"/>
      <c r="L197" s="5"/>
      <c r="M197" s="5"/>
      <c r="N197" s="5"/>
      <c r="O197" s="5"/>
      <c r="P197" s="5"/>
      <c r="Q197" s="5"/>
      <c r="R197" s="5"/>
      <c r="S197" s="5"/>
      <c r="T197" s="5"/>
      <c r="U197" s="5"/>
      <c r="W197" s="237"/>
      <c r="X197" s="5"/>
    </row>
    <row r="198" spans="1:24">
      <c r="A198" s="236"/>
      <c r="B198" s="5"/>
      <c r="C198" s="5"/>
      <c r="D198" s="5"/>
      <c r="E198" s="85"/>
      <c r="F198" s="5"/>
      <c r="G198" s="5"/>
      <c r="H198" s="5"/>
      <c r="I198" s="5"/>
      <c r="J198" s="5"/>
      <c r="K198" s="5"/>
      <c r="L198" s="5"/>
      <c r="M198" s="5"/>
      <c r="N198" s="5"/>
      <c r="O198" s="5"/>
      <c r="P198" s="5"/>
      <c r="Q198" s="5"/>
      <c r="R198" s="5"/>
      <c r="S198" s="5"/>
      <c r="T198" s="5"/>
      <c r="U198" s="5"/>
      <c r="W198" s="237"/>
      <c r="X198" s="5"/>
    </row>
    <row r="199" spans="1:24">
      <c r="A199" s="236"/>
      <c r="B199" s="5"/>
      <c r="C199" s="5"/>
      <c r="D199" s="5"/>
      <c r="E199" s="85"/>
      <c r="F199" s="5"/>
      <c r="G199" s="5"/>
      <c r="H199" s="5"/>
      <c r="I199" s="5"/>
      <c r="J199" s="5"/>
      <c r="K199" s="5"/>
      <c r="L199" s="5"/>
      <c r="M199" s="5"/>
      <c r="N199" s="5"/>
      <c r="O199" s="5"/>
      <c r="P199" s="5"/>
      <c r="Q199" s="5"/>
      <c r="R199" s="5"/>
      <c r="S199" s="5"/>
      <c r="T199" s="5"/>
      <c r="U199" s="5"/>
      <c r="W199" s="237"/>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529" priority="5" operator="containsText" text="close">
      <formula>NOT(ISERROR(SEARCH("close",U121)))</formula>
    </cfRule>
    <cfRule type="containsText" dxfId="528" priority="6" operator="containsText" text="open">
      <formula>NOT(ISERROR(SEARCH("open",U121)))</formula>
    </cfRule>
  </conditionalFormatting>
  <conditionalFormatting sqref="U4">
    <cfRule type="containsText" dxfId="527" priority="3" operator="containsText" text="close">
      <formula>NOT(ISERROR(SEARCH("close",U4)))</formula>
    </cfRule>
    <cfRule type="containsText" dxfId="526" priority="4" operator="containsText" text="open">
      <formula>NOT(ISERROR(SEARCH("open",U4)))</formula>
    </cfRule>
  </conditionalFormatting>
  <conditionalFormatting sqref="V4">
    <cfRule type="containsText" dxfId="525" priority="1" operator="containsText" text="close">
      <formula>NOT(ISERROR(SEARCH("close",V4)))</formula>
    </cfRule>
    <cfRule type="containsText" dxfId="524"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5:E141 E143:E63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G20" sqref="G20"/>
    </sheetView>
  </sheetViews>
  <sheetFormatPr defaultColWidth="9.140625" defaultRowHeight="12.75"/>
  <cols>
    <col min="1" max="1" width="25.42578125" style="176" customWidth="1"/>
    <col min="2" max="2" width="10.5703125" style="176" customWidth="1"/>
    <col min="3" max="3" width="14.5703125" style="176" customWidth="1"/>
    <col min="4" max="4" width="19.140625" style="177" customWidth="1"/>
    <col min="5" max="5" width="16.28515625" style="175" customWidth="1"/>
    <col min="6" max="6" width="25.5703125" style="175" customWidth="1"/>
    <col min="7" max="7" width="8.7109375" style="175" customWidth="1"/>
    <col min="8" max="8" width="10.28515625" style="167" customWidth="1"/>
    <col min="9" max="9" width="21.28515625" style="167" customWidth="1"/>
    <col min="10" max="10" width="139.28515625" style="167" customWidth="1"/>
    <col min="11" max="11" width="24.42578125" style="167" customWidth="1"/>
    <col min="12" max="12" width="16.28515625" style="167" customWidth="1"/>
    <col min="13" max="13" width="8.42578125" style="167" customWidth="1"/>
    <col min="14" max="14" width="8.28515625" style="167" customWidth="1"/>
    <col min="15" max="15" width="11.5703125" style="167" customWidth="1"/>
    <col min="16" max="16" width="11.28515625" style="167" bestFit="1" customWidth="1"/>
    <col min="17" max="16384" width="9.140625" style="167"/>
  </cols>
  <sheetData>
    <row r="1" spans="1:11" ht="15">
      <c r="A1" s="291" t="s">
        <v>549</v>
      </c>
      <c r="B1" s="292" t="s">
        <v>688</v>
      </c>
      <c r="C1" s="293"/>
      <c r="D1" s="294"/>
    </row>
    <row r="2" spans="1:11" ht="15">
      <c r="A2" s="295" t="s">
        <v>214</v>
      </c>
      <c r="B2" s="296" t="s">
        <v>771</v>
      </c>
      <c r="C2" s="296" t="s">
        <v>798</v>
      </c>
      <c r="D2" s="297" t="s">
        <v>215</v>
      </c>
    </row>
    <row r="3" spans="1:11" ht="15">
      <c r="A3" s="298" t="s">
        <v>764</v>
      </c>
      <c r="B3" s="299"/>
      <c r="C3" s="299">
        <v>9</v>
      </c>
      <c r="D3" s="300">
        <v>9</v>
      </c>
    </row>
    <row r="4" spans="1:11" ht="15">
      <c r="A4" s="298" t="s">
        <v>765</v>
      </c>
      <c r="B4" s="299">
        <v>2</v>
      </c>
      <c r="C4" s="299">
        <v>13</v>
      </c>
      <c r="D4" s="300">
        <v>15</v>
      </c>
    </row>
    <row r="5" spans="1:11" ht="15">
      <c r="A5" s="298" t="s">
        <v>763</v>
      </c>
      <c r="B5" s="299"/>
      <c r="C5" s="299">
        <v>10</v>
      </c>
      <c r="D5" s="300">
        <v>10</v>
      </c>
    </row>
    <row r="6" spans="1:11" ht="15">
      <c r="A6" s="298" t="s">
        <v>766</v>
      </c>
      <c r="B6" s="299"/>
      <c r="C6" s="299">
        <v>8</v>
      </c>
      <c r="D6" s="300">
        <v>8</v>
      </c>
    </row>
    <row r="7" spans="1:11" ht="15.75" thickBot="1">
      <c r="A7" s="301" t="s">
        <v>215</v>
      </c>
      <c r="B7" s="302">
        <v>2</v>
      </c>
      <c r="C7" s="302">
        <v>40</v>
      </c>
      <c r="D7" s="303">
        <v>42</v>
      </c>
    </row>
    <row r="8" spans="1:11" ht="15" hidden="1">
      <c r="A8" s="319"/>
      <c r="B8" s="299"/>
      <c r="C8" s="299"/>
      <c r="D8" s="299"/>
    </row>
    <row r="9" spans="1:11" ht="15" hidden="1">
      <c r="A9" s="319"/>
      <c r="B9" s="299"/>
      <c r="C9" s="299"/>
      <c r="D9" s="299"/>
    </row>
    <row r="10" spans="1:11" hidden="1"/>
    <row r="11" spans="1:11" ht="13.5" hidden="1" thickBot="1"/>
    <row r="12" spans="1:11" ht="50.1" customHeight="1" thickBot="1">
      <c r="A12" s="278" t="s">
        <v>772</v>
      </c>
      <c r="B12" s="279" t="s">
        <v>10</v>
      </c>
      <c r="C12" s="279" t="s">
        <v>1</v>
      </c>
      <c r="D12" s="279" t="s">
        <v>550</v>
      </c>
      <c r="E12" s="279" t="s">
        <v>581</v>
      </c>
      <c r="F12" s="280" t="s">
        <v>773</v>
      </c>
      <c r="G12" s="280" t="s">
        <v>774</v>
      </c>
      <c r="H12" s="281" t="s">
        <v>5</v>
      </c>
      <c r="I12" s="281" t="s">
        <v>354</v>
      </c>
      <c r="J12" s="277" t="s">
        <v>353</v>
      </c>
      <c r="K12" s="171"/>
    </row>
    <row r="13" spans="1:11" ht="16.5" customHeight="1">
      <c r="A13" s="364" t="s">
        <v>769</v>
      </c>
      <c r="B13" s="364" t="s">
        <v>7</v>
      </c>
      <c r="C13" s="364" t="s">
        <v>19</v>
      </c>
      <c r="D13" s="366" t="s">
        <v>61</v>
      </c>
      <c r="E13" s="366" t="str">
        <f ca="1">IFERROR(OFFSET(Camp_List[P_Code],MATCH(Data_Infrastructure[[#This Row],[Camp]],Camp_List[Camp Name],0)-1,0,1,1),"")</f>
        <v>MMR012CMP039</v>
      </c>
      <c r="F13" s="368" t="s">
        <v>763</v>
      </c>
      <c r="G13" s="368"/>
      <c r="H13" s="327">
        <v>1</v>
      </c>
      <c r="I13" s="328" t="s">
        <v>798</v>
      </c>
      <c r="J13" s="371"/>
      <c r="K13" s="171"/>
    </row>
    <row r="14" spans="1:11" ht="16.5" customHeight="1">
      <c r="A14" s="365" t="s">
        <v>769</v>
      </c>
      <c r="B14" s="365" t="s">
        <v>7</v>
      </c>
      <c r="C14" s="365" t="s">
        <v>19</v>
      </c>
      <c r="D14" s="367" t="s">
        <v>61</v>
      </c>
      <c r="E14" s="366" t="str">
        <f ca="1">IFERROR(OFFSET(Camp_List[P_Code],MATCH(Data_Infrastructure[[#This Row],[Camp]],Camp_List[Camp Name],0)-1,0,1,1),"")</f>
        <v>MMR012CMP039</v>
      </c>
      <c r="F14" s="369" t="s">
        <v>766</v>
      </c>
      <c r="G14" s="369"/>
      <c r="H14" s="282">
        <v>1</v>
      </c>
      <c r="I14" s="284" t="s">
        <v>798</v>
      </c>
      <c r="J14" s="372"/>
      <c r="K14" s="171"/>
    </row>
    <row r="15" spans="1:11" ht="16.5" customHeight="1">
      <c r="A15" s="365" t="s">
        <v>769</v>
      </c>
      <c r="B15" s="365" t="s">
        <v>7</v>
      </c>
      <c r="C15" s="365" t="s">
        <v>19</v>
      </c>
      <c r="D15" s="367" t="s">
        <v>61</v>
      </c>
      <c r="E15" s="366" t="str">
        <f ca="1">IFERROR(OFFSET(Camp_List[P_Code],MATCH(Data_Infrastructure[[#This Row],[Camp]],Camp_List[Camp Name],0)-1,0,1,1),"")</f>
        <v>MMR012CMP039</v>
      </c>
      <c r="F15" s="369" t="s">
        <v>764</v>
      </c>
      <c r="G15" s="369"/>
      <c r="H15" s="282">
        <v>1</v>
      </c>
      <c r="I15" s="284" t="s">
        <v>798</v>
      </c>
      <c r="J15" s="372"/>
      <c r="K15" s="171"/>
    </row>
    <row r="16" spans="1:11" ht="16.5" customHeight="1">
      <c r="A16" s="365" t="s">
        <v>769</v>
      </c>
      <c r="B16" s="365" t="s">
        <v>7</v>
      </c>
      <c r="C16" s="365" t="s">
        <v>19</v>
      </c>
      <c r="D16" s="367" t="s">
        <v>61</v>
      </c>
      <c r="E16" s="366" t="str">
        <f ca="1">IFERROR(OFFSET(Camp_List[P_Code],MATCH(Data_Infrastructure[[#This Row],[Camp]],Camp_List[Camp Name],0)-1,0,1,1),"")</f>
        <v>MMR012CMP039</v>
      </c>
      <c r="F16" s="369" t="s">
        <v>765</v>
      </c>
      <c r="G16" s="369"/>
      <c r="H16" s="282">
        <v>1</v>
      </c>
      <c r="I16" s="284" t="s">
        <v>798</v>
      </c>
      <c r="J16" s="372"/>
      <c r="K16" s="171"/>
    </row>
    <row r="17" spans="1:17" ht="16.5" customHeight="1">
      <c r="A17" s="365" t="s">
        <v>769</v>
      </c>
      <c r="B17" s="365" t="s">
        <v>7</v>
      </c>
      <c r="C17" s="365" t="s">
        <v>19</v>
      </c>
      <c r="D17" s="367" t="s">
        <v>648</v>
      </c>
      <c r="E17" s="366" t="str">
        <f ca="1">IFERROR(OFFSET(Camp_List[P_Code],MATCH(Data_Infrastructure[[#This Row],[Camp]],Camp_List[Camp Name],0)-1,0,1,1),"")</f>
        <v>MMR012CMP113</v>
      </c>
      <c r="F17" s="369" t="s">
        <v>765</v>
      </c>
      <c r="G17" s="369"/>
      <c r="H17" s="285">
        <v>1</v>
      </c>
      <c r="I17" s="370" t="s">
        <v>771</v>
      </c>
      <c r="J17" s="283" t="s">
        <v>770</v>
      </c>
      <c r="K17" s="171"/>
    </row>
    <row r="18" spans="1:17" ht="16.5" customHeight="1">
      <c r="A18" s="365" t="s">
        <v>769</v>
      </c>
      <c r="B18" s="365" t="s">
        <v>7</v>
      </c>
      <c r="C18" s="365" t="s">
        <v>19</v>
      </c>
      <c r="D18" s="367" t="s">
        <v>648</v>
      </c>
      <c r="E18" s="366" t="str">
        <f ca="1">IFERROR(OFFSET(Camp_List[P_Code],MATCH(Data_Infrastructure[[#This Row],[Camp]],Camp_List[Camp Name],0)-1,0,1,1),"")</f>
        <v>MMR012CMP113</v>
      </c>
      <c r="F18" s="367" t="s">
        <v>764</v>
      </c>
      <c r="G18" s="367"/>
      <c r="H18" s="285">
        <v>1</v>
      </c>
      <c r="I18" s="284" t="s">
        <v>798</v>
      </c>
      <c r="J18" s="283" t="s">
        <v>768</v>
      </c>
      <c r="K18" s="171"/>
    </row>
    <row r="19" spans="1:17" ht="16.5" customHeight="1">
      <c r="A19" s="365" t="s">
        <v>769</v>
      </c>
      <c r="B19" s="365" t="s">
        <v>7</v>
      </c>
      <c r="C19" s="365" t="s">
        <v>19</v>
      </c>
      <c r="D19" s="367" t="s">
        <v>649</v>
      </c>
      <c r="E19" s="366" t="str">
        <f ca="1">IFERROR(OFFSET(Camp_List[P_Code],MATCH(Data_Infrastructure[[#This Row],[Camp]],Camp_List[Camp Name],0)-1,0,1,1),"")</f>
        <v>MMR012CMP114</v>
      </c>
      <c r="F19" s="369" t="s">
        <v>765</v>
      </c>
      <c r="G19" s="369"/>
      <c r="H19" s="285">
        <v>1</v>
      </c>
      <c r="I19" s="284" t="s">
        <v>798</v>
      </c>
      <c r="J19" s="283" t="s">
        <v>768</v>
      </c>
      <c r="K19" s="171"/>
      <c r="L19" s="286"/>
      <c r="M19" s="286"/>
      <c r="N19" s="286"/>
      <c r="O19" s="286"/>
      <c r="P19" s="286"/>
      <c r="Q19" s="286"/>
    </row>
    <row r="20" spans="1:17" ht="16.5" customHeight="1">
      <c r="A20" s="365" t="s">
        <v>769</v>
      </c>
      <c r="B20" s="365" t="s">
        <v>7</v>
      </c>
      <c r="C20" s="365" t="s">
        <v>19</v>
      </c>
      <c r="D20" s="367" t="s">
        <v>649</v>
      </c>
      <c r="E20" s="366" t="str">
        <f ca="1">IFERROR(OFFSET(Camp_List[P_Code],MATCH(Data_Infrastructure[[#This Row],[Camp]],Camp_List[Camp Name],0)-1,0,1,1),"")</f>
        <v>MMR012CMP114</v>
      </c>
      <c r="F20" s="369" t="s">
        <v>764</v>
      </c>
      <c r="G20" s="369"/>
      <c r="H20" s="285">
        <v>1</v>
      </c>
      <c r="I20" s="284" t="s">
        <v>798</v>
      </c>
      <c r="J20" s="283" t="s">
        <v>768</v>
      </c>
      <c r="K20" s="171"/>
      <c r="L20" s="286"/>
      <c r="M20" s="286"/>
      <c r="N20" s="286"/>
      <c r="O20" s="286"/>
      <c r="P20" s="286"/>
      <c r="Q20" s="286"/>
    </row>
    <row r="21" spans="1:17" ht="16.5" customHeight="1">
      <c r="A21" s="365" t="s">
        <v>769</v>
      </c>
      <c r="B21" s="365" t="s">
        <v>7</v>
      </c>
      <c r="C21" s="365" t="s">
        <v>19</v>
      </c>
      <c r="D21" s="367" t="s">
        <v>63</v>
      </c>
      <c r="E21" s="366" t="str">
        <f ca="1">IFERROR(OFFSET(Camp_List[P_Code],MATCH(Data_Infrastructure[[#This Row],[Camp]],Camp_List[Camp Name],0)-1,0,1,1),"")</f>
        <v>MMR012CMP041</v>
      </c>
      <c r="F21" s="369" t="s">
        <v>765</v>
      </c>
      <c r="G21" s="369"/>
      <c r="H21" s="282">
        <v>1</v>
      </c>
      <c r="I21" s="370" t="s">
        <v>771</v>
      </c>
      <c r="J21" s="283" t="s">
        <v>770</v>
      </c>
      <c r="K21" s="171"/>
      <c r="L21" s="286"/>
      <c r="M21" s="286"/>
      <c r="N21" s="286"/>
      <c r="O21" s="286"/>
      <c r="P21" s="286"/>
      <c r="Q21" s="286"/>
    </row>
    <row r="22" spans="1:17" ht="16.5" customHeight="1">
      <c r="A22" s="365" t="s">
        <v>769</v>
      </c>
      <c r="B22" s="365" t="s">
        <v>7</v>
      </c>
      <c r="C22" s="365" t="s">
        <v>19</v>
      </c>
      <c r="D22" s="367" t="s">
        <v>63</v>
      </c>
      <c r="E22" s="366" t="str">
        <f ca="1">IFERROR(OFFSET(Camp_List[P_Code],MATCH(Data_Infrastructure[[#This Row],[Camp]],Camp_List[Camp Name],0)-1,0,1,1),"")</f>
        <v>MMR012CMP041</v>
      </c>
      <c r="F22" s="367" t="s">
        <v>764</v>
      </c>
      <c r="G22" s="367"/>
      <c r="H22" s="282">
        <v>1</v>
      </c>
      <c r="I22" s="284" t="s">
        <v>798</v>
      </c>
      <c r="J22" s="283" t="s">
        <v>768</v>
      </c>
      <c r="K22" s="171"/>
      <c r="L22" s="286"/>
      <c r="M22" s="286"/>
      <c r="N22" s="286"/>
      <c r="O22" s="286"/>
      <c r="P22" s="286"/>
      <c r="Q22" s="286"/>
    </row>
    <row r="23" spans="1:17" ht="16.5" customHeight="1">
      <c r="A23" s="365" t="s">
        <v>767</v>
      </c>
      <c r="B23" s="365" t="s">
        <v>7</v>
      </c>
      <c r="C23" s="365" t="s">
        <v>19</v>
      </c>
      <c r="D23" s="367" t="s">
        <v>64</v>
      </c>
      <c r="E23" s="366" t="str">
        <f ca="1">IFERROR(OFFSET(Camp_List[P_Code],MATCH(Data_Infrastructure[[#This Row],[Camp]],Camp_List[Camp Name],0)-1,0,1,1),"")</f>
        <v>MMR012CMP042</v>
      </c>
      <c r="F23" s="369" t="s">
        <v>764</v>
      </c>
      <c r="G23" s="369"/>
      <c r="H23" s="285">
        <v>1</v>
      </c>
      <c r="I23" s="284" t="s">
        <v>798</v>
      </c>
      <c r="J23" s="373"/>
      <c r="K23" s="171"/>
      <c r="L23" s="286"/>
      <c r="M23" s="286"/>
      <c r="N23" s="286"/>
      <c r="O23" s="286"/>
      <c r="P23" s="286"/>
      <c r="Q23" s="286"/>
    </row>
    <row r="24" spans="1:17" ht="16.5" customHeight="1">
      <c r="A24" s="365" t="s">
        <v>767</v>
      </c>
      <c r="B24" s="365" t="s">
        <v>7</v>
      </c>
      <c r="C24" s="365" t="s">
        <v>19</v>
      </c>
      <c r="D24" s="367" t="s">
        <v>64</v>
      </c>
      <c r="E24" s="366" t="str">
        <f ca="1">IFERROR(OFFSET(Camp_List[P_Code],MATCH(Data_Infrastructure[[#This Row],[Camp]],Camp_List[Camp Name],0)-1,0,1,1),"")</f>
        <v>MMR012CMP042</v>
      </c>
      <c r="F24" s="369" t="s">
        <v>765</v>
      </c>
      <c r="G24" s="369" t="s">
        <v>776</v>
      </c>
      <c r="H24" s="285">
        <v>2</v>
      </c>
      <c r="I24" s="284" t="s">
        <v>798</v>
      </c>
      <c r="J24" s="373"/>
      <c r="K24" s="171"/>
      <c r="L24" s="286"/>
      <c r="M24" s="286"/>
      <c r="N24" s="286"/>
      <c r="O24" s="286"/>
      <c r="P24" s="286"/>
      <c r="Q24" s="286"/>
    </row>
    <row r="25" spans="1:17" ht="16.5" customHeight="1">
      <c r="A25" s="365" t="s">
        <v>767</v>
      </c>
      <c r="B25" s="365" t="s">
        <v>7</v>
      </c>
      <c r="C25" s="365" t="s">
        <v>19</v>
      </c>
      <c r="D25" s="367" t="s">
        <v>64</v>
      </c>
      <c r="E25" s="366" t="str">
        <f ca="1">IFERROR(OFFSET(Camp_List[P_Code],MATCH(Data_Infrastructure[[#This Row],[Camp]],Camp_List[Camp Name],0)-1,0,1,1),"")</f>
        <v>MMR012CMP042</v>
      </c>
      <c r="F25" s="369" t="s">
        <v>763</v>
      </c>
      <c r="G25" s="369" t="s">
        <v>776</v>
      </c>
      <c r="H25" s="285">
        <v>2</v>
      </c>
      <c r="I25" s="284" t="s">
        <v>798</v>
      </c>
      <c r="J25" s="373"/>
      <c r="K25" s="171"/>
      <c r="L25" s="286"/>
      <c r="M25" s="286"/>
      <c r="N25" s="286"/>
      <c r="O25" s="286"/>
      <c r="P25" s="286"/>
      <c r="Q25" s="286"/>
    </row>
    <row r="26" spans="1:17" ht="16.5" customHeight="1">
      <c r="A26" s="365" t="s">
        <v>767</v>
      </c>
      <c r="B26" s="365" t="s">
        <v>7</v>
      </c>
      <c r="C26" s="365" t="s">
        <v>19</v>
      </c>
      <c r="D26" s="367" t="s">
        <v>64</v>
      </c>
      <c r="E26" s="366" t="str">
        <f ca="1">IFERROR(OFFSET(Camp_List[P_Code],MATCH(Data_Infrastructure[[#This Row],[Camp]],Camp_List[Camp Name],0)-1,0,1,1),"")</f>
        <v>MMR012CMP042</v>
      </c>
      <c r="F26" s="369" t="s">
        <v>766</v>
      </c>
      <c r="G26" s="369"/>
      <c r="H26" s="285">
        <v>1</v>
      </c>
      <c r="I26" s="284" t="s">
        <v>798</v>
      </c>
      <c r="J26" s="373"/>
      <c r="K26" s="171"/>
      <c r="L26" s="286"/>
      <c r="M26" s="286"/>
      <c r="N26" s="286"/>
    </row>
    <row r="27" spans="1:17" ht="16.5" customHeight="1">
      <c r="A27" s="365" t="s">
        <v>767</v>
      </c>
      <c r="B27" s="365" t="s">
        <v>7</v>
      </c>
      <c r="C27" s="365" t="s">
        <v>19</v>
      </c>
      <c r="D27" s="367" t="s">
        <v>647</v>
      </c>
      <c r="E27" s="366" t="str">
        <f ca="1">IFERROR(OFFSET(Camp_List[P_Code],MATCH(Data_Infrastructure[[#This Row],[Camp]],Camp_List[Camp Name],0)-1,0,1,1),"")</f>
        <v>MMR012CMP092</v>
      </c>
      <c r="F27" s="369" t="s">
        <v>765</v>
      </c>
      <c r="G27" s="369"/>
      <c r="H27" s="285">
        <v>1</v>
      </c>
      <c r="I27" s="284" t="s">
        <v>798</v>
      </c>
      <c r="J27" s="283" t="s">
        <v>768</v>
      </c>
      <c r="K27" s="171"/>
      <c r="L27" s="286"/>
      <c r="M27" s="286"/>
      <c r="N27" s="286"/>
    </row>
    <row r="28" spans="1:17" ht="16.5" customHeight="1">
      <c r="A28" s="365" t="s">
        <v>767</v>
      </c>
      <c r="B28" s="365" t="s">
        <v>7</v>
      </c>
      <c r="C28" s="365" t="s">
        <v>19</v>
      </c>
      <c r="D28" s="367" t="s">
        <v>647</v>
      </c>
      <c r="E28" s="366" t="str">
        <f ca="1">IFERROR(OFFSET(Camp_List[P_Code],MATCH(Data_Infrastructure[[#This Row],[Camp]],Camp_List[Camp Name],0)-1,0,1,1),"")</f>
        <v>MMR012CMP092</v>
      </c>
      <c r="F28" s="369" t="s">
        <v>763</v>
      </c>
      <c r="G28" s="369"/>
      <c r="H28" s="285">
        <v>1</v>
      </c>
      <c r="I28" s="284" t="s">
        <v>798</v>
      </c>
      <c r="J28" s="283" t="s">
        <v>768</v>
      </c>
      <c r="K28" s="171"/>
      <c r="L28" s="286"/>
      <c r="M28" s="286"/>
      <c r="N28" s="286"/>
    </row>
    <row r="29" spans="1:17" ht="16.5" customHeight="1">
      <c r="A29" s="365" t="s">
        <v>767</v>
      </c>
      <c r="B29" s="365" t="s">
        <v>7</v>
      </c>
      <c r="C29" s="365" t="s">
        <v>19</v>
      </c>
      <c r="D29" s="367" t="s">
        <v>647</v>
      </c>
      <c r="E29" s="366" t="str">
        <f ca="1">IFERROR(OFFSET(Camp_List[P_Code],MATCH(Data_Infrastructure[[#This Row],[Camp]],Camp_List[Camp Name],0)-1,0,1,1),"")</f>
        <v>MMR012CMP092</v>
      </c>
      <c r="F29" s="369" t="s">
        <v>764</v>
      </c>
      <c r="G29" s="369"/>
      <c r="H29" s="285">
        <v>1</v>
      </c>
      <c r="I29" s="284" t="s">
        <v>798</v>
      </c>
      <c r="J29" s="283" t="s">
        <v>768</v>
      </c>
      <c r="K29" s="171"/>
      <c r="L29" s="286"/>
      <c r="M29" s="286"/>
      <c r="N29" s="286"/>
    </row>
    <row r="30" spans="1:17" ht="16.5" customHeight="1">
      <c r="A30" s="365" t="s">
        <v>762</v>
      </c>
      <c r="B30" s="365" t="s">
        <v>7</v>
      </c>
      <c r="C30" s="365" t="s">
        <v>19</v>
      </c>
      <c r="D30" s="367" t="s">
        <v>652</v>
      </c>
      <c r="E30" s="366" t="str">
        <f ca="1">IFERROR(OFFSET(Camp_List[P_Code],MATCH(Data_Infrastructure[[#This Row],[Camp]],Camp_List[Camp Name],0)-1,0,1,1),"")</f>
        <v>MMR012CMP098</v>
      </c>
      <c r="F30" s="369" t="s">
        <v>766</v>
      </c>
      <c r="G30" s="369"/>
      <c r="H30" s="285">
        <v>1</v>
      </c>
      <c r="I30" s="287" t="s">
        <v>798</v>
      </c>
      <c r="J30" s="373"/>
      <c r="K30" s="171"/>
      <c r="L30" s="286"/>
      <c r="M30" s="286"/>
    </row>
    <row r="31" spans="1:17" ht="16.5" customHeight="1">
      <c r="A31" s="365" t="s">
        <v>762</v>
      </c>
      <c r="B31" s="365" t="s">
        <v>7</v>
      </c>
      <c r="C31" s="365" t="s">
        <v>19</v>
      </c>
      <c r="D31" s="367" t="s">
        <v>653</v>
      </c>
      <c r="E31" s="366" t="str">
        <f ca="1">IFERROR(OFFSET(Camp_List[P_Code],MATCH(Data_Infrastructure[[#This Row],[Camp]],Camp_List[Camp Name],0)-1,0,1,1),"")</f>
        <v>MMR012CMP115</v>
      </c>
      <c r="F31" s="369" t="s">
        <v>765</v>
      </c>
      <c r="G31" s="369" t="s">
        <v>776</v>
      </c>
      <c r="H31" s="285">
        <v>2</v>
      </c>
      <c r="I31" s="284" t="s">
        <v>798</v>
      </c>
      <c r="J31" s="373"/>
      <c r="K31" s="171"/>
      <c r="L31" s="286"/>
      <c r="M31" s="286"/>
    </row>
    <row r="32" spans="1:17" ht="16.5" customHeight="1">
      <c r="A32" s="365" t="s">
        <v>762</v>
      </c>
      <c r="B32" s="365" t="s">
        <v>7</v>
      </c>
      <c r="C32" s="365" t="s">
        <v>19</v>
      </c>
      <c r="D32" s="367" t="s">
        <v>653</v>
      </c>
      <c r="E32" s="366" t="str">
        <f ca="1">IFERROR(OFFSET(Camp_List[P_Code],MATCH(Data_Infrastructure[[#This Row],[Camp]],Camp_List[Camp Name],0)-1,0,1,1),"")</f>
        <v>MMR012CMP115</v>
      </c>
      <c r="F32" s="369" t="s">
        <v>763</v>
      </c>
      <c r="G32" s="369"/>
      <c r="H32" s="285">
        <v>1</v>
      </c>
      <c r="I32" s="284" t="s">
        <v>798</v>
      </c>
      <c r="J32" s="373"/>
      <c r="K32" s="171"/>
      <c r="L32" s="286"/>
      <c r="M32" s="286"/>
    </row>
    <row r="33" spans="1:13" ht="16.5" customHeight="1">
      <c r="A33" s="365" t="s">
        <v>762</v>
      </c>
      <c r="B33" s="365" t="s">
        <v>7</v>
      </c>
      <c r="C33" s="365" t="s">
        <v>19</v>
      </c>
      <c r="D33" s="367" t="s">
        <v>654</v>
      </c>
      <c r="E33" s="366" t="str">
        <f ca="1">IFERROR(OFFSET(Camp_List[P_Code],MATCH(Data_Infrastructure[[#This Row],[Camp]],Camp_List[Camp Name],0)-1,0,1,1),"")</f>
        <v>MMR012CMP116</v>
      </c>
      <c r="F33" s="369" t="s">
        <v>764</v>
      </c>
      <c r="G33" s="369"/>
      <c r="H33" s="285">
        <v>1</v>
      </c>
      <c r="I33" s="284" t="s">
        <v>798</v>
      </c>
      <c r="J33" s="373"/>
      <c r="K33" s="171"/>
      <c r="L33" s="171"/>
      <c r="M33" s="171"/>
    </row>
    <row r="34" spans="1:13" ht="16.5" customHeight="1">
      <c r="A34" s="365" t="s">
        <v>762</v>
      </c>
      <c r="B34" s="365" t="s">
        <v>7</v>
      </c>
      <c r="C34" s="365" t="s">
        <v>19</v>
      </c>
      <c r="D34" s="367" t="s">
        <v>654</v>
      </c>
      <c r="E34" s="366" t="str">
        <f ca="1">IFERROR(OFFSET(Camp_List[P_Code],MATCH(Data_Infrastructure[[#This Row],[Camp]],Camp_List[Camp Name],0)-1,0,1,1),"")</f>
        <v>MMR012CMP116</v>
      </c>
      <c r="F34" s="369" t="s">
        <v>765</v>
      </c>
      <c r="G34" s="369"/>
      <c r="H34" s="285">
        <v>1</v>
      </c>
      <c r="I34" s="284" t="s">
        <v>798</v>
      </c>
      <c r="J34" s="373"/>
      <c r="K34" s="171"/>
      <c r="L34" s="171"/>
      <c r="M34" s="171"/>
    </row>
    <row r="35" spans="1:13" ht="16.5" customHeight="1">
      <c r="A35" s="365" t="s">
        <v>762</v>
      </c>
      <c r="B35" s="365" t="s">
        <v>7</v>
      </c>
      <c r="C35" s="365" t="s">
        <v>19</v>
      </c>
      <c r="D35" s="367" t="s">
        <v>654</v>
      </c>
      <c r="E35" s="366" t="str">
        <f ca="1">IFERROR(OFFSET(Camp_List[P_Code],MATCH(Data_Infrastructure[[#This Row],[Camp]],Camp_List[Camp Name],0)-1,0,1,1),"")</f>
        <v>MMR012CMP116</v>
      </c>
      <c r="F35" s="369" t="s">
        <v>763</v>
      </c>
      <c r="G35" s="369" t="s">
        <v>777</v>
      </c>
      <c r="H35" s="285">
        <v>4</v>
      </c>
      <c r="I35" s="284" t="s">
        <v>798</v>
      </c>
      <c r="J35" s="373"/>
      <c r="K35" s="171"/>
      <c r="L35" s="171"/>
      <c r="M35" s="171"/>
    </row>
    <row r="36" spans="1:13" ht="16.5" customHeight="1">
      <c r="A36" s="365" t="s">
        <v>762</v>
      </c>
      <c r="B36" s="365" t="s">
        <v>7</v>
      </c>
      <c r="C36" s="365" t="s">
        <v>19</v>
      </c>
      <c r="D36" s="367" t="s">
        <v>654</v>
      </c>
      <c r="E36" s="366" t="str">
        <f ca="1">IFERROR(OFFSET(Camp_List[P_Code],MATCH(Data_Infrastructure[[#This Row],[Camp]],Camp_List[Camp Name],0)-1,0,1,1),"")</f>
        <v>MMR012CMP116</v>
      </c>
      <c r="F36" s="369" t="s">
        <v>766</v>
      </c>
      <c r="G36" s="369" t="s">
        <v>778</v>
      </c>
      <c r="H36" s="285">
        <v>3</v>
      </c>
      <c r="I36" s="284" t="s">
        <v>798</v>
      </c>
      <c r="J36" s="373"/>
    </row>
    <row r="37" spans="1:13" ht="16.5" customHeight="1">
      <c r="A37" s="365" t="s">
        <v>769</v>
      </c>
      <c r="B37" s="365" t="s">
        <v>7</v>
      </c>
      <c r="C37" s="365" t="s">
        <v>19</v>
      </c>
      <c r="D37" s="367" t="s">
        <v>657</v>
      </c>
      <c r="E37" s="366" t="str">
        <f ca="1">IFERROR(OFFSET(Camp_List[P_Code],MATCH(Data_Infrastructure[[#This Row],[Camp]],Camp_List[Camp Name],0)-1,0,1,1),"")</f>
        <v>MMR012CMP111</v>
      </c>
      <c r="F37" s="369" t="s">
        <v>764</v>
      </c>
      <c r="G37" s="369"/>
      <c r="H37" s="282">
        <v>1</v>
      </c>
      <c r="I37" s="284" t="s">
        <v>798</v>
      </c>
      <c r="J37" s="372"/>
    </row>
    <row r="38" spans="1:13" ht="16.5" customHeight="1">
      <c r="A38" s="365" t="s">
        <v>769</v>
      </c>
      <c r="B38" s="365" t="s">
        <v>7</v>
      </c>
      <c r="C38" s="365" t="s">
        <v>19</v>
      </c>
      <c r="D38" s="367" t="s">
        <v>657</v>
      </c>
      <c r="E38" s="366" t="str">
        <f ca="1">IFERROR(OFFSET(Camp_List[P_Code],MATCH(Data_Infrastructure[[#This Row],[Camp]],Camp_List[Camp Name],0)-1,0,1,1),"")</f>
        <v>MMR012CMP111</v>
      </c>
      <c r="F38" s="369" t="s">
        <v>765</v>
      </c>
      <c r="G38" s="369"/>
      <c r="H38" s="282">
        <v>1</v>
      </c>
      <c r="I38" s="284" t="s">
        <v>798</v>
      </c>
      <c r="J38" s="372"/>
    </row>
    <row r="39" spans="1:13" ht="16.5" customHeight="1">
      <c r="A39" s="365" t="s">
        <v>769</v>
      </c>
      <c r="B39" s="365" t="s">
        <v>7</v>
      </c>
      <c r="C39" s="365" t="s">
        <v>19</v>
      </c>
      <c r="D39" s="367" t="s">
        <v>657</v>
      </c>
      <c r="E39" s="366" t="str">
        <f ca="1">IFERROR(OFFSET(Camp_List[P_Code],MATCH(Data_Infrastructure[[#This Row],[Camp]],Camp_List[Camp Name],0)-1,0,1,1),"")</f>
        <v>MMR012CMP111</v>
      </c>
      <c r="F39" s="369" t="s">
        <v>766</v>
      </c>
      <c r="G39" s="369"/>
      <c r="H39" s="282">
        <v>1</v>
      </c>
      <c r="I39" s="284" t="s">
        <v>798</v>
      </c>
      <c r="J39" s="372"/>
    </row>
    <row r="40" spans="1:13" ht="16.5" customHeight="1">
      <c r="A40" s="365" t="s">
        <v>769</v>
      </c>
      <c r="B40" s="365" t="s">
        <v>7</v>
      </c>
      <c r="C40" s="365" t="s">
        <v>19</v>
      </c>
      <c r="D40" s="367" t="s">
        <v>658</v>
      </c>
      <c r="E40" s="366" t="str">
        <f ca="1">IFERROR(OFFSET(Camp_List[P_Code],MATCH(Data_Infrastructure[[#This Row],[Camp]],Camp_List[Camp Name],0)-1,0,1,1),"")</f>
        <v>MMR012CMP112</v>
      </c>
      <c r="F40" s="369" t="s">
        <v>766</v>
      </c>
      <c r="G40" s="369"/>
      <c r="H40" s="282">
        <v>1</v>
      </c>
      <c r="I40" s="284" t="s">
        <v>798</v>
      </c>
      <c r="J40" s="372"/>
    </row>
    <row r="41" spans="1:13" ht="16.5" customHeight="1">
      <c r="A41" s="365" t="s">
        <v>767</v>
      </c>
      <c r="B41" s="365" t="s">
        <v>7</v>
      </c>
      <c r="C41" s="365" t="s">
        <v>19</v>
      </c>
      <c r="D41" s="367" t="s">
        <v>67</v>
      </c>
      <c r="E41" s="366" t="str">
        <f ca="1">IFERROR(OFFSET(Camp_List[P_Code],MATCH(Data_Infrastructure[[#This Row],[Camp]],Camp_List[Camp Name],0)-1,0,1,1),"")</f>
        <v>MMR012CMP045</v>
      </c>
      <c r="F41" s="369" t="s">
        <v>765</v>
      </c>
      <c r="G41" s="369"/>
      <c r="H41" s="285">
        <v>1</v>
      </c>
      <c r="I41" s="284" t="s">
        <v>798</v>
      </c>
      <c r="J41" s="373" t="s">
        <v>779</v>
      </c>
    </row>
    <row r="42" spans="1:13" ht="16.5" customHeight="1">
      <c r="A42" s="365" t="s">
        <v>767</v>
      </c>
      <c r="B42" s="365" t="s">
        <v>7</v>
      </c>
      <c r="C42" s="365" t="s">
        <v>19</v>
      </c>
      <c r="D42" s="367" t="s">
        <v>67</v>
      </c>
      <c r="E42" s="366" t="str">
        <f ca="1">IFERROR(OFFSET(Camp_List[P_Code],MATCH(Data_Infrastructure[[#This Row],[Camp]],Camp_List[Camp Name],0)-1,0,1,1),"")</f>
        <v>MMR012CMP045</v>
      </c>
      <c r="F42" s="369" t="s">
        <v>765</v>
      </c>
      <c r="G42" s="369"/>
      <c r="H42" s="285">
        <v>1</v>
      </c>
      <c r="I42" s="284" t="s">
        <v>798</v>
      </c>
      <c r="J42" s="373" t="s">
        <v>780</v>
      </c>
    </row>
    <row r="43" spans="1:13" ht="16.5" customHeight="1">
      <c r="A43" s="365" t="s">
        <v>767</v>
      </c>
      <c r="B43" s="365" t="s">
        <v>7</v>
      </c>
      <c r="C43" s="365" t="s">
        <v>19</v>
      </c>
      <c r="D43" s="367" t="s">
        <v>70</v>
      </c>
      <c r="E43" s="366" t="str">
        <f ca="1">IFERROR(OFFSET(Camp_List[P_Code],MATCH(Data_Infrastructure[[#This Row],[Camp]],Camp_List[Camp Name],0)-1,0,1,1),"")</f>
        <v>MMR012CMP048</v>
      </c>
      <c r="F43" s="369" t="s">
        <v>764</v>
      </c>
      <c r="G43" s="369"/>
      <c r="H43" s="285">
        <v>1</v>
      </c>
      <c r="I43" s="284" t="s">
        <v>798</v>
      </c>
      <c r="J43" s="373"/>
    </row>
    <row r="44" spans="1:13" ht="16.5" customHeight="1">
      <c r="A44" s="365" t="s">
        <v>767</v>
      </c>
      <c r="B44" s="365" t="s">
        <v>7</v>
      </c>
      <c r="C44" s="365" t="s">
        <v>19</v>
      </c>
      <c r="D44" s="367" t="s">
        <v>70</v>
      </c>
      <c r="E44" s="366" t="str">
        <f ca="1">IFERROR(OFFSET(Camp_List[P_Code],MATCH(Data_Infrastructure[[#This Row],[Camp]],Camp_List[Camp Name],0)-1,0,1,1),"")</f>
        <v>MMR012CMP048</v>
      </c>
      <c r="F44" s="369" t="s">
        <v>765</v>
      </c>
      <c r="G44" s="369" t="s">
        <v>775</v>
      </c>
      <c r="H44" s="285">
        <v>2</v>
      </c>
      <c r="I44" s="284" t="s">
        <v>798</v>
      </c>
      <c r="J44" s="373"/>
    </row>
    <row r="45" spans="1:13" ht="16.5" customHeight="1">
      <c r="A45" s="365" t="s">
        <v>767</v>
      </c>
      <c r="B45" s="365" t="s">
        <v>7</v>
      </c>
      <c r="C45" s="365" t="s">
        <v>19</v>
      </c>
      <c r="D45" s="367" t="s">
        <v>70</v>
      </c>
      <c r="E45" s="366" t="str">
        <f ca="1">IFERROR(OFFSET(Camp_List[P_Code],MATCH(Data_Infrastructure[[#This Row],[Camp]],Camp_List[Camp Name],0)-1,0,1,1),"")</f>
        <v>MMR012CMP048</v>
      </c>
      <c r="F45" s="369" t="s">
        <v>763</v>
      </c>
      <c r="G45" s="369"/>
      <c r="H45" s="285">
        <v>1</v>
      </c>
      <c r="I45" s="284" t="s">
        <v>798</v>
      </c>
      <c r="J45" s="373"/>
    </row>
    <row r="46" spans="1:13">
      <c r="A46" s="173"/>
      <c r="B46" s="173"/>
      <c r="C46" s="173"/>
      <c r="D46" s="174"/>
      <c r="E46" s="173"/>
      <c r="F46" s="173"/>
      <c r="G46" s="173"/>
      <c r="H46" s="172"/>
    </row>
    <row r="47" spans="1:13">
      <c r="G47" s="170"/>
      <c r="H47" s="172"/>
    </row>
    <row r="48" spans="1:13">
      <c r="G48" s="170"/>
      <c r="H48" s="172"/>
    </row>
    <row r="49" spans="1:8">
      <c r="G49" s="170"/>
      <c r="H49" s="172"/>
    </row>
    <row r="50" spans="1:8">
      <c r="G50" s="170"/>
      <c r="H50" s="172"/>
    </row>
    <row r="51" spans="1:8">
      <c r="G51" s="170"/>
      <c r="H51" s="172"/>
    </row>
    <row r="52" spans="1:8">
      <c r="G52" s="170"/>
      <c r="H52" s="172"/>
    </row>
    <row r="53" spans="1:8">
      <c r="G53" s="170"/>
      <c r="H53" s="172"/>
    </row>
    <row r="54" spans="1:8">
      <c r="A54" s="170"/>
      <c r="B54" s="170"/>
      <c r="C54" s="170"/>
      <c r="D54" s="170"/>
      <c r="G54" s="170"/>
      <c r="H54" s="172"/>
    </row>
    <row r="59" spans="1:8" ht="15">
      <c r="A59" s="167"/>
      <c r="B59" s="167"/>
      <c r="C59" s="167"/>
      <c r="D59" s="167"/>
      <c r="E59"/>
      <c r="F59"/>
    </row>
    <row r="60" spans="1:8" ht="15">
      <c r="A60" s="167"/>
      <c r="B60" s="167"/>
      <c r="C60" s="167"/>
      <c r="D60" s="167"/>
      <c r="E60"/>
      <c r="F60"/>
    </row>
    <row r="61" spans="1:8" ht="15">
      <c r="A61" s="167"/>
      <c r="B61" s="167"/>
      <c r="C61" s="167"/>
      <c r="D61" s="167"/>
      <c r="E61"/>
      <c r="F61"/>
    </row>
    <row r="62" spans="1:8" ht="15">
      <c r="A62" s="167"/>
      <c r="B62" s="167"/>
      <c r="C62" s="167"/>
      <c r="D62" s="167"/>
      <c r="E62"/>
      <c r="F62"/>
    </row>
    <row r="63" spans="1:8" ht="15">
      <c r="A63" s="167"/>
      <c r="B63" s="167"/>
      <c r="C63" s="167"/>
      <c r="D63" s="167"/>
      <c r="E63"/>
      <c r="F63"/>
    </row>
    <row r="64" spans="1:8" ht="15">
      <c r="A64" s="167"/>
      <c r="B64" s="167"/>
      <c r="C64" s="167"/>
      <c r="D64" s="167"/>
      <c r="E64"/>
      <c r="F64"/>
    </row>
    <row r="65" spans="1:6" ht="15">
      <c r="A65" s="167"/>
      <c r="B65" s="167"/>
      <c r="C65" s="167"/>
      <c r="D65" s="167"/>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E6" sqref="E6"/>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3.5703125" customWidth="1"/>
    <col min="9" max="9" width="13.140625" customWidth="1"/>
    <col min="10" max="10" width="17.5703125" customWidth="1"/>
    <col min="11" max="13" width="13" style="100" customWidth="1"/>
    <col min="14" max="14" width="12.85546875" bestFit="1" customWidth="1"/>
    <col min="15" max="15" width="18.42578125" customWidth="1"/>
    <col min="16" max="16" width="15.85546875" customWidth="1"/>
    <col min="17" max="17" width="17.7109375" customWidth="1"/>
    <col min="18" max="18" width="20.28515625" style="69" customWidth="1"/>
    <col min="19" max="19" width="12.140625" hidden="1" customWidth="1"/>
    <col min="20" max="20" width="12.42578125" customWidth="1"/>
  </cols>
  <sheetData>
    <row r="1" spans="1:62" s="1" customFormat="1" ht="36">
      <c r="A1" s="198"/>
      <c r="B1" s="199"/>
      <c r="C1" s="199"/>
      <c r="D1" s="199"/>
      <c r="E1" s="199"/>
      <c r="F1" s="199"/>
      <c r="G1" s="199"/>
      <c r="H1" s="199"/>
      <c r="I1" s="199"/>
      <c r="J1" s="199"/>
      <c r="K1" s="199"/>
      <c r="L1" s="199"/>
      <c r="M1" s="199"/>
      <c r="N1" s="199"/>
      <c r="O1" s="199"/>
      <c r="P1" s="199"/>
      <c r="Q1" s="199"/>
      <c r="R1" s="215"/>
      <c r="S1" s="77"/>
      <c r="T1" s="69"/>
      <c r="U1" s="69"/>
      <c r="V1" s="69"/>
      <c r="W1" s="69"/>
      <c r="X1" s="69"/>
      <c r="BI1" s="78"/>
      <c r="BJ1" s="78"/>
    </row>
    <row r="2" spans="1:62" s="1" customFormat="1" ht="56.25" customHeight="1">
      <c r="A2" s="878" t="s">
        <v>224</v>
      </c>
      <c r="B2" s="879"/>
      <c r="C2" s="879"/>
      <c r="D2" s="217"/>
      <c r="E2" s="217"/>
      <c r="F2" s="217"/>
      <c r="G2" s="217"/>
      <c r="H2" s="217"/>
      <c r="I2" s="217"/>
      <c r="J2" s="217"/>
      <c r="K2" s="217"/>
      <c r="L2" s="217"/>
      <c r="M2" s="217"/>
      <c r="N2" s="217"/>
      <c r="O2" s="217"/>
      <c r="P2" s="217"/>
      <c r="Q2" s="217"/>
      <c r="R2" s="218"/>
      <c r="S2" s="77"/>
      <c r="T2" s="69"/>
      <c r="U2" s="69"/>
      <c r="V2" s="69"/>
      <c r="W2" s="69"/>
      <c r="X2" s="69"/>
      <c r="BI2" s="78"/>
      <c r="BJ2" s="78"/>
    </row>
    <row r="3" spans="1:62" s="21" customFormat="1" ht="18" customHeight="1">
      <c r="A3" s="880">
        <f>Report_Date</f>
        <v>42522</v>
      </c>
      <c r="B3" s="881"/>
      <c r="C3" s="881"/>
      <c r="D3" s="881"/>
      <c r="E3" s="881"/>
      <c r="F3" s="881"/>
      <c r="G3" s="881"/>
      <c r="H3" s="881"/>
      <c r="I3" s="881"/>
      <c r="J3" s="881"/>
      <c r="K3" s="881"/>
      <c r="L3" s="881"/>
      <c r="M3" s="881"/>
      <c r="N3" s="881"/>
      <c r="O3" s="881"/>
      <c r="P3" s="881"/>
      <c r="Q3" s="881"/>
      <c r="R3" s="882"/>
      <c r="S3" s="64"/>
      <c r="T3" s="64"/>
      <c r="U3" s="64"/>
      <c r="V3" s="79"/>
      <c r="W3" s="64"/>
      <c r="X3" s="64"/>
      <c r="BI3" s="79"/>
      <c r="BJ3" s="79"/>
    </row>
    <row r="4" spans="1:62" s="21" customFormat="1" ht="36">
      <c r="A4" s="81"/>
      <c r="B4" s="81"/>
      <c r="C4" s="81"/>
      <c r="D4" s="64"/>
      <c r="E4" s="64"/>
      <c r="F4" s="64"/>
      <c r="G4" s="64"/>
      <c r="H4" s="64"/>
      <c r="I4" s="64"/>
      <c r="J4" s="64"/>
      <c r="K4" s="64"/>
      <c r="L4" s="64"/>
      <c r="M4" s="64"/>
      <c r="O4" s="64"/>
      <c r="P4" s="64"/>
      <c r="Q4" s="64"/>
      <c r="R4" s="64"/>
      <c r="S4" s="64"/>
      <c r="T4" s="64"/>
      <c r="U4" s="64"/>
      <c r="V4" s="79"/>
      <c r="W4" s="64"/>
      <c r="X4" s="64"/>
      <c r="BI4" s="79"/>
      <c r="BJ4" s="79"/>
    </row>
    <row r="5" spans="1:62" ht="48.75" customHeight="1">
      <c r="A5" s="104" t="s">
        <v>1</v>
      </c>
      <c r="B5" s="104" t="s">
        <v>225</v>
      </c>
      <c r="C5" s="104" t="s">
        <v>226</v>
      </c>
      <c r="D5" s="104" t="s">
        <v>228</v>
      </c>
      <c r="E5" s="104" t="s">
        <v>222</v>
      </c>
      <c r="F5" s="104" t="s">
        <v>223</v>
      </c>
      <c r="G5" s="104" t="s">
        <v>221</v>
      </c>
      <c r="H5" s="104" t="s">
        <v>1054</v>
      </c>
      <c r="I5" s="104" t="s">
        <v>1055</v>
      </c>
      <c r="J5" s="104" t="s">
        <v>1056</v>
      </c>
      <c r="K5" s="529" t="s">
        <v>954</v>
      </c>
      <c r="L5" s="529" t="s">
        <v>955</v>
      </c>
      <c r="M5" s="529" t="s">
        <v>956</v>
      </c>
      <c r="N5" s="104" t="s">
        <v>229</v>
      </c>
      <c r="O5" s="104" t="s">
        <v>227</v>
      </c>
      <c r="P5" s="18" t="s">
        <v>533</v>
      </c>
      <c r="Q5" s="18" t="s">
        <v>532</v>
      </c>
      <c r="R5" s="18" t="s">
        <v>534</v>
      </c>
      <c r="S5" s="69"/>
    </row>
    <row r="6" spans="1:62">
      <c r="A6" s="31" t="s">
        <v>17</v>
      </c>
      <c r="B6" s="38">
        <f>SUMIF(Camplist_Township,'Shelter Progress'!$A6,Camplist_HH)</f>
        <v>492</v>
      </c>
      <c r="C6" s="38">
        <f>SUMIF(Camplist_Township,'Shelter Progress'!$A6,Camplist_Popl)</f>
        <v>1601</v>
      </c>
      <c r="D6" s="72">
        <f t="shared" ref="D6:D15" si="0">SUMIF(Col_Shelter_Township,$A6,Col_Shelter_Tent_Dist)</f>
        <v>0</v>
      </c>
      <c r="E6" s="72">
        <f t="shared" ref="E6:E15" si="1">SUMIF(Col_Shelter_Township,$A6,Col_Shelter_Temp_B)</f>
        <v>60</v>
      </c>
      <c r="F6" s="72">
        <f t="shared" ref="F6:F15" si="2">SUMIF(Col_Shelter_Township,$A6,Col_Shelter_Temp_U)</f>
        <v>0</v>
      </c>
      <c r="G6" s="72">
        <f t="shared" ref="G6:G15" si="3">SUMIF(Col_Shelter_Township,$A6,Col_Shelter_Temp_P)</f>
        <v>60</v>
      </c>
      <c r="H6" s="72">
        <f>SUMIF(Col_Shelter_Township,$A6,Col_Shelter_Perm_B)</f>
        <v>0</v>
      </c>
      <c r="I6" s="72">
        <f t="shared" ref="I6:I15" si="4">SUMIF(Col_Shelter_Township,$A6,Col_Shelter_Perm_U)</f>
        <v>0</v>
      </c>
      <c r="J6" s="72">
        <f t="shared" ref="J6:J15" si="5">SUMIF(Col_Shelter_Township,$A6,Col_Shelter_Perm_P)</f>
        <v>100</v>
      </c>
      <c r="K6" s="530">
        <f t="shared" ref="K6:K15" si="6">SUMIF(Col_Shelter_Township,$A6,Col_Shelter_Individual_B)</f>
        <v>0</v>
      </c>
      <c r="L6" s="530">
        <f t="shared" ref="L6:L15" si="7">SUMIF(Col_Shelter_Township,$A6,Col_Shelter_Individual_U)</f>
        <v>0</v>
      </c>
      <c r="M6" s="530">
        <f t="shared" ref="M6:M15" si="8">SUMIF(Col_Shelter_Township,$A6,Col_Shelter_Individual_P)</f>
        <v>0</v>
      </c>
      <c r="N6" s="72">
        <f ca="1">SUMIF(Col_Shelter_Township,$A6,Shelter_HH_Covered)</f>
        <v>480</v>
      </c>
      <c r="O6" s="238">
        <f ca="1">N6*S6</f>
        <v>1561.9512195121952</v>
      </c>
      <c r="P6" s="239">
        <f ca="1">B6-N6</f>
        <v>12</v>
      </c>
      <c r="Q6" s="240">
        <f ca="1">IF(N6/B6&gt;1,1,N6/B6)</f>
        <v>0.97560975609756095</v>
      </c>
      <c r="R6" s="239">
        <f ca="1">MAX(0,C6-O6)</f>
        <v>39.048780487804834</v>
      </c>
      <c r="S6" s="42">
        <f>C6/B6</f>
        <v>3.2540650406504064</v>
      </c>
    </row>
    <row r="7" spans="1:62">
      <c r="A7" s="31" t="s">
        <v>15</v>
      </c>
      <c r="B7" s="38">
        <f>SUMIF(Camplist_Township,'Shelter Progress'!$A7,Camplist_HH)</f>
        <v>1001</v>
      </c>
      <c r="C7" s="38">
        <f>SUMIF(Camplist_Township,'Shelter Progress'!$A7,Camplist_Popl)</f>
        <v>6527</v>
      </c>
      <c r="D7" s="72">
        <f t="shared" si="0"/>
        <v>17</v>
      </c>
      <c r="E7" s="72">
        <f t="shared" si="1"/>
        <v>111</v>
      </c>
      <c r="F7" s="72">
        <f t="shared" si="2"/>
        <v>0</v>
      </c>
      <c r="G7" s="72">
        <f t="shared" si="3"/>
        <v>111</v>
      </c>
      <c r="H7" s="72">
        <f t="shared" ref="H7:H15" si="9">SUMIF(Col_Shelter_Township,$A7,Col_Shelter_Perm_B)</f>
        <v>0</v>
      </c>
      <c r="I7" s="72">
        <f t="shared" si="4"/>
        <v>0</v>
      </c>
      <c r="J7" s="72">
        <f t="shared" si="5"/>
        <v>0</v>
      </c>
      <c r="K7" s="530">
        <f t="shared" si="6"/>
        <v>168</v>
      </c>
      <c r="L7" s="530">
        <f t="shared" si="7"/>
        <v>757</v>
      </c>
      <c r="M7" s="530">
        <f t="shared" si="8"/>
        <v>913</v>
      </c>
      <c r="N7" s="72">
        <f ca="1">SUMIF(Col_Shelter_Township,$A7,Shelter_HH_Covered)</f>
        <v>72</v>
      </c>
      <c r="O7" s="238">
        <f t="shared" ref="O7:O15" ca="1" si="10">N7*S7</f>
        <v>469.47452547452548</v>
      </c>
      <c r="P7" s="239">
        <f ca="1">B7-N7</f>
        <v>929</v>
      </c>
      <c r="Q7" s="240">
        <f t="shared" ref="Q7:Q15" ca="1" si="11">IF(N7/B7&gt;1,1,N7/B7)</f>
        <v>7.1928071928071935E-2</v>
      </c>
      <c r="R7" s="239">
        <f t="shared" ref="R7:R15" ca="1" si="12">MAX(0,C7-O7)</f>
        <v>6057.5254745254742</v>
      </c>
      <c r="S7" s="42">
        <f>C7/B7</f>
        <v>6.5204795204795207</v>
      </c>
      <c r="U7" s="59"/>
    </row>
    <row r="8" spans="1:62">
      <c r="A8" s="31" t="s">
        <v>20</v>
      </c>
      <c r="B8" s="38">
        <f>SUMIF(Camplist_Township,'Shelter Progress'!$A8,Camplist_HH)</f>
        <v>219</v>
      </c>
      <c r="C8" s="38">
        <f>SUMIF(Camplist_Township,'Shelter Progress'!$A8,Camplist_Popl)</f>
        <v>1378</v>
      </c>
      <c r="D8" s="72">
        <f t="shared" si="0"/>
        <v>0</v>
      </c>
      <c r="E8" s="72">
        <f t="shared" si="1"/>
        <v>0</v>
      </c>
      <c r="F8" s="72">
        <f t="shared" si="2"/>
        <v>0</v>
      </c>
      <c r="G8" s="72">
        <f t="shared" si="3"/>
        <v>0</v>
      </c>
      <c r="H8" s="72">
        <f t="shared" si="9"/>
        <v>554</v>
      </c>
      <c r="I8" s="72">
        <f t="shared" si="4"/>
        <v>0</v>
      </c>
      <c r="J8" s="72">
        <f t="shared" si="5"/>
        <v>554</v>
      </c>
      <c r="K8" s="530">
        <f t="shared" si="6"/>
        <v>0</v>
      </c>
      <c r="L8" s="530">
        <f t="shared" si="7"/>
        <v>0</v>
      </c>
      <c r="M8" s="530">
        <f t="shared" si="8"/>
        <v>0</v>
      </c>
      <c r="N8" s="72">
        <f ca="1">SUMIF(Col_Shelter_Township,$A8,Shelter_HH_Covered)</f>
        <v>0</v>
      </c>
      <c r="O8" s="238">
        <f t="shared" ca="1" si="10"/>
        <v>0</v>
      </c>
      <c r="P8" s="239">
        <f t="shared" ref="P8:P15" ca="1" si="13">B8-N8</f>
        <v>219</v>
      </c>
      <c r="Q8" s="240">
        <f t="shared" ca="1" si="11"/>
        <v>0</v>
      </c>
      <c r="R8" s="239">
        <f t="shared" ca="1" si="12"/>
        <v>1378</v>
      </c>
      <c r="S8" s="42">
        <f t="shared" ref="S8:S16" si="14">C8/B8</f>
        <v>6.2922374429223744</v>
      </c>
      <c r="U8" s="59"/>
    </row>
    <row r="9" spans="1:62">
      <c r="A9" s="207" t="s">
        <v>900</v>
      </c>
      <c r="B9" s="38">
        <f>SUMIF(Camplist_Township,'Shelter Progress'!$A9,Camplist_HH)</f>
        <v>724</v>
      </c>
      <c r="C9" s="38">
        <f>SUMIF(Camplist_Township,'Shelter Progress'!$A9,Camplist_Popl)</f>
        <v>2922</v>
      </c>
      <c r="D9" s="72">
        <f t="shared" si="0"/>
        <v>0</v>
      </c>
      <c r="E9" s="72">
        <f t="shared" si="1"/>
        <v>95</v>
      </c>
      <c r="F9" s="72">
        <f t="shared" si="2"/>
        <v>0</v>
      </c>
      <c r="G9" s="72">
        <f t="shared" si="3"/>
        <v>95</v>
      </c>
      <c r="H9" s="72">
        <f t="shared" si="9"/>
        <v>0</v>
      </c>
      <c r="I9" s="72">
        <f t="shared" si="4"/>
        <v>0</v>
      </c>
      <c r="J9" s="72">
        <f t="shared" si="5"/>
        <v>42</v>
      </c>
      <c r="K9" s="530">
        <f t="shared" si="6"/>
        <v>0</v>
      </c>
      <c r="L9" s="530">
        <f t="shared" si="7"/>
        <v>0</v>
      </c>
      <c r="M9" s="530">
        <f t="shared" si="8"/>
        <v>0</v>
      </c>
      <c r="N9" s="72">
        <f t="shared" ref="N9:N14" ca="1" si="15">SUMIF(Col_Shelter_Township,$A9,Shelter_HH_Covered)</f>
        <v>760</v>
      </c>
      <c r="O9" s="238">
        <f t="shared" ca="1" si="10"/>
        <v>3067.2928176795581</v>
      </c>
      <c r="P9" s="239">
        <f t="shared" ca="1" si="13"/>
        <v>-36</v>
      </c>
      <c r="Q9" s="240">
        <f t="shared" ca="1" si="11"/>
        <v>1</v>
      </c>
      <c r="R9" s="239">
        <f ca="1">MAX(0,C9-O9)</f>
        <v>0</v>
      </c>
      <c r="S9" s="42">
        <f t="shared" si="14"/>
        <v>4.0359116022099446</v>
      </c>
      <c r="U9" s="59"/>
    </row>
    <row r="10" spans="1:62">
      <c r="A10" s="31" t="s">
        <v>11</v>
      </c>
      <c r="B10" s="38">
        <f>SUMIF(Camplist_Township,'Shelter Progress'!$A10,Camplist_HH)</f>
        <v>911</v>
      </c>
      <c r="C10" s="38">
        <f>SUMIF(Camplist_Township,'Shelter Progress'!$A10,Camplist_Popl)</f>
        <v>5638</v>
      </c>
      <c r="D10" s="72">
        <f t="shared" si="0"/>
        <v>0</v>
      </c>
      <c r="E10" s="72">
        <f t="shared" si="1"/>
        <v>84</v>
      </c>
      <c r="F10" s="72">
        <f t="shared" si="2"/>
        <v>0</v>
      </c>
      <c r="G10" s="72">
        <f t="shared" si="3"/>
        <v>84</v>
      </c>
      <c r="H10" s="72">
        <f t="shared" si="9"/>
        <v>22</v>
      </c>
      <c r="I10" s="72">
        <f t="shared" si="4"/>
        <v>0</v>
      </c>
      <c r="J10" s="72">
        <f t="shared" si="5"/>
        <v>22</v>
      </c>
      <c r="K10" s="530">
        <f t="shared" si="6"/>
        <v>451</v>
      </c>
      <c r="L10" s="530">
        <f t="shared" si="7"/>
        <v>0</v>
      </c>
      <c r="M10" s="530">
        <f t="shared" si="8"/>
        <v>898</v>
      </c>
      <c r="N10" s="72">
        <f t="shared" ca="1" si="15"/>
        <v>0</v>
      </c>
      <c r="O10" s="238">
        <f t="shared" ca="1" si="10"/>
        <v>0</v>
      </c>
      <c r="P10" s="239">
        <f t="shared" ca="1" si="13"/>
        <v>911</v>
      </c>
      <c r="Q10" s="240">
        <f t="shared" ca="1" si="11"/>
        <v>0</v>
      </c>
      <c r="R10" s="239">
        <f t="shared" ca="1" si="12"/>
        <v>5638</v>
      </c>
      <c r="S10" s="42">
        <f t="shared" si="14"/>
        <v>6.1888035126234904</v>
      </c>
      <c r="U10" s="59"/>
    </row>
    <row r="11" spans="1:62">
      <c r="A11" s="31" t="s">
        <v>12</v>
      </c>
      <c r="B11" s="38">
        <f>SUMIF(Camplist_Township,'Shelter Progress'!$A11,Camplist_HH)</f>
        <v>610</v>
      </c>
      <c r="C11" s="38">
        <f>SUMIF(Camplist_Township,'Shelter Progress'!$A11,Camplist_Popl)</f>
        <v>3826</v>
      </c>
      <c r="D11" s="72">
        <f t="shared" si="0"/>
        <v>0</v>
      </c>
      <c r="E11" s="72">
        <f t="shared" si="1"/>
        <v>72</v>
      </c>
      <c r="F11" s="72">
        <f t="shared" si="2"/>
        <v>0</v>
      </c>
      <c r="G11" s="72">
        <f t="shared" si="3"/>
        <v>72</v>
      </c>
      <c r="H11" s="72">
        <f t="shared" si="9"/>
        <v>42</v>
      </c>
      <c r="I11" s="72">
        <f t="shared" si="4"/>
        <v>0</v>
      </c>
      <c r="J11" s="72">
        <f t="shared" si="5"/>
        <v>42</v>
      </c>
      <c r="K11" s="530">
        <f t="shared" si="6"/>
        <v>284</v>
      </c>
      <c r="L11" s="530">
        <f t="shared" si="7"/>
        <v>0</v>
      </c>
      <c r="M11" s="530">
        <f t="shared" si="8"/>
        <v>569</v>
      </c>
      <c r="N11" s="72">
        <f t="shared" ca="1" si="15"/>
        <v>0</v>
      </c>
      <c r="O11" s="238">
        <f t="shared" ca="1" si="10"/>
        <v>0</v>
      </c>
      <c r="P11" s="239">
        <f t="shared" ca="1" si="13"/>
        <v>610</v>
      </c>
      <c r="Q11" s="240">
        <f t="shared" ca="1" si="11"/>
        <v>0</v>
      </c>
      <c r="R11" s="239">
        <f t="shared" ca="1" si="12"/>
        <v>3826</v>
      </c>
      <c r="S11" s="42">
        <f t="shared" si="14"/>
        <v>6.2721311475409838</v>
      </c>
      <c r="U11" s="59"/>
    </row>
    <row r="12" spans="1:62">
      <c r="A12" s="207" t="s">
        <v>14</v>
      </c>
      <c r="B12" s="38">
        <f>SUMIF(Camplist_Township,'Shelter Progress'!$A12,Camplist_HH)</f>
        <v>4943</v>
      </c>
      <c r="C12" s="38">
        <f>SUMIF(Camplist_Township,'Shelter Progress'!$A12,Camplist_Popl)</f>
        <v>19721</v>
      </c>
      <c r="D12" s="72">
        <f t="shared" si="0"/>
        <v>110</v>
      </c>
      <c r="E12" s="72">
        <f t="shared" si="1"/>
        <v>481</v>
      </c>
      <c r="F12" s="72">
        <f t="shared" si="2"/>
        <v>0</v>
      </c>
      <c r="G12" s="72">
        <f t="shared" si="3"/>
        <v>481</v>
      </c>
      <c r="H12" s="72">
        <f t="shared" si="9"/>
        <v>21</v>
      </c>
      <c r="I12" s="72">
        <f t="shared" si="4"/>
        <v>0</v>
      </c>
      <c r="J12" s="72">
        <f t="shared" si="5"/>
        <v>21</v>
      </c>
      <c r="K12" s="530">
        <f t="shared" si="6"/>
        <v>772</v>
      </c>
      <c r="L12" s="530">
        <f t="shared" si="7"/>
        <v>248</v>
      </c>
      <c r="M12" s="530">
        <f t="shared" si="8"/>
        <v>2329</v>
      </c>
      <c r="N12" s="72">
        <f ca="1">SUMIF(Col_Shelter_Township,$A12,Shelter_HH_Covered)</f>
        <v>4596</v>
      </c>
      <c r="O12" s="238">
        <f t="shared" ca="1" si="10"/>
        <v>18336.580214444672</v>
      </c>
      <c r="P12" s="239">
        <f t="shared" ca="1" si="13"/>
        <v>347</v>
      </c>
      <c r="Q12" s="240">
        <f t="shared" ca="1" si="11"/>
        <v>0.92979971677119155</v>
      </c>
      <c r="R12" s="239">
        <f t="shared" ca="1" si="12"/>
        <v>1384.4197855553284</v>
      </c>
      <c r="S12" s="42">
        <f t="shared" si="14"/>
        <v>3.9896823791219909</v>
      </c>
      <c r="U12" s="59"/>
    </row>
    <row r="13" spans="1:62">
      <c r="A13" s="31" t="s">
        <v>18</v>
      </c>
      <c r="B13" s="38">
        <f>SUMIF(Camplist_Township,'Shelter Progress'!$A13,Camplist_HH)</f>
        <v>75</v>
      </c>
      <c r="C13" s="38">
        <f>SUMIF(Camplist_Township,'Shelter Progress'!$A13,Camplist_Popl)</f>
        <v>264</v>
      </c>
      <c r="D13" s="72">
        <f t="shared" si="0"/>
        <v>0</v>
      </c>
      <c r="E13" s="72">
        <f t="shared" si="1"/>
        <v>12</v>
      </c>
      <c r="F13" s="72">
        <f t="shared" si="2"/>
        <v>0</v>
      </c>
      <c r="G13" s="72">
        <f t="shared" si="3"/>
        <v>12</v>
      </c>
      <c r="H13" s="72">
        <f t="shared" si="9"/>
        <v>0</v>
      </c>
      <c r="I13" s="72">
        <f t="shared" si="4"/>
        <v>0</v>
      </c>
      <c r="J13" s="72">
        <f t="shared" si="5"/>
        <v>62</v>
      </c>
      <c r="K13" s="530">
        <f t="shared" si="6"/>
        <v>0</v>
      </c>
      <c r="L13" s="530">
        <f t="shared" si="7"/>
        <v>0</v>
      </c>
      <c r="M13" s="530">
        <f t="shared" si="8"/>
        <v>0</v>
      </c>
      <c r="N13" s="72">
        <f t="shared" ca="1" si="15"/>
        <v>96</v>
      </c>
      <c r="O13" s="238">
        <f t="shared" ca="1" si="10"/>
        <v>337.92</v>
      </c>
      <c r="P13" s="239">
        <f t="shared" ca="1" si="13"/>
        <v>-21</v>
      </c>
      <c r="Q13" s="240">
        <f t="shared" ca="1" si="11"/>
        <v>1</v>
      </c>
      <c r="R13" s="239">
        <f t="shared" ca="1" si="12"/>
        <v>0</v>
      </c>
      <c r="S13" s="42">
        <f t="shared" si="14"/>
        <v>3.52</v>
      </c>
      <c r="U13" s="59"/>
    </row>
    <row r="14" spans="1:62">
      <c r="A14" s="31" t="s">
        <v>16</v>
      </c>
      <c r="B14" s="38">
        <f>SUMIF(Camplist_Township,'Shelter Progress'!$A14,Camplist_HH)</f>
        <v>747</v>
      </c>
      <c r="C14" s="38">
        <f>SUMIF(Camplist_Township,'Shelter Progress'!$A14,Camplist_Popl)</f>
        <v>4055</v>
      </c>
      <c r="D14" s="72">
        <f t="shared" si="0"/>
        <v>0</v>
      </c>
      <c r="E14" s="72">
        <f t="shared" si="1"/>
        <v>64</v>
      </c>
      <c r="F14" s="72">
        <f t="shared" si="2"/>
        <v>0</v>
      </c>
      <c r="G14" s="72">
        <f t="shared" si="3"/>
        <v>64</v>
      </c>
      <c r="H14" s="72">
        <f t="shared" si="9"/>
        <v>0</v>
      </c>
      <c r="I14" s="72">
        <f t="shared" si="4"/>
        <v>0</v>
      </c>
      <c r="J14" s="72">
        <f t="shared" si="5"/>
        <v>0</v>
      </c>
      <c r="K14" s="530">
        <f t="shared" si="6"/>
        <v>88</v>
      </c>
      <c r="L14" s="530">
        <f t="shared" si="7"/>
        <v>0</v>
      </c>
      <c r="M14" s="530">
        <f t="shared" si="8"/>
        <v>88</v>
      </c>
      <c r="N14" s="72">
        <f t="shared" ca="1" si="15"/>
        <v>424</v>
      </c>
      <c r="O14" s="238">
        <f t="shared" ca="1" si="10"/>
        <v>2301.6331994645248</v>
      </c>
      <c r="P14" s="239">
        <f t="shared" ca="1" si="13"/>
        <v>323</v>
      </c>
      <c r="Q14" s="240">
        <f t="shared" ca="1" si="11"/>
        <v>0.56760374832663985</v>
      </c>
      <c r="R14" s="239">
        <f t="shared" ca="1" si="12"/>
        <v>1753.3668005354752</v>
      </c>
      <c r="S14" s="42">
        <f t="shared" si="14"/>
        <v>5.428380187416332</v>
      </c>
      <c r="U14" s="59"/>
    </row>
    <row r="15" spans="1:62">
      <c r="A15" s="31" t="s">
        <v>19</v>
      </c>
      <c r="B15" s="38">
        <f>SUMIF(Camplist_Township,'Shelter Progress'!$A15,Camplist_HH)</f>
        <v>18551</v>
      </c>
      <c r="C15" s="38">
        <f>SUMIF(Camplist_Township,'Shelter Progress'!$A15,Camplist_Popl)</f>
        <v>98754</v>
      </c>
      <c r="D15" s="72">
        <f t="shared" si="0"/>
        <v>0</v>
      </c>
      <c r="E15" s="72">
        <f t="shared" si="1"/>
        <v>1860</v>
      </c>
      <c r="F15" s="72">
        <f t="shared" si="2"/>
        <v>0</v>
      </c>
      <c r="G15" s="72">
        <f t="shared" si="3"/>
        <v>1860</v>
      </c>
      <c r="H15" s="72">
        <f t="shared" si="9"/>
        <v>741</v>
      </c>
      <c r="I15" s="72">
        <f t="shared" si="4"/>
        <v>0</v>
      </c>
      <c r="J15" s="72">
        <f t="shared" si="5"/>
        <v>741</v>
      </c>
      <c r="K15" s="530">
        <f t="shared" si="6"/>
        <v>0</v>
      </c>
      <c r="L15" s="530">
        <f t="shared" si="7"/>
        <v>0</v>
      </c>
      <c r="M15" s="530">
        <f t="shared" si="8"/>
        <v>151</v>
      </c>
      <c r="N15" s="72">
        <f ca="1">SUMIF(Col_Shelter_Township,$A15,Shelter_HH_Covered)</f>
        <v>14928</v>
      </c>
      <c r="O15" s="238">
        <f t="shared" ca="1" si="10"/>
        <v>79467.398630801574</v>
      </c>
      <c r="P15" s="239">
        <f t="shared" ca="1" si="13"/>
        <v>3623</v>
      </c>
      <c r="Q15" s="240">
        <f t="shared" ca="1" si="11"/>
        <v>0.80470055522613337</v>
      </c>
      <c r="R15" s="239">
        <f t="shared" ca="1" si="12"/>
        <v>19286.601369198426</v>
      </c>
      <c r="S15" s="129">
        <f t="shared" si="14"/>
        <v>5.3233787935960324</v>
      </c>
      <c r="U15" s="59"/>
    </row>
    <row r="16" spans="1:62">
      <c r="A16" s="13" t="s">
        <v>5</v>
      </c>
      <c r="B16" s="73">
        <f t="shared" ref="B16:P16" si="16">SUM(B6:B15)</f>
        <v>28273</v>
      </c>
      <c r="C16" s="73">
        <f t="shared" si="16"/>
        <v>144686</v>
      </c>
      <c r="D16" s="73">
        <f t="shared" si="16"/>
        <v>127</v>
      </c>
      <c r="E16" s="73">
        <f t="shared" si="16"/>
        <v>2839</v>
      </c>
      <c r="F16" s="73">
        <f t="shared" si="16"/>
        <v>0</v>
      </c>
      <c r="G16" s="73">
        <f t="shared" si="16"/>
        <v>2839</v>
      </c>
      <c r="H16" s="73">
        <f t="shared" si="16"/>
        <v>1380</v>
      </c>
      <c r="I16" s="73">
        <f t="shared" si="16"/>
        <v>0</v>
      </c>
      <c r="J16" s="73">
        <f t="shared" si="16"/>
        <v>1584</v>
      </c>
      <c r="K16" s="531">
        <f>SUM(K6:K15)</f>
        <v>1763</v>
      </c>
      <c r="L16" s="531">
        <f t="shared" si="16"/>
        <v>1005</v>
      </c>
      <c r="M16" s="531">
        <f t="shared" si="16"/>
        <v>4948</v>
      </c>
      <c r="N16" s="73">
        <f t="shared" ca="1" si="16"/>
        <v>21356</v>
      </c>
      <c r="O16" s="73">
        <f t="shared" ca="1" si="16"/>
        <v>105542.25060737705</v>
      </c>
      <c r="P16" s="74">
        <f t="shared" ca="1" si="16"/>
        <v>6917</v>
      </c>
      <c r="Q16" s="71">
        <f ca="1">N16/B16</f>
        <v>0.75534962685247409</v>
      </c>
      <c r="R16" s="74">
        <f ca="1">SUM(R6:R15)</f>
        <v>39362.962210302503</v>
      </c>
      <c r="S16" s="42">
        <f t="shared" si="14"/>
        <v>5.11746188943515</v>
      </c>
    </row>
    <row r="17" spans="19:19">
      <c r="S17" s="42"/>
    </row>
    <row r="35" spans="1:18" s="69" customFormat="1">
      <c r="A35"/>
      <c r="B35"/>
      <c r="C35"/>
      <c r="D35"/>
      <c r="E35"/>
      <c r="F35"/>
      <c r="G35"/>
      <c r="H35"/>
      <c r="I35"/>
      <c r="J35"/>
      <c r="K35" s="100"/>
      <c r="L35" s="100"/>
      <c r="M35" s="100"/>
      <c r="N35"/>
      <c r="O35"/>
      <c r="P35"/>
      <c r="Q35"/>
    </row>
    <row r="36" spans="1:18">
      <c r="A36" s="69"/>
      <c r="B36" s="69"/>
      <c r="C36" s="69"/>
      <c r="D36" s="69"/>
      <c r="E36" s="69"/>
      <c r="F36" s="69"/>
      <c r="G36" s="69"/>
      <c r="H36" s="69"/>
      <c r="I36" s="69"/>
      <c r="J36" s="69"/>
      <c r="N36" s="69"/>
      <c r="O36" s="69"/>
      <c r="P36" s="69"/>
      <c r="Q36" s="69"/>
    </row>
    <row r="39" spans="1:18">
      <c r="A39" s="211" t="s">
        <v>10</v>
      </c>
      <c r="B39" s="31" t="s">
        <v>7</v>
      </c>
      <c r="H39" s="211" t="s">
        <v>10</v>
      </c>
      <c r="I39" s="208" t="s">
        <v>7</v>
      </c>
      <c r="J39" s="69"/>
      <c r="R39"/>
    </row>
    <row r="40" spans="1:18">
      <c r="H40" s="69"/>
      <c r="I40" s="69"/>
      <c r="J40" s="69"/>
      <c r="R40"/>
    </row>
    <row r="41" spans="1:18">
      <c r="A41" s="211" t="s">
        <v>214</v>
      </c>
      <c r="B41" s="208" t="s">
        <v>837</v>
      </c>
      <c r="R41"/>
    </row>
    <row r="42" spans="1:18">
      <c r="A42" s="650" t="s">
        <v>295</v>
      </c>
      <c r="B42" s="128">
        <v>1309</v>
      </c>
      <c r="R42"/>
    </row>
    <row r="43" spans="1:18">
      <c r="A43" s="589" t="s">
        <v>287</v>
      </c>
      <c r="B43" s="126">
        <v>647</v>
      </c>
      <c r="R43"/>
    </row>
    <row r="44" spans="1:18">
      <c r="A44" s="589" t="s">
        <v>290</v>
      </c>
      <c r="B44" s="126">
        <v>229</v>
      </c>
      <c r="R44"/>
    </row>
    <row r="45" spans="1:18">
      <c r="A45" s="589" t="s">
        <v>454</v>
      </c>
      <c r="B45" s="126">
        <v>224</v>
      </c>
      <c r="R45"/>
    </row>
    <row r="46" spans="1:18">
      <c r="A46" s="589" t="s">
        <v>641</v>
      </c>
      <c r="B46" s="126">
        <v>201</v>
      </c>
      <c r="R46"/>
    </row>
    <row r="47" spans="1:18">
      <c r="A47" s="589" t="s">
        <v>296</v>
      </c>
      <c r="B47" s="126">
        <v>60</v>
      </c>
      <c r="R47"/>
    </row>
    <row r="48" spans="1:18">
      <c r="A48" s="589" t="s">
        <v>299</v>
      </c>
      <c r="B48" s="126">
        <v>40</v>
      </c>
      <c r="R48"/>
    </row>
    <row r="49" spans="1:18">
      <c r="A49" s="589" t="s">
        <v>298</v>
      </c>
      <c r="B49" s="126">
        <v>40</v>
      </c>
      <c r="R49"/>
    </row>
    <row r="50" spans="1:18">
      <c r="A50" s="589" t="s">
        <v>300</v>
      </c>
      <c r="B50" s="126">
        <v>38</v>
      </c>
      <c r="R50"/>
    </row>
    <row r="51" spans="1:18">
      <c r="A51" s="589" t="s">
        <v>297</v>
      </c>
      <c r="B51" s="126">
        <v>32</v>
      </c>
      <c r="R51"/>
    </row>
    <row r="52" spans="1:18">
      <c r="A52" s="589" t="s">
        <v>580</v>
      </c>
      <c r="B52" s="126">
        <v>19</v>
      </c>
      <c r="R52"/>
    </row>
    <row r="53" spans="1:18">
      <c r="A53" s="650" t="s">
        <v>215</v>
      </c>
      <c r="B53" s="128">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7" fitToHeight="2"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Z31" sqref="Z31"/>
    </sheetView>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37" t="s">
        <v>219</v>
      </c>
      <c r="D2" s="137"/>
      <c r="E2" s="137"/>
      <c r="F2" s="137"/>
      <c r="G2" s="137"/>
      <c r="H2" s="137"/>
      <c r="I2" s="137"/>
      <c r="J2" s="137"/>
      <c r="K2" s="137"/>
      <c r="L2" s="137"/>
      <c r="M2" s="137"/>
      <c r="N2" s="137"/>
      <c r="O2" s="137"/>
      <c r="P2" s="137"/>
      <c r="Q2" s="137"/>
      <c r="R2" s="137"/>
      <c r="S2" s="137"/>
      <c r="T2" s="137"/>
      <c r="U2" s="137"/>
      <c r="V2" s="137"/>
    </row>
    <row r="3" spans="3:27" ht="14.25" customHeight="1">
      <c r="C3" s="137"/>
      <c r="D3" s="137"/>
      <c r="E3" s="137"/>
      <c r="F3" s="137"/>
      <c r="G3" s="137"/>
      <c r="H3" s="137"/>
      <c r="I3" s="137"/>
      <c r="J3" s="137"/>
      <c r="K3" s="137"/>
      <c r="L3" s="137"/>
      <c r="M3" s="137"/>
      <c r="N3" s="137"/>
      <c r="O3" s="137"/>
      <c r="P3" s="137"/>
      <c r="Q3" s="137"/>
      <c r="R3" s="137"/>
      <c r="S3" s="137"/>
      <c r="T3" s="137"/>
      <c r="U3" s="137"/>
      <c r="V3" s="137"/>
    </row>
    <row r="4" spans="3:27" ht="14.25" customHeight="1">
      <c r="C4" s="137"/>
      <c r="D4" s="137"/>
      <c r="E4" s="137"/>
      <c r="F4" s="137"/>
      <c r="G4" s="137"/>
      <c r="H4" s="137"/>
      <c r="I4" s="137"/>
      <c r="J4" s="137"/>
      <c r="K4" s="137"/>
      <c r="L4" s="137"/>
      <c r="M4" s="137"/>
      <c r="N4" s="137"/>
      <c r="O4" s="137"/>
      <c r="P4" s="137"/>
      <c r="Q4" s="137"/>
      <c r="R4" s="137"/>
      <c r="S4" s="137"/>
      <c r="T4" s="137"/>
      <c r="U4" s="137"/>
      <c r="V4" s="137"/>
    </row>
    <row r="5" spans="3:27" ht="14.25" customHeight="1">
      <c r="C5" s="824">
        <f>Report_Date</f>
        <v>42522</v>
      </c>
      <c r="D5" s="824"/>
      <c r="E5" s="824"/>
      <c r="F5" s="824"/>
      <c r="G5" s="824"/>
      <c r="H5" s="824"/>
      <c r="I5" s="824"/>
      <c r="J5" s="824"/>
      <c r="K5" s="824"/>
      <c r="L5" s="824"/>
      <c r="M5" s="824"/>
      <c r="N5" s="824"/>
      <c r="O5" s="824"/>
      <c r="P5" s="139"/>
      <c r="Q5" s="139"/>
      <c r="R5" s="139"/>
    </row>
    <row r="6" spans="3:27" ht="14.25" customHeight="1"/>
    <row r="7" spans="3:27" ht="14.25" customHeight="1">
      <c r="C7" s="136" t="s">
        <v>240</v>
      </c>
      <c r="D7" s="136"/>
      <c r="E7" s="35"/>
      <c r="F7" s="166" t="s">
        <v>245</v>
      </c>
      <c r="G7" s="138"/>
      <c r="H7" s="138"/>
      <c r="I7" s="138"/>
      <c r="J7" s="138"/>
      <c r="K7" s="35"/>
      <c r="L7" s="166" t="s">
        <v>238</v>
      </c>
      <c r="M7" s="138"/>
      <c r="N7" s="138"/>
      <c r="O7" s="35"/>
      <c r="P7" s="138" t="s">
        <v>243</v>
      </c>
      <c r="Q7" s="138"/>
      <c r="R7" s="138"/>
      <c r="S7" s="35"/>
      <c r="T7" s="138" t="s">
        <v>244</v>
      </c>
      <c r="U7" s="138"/>
      <c r="V7" s="138"/>
    </row>
    <row r="8" spans="3:27" ht="14.25" customHeight="1">
      <c r="C8" s="136"/>
      <c r="D8" s="136"/>
      <c r="E8" s="35"/>
      <c r="F8" s="35"/>
      <c r="G8" s="35"/>
      <c r="H8" s="35"/>
      <c r="I8" s="35"/>
      <c r="J8" s="35"/>
      <c r="K8" s="35"/>
      <c r="L8" s="35"/>
      <c r="M8" s="35"/>
      <c r="N8" s="35"/>
      <c r="O8" s="35"/>
      <c r="P8" s="35"/>
      <c r="Q8" s="35"/>
      <c r="R8" s="35"/>
      <c r="S8" s="35"/>
      <c r="T8" s="35"/>
      <c r="U8" s="35"/>
      <c r="V8" s="35"/>
      <c r="AA8" s="6">
        <f>COUNTIFS(Camp_List[TOWNSHIP_NAME],$AI22,Camp_List[Total],"&gt;0",Camp_List[Status],"open",Camp_List[Type of Accomodation],AP$21)</f>
        <v>0</v>
      </c>
    </row>
    <row r="9" spans="3:27" ht="14.25" customHeight="1">
      <c r="C9" s="136"/>
      <c r="D9" s="136"/>
      <c r="E9" s="35"/>
      <c r="F9" s="35"/>
      <c r="G9" s="35"/>
      <c r="H9" s="35"/>
      <c r="I9" s="35"/>
      <c r="J9" s="35"/>
      <c r="K9" s="35"/>
      <c r="L9" s="184" t="s">
        <v>7</v>
      </c>
      <c r="M9" s="105" t="s">
        <v>6</v>
      </c>
      <c r="N9" s="83" t="s">
        <v>239</v>
      </c>
      <c r="O9" s="35"/>
      <c r="P9" s="33" t="s">
        <v>7</v>
      </c>
      <c r="Q9" s="82" t="s">
        <v>6</v>
      </c>
      <c r="R9" s="83" t="s">
        <v>239</v>
      </c>
      <c r="S9" s="35"/>
      <c r="T9" s="33" t="s">
        <v>7</v>
      </c>
      <c r="U9" s="34" t="s">
        <v>6</v>
      </c>
      <c r="V9" s="32" t="s">
        <v>239</v>
      </c>
    </row>
    <row r="10" spans="3:27" ht="14.25" customHeight="1">
      <c r="C10" s="136"/>
      <c r="D10" s="136"/>
      <c r="E10" s="35"/>
      <c r="F10" s="35"/>
      <c r="G10" s="35"/>
      <c r="H10" s="35"/>
      <c r="I10" s="35"/>
      <c r="J10" s="35"/>
      <c r="K10" s="35"/>
      <c r="L10" s="35"/>
      <c r="M10" s="35"/>
      <c r="N10" s="35"/>
      <c r="O10" s="35"/>
      <c r="P10" s="35"/>
      <c r="Q10" s="35"/>
      <c r="R10" s="35"/>
      <c r="S10" s="35"/>
      <c r="T10" s="35"/>
      <c r="U10" s="35"/>
      <c r="V10" s="35"/>
      <c r="Y10" s="6">
        <f>COUNTIFS(Camp_List[TOWNSHIP_NAME],$AI22,Camp_List[Total],"&gt;0",Camp_List[Status],"open",Camp_List[Type of Accomodation],AP$21)</f>
        <v>0</v>
      </c>
    </row>
    <row r="11" spans="3:27">
      <c r="C11" s="136"/>
      <c r="D11" s="136"/>
      <c r="E11" s="35"/>
      <c r="F11" s="35"/>
      <c r="G11" s="35"/>
      <c r="H11" s="35"/>
      <c r="I11" s="35"/>
      <c r="J11" s="35"/>
      <c r="K11" s="35"/>
      <c r="L11" s="35"/>
      <c r="M11" s="35"/>
      <c r="N11" s="35"/>
      <c r="O11" s="35"/>
      <c r="P11" s="35"/>
      <c r="Q11" s="35"/>
      <c r="R11" s="35"/>
      <c r="S11" s="35"/>
      <c r="T11" s="35"/>
      <c r="U11" s="35"/>
      <c r="V11" s="35"/>
    </row>
    <row r="12" spans="3:27">
      <c r="C12" s="136"/>
      <c r="D12" s="136"/>
      <c r="E12" s="35"/>
      <c r="F12" s="35"/>
      <c r="G12" s="35"/>
      <c r="H12" s="35"/>
      <c r="I12" s="35"/>
      <c r="J12" s="35"/>
      <c r="K12" s="35"/>
      <c r="L12" s="35"/>
      <c r="M12" s="35"/>
      <c r="N12" s="35"/>
      <c r="O12" s="35"/>
      <c r="P12" s="35"/>
      <c r="Q12" s="35"/>
      <c r="R12" s="35"/>
      <c r="S12" s="35"/>
      <c r="T12" s="35"/>
      <c r="U12" s="35"/>
      <c r="V12" s="35"/>
    </row>
    <row r="14" spans="3:27">
      <c r="C14" s="136" t="s">
        <v>241</v>
      </c>
      <c r="D14" s="136"/>
      <c r="E14" s="35"/>
      <c r="F14" s="35"/>
      <c r="G14" s="35"/>
      <c r="H14" s="35"/>
      <c r="I14" s="35"/>
      <c r="J14" s="35"/>
      <c r="K14" s="35"/>
      <c r="L14" s="35"/>
      <c r="M14" s="35"/>
      <c r="N14" s="35"/>
      <c r="O14" s="35"/>
      <c r="P14" s="35"/>
      <c r="Q14" s="35"/>
      <c r="R14" s="35"/>
      <c r="S14" s="35"/>
      <c r="T14" s="35"/>
      <c r="U14" s="35"/>
      <c r="V14" s="35"/>
    </row>
    <row r="15" spans="3:27">
      <c r="C15" s="136"/>
      <c r="D15" s="136"/>
      <c r="E15" s="35"/>
      <c r="F15" s="35"/>
      <c r="G15" s="35"/>
      <c r="H15" s="35"/>
      <c r="I15" s="35"/>
      <c r="J15" s="35"/>
      <c r="K15" s="35"/>
      <c r="L15" s="35"/>
      <c r="M15" s="35"/>
      <c r="N15" s="35"/>
      <c r="O15" s="35"/>
      <c r="P15" s="35"/>
      <c r="Q15" s="35"/>
      <c r="R15" s="35"/>
      <c r="S15" s="35"/>
      <c r="T15" s="35"/>
      <c r="U15" s="35"/>
      <c r="V15" s="35"/>
    </row>
    <row r="16" spans="3:27">
      <c r="C16" s="136"/>
      <c r="D16" s="136"/>
      <c r="E16" s="35"/>
      <c r="F16" s="35"/>
      <c r="G16" s="35"/>
      <c r="H16" s="35"/>
      <c r="I16" s="35"/>
      <c r="J16" s="35"/>
      <c r="K16" s="35"/>
      <c r="L16" s="82" t="s">
        <v>7</v>
      </c>
      <c r="M16" s="105" t="s">
        <v>6</v>
      </c>
      <c r="N16" s="103" t="s">
        <v>239</v>
      </c>
      <c r="O16" s="35"/>
      <c r="P16" s="33" t="s">
        <v>7</v>
      </c>
      <c r="Q16" s="82" t="s">
        <v>6</v>
      </c>
      <c r="R16" s="83" t="s">
        <v>239</v>
      </c>
      <c r="S16" s="35"/>
      <c r="T16" s="33" t="s">
        <v>7</v>
      </c>
      <c r="U16" s="34" t="s">
        <v>6</v>
      </c>
      <c r="V16" s="32" t="s">
        <v>239</v>
      </c>
    </row>
    <row r="17" spans="3:26">
      <c r="C17" s="136"/>
      <c r="D17" s="136"/>
      <c r="E17" s="35"/>
      <c r="F17" s="35"/>
      <c r="G17" s="35"/>
      <c r="H17" s="35"/>
      <c r="I17" s="35"/>
      <c r="J17" s="35"/>
      <c r="K17" s="35"/>
      <c r="L17" s="35"/>
      <c r="M17" s="35"/>
      <c r="N17" s="35"/>
      <c r="O17" s="35"/>
      <c r="P17" s="35"/>
      <c r="Q17" s="35"/>
      <c r="R17" s="35"/>
      <c r="S17" s="35"/>
      <c r="T17" s="35"/>
      <c r="U17" s="35"/>
      <c r="V17" s="35"/>
    </row>
    <row r="18" spans="3:26">
      <c r="C18" s="136"/>
      <c r="D18" s="136"/>
      <c r="E18" s="35"/>
      <c r="F18" s="35"/>
      <c r="G18" s="35"/>
      <c r="H18" s="35"/>
      <c r="I18" s="35"/>
      <c r="J18" s="35"/>
      <c r="K18" s="35"/>
      <c r="L18" s="35"/>
      <c r="M18" s="35"/>
      <c r="N18" s="35"/>
      <c r="O18" s="35"/>
      <c r="P18" s="35"/>
      <c r="Q18" s="35"/>
      <c r="R18" s="35"/>
      <c r="S18" s="35"/>
      <c r="T18" s="35"/>
      <c r="U18" s="35"/>
      <c r="V18" s="35"/>
    </row>
    <row r="19" spans="3:26">
      <c r="C19" s="136"/>
      <c r="D19" s="136"/>
      <c r="E19" s="35"/>
      <c r="F19" s="35"/>
      <c r="G19" s="35"/>
      <c r="H19" s="35"/>
      <c r="I19" s="35"/>
      <c r="J19" s="35"/>
      <c r="K19" s="35"/>
      <c r="L19" s="35"/>
      <c r="M19" s="35"/>
      <c r="N19" s="35"/>
      <c r="O19" s="35"/>
      <c r="P19" s="35"/>
      <c r="Q19" s="35"/>
      <c r="R19" s="35"/>
      <c r="S19" s="35"/>
      <c r="T19" s="35"/>
      <c r="U19" s="35"/>
      <c r="V19" s="35"/>
    </row>
    <row r="21" spans="3:26">
      <c r="C21" s="136" t="s">
        <v>242</v>
      </c>
      <c r="D21" s="136"/>
      <c r="E21" s="36"/>
      <c r="F21" s="36"/>
      <c r="G21" s="36"/>
      <c r="H21" s="36"/>
      <c r="I21" s="36"/>
      <c r="J21" s="36"/>
      <c r="K21" s="36"/>
      <c r="L21" s="35"/>
      <c r="M21" s="35"/>
      <c r="N21" s="35"/>
      <c r="O21" s="35"/>
      <c r="P21" s="35"/>
      <c r="Q21" s="35"/>
      <c r="R21" s="35"/>
      <c r="S21" s="35"/>
      <c r="T21" s="35"/>
      <c r="U21" s="35"/>
      <c r="V21" s="35"/>
    </row>
    <row r="22" spans="3:26">
      <c r="C22" s="136"/>
      <c r="D22" s="136"/>
      <c r="E22" s="36"/>
      <c r="F22" s="36"/>
      <c r="G22" s="36"/>
      <c r="H22" s="36"/>
      <c r="I22" s="36"/>
      <c r="J22" s="36"/>
      <c r="K22" s="36"/>
      <c r="L22" s="82" t="s">
        <v>7</v>
      </c>
      <c r="M22" s="105" t="s">
        <v>6</v>
      </c>
      <c r="N22" s="36"/>
      <c r="O22" s="35"/>
      <c r="P22" s="35"/>
      <c r="Q22" s="35"/>
      <c r="R22" s="35"/>
      <c r="S22" s="35"/>
      <c r="T22" s="16"/>
      <c r="U22" s="16"/>
      <c r="V22" s="16"/>
    </row>
    <row r="23" spans="3:26">
      <c r="C23" s="136"/>
      <c r="D23" s="136"/>
      <c r="E23" s="36"/>
      <c r="F23" s="36"/>
      <c r="G23" s="36"/>
      <c r="H23" s="36"/>
      <c r="I23" s="36"/>
      <c r="J23" s="36"/>
      <c r="K23" s="36"/>
      <c r="L23" s="83" t="s">
        <v>7</v>
      </c>
      <c r="M23" s="83" t="s">
        <v>6</v>
      </c>
      <c r="N23" s="83" t="s">
        <v>239</v>
      </c>
      <c r="O23" s="35"/>
      <c r="P23" s="33" t="s">
        <v>7</v>
      </c>
      <c r="Q23" s="82" t="s">
        <v>6</v>
      </c>
      <c r="R23" s="83" t="s">
        <v>239</v>
      </c>
      <c r="S23" s="35"/>
      <c r="T23" s="33" t="s">
        <v>7</v>
      </c>
      <c r="U23" s="34" t="s">
        <v>6</v>
      </c>
      <c r="V23" s="32" t="s">
        <v>239</v>
      </c>
    </row>
    <row r="24" spans="3:26">
      <c r="C24" s="136"/>
      <c r="D24" s="136"/>
      <c r="E24" s="36"/>
      <c r="F24" s="36"/>
      <c r="G24" s="36"/>
      <c r="H24" s="36"/>
      <c r="I24" s="36"/>
      <c r="J24" s="36"/>
      <c r="K24" s="36"/>
      <c r="L24" s="36"/>
      <c r="M24" s="36"/>
      <c r="N24" s="36"/>
      <c r="O24" s="35"/>
      <c r="P24" s="35"/>
      <c r="Q24" s="35"/>
      <c r="R24" s="35"/>
      <c r="S24" s="35"/>
      <c r="T24" s="16"/>
      <c r="U24" s="16"/>
      <c r="V24" s="16"/>
    </row>
    <row r="25" spans="3:26">
      <c r="Z25" s="6">
        <f>COUNTIFS(Camp_List[TOWNSHIP_NAME],$AI22,Camp_List[Total],"&gt;0",Camp_List[Status],"open",Camp_List[Type of Accomodation],AP$21)</f>
        <v>0</v>
      </c>
    </row>
    <row r="30" spans="3:26">
      <c r="C30" s="588"/>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H64" sqref="H64"/>
    </sheetView>
  </sheetViews>
  <sheetFormatPr defaultColWidth="9.140625" defaultRowHeight="15"/>
  <cols>
    <col min="1" max="1" width="19.42578125" style="57" customWidth="1"/>
    <col min="2" max="2" width="38.85546875" style="57" customWidth="1"/>
    <col min="3" max="3" width="25.140625" style="57" customWidth="1"/>
    <col min="4" max="4" width="21.28515625" style="57" customWidth="1"/>
    <col min="5" max="5" width="32.140625" style="57" customWidth="1"/>
    <col min="6" max="6" width="10" style="57" customWidth="1"/>
    <col min="7" max="7" width="7.7109375" style="57" customWidth="1"/>
    <col min="8" max="8" width="11" style="57" customWidth="1"/>
    <col min="9" max="9" width="19.7109375" style="57" customWidth="1"/>
    <col min="10" max="16384" width="9.140625" style="57"/>
  </cols>
  <sheetData>
    <row r="1" spans="1:59" s="1" customFormat="1" ht="36">
      <c r="A1" s="198"/>
      <c r="B1" s="199"/>
      <c r="C1" s="199"/>
      <c r="D1" s="199"/>
      <c r="E1" s="199"/>
      <c r="F1" s="215"/>
      <c r="BF1" s="78"/>
      <c r="BG1" s="78"/>
    </row>
    <row r="2" spans="1:59" s="1" customFormat="1" ht="67.5" customHeight="1">
      <c r="A2" s="848" t="s">
        <v>312</v>
      </c>
      <c r="B2" s="849"/>
      <c r="C2" s="849"/>
      <c r="D2" s="77"/>
      <c r="E2" s="77"/>
      <c r="F2" s="223"/>
      <c r="BF2" s="78"/>
      <c r="BG2" s="78"/>
    </row>
    <row r="3" spans="1:59" s="21" customFormat="1" ht="18" customHeight="1">
      <c r="A3" s="850">
        <f>Report_Date</f>
        <v>42522</v>
      </c>
      <c r="B3" s="851"/>
      <c r="C3" s="851"/>
      <c r="D3" s="851"/>
      <c r="E3" s="851"/>
      <c r="F3" s="883"/>
      <c r="G3" s="64"/>
      <c r="H3" s="64"/>
      <c r="I3" s="64"/>
      <c r="J3" s="64"/>
      <c r="L3" s="64"/>
      <c r="M3" s="64"/>
      <c r="N3" s="64"/>
      <c r="O3" s="64"/>
      <c r="P3" s="64"/>
      <c r="Q3" s="64"/>
      <c r="R3" s="64"/>
      <c r="S3" s="79"/>
      <c r="T3" s="64"/>
      <c r="U3" s="64"/>
      <c r="BF3" s="79"/>
      <c r="BG3" s="79"/>
    </row>
    <row r="4" spans="1:59" ht="15" customHeight="1"/>
    <row r="5" spans="1:59">
      <c r="A5" s="211" t="s">
        <v>10</v>
      </c>
      <c r="B5" s="31" t="s">
        <v>7</v>
      </c>
      <c r="C5" s="6" t="s">
        <v>220</v>
      </c>
    </row>
    <row r="7" spans="1:59">
      <c r="A7" s="211" t="s">
        <v>214</v>
      </c>
      <c r="B7" s="31" t="s">
        <v>1057</v>
      </c>
      <c r="C7"/>
      <c r="D7"/>
      <c r="E7"/>
      <c r="F7"/>
      <c r="G7"/>
      <c r="H7"/>
      <c r="I7"/>
    </row>
    <row r="8" spans="1:59">
      <c r="A8" s="589" t="s">
        <v>454</v>
      </c>
      <c r="B8" s="126"/>
      <c r="C8"/>
      <c r="D8"/>
      <c r="E8"/>
      <c r="F8"/>
      <c r="G8"/>
      <c r="H8"/>
      <c r="I8"/>
    </row>
    <row r="9" spans="1:59">
      <c r="A9" s="589" t="s">
        <v>290</v>
      </c>
      <c r="B9" s="126"/>
      <c r="C9"/>
      <c r="D9"/>
      <c r="E9"/>
      <c r="F9"/>
      <c r="G9"/>
      <c r="H9"/>
      <c r="I9"/>
    </row>
    <row r="10" spans="1:59">
      <c r="A10" s="589" t="s">
        <v>295</v>
      </c>
      <c r="B10" s="126"/>
      <c r="C10"/>
      <c r="D10"/>
      <c r="E10"/>
      <c r="F10"/>
      <c r="G10"/>
      <c r="H10"/>
      <c r="I10"/>
    </row>
    <row r="11" spans="1:59">
      <c r="A11" s="589" t="s">
        <v>580</v>
      </c>
      <c r="B11" s="126"/>
      <c r="C11"/>
      <c r="D11"/>
      <c r="E11"/>
      <c r="F11"/>
      <c r="G11"/>
      <c r="H11"/>
      <c r="I11"/>
    </row>
    <row r="12" spans="1:59">
      <c r="A12" s="589" t="s">
        <v>299</v>
      </c>
      <c r="B12" s="126"/>
      <c r="C12"/>
      <c r="D12"/>
      <c r="E12"/>
      <c r="F12"/>
      <c r="G12"/>
      <c r="H12"/>
      <c r="I12"/>
    </row>
    <row r="13" spans="1:59" s="69" customFormat="1">
      <c r="A13" s="589" t="s">
        <v>297</v>
      </c>
      <c r="B13" s="126"/>
      <c r="C13"/>
      <c r="D13"/>
      <c r="E13"/>
      <c r="F13"/>
    </row>
    <row r="14" spans="1:59">
      <c r="A14" s="589" t="s">
        <v>296</v>
      </c>
      <c r="B14" s="126"/>
      <c r="C14"/>
      <c r="D14"/>
      <c r="E14"/>
      <c r="F14"/>
      <c r="G14"/>
      <c r="H14"/>
      <c r="I14"/>
    </row>
    <row r="15" spans="1:59">
      <c r="A15" s="589" t="s">
        <v>641</v>
      </c>
      <c r="B15" s="126"/>
      <c r="C15"/>
      <c r="D15"/>
      <c r="E15"/>
      <c r="F15"/>
      <c r="G15"/>
      <c r="H15"/>
      <c r="I15"/>
    </row>
    <row r="16" spans="1:59">
      <c r="A16" s="589" t="s">
        <v>300</v>
      </c>
      <c r="B16" s="126"/>
      <c r="C16"/>
      <c r="D16"/>
      <c r="E16"/>
      <c r="F16"/>
      <c r="G16"/>
      <c r="H16"/>
      <c r="I16"/>
    </row>
    <row r="17" spans="1:9">
      <c r="A17" s="589" t="s">
        <v>662</v>
      </c>
      <c r="B17" s="126"/>
      <c r="C17"/>
      <c r="D17"/>
      <c r="E17"/>
      <c r="F17"/>
      <c r="G17"/>
      <c r="H17"/>
      <c r="I17"/>
    </row>
    <row r="18" spans="1:9">
      <c r="A18" s="589" t="s">
        <v>287</v>
      </c>
      <c r="B18" s="126"/>
      <c r="C18"/>
      <c r="D18"/>
      <c r="E18"/>
      <c r="F18"/>
      <c r="G18"/>
      <c r="H18"/>
      <c r="I18"/>
    </row>
    <row r="19" spans="1:9">
      <c r="A19" s="589" t="s">
        <v>661</v>
      </c>
      <c r="B19" s="126"/>
      <c r="C19"/>
      <c r="D19"/>
      <c r="E19"/>
      <c r="F19"/>
    </row>
    <row r="20" spans="1:9">
      <c r="A20" s="589" t="s">
        <v>298</v>
      </c>
      <c r="B20" s="126"/>
      <c r="C20"/>
      <c r="D20"/>
      <c r="E20"/>
      <c r="F20"/>
    </row>
    <row r="21" spans="1:9">
      <c r="A21" s="589" t="s">
        <v>215</v>
      </c>
      <c r="B21" s="126"/>
      <c r="C21"/>
      <c r="D21"/>
      <c r="E21"/>
      <c r="F21"/>
    </row>
    <row r="22" spans="1:9" s="100" customFormat="1">
      <c r="A22"/>
      <c r="B22"/>
      <c r="C22"/>
    </row>
    <row r="23" spans="1:9" s="100" customFormat="1">
      <c r="A23" s="332"/>
      <c r="B23" s="65"/>
    </row>
    <row r="24" spans="1:9" s="100" customFormat="1">
      <c r="A24" s="211" t="s">
        <v>10</v>
      </c>
      <c r="B24" s="31" t="s">
        <v>7</v>
      </c>
      <c r="C24" s="4"/>
      <c r="D24" s="4"/>
      <c r="E24" s="4"/>
    </row>
    <row r="25" spans="1:9">
      <c r="A25" s="242" t="s">
        <v>1</v>
      </c>
      <c r="B25" s="31" t="s">
        <v>672</v>
      </c>
      <c r="C25"/>
      <c r="D25"/>
      <c r="E25"/>
      <c r="F25"/>
    </row>
    <row r="26" spans="1:9">
      <c r="A26" s="70"/>
      <c r="B26" s="70"/>
      <c r="C26"/>
      <c r="D26"/>
      <c r="E26"/>
      <c r="F26"/>
    </row>
    <row r="27" spans="1:9">
      <c r="A27" s="211" t="s">
        <v>214</v>
      </c>
      <c r="B27" s="31" t="s">
        <v>821</v>
      </c>
      <c r="C27"/>
      <c r="D27"/>
      <c r="E27"/>
      <c r="F27"/>
    </row>
    <row r="28" spans="1:9">
      <c r="A28" s="589" t="s">
        <v>580</v>
      </c>
      <c r="B28" s="241">
        <v>152</v>
      </c>
      <c r="C28"/>
      <c r="D28"/>
      <c r="E28"/>
      <c r="F28"/>
    </row>
    <row r="29" spans="1:9">
      <c r="A29" s="589" t="s">
        <v>662</v>
      </c>
      <c r="B29" s="241">
        <v>204</v>
      </c>
      <c r="C29"/>
      <c r="D29"/>
      <c r="E29"/>
      <c r="F29"/>
    </row>
    <row r="30" spans="1:9">
      <c r="A30" s="589" t="s">
        <v>661</v>
      </c>
      <c r="B30" s="241">
        <v>222</v>
      </c>
      <c r="C30"/>
      <c r="D30"/>
      <c r="E30"/>
      <c r="F30"/>
    </row>
    <row r="31" spans="1:9">
      <c r="A31" s="589" t="s">
        <v>297</v>
      </c>
      <c r="B31" s="241">
        <v>256</v>
      </c>
      <c r="C31"/>
      <c r="D31"/>
      <c r="E31"/>
      <c r="F31"/>
    </row>
    <row r="32" spans="1:9">
      <c r="A32" s="589" t="s">
        <v>300</v>
      </c>
      <c r="B32" s="241">
        <v>304</v>
      </c>
      <c r="C32"/>
      <c r="D32"/>
      <c r="E32"/>
      <c r="F32"/>
    </row>
    <row r="33" spans="1:6">
      <c r="A33" s="589" t="s">
        <v>299</v>
      </c>
      <c r="B33" s="241">
        <v>320</v>
      </c>
      <c r="C33"/>
      <c r="D33"/>
      <c r="E33"/>
      <c r="F33"/>
    </row>
    <row r="34" spans="1:6">
      <c r="A34" s="589" t="s">
        <v>298</v>
      </c>
      <c r="B34" s="241">
        <v>400</v>
      </c>
      <c r="C34"/>
      <c r="D34"/>
      <c r="E34"/>
      <c r="F34"/>
    </row>
    <row r="35" spans="1:6">
      <c r="A35" s="589" t="s">
        <v>296</v>
      </c>
      <c r="B35" s="241">
        <v>480</v>
      </c>
      <c r="C35"/>
      <c r="D35"/>
      <c r="E35"/>
      <c r="F35"/>
    </row>
    <row r="36" spans="1:6">
      <c r="A36" s="589" t="s">
        <v>641</v>
      </c>
      <c r="B36" s="241">
        <v>1762</v>
      </c>
      <c r="C36"/>
      <c r="D36"/>
      <c r="E36"/>
      <c r="F36"/>
    </row>
    <row r="37" spans="1:6">
      <c r="A37" s="589" t="s">
        <v>290</v>
      </c>
      <c r="B37" s="241">
        <v>1832</v>
      </c>
      <c r="C37"/>
      <c r="D37"/>
      <c r="E37"/>
      <c r="F37"/>
    </row>
    <row r="38" spans="1:6">
      <c r="A38" s="589" t="s">
        <v>454</v>
      </c>
      <c r="B38" s="241">
        <v>1920</v>
      </c>
      <c r="C38"/>
      <c r="D38"/>
      <c r="E38"/>
      <c r="F38"/>
    </row>
    <row r="39" spans="1:6">
      <c r="A39" s="589" t="s">
        <v>287</v>
      </c>
      <c r="B39" s="241">
        <v>5248</v>
      </c>
      <c r="C39"/>
      <c r="D39"/>
      <c r="E39"/>
      <c r="F39"/>
    </row>
    <row r="40" spans="1:6" s="100" customFormat="1">
      <c r="A40" s="589" t="s">
        <v>295</v>
      </c>
      <c r="B40" s="241">
        <v>13205</v>
      </c>
    </row>
    <row r="41" spans="1:6">
      <c r="A41" s="589" t="s">
        <v>215</v>
      </c>
      <c r="B41" s="241">
        <v>26305</v>
      </c>
      <c r="C41"/>
      <c r="D41"/>
      <c r="E41"/>
      <c r="F41"/>
    </row>
    <row r="42" spans="1:6">
      <c r="A42"/>
      <c r="B42"/>
      <c r="C42"/>
      <c r="D42"/>
      <c r="E42"/>
      <c r="F42"/>
    </row>
    <row r="43" spans="1:6">
      <c r="C43"/>
      <c r="D43"/>
      <c r="E43"/>
      <c r="F43"/>
    </row>
    <row r="44" spans="1:6">
      <c r="A44" s="211" t="s">
        <v>10</v>
      </c>
      <c r="B44" s="31" t="s">
        <v>7</v>
      </c>
      <c r="C44"/>
      <c r="D44"/>
      <c r="E44"/>
      <c r="F44"/>
    </row>
    <row r="45" spans="1:6">
      <c r="A45" s="100"/>
      <c r="B45" s="100"/>
      <c r="C45"/>
      <c r="D45"/>
      <c r="E45"/>
      <c r="F45"/>
    </row>
    <row r="46" spans="1:6">
      <c r="A46" s="242" t="s">
        <v>214</v>
      </c>
      <c r="B46" s="31" t="s">
        <v>821</v>
      </c>
      <c r="C46"/>
      <c r="D46"/>
      <c r="E46"/>
      <c r="F46"/>
    </row>
    <row r="47" spans="1:6">
      <c r="A47" s="589" t="s">
        <v>18</v>
      </c>
      <c r="B47" s="241">
        <v>96</v>
      </c>
      <c r="C47"/>
      <c r="D47"/>
      <c r="E47"/>
      <c r="F47"/>
    </row>
    <row r="48" spans="1:6">
      <c r="A48" s="589" t="s">
        <v>17</v>
      </c>
      <c r="B48" s="241">
        <v>480</v>
      </c>
      <c r="C48"/>
      <c r="D48"/>
      <c r="E48"/>
      <c r="F48"/>
    </row>
    <row r="49" spans="1:6">
      <c r="A49" s="589" t="s">
        <v>20</v>
      </c>
      <c r="B49" s="241">
        <v>554</v>
      </c>
      <c r="C49" s="6"/>
      <c r="D49" s="70"/>
      <c r="E49" s="70"/>
      <c r="F49"/>
    </row>
    <row r="50" spans="1:6">
      <c r="A50" s="589" t="s">
        <v>16</v>
      </c>
      <c r="B50" s="241">
        <v>600</v>
      </c>
      <c r="C50" s="70"/>
      <c r="D50" s="70"/>
      <c r="E50" s="70"/>
      <c r="F50"/>
    </row>
    <row r="51" spans="1:6">
      <c r="A51" s="589" t="s">
        <v>900</v>
      </c>
      <c r="B51" s="241">
        <v>760</v>
      </c>
      <c r="C51"/>
      <c r="D51"/>
      <c r="E51"/>
      <c r="F51"/>
    </row>
    <row r="52" spans="1:6">
      <c r="A52" s="589" t="s">
        <v>12</v>
      </c>
      <c r="B52" s="241">
        <v>902</v>
      </c>
      <c r="C52"/>
      <c r="D52"/>
      <c r="E52"/>
      <c r="F52"/>
    </row>
    <row r="53" spans="1:6">
      <c r="A53" s="589" t="s">
        <v>15</v>
      </c>
      <c r="B53" s="241">
        <v>1056</v>
      </c>
      <c r="C53"/>
      <c r="D53"/>
      <c r="E53"/>
      <c r="F53"/>
    </row>
    <row r="54" spans="1:6">
      <c r="A54" s="589" t="s">
        <v>11</v>
      </c>
      <c r="B54" s="241">
        <v>1145</v>
      </c>
      <c r="C54"/>
      <c r="D54"/>
      <c r="E54"/>
      <c r="F54"/>
    </row>
    <row r="55" spans="1:6">
      <c r="A55" s="589" t="s">
        <v>14</v>
      </c>
      <c r="B55" s="241">
        <v>4647</v>
      </c>
      <c r="C55"/>
      <c r="D55"/>
      <c r="E55"/>
      <c r="F55"/>
    </row>
    <row r="56" spans="1:6">
      <c r="A56" s="589" t="s">
        <v>19</v>
      </c>
      <c r="B56" s="241">
        <v>16065</v>
      </c>
      <c r="C56"/>
      <c r="D56"/>
      <c r="E56"/>
      <c r="F56"/>
    </row>
    <row r="57" spans="1:6">
      <c r="A57" s="589" t="s">
        <v>215</v>
      </c>
      <c r="B57" s="241">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18" sqref="E18"/>
    </sheetView>
  </sheetViews>
  <sheetFormatPr defaultColWidth="9.140625" defaultRowHeight="15"/>
  <cols>
    <col min="1" max="1" width="12.28515625" style="69" customWidth="1"/>
    <col min="2" max="2" width="10.7109375" style="69" bestFit="1" customWidth="1"/>
    <col min="3" max="3" width="11.5703125" style="69" bestFit="1" customWidth="1"/>
    <col min="4" max="4" width="8.5703125" style="69" customWidth="1"/>
    <col min="5" max="5" width="11.28515625" style="69" bestFit="1" customWidth="1"/>
    <col min="6" max="7" width="11" style="69" bestFit="1" customWidth="1"/>
    <col min="8" max="8" width="16.28515625" style="69" customWidth="1"/>
    <col min="9" max="9" width="6.28515625" style="69" customWidth="1"/>
    <col min="10" max="10" width="9.140625" style="69"/>
    <col min="11" max="11" width="6.28515625" style="69" customWidth="1"/>
    <col min="12" max="12" width="5.85546875" style="69" customWidth="1"/>
    <col min="13" max="15" width="11" style="69" customWidth="1"/>
    <col min="16" max="16" width="17.28515625" style="69" customWidth="1"/>
    <col min="17" max="17" width="20" style="69" customWidth="1"/>
    <col min="18" max="18" width="29.5703125" style="69" customWidth="1"/>
    <col min="19" max="19" width="23.140625" style="69" customWidth="1"/>
    <col min="20" max="20" width="12.85546875" style="69" customWidth="1"/>
    <col min="21" max="21" width="25.42578125" style="69" customWidth="1"/>
    <col min="22" max="22" width="14" style="86" customWidth="1"/>
    <col min="23" max="42" width="9.140625" style="86"/>
    <col min="43" max="16384" width="9.140625" style="69"/>
  </cols>
  <sheetData>
    <row r="1" spans="1:53" s="1" customFormat="1" ht="36">
      <c r="A1" s="198"/>
      <c r="B1" s="199"/>
      <c r="C1" s="199"/>
      <c r="D1" s="199"/>
      <c r="E1" s="199"/>
      <c r="F1" s="199"/>
      <c r="G1" s="199"/>
      <c r="H1" s="199"/>
      <c r="I1" s="199"/>
      <c r="J1" s="199"/>
      <c r="K1" s="199"/>
      <c r="L1" s="199"/>
      <c r="M1" s="199"/>
      <c r="N1" s="199"/>
      <c r="O1" s="215"/>
      <c r="AY1" s="78"/>
      <c r="AZ1" s="78"/>
    </row>
    <row r="2" spans="1:53" s="1" customFormat="1" ht="33" customHeight="1">
      <c r="A2" s="848" t="s">
        <v>822</v>
      </c>
      <c r="B2" s="849"/>
      <c r="C2" s="849"/>
      <c r="D2" s="849"/>
      <c r="E2" s="849"/>
      <c r="F2" s="849"/>
      <c r="G2" s="849"/>
      <c r="H2" s="849"/>
      <c r="I2" s="101"/>
      <c r="J2" s="101"/>
      <c r="K2" s="101"/>
      <c r="L2" s="101"/>
      <c r="M2" s="101"/>
      <c r="N2" s="101"/>
      <c r="O2" s="225"/>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3" s="21" customFormat="1" ht="18" customHeight="1">
      <c r="A3" s="850">
        <f>Report_Date</f>
        <v>42522</v>
      </c>
      <c r="B3" s="851"/>
      <c r="C3" s="851"/>
      <c r="D3" s="851"/>
      <c r="E3" s="851"/>
      <c r="F3" s="851"/>
      <c r="G3" s="851"/>
      <c r="H3" s="851"/>
      <c r="I3" s="226"/>
      <c r="J3" s="226"/>
      <c r="K3" s="226"/>
      <c r="L3" s="226"/>
      <c r="M3" s="226"/>
      <c r="N3" s="226"/>
      <c r="O3" s="227"/>
      <c r="W3" s="100"/>
      <c r="X3" s="100"/>
      <c r="Y3" s="100"/>
      <c r="Z3" s="100"/>
      <c r="AA3" s="100"/>
      <c r="AB3" s="100"/>
      <c r="AC3" s="100"/>
      <c r="AD3" s="100"/>
      <c r="AE3" s="100"/>
      <c r="AF3" s="100"/>
      <c r="AG3" s="100"/>
      <c r="AH3" s="100"/>
      <c r="AI3" s="100"/>
      <c r="AJ3" s="100"/>
      <c r="AK3" s="100"/>
      <c r="AL3" s="100"/>
      <c r="AM3" s="100"/>
      <c r="AN3" s="100"/>
      <c r="AO3" s="100"/>
      <c r="AP3" s="100"/>
      <c r="AZ3" s="79"/>
      <c r="BA3" s="79"/>
    </row>
    <row r="4" spans="1:53">
      <c r="A4" s="424"/>
      <c r="B4" s="509"/>
      <c r="C4" s="509"/>
      <c r="D4" s="509"/>
      <c r="E4" s="509"/>
      <c r="F4" s="509"/>
      <c r="G4" s="509"/>
      <c r="H4" s="509"/>
      <c r="I4" s="509"/>
      <c r="J4" s="509"/>
      <c r="K4" s="509"/>
      <c r="L4" s="509"/>
      <c r="M4" s="509"/>
      <c r="N4" s="509"/>
      <c r="O4" s="425"/>
    </row>
    <row r="5" spans="1:53">
      <c r="A5" s="510"/>
      <c r="B5" s="54"/>
      <c r="C5" s="54"/>
      <c r="D5" s="54"/>
      <c r="E5" s="54"/>
      <c r="F5" s="54"/>
      <c r="G5" s="54"/>
      <c r="H5" s="54"/>
      <c r="I5" s="54"/>
      <c r="J5" s="54"/>
      <c r="K5" s="54"/>
      <c r="L5" s="54"/>
      <c r="M5" s="54"/>
      <c r="N5" s="54"/>
      <c r="O5" s="511"/>
      <c r="P5" s="21"/>
      <c r="Q5" s="21"/>
      <c r="R5" s="21"/>
      <c r="S5" s="22"/>
      <c r="T5" s="21"/>
      <c r="U5" s="21"/>
    </row>
    <row r="6" spans="1:53">
      <c r="A6" s="510"/>
      <c r="B6" s="54"/>
      <c r="C6" s="54"/>
      <c r="D6" s="54"/>
      <c r="E6" s="54"/>
      <c r="F6" s="54"/>
      <c r="G6" s="54"/>
      <c r="H6" s="54"/>
      <c r="I6" s="54"/>
      <c r="J6" s="54"/>
      <c r="K6" s="54"/>
      <c r="L6" s="54"/>
      <c r="M6" s="54"/>
      <c r="N6" s="54"/>
      <c r="O6" s="511"/>
      <c r="T6" s="23"/>
      <c r="U6" s="21"/>
    </row>
    <row r="7" spans="1:53" ht="12.75" customHeight="1">
      <c r="A7" s="510"/>
      <c r="B7" s="54"/>
      <c r="C7" s="54"/>
      <c r="D7" s="54"/>
      <c r="E7" s="54"/>
      <c r="F7" s="54"/>
      <c r="G7" s="54"/>
      <c r="H7" s="54"/>
      <c r="I7" s="54"/>
      <c r="J7" s="54"/>
      <c r="K7" s="54"/>
      <c r="L7" s="54"/>
      <c r="M7" s="54"/>
      <c r="N7" s="54"/>
      <c r="O7" s="511"/>
    </row>
    <row r="8" spans="1:53" ht="12.75" customHeight="1">
      <c r="A8" s="510"/>
      <c r="B8" s="54"/>
      <c r="C8" s="54"/>
      <c r="D8" s="54"/>
      <c r="E8" s="54"/>
      <c r="F8" s="54"/>
      <c r="G8" s="54"/>
      <c r="H8" s="54"/>
      <c r="I8" s="54"/>
      <c r="J8" s="54"/>
      <c r="K8" s="54"/>
      <c r="L8" s="54"/>
      <c r="M8" s="54"/>
      <c r="N8" s="54"/>
      <c r="O8" s="511"/>
    </row>
    <row r="9" spans="1:53" ht="12.75" customHeight="1">
      <c r="A9" s="510"/>
      <c r="B9" s="54"/>
      <c r="C9" s="54"/>
      <c r="D9" s="54"/>
      <c r="E9" s="54"/>
      <c r="F9" s="54"/>
      <c r="G9" s="54"/>
      <c r="H9" s="54"/>
      <c r="I9" s="54"/>
      <c r="J9" s="54"/>
      <c r="K9" s="54"/>
      <c r="L9" s="54"/>
      <c r="M9" s="54"/>
      <c r="N9" s="54"/>
      <c r="O9" s="511"/>
    </row>
    <row r="10" spans="1:53" ht="12.75" customHeight="1">
      <c r="A10" s="510"/>
      <c r="B10" s="54"/>
      <c r="C10" s="54"/>
      <c r="D10" s="54"/>
      <c r="E10" s="54"/>
      <c r="F10" s="54"/>
      <c r="G10" s="54"/>
      <c r="H10" s="54"/>
      <c r="I10" s="54"/>
      <c r="J10" s="54"/>
      <c r="K10" s="54"/>
      <c r="L10" s="54"/>
      <c r="M10" s="54"/>
      <c r="N10" s="54"/>
      <c r="O10" s="511"/>
    </row>
    <row r="11" spans="1:53" ht="12.75" customHeight="1">
      <c r="A11" s="510"/>
      <c r="B11" s="54"/>
      <c r="C11" s="54"/>
      <c r="D11" s="54"/>
      <c r="E11" s="54"/>
      <c r="F11" s="54"/>
      <c r="G11" s="54"/>
      <c r="H11" s="512"/>
      <c r="I11" s="512"/>
      <c r="J11" s="54"/>
      <c r="K11" s="54"/>
      <c r="L11" s="54"/>
      <c r="M11" s="54"/>
      <c r="N11" s="54"/>
      <c r="O11" s="511"/>
    </row>
    <row r="12" spans="1:53" ht="12.75" customHeight="1">
      <c r="A12" s="510"/>
      <c r="B12" s="54"/>
      <c r="C12" s="54"/>
      <c r="D12" s="54"/>
      <c r="E12" s="54"/>
      <c r="F12" s="54"/>
      <c r="G12" s="54"/>
      <c r="H12" s="513"/>
      <c r="I12" s="513"/>
      <c r="J12" s="54"/>
      <c r="K12" s="54"/>
      <c r="L12" s="54"/>
      <c r="M12" s="54"/>
      <c r="N12" s="54"/>
      <c r="O12" s="511"/>
    </row>
    <row r="13" spans="1:53" ht="12.75" customHeight="1">
      <c r="A13" s="510"/>
      <c r="B13" s="54"/>
      <c r="C13" s="54"/>
      <c r="D13" s="54"/>
      <c r="E13" s="54"/>
      <c r="F13" s="54"/>
      <c r="G13" s="54"/>
      <c r="H13" s="513"/>
      <c r="I13" s="513"/>
      <c r="J13" s="54"/>
      <c r="K13" s="54"/>
      <c r="L13" s="54"/>
      <c r="M13" s="54"/>
      <c r="N13" s="54"/>
      <c r="O13" s="511"/>
    </row>
    <row r="14" spans="1:53" ht="12.75" customHeight="1">
      <c r="A14" s="510"/>
      <c r="B14" s="54"/>
      <c r="C14" s="54"/>
      <c r="D14" s="54"/>
      <c r="E14" s="54"/>
      <c r="F14" s="54"/>
      <c r="G14" s="54"/>
      <c r="H14" s="513"/>
      <c r="I14" s="513"/>
      <c r="J14" s="54"/>
      <c r="K14" s="54"/>
      <c r="L14" s="54"/>
      <c r="M14" s="54"/>
      <c r="N14" s="54"/>
      <c r="O14" s="511"/>
    </row>
    <row r="15" spans="1:53" ht="12.75" customHeight="1">
      <c r="A15" s="510"/>
      <c r="B15" s="54"/>
      <c r="C15" s="54"/>
      <c r="D15" s="54"/>
      <c r="E15" s="54"/>
      <c r="F15" s="54"/>
      <c r="G15" s="54"/>
      <c r="H15" s="513"/>
      <c r="I15" s="513"/>
      <c r="J15" s="54"/>
      <c r="K15" s="54"/>
      <c r="L15" s="54"/>
      <c r="M15" s="54"/>
      <c r="N15" s="54"/>
      <c r="O15" s="511"/>
    </row>
    <row r="16" spans="1:53" ht="12.75" customHeight="1">
      <c r="A16" s="518"/>
      <c r="B16" s="884" t="s">
        <v>217</v>
      </c>
      <c r="C16" s="884"/>
      <c r="D16" s="884"/>
      <c r="E16" s="884" t="s">
        <v>241</v>
      </c>
      <c r="F16" s="884"/>
      <c r="G16" s="884"/>
      <c r="H16" s="513"/>
      <c r="I16" s="513"/>
      <c r="J16" s="54"/>
      <c r="K16" s="54"/>
      <c r="L16" s="54"/>
      <c r="M16" s="54"/>
      <c r="N16" s="54"/>
      <c r="O16" s="511"/>
    </row>
    <row r="17" spans="1:21" ht="26.25" customHeight="1">
      <c r="A17" s="522" t="s">
        <v>1</v>
      </c>
      <c r="B17" s="523" t="s">
        <v>590</v>
      </c>
      <c r="C17" s="523" t="s">
        <v>593</v>
      </c>
      <c r="D17" s="523" t="s">
        <v>591</v>
      </c>
      <c r="E17" s="524" t="s">
        <v>612</v>
      </c>
      <c r="F17" s="524" t="s">
        <v>613</v>
      </c>
      <c r="G17" s="525" t="s">
        <v>592</v>
      </c>
      <c r="H17" s="513"/>
      <c r="I17" s="513"/>
      <c r="J17" s="54"/>
      <c r="K17" s="54"/>
      <c r="L17" s="54"/>
      <c r="M17" s="54"/>
      <c r="N17" s="54"/>
      <c r="O17" s="511"/>
    </row>
    <row r="18" spans="1:21" ht="12.75" customHeight="1">
      <c r="A18" s="520" t="s">
        <v>17</v>
      </c>
      <c r="B18" s="519">
        <f>SUMIFS(Camplist_HH,Camplist_Township,'Shelter Coverage &amp; Gaps'!$A18,CampList_Status,"Open")</f>
        <v>492</v>
      </c>
      <c r="C18" s="514">
        <f>SUMIFS(Camplist_Popl,Camplist_Township,'Shelter Coverage &amp; Gaps'!$A18,CampList_Status,"Open")</f>
        <v>1601</v>
      </c>
      <c r="D18" s="519">
        <f>COUNTIFS(Camplist_Township,'Shelter Coverage &amp; Gaps'!A18,CampList_Status,"open")</f>
        <v>2</v>
      </c>
      <c r="E18" s="515">
        <f ca="1">'Shelter Progress'!O6</f>
        <v>1561.9512195121952</v>
      </c>
      <c r="F18" s="515">
        <f ca="1">'Shelter Progress'!R6</f>
        <v>39.048780487804834</v>
      </c>
      <c r="G18" s="521">
        <f t="shared" ref="G18:G28" ca="1" si="0">IFERROR(E18/(E18+F18),0)</f>
        <v>0.97560975609756095</v>
      </c>
      <c r="H18" s="513"/>
      <c r="I18" s="513"/>
      <c r="J18" s="54"/>
      <c r="K18" s="54"/>
      <c r="L18" s="54"/>
      <c r="M18" s="54"/>
      <c r="N18" s="54"/>
      <c r="O18" s="511"/>
    </row>
    <row r="19" spans="1:21" ht="12.75" customHeight="1">
      <c r="A19" s="520" t="s">
        <v>15</v>
      </c>
      <c r="B19" s="519">
        <f>SUMIFS(Camplist_HH,Camplist_Township,'Shelter Coverage &amp; Gaps'!$A19,CampList_Status,"Open")</f>
        <v>85</v>
      </c>
      <c r="C19" s="514">
        <f>SUMIFS(Camplist_Popl,Camplist_Township,'Shelter Coverage &amp; Gaps'!$A19,CampList_Status,"Open")</f>
        <v>546</v>
      </c>
      <c r="D19" s="519">
        <f>COUNTIFS(Camplist_Township,'Shelter Coverage &amp; Gaps'!A19,CampList_Status,"open")</f>
        <v>1</v>
      </c>
      <c r="E19" s="515">
        <f ca="1">'Shelter Progress'!O7</f>
        <v>469.47452547452548</v>
      </c>
      <c r="F19" s="515">
        <f ca="1">'Shelter Progress'!R7</f>
        <v>6057.5254745254742</v>
      </c>
      <c r="G19" s="521">
        <f t="shared" ca="1" si="0"/>
        <v>7.1928071928071935E-2</v>
      </c>
      <c r="H19" s="513"/>
      <c r="I19" s="513"/>
      <c r="J19" s="54"/>
      <c r="K19" s="54"/>
      <c r="L19" s="54"/>
      <c r="M19" s="54"/>
      <c r="N19" s="54"/>
      <c r="O19" s="511"/>
    </row>
    <row r="20" spans="1:21" ht="12.75" customHeight="1">
      <c r="A20" s="520" t="s">
        <v>20</v>
      </c>
      <c r="B20" s="519">
        <f>SUMIFS(Camplist_HH,Camplist_Township,'Shelter Coverage &amp; Gaps'!$A20,CampList_Status,"Open")</f>
        <v>219</v>
      </c>
      <c r="C20" s="514">
        <f>SUMIFS(Camplist_Popl,Camplist_Township,'Shelter Coverage &amp; Gaps'!$A20,CampList_Status,"Open")</f>
        <v>1378</v>
      </c>
      <c r="D20" s="519">
        <f>COUNTIFS(Camplist_Township,'Shelter Coverage &amp; Gaps'!A20,CampList_Status,"open")</f>
        <v>9</v>
      </c>
      <c r="E20" s="515">
        <f ca="1">'Shelter Progress'!O8</f>
        <v>0</v>
      </c>
      <c r="F20" s="515">
        <f ca="1">'Shelter Progress'!R8</f>
        <v>1378</v>
      </c>
      <c r="G20" s="521">
        <f t="shared" ca="1" si="0"/>
        <v>0</v>
      </c>
      <c r="H20" s="513"/>
      <c r="I20" s="513"/>
      <c r="J20" s="54"/>
      <c r="K20" s="54"/>
      <c r="L20" s="54"/>
      <c r="M20" s="54"/>
      <c r="N20" s="54"/>
      <c r="O20" s="511"/>
    </row>
    <row r="21" spans="1:21" ht="12.75" customHeight="1">
      <c r="A21" s="520" t="s">
        <v>900</v>
      </c>
      <c r="B21" s="519">
        <f>SUMIFS(Camplist_HH,Camplist_Township,'Shelter Coverage &amp; Gaps'!$A21,CampList_Status,"Open")</f>
        <v>724</v>
      </c>
      <c r="C21" s="514">
        <f>SUMIFS(Camplist_Popl,Camplist_Township,'Shelter Coverage &amp; Gaps'!$A21,CampList_Status,"Open")</f>
        <v>2922</v>
      </c>
      <c r="D21" s="519">
        <f>COUNTIFS(Camplist_Township,'Shelter Coverage &amp; Gaps'!A21,CampList_Status,"open")</f>
        <v>2</v>
      </c>
      <c r="E21" s="515">
        <f ca="1">'Shelter Progress'!O9</f>
        <v>3067.2928176795581</v>
      </c>
      <c r="F21" s="515">
        <f ca="1">'Shelter Progress'!R9</f>
        <v>0</v>
      </c>
      <c r="G21" s="521">
        <f t="shared" ca="1" si="0"/>
        <v>1</v>
      </c>
      <c r="H21" s="516"/>
      <c r="I21" s="516"/>
      <c r="J21" s="54"/>
      <c r="K21" s="54"/>
      <c r="L21" s="54"/>
      <c r="M21" s="54"/>
      <c r="N21" s="54"/>
      <c r="O21" s="511"/>
    </row>
    <row r="22" spans="1:21" ht="12.75" customHeight="1">
      <c r="A22" s="520" t="s">
        <v>11</v>
      </c>
      <c r="B22" s="519">
        <f>SUMIFS(Camplist_HH,Camplist_Township,'Shelter Coverage &amp; Gaps'!$A22,CampList_Status,"Open")</f>
        <v>0</v>
      </c>
      <c r="C22" s="514">
        <f>SUMIFS(Camplist_Popl,Camplist_Township,'Shelter Coverage &amp; Gaps'!$A22,CampList_Status,"Open")</f>
        <v>0</v>
      </c>
      <c r="D22" s="519">
        <f>COUNTIFS(Camplist_Township,'Shelter Coverage &amp; Gaps'!A22,CampList_Status,"open")</f>
        <v>0</v>
      </c>
      <c r="E22" s="515">
        <f ca="1">'Shelter Progress'!O10</f>
        <v>0</v>
      </c>
      <c r="F22" s="515">
        <f ca="1">'Shelter Progress'!R10</f>
        <v>5638</v>
      </c>
      <c r="G22" s="521">
        <f t="shared" ca="1" si="0"/>
        <v>0</v>
      </c>
      <c r="H22" s="54"/>
      <c r="I22" s="54"/>
      <c r="J22" s="54"/>
      <c r="K22" s="54"/>
      <c r="L22" s="54"/>
      <c r="M22" s="54"/>
      <c r="N22" s="54"/>
      <c r="O22" s="511"/>
    </row>
    <row r="23" spans="1:21" ht="12.75" customHeight="1">
      <c r="A23" s="520" t="s">
        <v>12</v>
      </c>
      <c r="B23" s="519">
        <f>SUMIFS(Camplist_HH,Camplist_Township,'Shelter Coverage &amp; Gaps'!$A23,CampList_Status,"Open")</f>
        <v>0</v>
      </c>
      <c r="C23" s="514">
        <f>SUMIFS(Camplist_Popl,Camplist_Township,'Shelter Coverage &amp; Gaps'!$A23,CampList_Status,"Open")</f>
        <v>0</v>
      </c>
      <c r="D23" s="519">
        <f>COUNTIFS(Camplist_Township,'Shelter Coverage &amp; Gaps'!A23,CampList_Status,"open")</f>
        <v>0</v>
      </c>
      <c r="E23" s="515">
        <f ca="1">'Shelter Progress'!O11</f>
        <v>0</v>
      </c>
      <c r="F23" s="515">
        <f ca="1">'Shelter Progress'!R11</f>
        <v>3826</v>
      </c>
      <c r="G23" s="521">
        <f t="shared" ca="1" si="0"/>
        <v>0</v>
      </c>
      <c r="H23" s="54"/>
      <c r="I23" s="54"/>
      <c r="J23" s="54"/>
      <c r="K23" s="54"/>
      <c r="L23" s="54"/>
      <c r="M23" s="54"/>
      <c r="N23" s="54"/>
      <c r="O23" s="511"/>
    </row>
    <row r="24" spans="1:21" ht="12.75" customHeight="1">
      <c r="A24" s="520" t="s">
        <v>14</v>
      </c>
      <c r="B24" s="519">
        <f>SUMIFS(Camplist_HH,Camplist_Township,'Shelter Coverage &amp; Gaps'!$A24,CampList_Status,"Open")</f>
        <v>4031</v>
      </c>
      <c r="C24" s="514">
        <f>SUMIFS(Camplist_Popl,Camplist_Township,'Shelter Coverage &amp; Gaps'!$A24,CampList_Status,"Open")</f>
        <v>15429</v>
      </c>
      <c r="D24" s="519">
        <f>COUNTIFS(Camplist_Township,'Shelter Coverage &amp; Gaps'!A24,CampList_Status,"open")</f>
        <v>4</v>
      </c>
      <c r="E24" s="515">
        <f ca="1">'Shelter Progress'!O12</f>
        <v>18336.580214444672</v>
      </c>
      <c r="F24" s="515">
        <f ca="1">'Shelter Progress'!R12</f>
        <v>1384.4197855553284</v>
      </c>
      <c r="G24" s="521">
        <f t="shared" ca="1" si="0"/>
        <v>0.92979971677119166</v>
      </c>
      <c r="H24" s="54"/>
      <c r="I24" s="54"/>
      <c r="J24" s="54"/>
      <c r="K24" s="54"/>
      <c r="L24" s="54"/>
      <c r="M24" s="54"/>
      <c r="N24" s="54"/>
      <c r="O24" s="511"/>
    </row>
    <row r="25" spans="1:21" ht="12.75" customHeight="1">
      <c r="A25" s="520" t="s">
        <v>18</v>
      </c>
      <c r="B25" s="519">
        <f>SUMIFS(Camplist_HH,Camplist_Township,'Shelter Coverage &amp; Gaps'!$A25,CampList_Status,"Open")</f>
        <v>75</v>
      </c>
      <c r="C25" s="514">
        <f>SUMIFS(Camplist_Popl,Camplist_Township,'Shelter Coverage &amp; Gaps'!$A25,CampList_Status,"Open")</f>
        <v>264</v>
      </c>
      <c r="D25" s="519">
        <f>COUNTIFS(Camplist_Township,'Shelter Coverage &amp; Gaps'!A25,CampList_Status,"open")</f>
        <v>2</v>
      </c>
      <c r="E25" s="515">
        <f ca="1">'Shelter Progress'!O13</f>
        <v>337.92</v>
      </c>
      <c r="F25" s="515">
        <f ca="1">'Shelter Progress'!R13</f>
        <v>0</v>
      </c>
      <c r="G25" s="521">
        <f t="shared" ca="1" si="0"/>
        <v>1</v>
      </c>
      <c r="H25" s="54"/>
      <c r="I25" s="54"/>
      <c r="J25" s="54"/>
      <c r="K25" s="54"/>
      <c r="L25" s="54"/>
      <c r="M25" s="54"/>
      <c r="N25" s="54"/>
      <c r="O25" s="511"/>
    </row>
    <row r="26" spans="1:21" ht="12.75" customHeight="1">
      <c r="A26" s="520" t="s">
        <v>16</v>
      </c>
      <c r="B26" s="519">
        <f>SUMIFS(Camplist_HH,Camplist_Township,'Shelter Coverage &amp; Gaps'!$A26,CampList_Status,"Open")</f>
        <v>661</v>
      </c>
      <c r="C26" s="514">
        <f>SUMIFS(Camplist_Popl,Camplist_Township,'Shelter Coverage &amp; Gaps'!$A26,CampList_Status,"Open")</f>
        <v>3566</v>
      </c>
      <c r="D26" s="519">
        <f>COUNTIFS(Camplist_Township,'Shelter Coverage &amp; Gaps'!A26,CampList_Status,"open")</f>
        <v>3</v>
      </c>
      <c r="E26" s="515">
        <f ca="1">'Shelter Progress'!O14</f>
        <v>2301.6331994645248</v>
      </c>
      <c r="F26" s="515">
        <f ca="1">'Shelter Progress'!R14</f>
        <v>1753.3668005354752</v>
      </c>
      <c r="G26" s="521">
        <f t="shared" ca="1" si="0"/>
        <v>0.56760374832663985</v>
      </c>
      <c r="H26" s="54"/>
      <c r="I26" s="54"/>
      <c r="J26" s="54"/>
      <c r="K26" s="54"/>
      <c r="L26" s="54"/>
      <c r="M26" s="54"/>
      <c r="N26" s="54"/>
      <c r="O26" s="511"/>
    </row>
    <row r="27" spans="1:21" ht="14.45" customHeight="1">
      <c r="A27" s="520" t="s">
        <v>19</v>
      </c>
      <c r="B27" s="519">
        <f>SUMIFS(Camplist_HH,Camplist_Township,'Shelter Coverage &amp; Gaps'!$A27,CampList_Status,"Open")</f>
        <v>17661</v>
      </c>
      <c r="C27" s="514">
        <f>SUMIFS(Camplist_Popl,Camplist_Township,'Shelter Coverage &amp; Gaps'!$A27,CampList_Status,"Open")</f>
        <v>94156</v>
      </c>
      <c r="D27" s="519">
        <f>COUNTIFS(Camplist_Township,'Shelter Coverage &amp; Gaps'!A27,CampList_Status,"open")</f>
        <v>16</v>
      </c>
      <c r="E27" s="515">
        <f ca="1">'Shelter Progress'!O15</f>
        <v>79467.398630801574</v>
      </c>
      <c r="F27" s="515">
        <f ca="1">'Shelter Progress'!R15</f>
        <v>19286.601369198426</v>
      </c>
      <c r="G27" s="521">
        <f t="shared" ca="1" si="0"/>
        <v>0.80470055522613337</v>
      </c>
      <c r="H27" s="466"/>
      <c r="I27" s="466"/>
      <c r="J27" s="54"/>
      <c r="K27" s="54"/>
      <c r="L27" s="54"/>
      <c r="M27" s="54"/>
      <c r="N27" s="54"/>
      <c r="O27" s="511"/>
      <c r="P27" s="21"/>
      <c r="Q27" s="21"/>
      <c r="R27" s="22"/>
      <c r="S27" s="23"/>
    </row>
    <row r="28" spans="1:21" ht="15" customHeight="1">
      <c r="A28" s="526" t="s">
        <v>5</v>
      </c>
      <c r="B28" s="527">
        <f>SUM(B18:B27)</f>
        <v>23948</v>
      </c>
      <c r="C28" s="527">
        <f>SUM(C18:C27)</f>
        <v>119862</v>
      </c>
      <c r="D28" s="527">
        <f>SUM(D18:D27)</f>
        <v>39</v>
      </c>
      <c r="E28" s="527">
        <f ca="1">'Shelter Progress'!O16</f>
        <v>105542.25060737705</v>
      </c>
      <c r="F28" s="527">
        <f ca="1">'Shelter Progress'!R16</f>
        <v>39362.962210302503</v>
      </c>
      <c r="G28" s="528">
        <f t="shared" ca="1" si="0"/>
        <v>0.72835371864896825</v>
      </c>
      <c r="H28" s="466"/>
      <c r="I28" s="466"/>
      <c r="J28" s="54"/>
      <c r="K28" s="54"/>
      <c r="L28" s="54"/>
      <c r="M28" s="54"/>
      <c r="N28" s="54"/>
      <c r="O28" s="511"/>
      <c r="T28" s="4"/>
      <c r="U28" s="27"/>
    </row>
    <row r="29" spans="1:21">
      <c r="A29" s="510"/>
      <c r="B29" s="54"/>
      <c r="C29" s="54"/>
      <c r="D29" s="54"/>
      <c r="E29" s="54"/>
      <c r="F29" s="54"/>
      <c r="G29" s="54"/>
      <c r="H29" s="466"/>
      <c r="I29" s="466"/>
      <c r="J29" s="54"/>
      <c r="K29" s="54"/>
      <c r="L29" s="54"/>
      <c r="M29" s="54"/>
      <c r="N29" s="54"/>
      <c r="O29" s="511"/>
      <c r="S29" s="25"/>
      <c r="T29" s="4"/>
      <c r="U29" s="27"/>
    </row>
    <row r="30" spans="1:21">
      <c r="A30" s="510"/>
      <c r="B30" s="54"/>
      <c r="C30" s="54"/>
      <c r="D30" s="54"/>
      <c r="E30" s="54"/>
      <c r="F30" s="54"/>
      <c r="G30" s="54"/>
      <c r="H30" s="466"/>
      <c r="I30" s="466"/>
      <c r="J30" s="54"/>
      <c r="K30" s="54"/>
      <c r="L30" s="54"/>
      <c r="M30" s="54"/>
      <c r="N30" s="54"/>
      <c r="O30" s="511"/>
      <c r="S30" s="25"/>
      <c r="T30" s="4"/>
      <c r="U30" s="27"/>
    </row>
    <row r="31" spans="1:21">
      <c r="A31" s="510"/>
      <c r="B31" s="54"/>
      <c r="C31" s="54"/>
      <c r="D31" s="54"/>
      <c r="E31" s="54"/>
      <c r="F31" s="54"/>
      <c r="G31" s="54"/>
      <c r="H31" s="54"/>
      <c r="I31" s="54"/>
      <c r="J31" s="54"/>
      <c r="K31" s="54"/>
      <c r="L31" s="54"/>
      <c r="M31" s="54"/>
      <c r="N31" s="54"/>
      <c r="O31" s="511"/>
      <c r="S31" s="25"/>
      <c r="T31" s="4"/>
      <c r="U31" s="27"/>
    </row>
    <row r="32" spans="1:21">
      <c r="A32" s="510"/>
      <c r="B32" s="54"/>
      <c r="C32" s="54"/>
      <c r="D32" s="54"/>
      <c r="E32" s="54"/>
      <c r="F32" s="54"/>
      <c r="G32" s="54"/>
      <c r="H32" s="54"/>
      <c r="I32" s="54"/>
      <c r="J32" s="54"/>
      <c r="K32" s="54"/>
      <c r="L32" s="54"/>
      <c r="M32" s="54"/>
      <c r="N32" s="54"/>
      <c r="O32" s="511"/>
      <c r="P32" s="99"/>
      <c r="T32" s="26"/>
      <c r="U32" s="27"/>
    </row>
    <row r="33" spans="1:21">
      <c r="A33" s="510"/>
      <c r="B33" s="54"/>
      <c r="C33" s="54"/>
      <c r="D33" s="54"/>
      <c r="E33" s="54"/>
      <c r="F33" s="54"/>
      <c r="G33" s="54"/>
      <c r="H33" s="54"/>
      <c r="I33" s="54"/>
      <c r="J33" s="54"/>
      <c r="K33" s="54"/>
      <c r="L33" s="54"/>
      <c r="M33" s="54"/>
      <c r="N33" s="54"/>
      <c r="O33" s="511"/>
      <c r="P33" s="99"/>
      <c r="T33" s="26"/>
      <c r="U33" s="27"/>
    </row>
    <row r="34" spans="1:21">
      <c r="A34" s="510"/>
      <c r="B34" s="54"/>
      <c r="C34" s="54"/>
      <c r="D34" s="54"/>
      <c r="E34" s="54"/>
      <c r="F34" s="54"/>
      <c r="G34" s="54"/>
      <c r="H34" s="54"/>
      <c r="I34" s="54"/>
      <c r="J34" s="54"/>
      <c r="K34" s="54"/>
      <c r="L34" s="54"/>
      <c r="M34" s="54"/>
      <c r="N34" s="54"/>
      <c r="O34" s="511"/>
      <c r="P34" s="99"/>
      <c r="T34" s="26"/>
      <c r="U34" s="27"/>
    </row>
    <row r="35" spans="1:21">
      <c r="A35" s="510"/>
      <c r="B35" s="54"/>
      <c r="C35" s="54"/>
      <c r="D35" s="54"/>
      <c r="E35" s="54"/>
      <c r="F35" s="54"/>
      <c r="G35" s="54"/>
      <c r="H35" s="54"/>
      <c r="I35" s="54"/>
      <c r="J35" s="54"/>
      <c r="K35" s="54"/>
      <c r="L35" s="54"/>
      <c r="M35" s="54"/>
      <c r="N35" s="54"/>
      <c r="O35" s="511"/>
      <c r="P35" s="99"/>
      <c r="T35" s="26"/>
      <c r="U35" s="27"/>
    </row>
    <row r="36" spans="1:21">
      <c r="A36" s="426"/>
      <c r="B36" s="517"/>
      <c r="C36" s="517"/>
      <c r="D36" s="517"/>
      <c r="E36" s="517"/>
      <c r="F36" s="517"/>
      <c r="G36" s="517"/>
      <c r="H36" s="517"/>
      <c r="I36" s="517"/>
      <c r="J36" s="517"/>
      <c r="K36" s="517"/>
      <c r="L36" s="517"/>
      <c r="M36" s="517"/>
      <c r="N36" s="517"/>
      <c r="O36" s="427"/>
      <c r="P36" s="99"/>
      <c r="T36" s="26"/>
      <c r="U36" s="27"/>
    </row>
    <row r="37" spans="1:21">
      <c r="P37" s="99"/>
      <c r="T37" s="26"/>
      <c r="U37" s="27"/>
    </row>
    <row r="38" spans="1:21">
      <c r="P38" s="99"/>
      <c r="T38" s="26"/>
      <c r="U38" s="27"/>
    </row>
    <row r="39" spans="1:21">
      <c r="P39" s="99"/>
      <c r="T39" s="26"/>
      <c r="U39" s="27"/>
    </row>
    <row r="40" spans="1:21">
      <c r="P40" s="99"/>
      <c r="T40" s="21"/>
      <c r="U40" s="21"/>
    </row>
    <row r="41" spans="1:21">
      <c r="P41" s="99"/>
    </row>
    <row r="42" spans="1:21">
      <c r="S42" s="21"/>
    </row>
    <row r="43" spans="1:21">
      <c r="S43" s="21"/>
    </row>
    <row r="44" spans="1:21">
      <c r="P44" s="25"/>
      <c r="Q44" s="28"/>
      <c r="S44" s="21"/>
    </row>
    <row r="45" spans="1:21">
      <c r="P45" s="25"/>
      <c r="Q45" s="28"/>
    </row>
    <row r="46" spans="1:21">
      <c r="P46" s="21"/>
      <c r="Q46" s="26"/>
      <c r="R46" s="21"/>
    </row>
    <row r="47" spans="1:21">
      <c r="P47" s="21"/>
      <c r="Q47" s="26"/>
      <c r="R47" s="21"/>
    </row>
    <row r="48" spans="1:21">
      <c r="P48" s="21"/>
      <c r="Q48" s="26"/>
      <c r="R48" s="21"/>
    </row>
    <row r="49" spans="16:18">
      <c r="P49" s="21"/>
      <c r="Q49" s="21"/>
      <c r="R49" s="21"/>
    </row>
    <row r="50" spans="16:18">
      <c r="Q50" s="21"/>
      <c r="R50" s="21"/>
    </row>
    <row r="51" spans="16:18">
      <c r="Q51" s="21"/>
      <c r="R51" s="21"/>
    </row>
    <row r="52" spans="16:18">
      <c r="Q52" s="21"/>
      <c r="R52" s="21"/>
    </row>
    <row r="79" spans="17:17" ht="19.5">
      <c r="Q79" s="29"/>
    </row>
    <row r="80" spans="17:17" ht="15.75">
      <c r="Q80" s="30"/>
    </row>
    <row r="81" spans="17:17" ht="15.75">
      <c r="Q81" s="30"/>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2"/>
  <sheetViews>
    <sheetView showZeros="0" zoomScale="70" zoomScaleNormal="70" workbookViewId="0">
      <selection activeCell="AL13" sqref="AL13"/>
    </sheetView>
  </sheetViews>
  <sheetFormatPr defaultColWidth="11.140625" defaultRowHeight="15"/>
  <cols>
    <col min="1" max="1" width="7.5703125" style="42" customWidth="1"/>
    <col min="2" max="2" width="15.140625" customWidth="1"/>
    <col min="3" max="3" width="15.140625" style="42" customWidth="1"/>
    <col min="4" max="4" width="15.140625" customWidth="1"/>
    <col min="5" max="5" width="12" customWidth="1"/>
    <col min="6" max="6" width="14.28515625" customWidth="1"/>
    <col min="7" max="7" width="10.5703125" customWidth="1"/>
    <col min="8" max="8" width="25.7109375" customWidth="1"/>
    <col min="9" max="16" width="12" customWidth="1"/>
    <col min="17" max="17" width="12" style="100" customWidth="1"/>
    <col min="18" max="18" width="12" style="42" customWidth="1"/>
    <col min="19" max="19" width="10.7109375" style="100" customWidth="1"/>
    <col min="20" max="24" width="13.5703125" style="63" hidden="1" customWidth="1"/>
    <col min="25" max="25" width="10.7109375" style="63" hidden="1" customWidth="1"/>
    <col min="26" max="30" width="13.5703125" style="63" hidden="1" customWidth="1"/>
    <col min="31" max="31" width="16.85546875" customWidth="1"/>
    <col min="32" max="32" width="28" bestFit="1" customWidth="1"/>
    <col min="33" max="33" width="11.140625" hidden="1" customWidth="1"/>
    <col min="34" max="35" width="0" hidden="1" customWidth="1"/>
  </cols>
  <sheetData>
    <row r="1" spans="1:58" s="1" customFormat="1" ht="36">
      <c r="A1" s="198"/>
      <c r="B1" s="199"/>
      <c r="C1" s="288"/>
      <c r="D1" s="199"/>
      <c r="E1" s="199"/>
      <c r="F1" s="199"/>
      <c r="G1" s="199"/>
      <c r="H1" s="199"/>
      <c r="I1" s="199"/>
      <c r="J1" s="243">
        <f>'NFI Summary'!R3</f>
        <v>1</v>
      </c>
      <c r="K1" s="199"/>
      <c r="L1" s="199"/>
      <c r="M1" s="199"/>
      <c r="N1" s="199"/>
      <c r="O1" s="199"/>
      <c r="P1" s="244"/>
      <c r="Q1" s="244"/>
      <c r="R1" s="566"/>
      <c r="S1" s="244"/>
      <c r="T1" s="244"/>
      <c r="U1" s="244"/>
      <c r="V1" s="244"/>
      <c r="W1" s="244"/>
      <c r="X1" s="245"/>
      <c r="Y1" s="245"/>
      <c r="Z1" s="200"/>
      <c r="AA1" s="200"/>
      <c r="AB1" s="200"/>
      <c r="AC1" s="200"/>
      <c r="AD1" s="200"/>
      <c r="AE1" s="200"/>
      <c r="AF1" s="201"/>
      <c r="BE1" s="78"/>
      <c r="BF1" s="78"/>
    </row>
    <row r="2" spans="1:58" s="1" customFormat="1" ht="33" customHeight="1">
      <c r="A2" s="848" t="s">
        <v>823</v>
      </c>
      <c r="B2" s="849"/>
      <c r="C2" s="849"/>
      <c r="D2" s="849"/>
      <c r="E2" s="849"/>
      <c r="F2" s="849"/>
      <c r="G2" s="849"/>
      <c r="H2" s="849"/>
      <c r="I2" s="849"/>
      <c r="J2" s="101"/>
      <c r="K2" s="101"/>
      <c r="L2" s="101"/>
      <c r="M2" s="101"/>
      <c r="N2" s="101"/>
      <c r="O2" s="101"/>
      <c r="P2" s="246"/>
      <c r="Q2" s="195"/>
      <c r="R2" s="567"/>
      <c r="S2" s="195"/>
      <c r="T2" s="195"/>
      <c r="U2" s="195"/>
      <c r="V2" s="195"/>
      <c r="W2" s="195"/>
      <c r="X2" s="195"/>
      <c r="Y2" s="195"/>
      <c r="Z2" s="195"/>
      <c r="AA2" s="195"/>
      <c r="AB2" s="195"/>
      <c r="AC2" s="195"/>
      <c r="AD2" s="195"/>
      <c r="AE2" s="195"/>
      <c r="AF2" s="202"/>
      <c r="AG2" s="100"/>
      <c r="AH2" s="100"/>
      <c r="AI2" s="100"/>
      <c r="AJ2" s="100"/>
      <c r="AK2" s="100"/>
      <c r="AL2" s="100"/>
      <c r="AM2" s="100"/>
      <c r="AN2" s="100"/>
      <c r="AO2" s="100"/>
      <c r="AP2" s="100"/>
      <c r="AQ2" s="100"/>
      <c r="AR2" s="100"/>
      <c r="AS2" s="100"/>
      <c r="BC2" s="78"/>
      <c r="BD2" s="78"/>
    </row>
    <row r="3" spans="1:58" s="21" customFormat="1" ht="18" customHeight="1">
      <c r="A3" s="887">
        <f>Report_Date</f>
        <v>42522</v>
      </c>
      <c r="B3" s="888"/>
      <c r="C3" s="888"/>
      <c r="D3" s="888"/>
      <c r="E3" s="888"/>
      <c r="F3" s="888"/>
      <c r="G3" s="888"/>
      <c r="H3" s="888"/>
      <c r="I3" s="888"/>
      <c r="J3" s="101"/>
      <c r="K3" s="101"/>
      <c r="L3" s="101"/>
      <c r="M3" s="101"/>
      <c r="N3" s="101"/>
      <c r="O3" s="101"/>
      <c r="P3" s="246"/>
      <c r="Q3" s="195"/>
      <c r="R3" s="567"/>
      <c r="S3" s="195"/>
      <c r="T3" s="195"/>
      <c r="U3" s="195"/>
      <c r="V3" s="195"/>
      <c r="W3" s="195"/>
      <c r="X3" s="195"/>
      <c r="Y3" s="195"/>
      <c r="Z3" s="195"/>
      <c r="AA3" s="195"/>
      <c r="AB3" s="195"/>
      <c r="AC3" s="195"/>
      <c r="AD3" s="195"/>
      <c r="AE3" s="195"/>
      <c r="AF3" s="202"/>
      <c r="AG3" s="100"/>
      <c r="AH3" s="100"/>
      <c r="AI3" s="100"/>
      <c r="AJ3" s="100"/>
      <c r="AK3" s="100"/>
      <c r="AL3" s="100"/>
      <c r="AM3" s="100"/>
      <c r="AN3" s="100"/>
      <c r="AO3" s="100"/>
      <c r="AP3" s="100"/>
      <c r="AQ3" s="100"/>
      <c r="AR3" s="100"/>
      <c r="AS3" s="100"/>
      <c r="BC3" s="79"/>
      <c r="BD3" s="79"/>
    </row>
    <row r="4" spans="1:58" s="21" customFormat="1" ht="18" customHeight="1">
      <c r="A4" s="885"/>
      <c r="B4" s="886"/>
      <c r="C4" s="886"/>
      <c r="D4" s="886"/>
      <c r="E4" s="247"/>
      <c r="F4" s="247"/>
      <c r="G4" s="247"/>
      <c r="H4" s="247"/>
      <c r="I4" s="247"/>
      <c r="J4" s="247"/>
      <c r="K4" s="247"/>
      <c r="L4" s="205"/>
      <c r="M4" s="247"/>
      <c r="N4" s="247"/>
      <c r="O4" s="247"/>
      <c r="P4" s="247"/>
      <c r="Q4" s="247"/>
      <c r="R4" s="568"/>
      <c r="S4" s="247"/>
      <c r="T4" s="247"/>
      <c r="U4" s="247"/>
      <c r="V4" s="247"/>
      <c r="W4" s="248"/>
      <c r="X4" s="247"/>
      <c r="Y4" s="247"/>
      <c r="Z4" s="205"/>
      <c r="AA4" s="205"/>
      <c r="AB4" s="205"/>
      <c r="AC4" s="205"/>
      <c r="AD4" s="205"/>
      <c r="AE4" s="205"/>
      <c r="AF4" s="206"/>
      <c r="BE4" s="79"/>
      <c r="BF4" s="79"/>
    </row>
    <row r="5" spans="1:58" s="61" customFormat="1" ht="86.25" customHeight="1">
      <c r="A5" s="249" t="s">
        <v>234</v>
      </c>
      <c r="B5" s="289" t="s">
        <v>825</v>
      </c>
      <c r="C5" s="250" t="s">
        <v>212</v>
      </c>
      <c r="D5" s="250" t="s">
        <v>202</v>
      </c>
      <c r="E5" s="250" t="s">
        <v>213</v>
      </c>
      <c r="F5" s="250" t="s">
        <v>10</v>
      </c>
      <c r="G5" s="250" t="s">
        <v>1</v>
      </c>
      <c r="H5" s="250" t="s">
        <v>9</v>
      </c>
      <c r="I5" s="251" t="s">
        <v>308</v>
      </c>
      <c r="J5" s="251" t="s">
        <v>204</v>
      </c>
      <c r="K5" s="251" t="s">
        <v>309</v>
      </c>
      <c r="L5" s="251" t="s">
        <v>614</v>
      </c>
      <c r="M5" s="251" t="s">
        <v>310</v>
      </c>
      <c r="N5" s="251" t="s">
        <v>230</v>
      </c>
      <c r="O5" s="251" t="s">
        <v>231</v>
      </c>
      <c r="P5" s="251" t="s">
        <v>335</v>
      </c>
      <c r="Q5" s="251" t="s">
        <v>595</v>
      </c>
      <c r="R5" s="569" t="s">
        <v>963</v>
      </c>
      <c r="S5" s="251" t="s">
        <v>596</v>
      </c>
      <c r="T5" s="252" t="s">
        <v>930</v>
      </c>
      <c r="U5" s="252" t="s">
        <v>931</v>
      </c>
      <c r="V5" s="252" t="s">
        <v>932</v>
      </c>
      <c r="W5" s="252" t="s">
        <v>933</v>
      </c>
      <c r="X5" s="252" t="s">
        <v>934</v>
      </c>
      <c r="Y5" s="252" t="s">
        <v>935</v>
      </c>
      <c r="Z5" s="252" t="s">
        <v>936</v>
      </c>
      <c r="AA5" s="252" t="s">
        <v>937</v>
      </c>
      <c r="AB5" s="252" t="s">
        <v>938</v>
      </c>
      <c r="AC5" s="252" t="s">
        <v>970</v>
      </c>
      <c r="AD5" s="252" t="s">
        <v>939</v>
      </c>
      <c r="AE5" s="253" t="s">
        <v>581</v>
      </c>
      <c r="AF5" s="253" t="s">
        <v>354</v>
      </c>
    </row>
    <row r="6" spans="1:58" s="100" customFormat="1" ht="15" customHeight="1">
      <c r="A6" s="254">
        <f>IF(ISBLANK(C6),"",(Report_Date-C6)/30)</f>
        <v>-0.66666666666666663</v>
      </c>
      <c r="B6" s="591">
        <f>YEAR(Data_NFI_t[[#This Row],[Distribution Date]])</f>
        <v>2016</v>
      </c>
      <c r="C6" s="592">
        <v>42542</v>
      </c>
      <c r="D6" s="547" t="s">
        <v>287</v>
      </c>
      <c r="E6" s="546" t="s">
        <v>287</v>
      </c>
      <c r="F6" s="547" t="s">
        <v>7</v>
      </c>
      <c r="G6" s="31" t="s">
        <v>17</v>
      </c>
      <c r="H6" s="31" t="s">
        <v>58</v>
      </c>
      <c r="I6" s="31">
        <v>65</v>
      </c>
      <c r="J6" s="60">
        <v>65</v>
      </c>
      <c r="K6" s="60"/>
      <c r="L6" s="131"/>
      <c r="M6" s="131"/>
      <c r="N6" s="131">
        <v>65</v>
      </c>
      <c r="O6" s="131"/>
      <c r="P6" s="131"/>
      <c r="Q6" s="131"/>
      <c r="R6" s="571"/>
      <c r="S6" s="131"/>
      <c r="T6" s="143">
        <f>IF(NFI_Expiration=1,IF($A6&lt;VLOOKUP(I$5,NFI,5,0),1,0)*Data_NFI_t[[#This Row],[Hygiene Kit]],0)</f>
        <v>65</v>
      </c>
      <c r="U6" s="143">
        <f>IF(NFI_Expiration=1,IF($A6&lt;VLOOKUP(J$5,NFI,5,0),1,0)*Data_NFI_t[[#This Row],[NFI Core Kit]],0)</f>
        <v>65</v>
      </c>
      <c r="V6" s="124">
        <f>IF(NFI_Expiration=1,IF($A6&lt;VLOOKUP(K$5,NFI,5,0),1,0)*Data_NFI_t[[#This Row],[Sanitary Kit]],0)</f>
        <v>0</v>
      </c>
      <c r="W6" s="124">
        <f>IF(NFI_Expiration=1,IF($A6&lt;VLOOKUP(L$5,NFI,5,0),1,0)*Data_NFI_t[[#This Row],[Mosquito net]],0)</f>
        <v>0</v>
      </c>
      <c r="X6" s="124">
        <f>IF(NFI_Expiration=1,IF($A6&lt;VLOOKUP(M$5,NFI,5,0),1,0)*Data_NFI_t[[#This Row],[Tarpaulin]],0)</f>
        <v>0</v>
      </c>
      <c r="Y6" s="124">
        <f>IF(NFI_Expiration=1,IF($A6&lt;VLOOKUP(N$5,NFI,5,0),1,0)*Data_NFI_t[[#This Row],[Blanket]],0)</f>
        <v>65</v>
      </c>
      <c r="Z6" s="124">
        <f>IF(NFI_Expiration=1,IF($A6&lt;VLOOKUP(O$5,NFI,5,0),1,0)*Data_NFI_t[[#This Row],[Kitchen Set]],0)</f>
        <v>0</v>
      </c>
      <c r="AA6" s="124">
        <f>IF(NFI_Expiration=1,IF($A6&lt;VLOOKUP(P$5,NFI,5,0),1,0)*Data_NFI_t[[#This Row],[Complementary Kit]],0)</f>
        <v>0</v>
      </c>
      <c r="AB6" s="124">
        <f>IF(NFI_Expiration=1,IF($A6&lt;VLOOKUP(Q$5,NFI,5,0),1,0)*Data_NFI_t[[#This Row],[Plastic Bucket]],0)</f>
        <v>0</v>
      </c>
      <c r="AC6" s="143">
        <f>IF(NFI_Expiration=1,IF($A6&lt;VLOOKUP(R$5,NFI,5,0),1,0)*Data_NFI_t[[#This Row],[Jerry Can]],0)</f>
        <v>0</v>
      </c>
      <c r="AD6" s="143">
        <f>IF(NFI_Expiration=1,IF($A6&lt;VLOOKUP(S$5,NFI,5,0),1,0)*Data_NFI_t[[#This Row],[Plastic Mat]],0)*IF(Data_NFI_t[[#This Row],[Distribution Date]]&gt;"01-06-2015",1,2.5)</f>
        <v>0</v>
      </c>
      <c r="AE6" s="143" t="str">
        <f ca="1">IFERROR(OFFSET(Camp_List[P_Code],MATCH(Data_NFI_t[[#This Row],[Camp Name]],Camp_List[Camp Name],0)-1,0,1,1),"")</f>
        <v>MMR012CMP035</v>
      </c>
      <c r="AF6" s="572" t="str">
        <f ca="1">IFERROR(OFFSET(Camp_List[Status],MATCH(Data_NFI_t[[#This Row],[Camp Name]],Camp_List[Camp Name],0)-1,0,1,1),"")</f>
        <v>Open</v>
      </c>
    </row>
    <row r="7" spans="1:58" s="100" customFormat="1" ht="15" customHeight="1">
      <c r="A7" s="254">
        <f>IF(ISBLANK(C7),"",(Report_Date-C7)/30)</f>
        <v>-0.6333333333333333</v>
      </c>
      <c r="B7" s="591">
        <f>YEAR(Data_NFI_t[[#This Row],[Distribution Date]])</f>
        <v>2016</v>
      </c>
      <c r="C7" s="592">
        <v>42541</v>
      </c>
      <c r="D7" s="547" t="s">
        <v>287</v>
      </c>
      <c r="E7" s="546" t="s">
        <v>287</v>
      </c>
      <c r="F7" s="547" t="s">
        <v>7</v>
      </c>
      <c r="G7" s="31" t="s">
        <v>17</v>
      </c>
      <c r="H7" s="31" t="s">
        <v>483</v>
      </c>
      <c r="I7" s="31"/>
      <c r="J7" s="60">
        <v>427</v>
      </c>
      <c r="K7" s="60"/>
      <c r="L7" s="131"/>
      <c r="M7" s="131"/>
      <c r="N7" s="131">
        <v>854</v>
      </c>
      <c r="O7" s="131"/>
      <c r="P7" s="131"/>
      <c r="Q7" s="131"/>
      <c r="R7" s="571"/>
      <c r="S7" s="131"/>
      <c r="T7" s="143">
        <f>IF(NFI_Expiration=1,IF($A7&lt;VLOOKUP(I$5,NFI,5,0),1,0)*Data_NFI_t[[#This Row],[Hygiene Kit]],0)</f>
        <v>0</v>
      </c>
      <c r="U7" s="143">
        <f>IF(NFI_Expiration=1,IF($A7&lt;VLOOKUP(J$5,NFI,5,0),1,0)*Data_NFI_t[[#This Row],[NFI Core Kit]],0)</f>
        <v>427</v>
      </c>
      <c r="V7" s="124">
        <f>IF(NFI_Expiration=1,IF($A7&lt;VLOOKUP(K$5,NFI,5,0),1,0)*Data_NFI_t[[#This Row],[Sanitary Kit]],0)</f>
        <v>0</v>
      </c>
      <c r="W7" s="124">
        <f>IF(NFI_Expiration=1,IF($A7&lt;VLOOKUP(L$5,NFI,5,0),1,0)*Data_NFI_t[[#This Row],[Mosquito net]],0)</f>
        <v>0</v>
      </c>
      <c r="X7" s="124">
        <f>IF(NFI_Expiration=1,IF($A7&lt;VLOOKUP(M$5,NFI,5,0),1,0)*Data_NFI_t[[#This Row],[Tarpaulin]],0)</f>
        <v>0</v>
      </c>
      <c r="Y7" s="124">
        <f>IF(NFI_Expiration=1,IF($A7&lt;VLOOKUP(N$5,NFI,5,0),1,0)*Data_NFI_t[[#This Row],[Blanket]],0)</f>
        <v>854</v>
      </c>
      <c r="Z7" s="124">
        <f>IF(NFI_Expiration=1,IF($A7&lt;VLOOKUP(O$5,NFI,5,0),1,0)*Data_NFI_t[[#This Row],[Kitchen Set]],0)</f>
        <v>0</v>
      </c>
      <c r="AA7" s="124">
        <f>IF(NFI_Expiration=1,IF($A7&lt;VLOOKUP(P$5,NFI,5,0),1,0)*Data_NFI_t[[#This Row],[Complementary Kit]],0)</f>
        <v>0</v>
      </c>
      <c r="AB7" s="124">
        <f>IF(NFI_Expiration=1,IF($A7&lt;VLOOKUP(Q$5,NFI,5,0),1,0)*Data_NFI_t[[#This Row],[Plastic Bucket]],0)</f>
        <v>0</v>
      </c>
      <c r="AC7" s="143">
        <f>IF(NFI_Expiration=1,IF($A7&lt;VLOOKUP(R$5,NFI,5,0),1,0)*Data_NFI_t[[#This Row],[Jerry Can]],0)</f>
        <v>0</v>
      </c>
      <c r="AD7" s="143">
        <f>IF(NFI_Expiration=1,IF($A7&lt;VLOOKUP(S$5,NFI,5,0),1,0)*Data_NFI_t[[#This Row],[Plastic Mat]],0)*IF(Data_NFI_t[[#This Row],[Distribution Date]]&gt;"01-06-2015",1,2.5)</f>
        <v>0</v>
      </c>
      <c r="AE7" s="143" t="str">
        <f ca="1">IFERROR(OFFSET(Camp_List[P_Code],MATCH(Data_NFI_t[[#This Row],[Camp Name]],Camp_List[Camp Name],0)-1,0,1,1),"")</f>
        <v>MMR012CMP036</v>
      </c>
      <c r="AF7" s="572" t="str">
        <f ca="1">IFERROR(OFFSET(Camp_List[Status],MATCH(Data_NFI_t[[#This Row],[Camp Name]],Camp_List[Camp Name],0)-1,0,1,1),"")</f>
        <v>Open</v>
      </c>
    </row>
    <row r="8" spans="1:58" s="100" customFormat="1" ht="15" customHeight="1">
      <c r="A8" s="254">
        <f t="shared" ref="A8:A71" si="0">IF(ISBLANK(C8),"",(Report_Date-C8)/30)</f>
        <v>3.9333333333333331</v>
      </c>
      <c r="B8" s="254">
        <v>2016</v>
      </c>
      <c r="C8" s="592">
        <v>42404</v>
      </c>
      <c r="D8" s="547" t="s">
        <v>287</v>
      </c>
      <c r="E8" s="546" t="s">
        <v>287</v>
      </c>
      <c r="F8" s="547" t="s">
        <v>7</v>
      </c>
      <c r="G8" s="31" t="s">
        <v>19</v>
      </c>
      <c r="H8" s="31" t="s">
        <v>67</v>
      </c>
      <c r="I8" s="31"/>
      <c r="J8" s="60"/>
      <c r="K8" s="60"/>
      <c r="L8" s="60">
        <v>3630</v>
      </c>
      <c r="M8" s="60">
        <v>1815</v>
      </c>
      <c r="N8" s="60">
        <v>1815</v>
      </c>
      <c r="O8" s="60">
        <v>1815</v>
      </c>
      <c r="P8" s="60"/>
      <c r="Q8" s="60">
        <v>1815</v>
      </c>
      <c r="R8" s="570">
        <v>1815</v>
      </c>
      <c r="S8" s="60">
        <v>9075</v>
      </c>
      <c r="T8" s="143">
        <f>IF(NFI_Expiration=1,IF($A8&lt;VLOOKUP(I$5,NFI,5,0),1,0)*Data_NFI_t[[#This Row],[Hygiene Kit]],0)</f>
        <v>0</v>
      </c>
      <c r="U8" s="143">
        <f>IF(NFI_Expiration=1,IF($A8&lt;VLOOKUP(J$5,NFI,5,0),1,0)*Data_NFI_t[[#This Row],[NFI Core Kit]],0)</f>
        <v>0</v>
      </c>
      <c r="V8" s="124">
        <f>IF(NFI_Expiration=1,IF($A8&lt;VLOOKUP(K$5,NFI,5,0),1,0)*Data_NFI_t[[#This Row],[Sanitary Kit]],0)</f>
        <v>0</v>
      </c>
      <c r="W8" s="124">
        <f>IF(NFI_Expiration=1,IF($A8&lt;VLOOKUP(L$5,NFI,5,0),1,0)*Data_NFI_t[[#This Row],[Mosquito net]],0)</f>
        <v>3630</v>
      </c>
      <c r="X8" s="124">
        <f>IF(NFI_Expiration=1,IF($A8&lt;VLOOKUP(M$5,NFI,5,0),1,0)*Data_NFI_t[[#This Row],[Tarpaulin]],0)</f>
        <v>1815</v>
      </c>
      <c r="Y8" s="124">
        <f>IF(NFI_Expiration=1,IF($A8&lt;VLOOKUP(N$5,NFI,5,0),1,0)*Data_NFI_t[[#This Row],[Blanket]],0)</f>
        <v>1815</v>
      </c>
      <c r="Z8" s="124">
        <f>IF(NFI_Expiration=1,IF($A8&lt;VLOOKUP(O$5,NFI,5,0),1,0)*Data_NFI_t[[#This Row],[Kitchen Set]],0)</f>
        <v>1815</v>
      </c>
      <c r="AA8" s="124">
        <f>IF(NFI_Expiration=1,IF($A8&lt;VLOOKUP(P$5,NFI,5,0),1,0)*Data_NFI_t[[#This Row],[Complementary Kit]],0)</f>
        <v>0</v>
      </c>
      <c r="AB8" s="124">
        <f>IF(NFI_Expiration=1,IF($A8&lt;VLOOKUP(Q$5,NFI,5,0),1,0)*Data_NFI_t[[#This Row],[Plastic Bucket]],0)</f>
        <v>1815</v>
      </c>
      <c r="AC8" s="143">
        <f>IF(NFI_Expiration=1,IF($A8&lt;VLOOKUP(R$5,NFI,5,0),1,0)*Data_NFI_t[[#This Row],[Jerry Can]],0)</f>
        <v>1815</v>
      </c>
      <c r="AD8" s="143">
        <f>IF(NFI_Expiration=1,IF($A8&lt;VLOOKUP(S$5,NFI,5,0),1,0)*Data_NFI_t[[#This Row],[Plastic Mat]],0)*IF(Data_NFI_t[[#This Row],[Distribution Date]]&gt;"01-06-2015",1,2.5)</f>
        <v>22687.5</v>
      </c>
      <c r="AE8" s="143" t="str">
        <f ca="1">IFERROR(OFFSET(Camp_List[P_Code],MATCH(Data_NFI_t[[#This Row],[Camp Name]],Camp_List[Camp Name],0)-1,0,1,1),"")</f>
        <v>MMR012CMP045</v>
      </c>
      <c r="AF8" s="572" t="str">
        <f ca="1">IFERROR(OFFSET(Camp_List[Status],MATCH(Data_NFI_t[[#This Row],[Camp Name]],Camp_List[Camp Name],0)-1,0,1,1),"")</f>
        <v>Open</v>
      </c>
    </row>
    <row r="9" spans="1:58" s="100" customFormat="1" ht="15" customHeight="1">
      <c r="A9" s="254">
        <f t="shared" si="0"/>
        <v>4.1333333333333337</v>
      </c>
      <c r="B9" s="254">
        <v>2016</v>
      </c>
      <c r="C9" s="592">
        <v>42398</v>
      </c>
      <c r="D9" s="547" t="s">
        <v>287</v>
      </c>
      <c r="E9" s="546" t="s">
        <v>287</v>
      </c>
      <c r="F9" s="547" t="s">
        <v>7</v>
      </c>
      <c r="G9" s="31" t="s">
        <v>19</v>
      </c>
      <c r="H9" s="31" t="s">
        <v>27</v>
      </c>
      <c r="I9" s="31"/>
      <c r="J9" s="60"/>
      <c r="K9" s="60"/>
      <c r="L9" s="60">
        <v>6</v>
      </c>
      <c r="M9" s="60">
        <v>3</v>
      </c>
      <c r="N9" s="60">
        <v>6</v>
      </c>
      <c r="O9" s="60">
        <v>3</v>
      </c>
      <c r="P9" s="60"/>
      <c r="Q9" s="60">
        <v>3</v>
      </c>
      <c r="R9" s="570">
        <v>3</v>
      </c>
      <c r="S9" s="60">
        <v>15</v>
      </c>
      <c r="T9" s="143">
        <f>IF(NFI_Expiration=1,IF($A9&lt;VLOOKUP(I$5,NFI,5,0),1,0)*Data_NFI_t[[#This Row],[Hygiene Kit]],0)</f>
        <v>0</v>
      </c>
      <c r="U9" s="143">
        <f>IF(NFI_Expiration=1,IF($A9&lt;VLOOKUP(J$5,NFI,5,0),1,0)*Data_NFI_t[[#This Row],[NFI Core Kit]],0)</f>
        <v>0</v>
      </c>
      <c r="V9" s="124">
        <f>IF(NFI_Expiration=1,IF($A9&lt;VLOOKUP(K$5,NFI,5,0),1,0)*Data_NFI_t[[#This Row],[Sanitary Kit]],0)</f>
        <v>0</v>
      </c>
      <c r="W9" s="124">
        <f>IF(NFI_Expiration=1,IF($A9&lt;VLOOKUP(L$5,NFI,5,0),1,0)*Data_NFI_t[[#This Row],[Mosquito net]],0)</f>
        <v>6</v>
      </c>
      <c r="X9" s="124">
        <f>IF(NFI_Expiration=1,IF($A9&lt;VLOOKUP(M$5,NFI,5,0),1,0)*Data_NFI_t[[#This Row],[Tarpaulin]],0)</f>
        <v>3</v>
      </c>
      <c r="Y9" s="124">
        <f>IF(NFI_Expiration=1,IF($A9&lt;VLOOKUP(N$5,NFI,5,0),1,0)*Data_NFI_t[[#This Row],[Blanket]],0)</f>
        <v>6</v>
      </c>
      <c r="Z9" s="124">
        <f>IF(NFI_Expiration=1,IF($A9&lt;VLOOKUP(O$5,NFI,5,0),1,0)*Data_NFI_t[[#This Row],[Kitchen Set]],0)</f>
        <v>3</v>
      </c>
      <c r="AA9" s="124">
        <f>IF(NFI_Expiration=1,IF($A9&lt;VLOOKUP(P$5,NFI,5,0),1,0)*Data_NFI_t[[#This Row],[Complementary Kit]],0)</f>
        <v>0</v>
      </c>
      <c r="AB9" s="124">
        <f>IF(NFI_Expiration=1,IF($A9&lt;VLOOKUP(Q$5,NFI,5,0),1,0)*Data_NFI_t[[#This Row],[Plastic Bucket]],0)</f>
        <v>3</v>
      </c>
      <c r="AC9" s="143">
        <f>IF(NFI_Expiration=1,IF($A9&lt;VLOOKUP(R$5,NFI,5,0),1,0)*Data_NFI_t[[#This Row],[Jerry Can]],0)</f>
        <v>3</v>
      </c>
      <c r="AD9" s="143">
        <f>IF(NFI_Expiration=1,IF($A9&lt;VLOOKUP(S$5,NFI,5,0),1,0)*Data_NFI_t[[#This Row],[Plastic Mat]],0)*IF(Data_NFI_t[[#This Row],[Distribution Date]]&gt;"01-06-2015",1,2.5)</f>
        <v>37.5</v>
      </c>
      <c r="AE9" s="143" t="str">
        <f ca="1">IFERROR(OFFSET(Camp_List[P_Code],MATCH(Data_NFI_t[[#This Row],[Camp Name]],Camp_List[Camp Name],0)-1,0,1,1),"")</f>
        <v>MMR012CMP003</v>
      </c>
      <c r="AF9" s="572" t="str">
        <f ca="1">IFERROR(OFFSET(Camp_List[Status],MATCH(Data_NFI_t[[#This Row],[Camp Name]],Camp_List[Camp Name],0)-1,0,1,1),"")</f>
        <v>Returned in Individual Housing</v>
      </c>
    </row>
    <row r="10" spans="1:58" s="100" customFormat="1" ht="15" customHeight="1">
      <c r="A10" s="254">
        <f t="shared" si="0"/>
        <v>4.2</v>
      </c>
      <c r="B10" s="254">
        <v>2016</v>
      </c>
      <c r="C10" s="592">
        <v>42396</v>
      </c>
      <c r="D10" s="547" t="s">
        <v>730</v>
      </c>
      <c r="E10" s="546" t="s">
        <v>730</v>
      </c>
      <c r="F10" s="547" t="s">
        <v>7</v>
      </c>
      <c r="G10" s="31" t="s">
        <v>900</v>
      </c>
      <c r="H10" s="31" t="s">
        <v>37</v>
      </c>
      <c r="I10" s="31"/>
      <c r="J10" s="60"/>
      <c r="K10" s="60"/>
      <c r="L10" s="60">
        <v>42</v>
      </c>
      <c r="M10" s="60">
        <v>42</v>
      </c>
      <c r="N10" s="60"/>
      <c r="O10" s="60">
        <v>42</v>
      </c>
      <c r="P10" s="60"/>
      <c r="Q10" s="60"/>
      <c r="R10" s="570">
        <v>42</v>
      </c>
      <c r="S10" s="60"/>
      <c r="T10" s="143">
        <f>IF(NFI_Expiration=1,IF($A10&lt;VLOOKUP(I$5,NFI,5,0),1,0)*Data_NFI_t[[#This Row],[Hygiene Kit]],0)</f>
        <v>0</v>
      </c>
      <c r="U10" s="143">
        <f>IF(NFI_Expiration=1,IF($A10&lt;VLOOKUP(J$5,NFI,5,0),1,0)*Data_NFI_t[[#This Row],[NFI Core Kit]],0)</f>
        <v>0</v>
      </c>
      <c r="V10" s="124">
        <f>IF(NFI_Expiration=1,IF($A10&lt;VLOOKUP(K$5,NFI,5,0),1,0)*Data_NFI_t[[#This Row],[Sanitary Kit]],0)</f>
        <v>0</v>
      </c>
      <c r="W10" s="124">
        <f>IF(NFI_Expiration=1,IF($A10&lt;VLOOKUP(L$5,NFI,5,0),1,0)*Data_NFI_t[[#This Row],[Mosquito net]],0)</f>
        <v>42</v>
      </c>
      <c r="X10" s="124">
        <f>IF(NFI_Expiration=1,IF($A10&lt;VLOOKUP(M$5,NFI,5,0),1,0)*Data_NFI_t[[#This Row],[Tarpaulin]],0)</f>
        <v>42</v>
      </c>
      <c r="Y10" s="124">
        <f>IF(NFI_Expiration=1,IF($A10&lt;VLOOKUP(N$5,NFI,5,0),1,0)*Data_NFI_t[[#This Row],[Blanket]],0)</f>
        <v>0</v>
      </c>
      <c r="Z10" s="124">
        <f>IF(NFI_Expiration=1,IF($A10&lt;VLOOKUP(O$5,NFI,5,0),1,0)*Data_NFI_t[[#This Row],[Kitchen Set]],0)</f>
        <v>42</v>
      </c>
      <c r="AA10" s="124">
        <f>IF(NFI_Expiration=1,IF($A10&lt;VLOOKUP(P$5,NFI,5,0),1,0)*Data_NFI_t[[#This Row],[Complementary Kit]],0)</f>
        <v>0</v>
      </c>
      <c r="AB10" s="124">
        <f>IF(NFI_Expiration=1,IF($A10&lt;VLOOKUP(Q$5,NFI,5,0),1,0)*Data_NFI_t[[#This Row],[Plastic Bucket]],0)</f>
        <v>0</v>
      </c>
      <c r="AC10" s="143">
        <f>IF(NFI_Expiration=1,IF($A10&lt;VLOOKUP(R$5,NFI,5,0),1,0)*Data_NFI_t[[#This Row],[Jerry Can]],0)</f>
        <v>42</v>
      </c>
      <c r="AD10" s="143">
        <f>IF(NFI_Expiration=1,IF($A10&lt;VLOOKUP(S$5,NFI,5,0),1,0)*Data_NFI_t[[#This Row],[Plastic Mat]],0)*IF(Data_NFI_t[[#This Row],[Distribution Date]]&gt;"01-06-2015",1,2.5)</f>
        <v>0</v>
      </c>
      <c r="AE10" s="143" t="str">
        <f ca="1">IFERROR(OFFSET(Camp_List[P_Code],MATCH(Data_NFI_t[[#This Row],[Camp Name]],Camp_List[Camp Name],0)-1,0,1,1),"")</f>
        <v>MMR012CMP013</v>
      </c>
      <c r="AF10" s="572" t="str">
        <f ca="1">IFERROR(OFFSET(Camp_List[Status],MATCH(Data_NFI_t[[#This Row],[Camp Name]],Camp_List[Camp Name],0)-1,0,1,1),"")</f>
        <v>Open</v>
      </c>
    </row>
    <row r="11" spans="1:58" s="100" customFormat="1" ht="15" customHeight="1">
      <c r="A11" s="254">
        <f t="shared" si="0"/>
        <v>4.2</v>
      </c>
      <c r="B11" s="254">
        <v>2016</v>
      </c>
      <c r="C11" s="592">
        <v>42396</v>
      </c>
      <c r="D11" s="547" t="s">
        <v>730</v>
      </c>
      <c r="E11" s="546" t="s">
        <v>730</v>
      </c>
      <c r="F11" s="547" t="s">
        <v>7</v>
      </c>
      <c r="G11" s="31" t="s">
        <v>900</v>
      </c>
      <c r="H11" s="31" t="s">
        <v>38</v>
      </c>
      <c r="I11" s="31"/>
      <c r="J11" s="60"/>
      <c r="K11" s="60"/>
      <c r="L11" s="60">
        <v>682</v>
      </c>
      <c r="M11" s="60">
        <v>682</v>
      </c>
      <c r="N11" s="60"/>
      <c r="O11" s="60">
        <v>682</v>
      </c>
      <c r="P11" s="60"/>
      <c r="Q11" s="60"/>
      <c r="R11" s="570">
        <v>682</v>
      </c>
      <c r="S11" s="60"/>
      <c r="T11" s="143">
        <f>IF(NFI_Expiration=1,IF($A11&lt;VLOOKUP(I$5,NFI,5,0),1,0)*Data_NFI_t[[#This Row],[Hygiene Kit]],0)</f>
        <v>0</v>
      </c>
      <c r="U11" s="143">
        <f>IF(NFI_Expiration=1,IF($A11&lt;VLOOKUP(J$5,NFI,5,0),1,0)*Data_NFI_t[[#This Row],[NFI Core Kit]],0)</f>
        <v>0</v>
      </c>
      <c r="V11" s="124">
        <f>IF(NFI_Expiration=1,IF($A11&lt;VLOOKUP(K$5,NFI,5,0),1,0)*Data_NFI_t[[#This Row],[Sanitary Kit]],0)</f>
        <v>0</v>
      </c>
      <c r="W11" s="124">
        <f>IF(NFI_Expiration=1,IF($A11&lt;VLOOKUP(L$5,NFI,5,0),1,0)*Data_NFI_t[[#This Row],[Mosquito net]],0)</f>
        <v>682</v>
      </c>
      <c r="X11" s="124">
        <f>IF(NFI_Expiration=1,IF($A11&lt;VLOOKUP(M$5,NFI,5,0),1,0)*Data_NFI_t[[#This Row],[Tarpaulin]],0)</f>
        <v>682</v>
      </c>
      <c r="Y11" s="124">
        <f>IF(NFI_Expiration=1,IF($A11&lt;VLOOKUP(N$5,NFI,5,0),1,0)*Data_NFI_t[[#This Row],[Blanket]],0)</f>
        <v>0</v>
      </c>
      <c r="Z11" s="124">
        <f>IF(NFI_Expiration=1,IF($A11&lt;VLOOKUP(O$5,NFI,5,0),1,0)*Data_NFI_t[[#This Row],[Kitchen Set]],0)</f>
        <v>682</v>
      </c>
      <c r="AA11" s="124">
        <f>IF(NFI_Expiration=1,IF($A11&lt;VLOOKUP(P$5,NFI,5,0),1,0)*Data_NFI_t[[#This Row],[Complementary Kit]],0)</f>
        <v>0</v>
      </c>
      <c r="AB11" s="124">
        <f>IF(NFI_Expiration=1,IF($A11&lt;VLOOKUP(Q$5,NFI,5,0),1,0)*Data_NFI_t[[#This Row],[Plastic Bucket]],0)</f>
        <v>0</v>
      </c>
      <c r="AC11" s="143">
        <f>IF(NFI_Expiration=1,IF($A11&lt;VLOOKUP(R$5,NFI,5,0),1,0)*Data_NFI_t[[#This Row],[Jerry Can]],0)</f>
        <v>682</v>
      </c>
      <c r="AD11" s="143">
        <f>IF(NFI_Expiration=1,IF($A11&lt;VLOOKUP(S$5,NFI,5,0),1,0)*Data_NFI_t[[#This Row],[Plastic Mat]],0)*IF(Data_NFI_t[[#This Row],[Distribution Date]]&gt;"01-06-2015",1,2.5)</f>
        <v>0</v>
      </c>
      <c r="AE11" s="143" t="str">
        <f ca="1">IFERROR(OFFSET(Camp_List[P_Code],MATCH(Data_NFI_t[[#This Row],[Camp Name]],Camp_List[Camp Name],0)-1,0,1,1),"")</f>
        <v>MMR012CMP014</v>
      </c>
      <c r="AF11" s="572" t="str">
        <f ca="1">IFERROR(OFFSET(Camp_List[Status],MATCH(Data_NFI_t[[#This Row],[Camp Name]],Camp_List[Camp Name],0)-1,0,1,1),"")</f>
        <v>Open</v>
      </c>
    </row>
    <row r="12" spans="1:58" s="100" customFormat="1" ht="15" customHeight="1">
      <c r="A12" s="254">
        <f t="shared" si="0"/>
        <v>4.3666666666666663</v>
      </c>
      <c r="B12" s="254">
        <v>2016</v>
      </c>
      <c r="C12" s="592">
        <v>42391</v>
      </c>
      <c r="D12" s="547" t="s">
        <v>287</v>
      </c>
      <c r="E12" s="546" t="s">
        <v>287</v>
      </c>
      <c r="F12" s="547" t="s">
        <v>7</v>
      </c>
      <c r="G12" s="31" t="s">
        <v>19</v>
      </c>
      <c r="H12" s="31" t="s">
        <v>47</v>
      </c>
      <c r="I12" s="31"/>
      <c r="J12" s="60">
        <v>85</v>
      </c>
      <c r="K12" s="60"/>
      <c r="L12" s="60">
        <v>170</v>
      </c>
      <c r="M12" s="60">
        <v>85</v>
      </c>
      <c r="N12" s="60">
        <v>85</v>
      </c>
      <c r="O12" s="60">
        <v>85</v>
      </c>
      <c r="P12" s="60"/>
      <c r="Q12" s="60">
        <v>85</v>
      </c>
      <c r="R12" s="570">
        <v>85</v>
      </c>
      <c r="S12" s="60">
        <v>425</v>
      </c>
      <c r="T12" s="143">
        <f>IF(NFI_Expiration=1,IF($A12&lt;VLOOKUP(I$5,NFI,5,0),1,0)*Data_NFI_t[[#This Row],[Hygiene Kit]],0)</f>
        <v>0</v>
      </c>
      <c r="U12" s="143">
        <f>IF(NFI_Expiration=1,IF($A12&lt;VLOOKUP(J$5,NFI,5,0),1,0)*Data_NFI_t[[#This Row],[NFI Core Kit]],0)</f>
        <v>85</v>
      </c>
      <c r="V12" s="124">
        <f>IF(NFI_Expiration=1,IF($A12&lt;VLOOKUP(K$5,NFI,5,0),1,0)*Data_NFI_t[[#This Row],[Sanitary Kit]],0)</f>
        <v>0</v>
      </c>
      <c r="W12" s="124">
        <f>IF(NFI_Expiration=1,IF($A12&lt;VLOOKUP(L$5,NFI,5,0),1,0)*Data_NFI_t[[#This Row],[Mosquito net]],0)</f>
        <v>170</v>
      </c>
      <c r="X12" s="124">
        <f>IF(NFI_Expiration=1,IF($A12&lt;VLOOKUP(M$5,NFI,5,0),1,0)*Data_NFI_t[[#This Row],[Tarpaulin]],0)</f>
        <v>85</v>
      </c>
      <c r="Y12" s="124">
        <f>IF(NFI_Expiration=1,IF($A12&lt;VLOOKUP(N$5,NFI,5,0),1,0)*Data_NFI_t[[#This Row],[Blanket]],0)</f>
        <v>85</v>
      </c>
      <c r="Z12" s="124">
        <f>IF(NFI_Expiration=1,IF($A12&lt;VLOOKUP(O$5,NFI,5,0),1,0)*Data_NFI_t[[#This Row],[Kitchen Set]],0)</f>
        <v>85</v>
      </c>
      <c r="AA12" s="124">
        <f>IF(NFI_Expiration=1,IF($A12&lt;VLOOKUP(P$5,NFI,5,0),1,0)*Data_NFI_t[[#This Row],[Complementary Kit]],0)</f>
        <v>0</v>
      </c>
      <c r="AB12" s="124">
        <f>IF(NFI_Expiration=1,IF($A12&lt;VLOOKUP(Q$5,NFI,5,0),1,0)*Data_NFI_t[[#This Row],[Plastic Bucket]],0)</f>
        <v>85</v>
      </c>
      <c r="AC12" s="143">
        <f>IF(NFI_Expiration=1,IF($A12&lt;VLOOKUP(R$5,NFI,5,0),1,0)*Data_NFI_t[[#This Row],[Jerry Can]],0)</f>
        <v>85</v>
      </c>
      <c r="AD12" s="143">
        <f>IF(NFI_Expiration=1,IF($A12&lt;VLOOKUP(S$5,NFI,5,0),1,0)*Data_NFI_t[[#This Row],[Plastic Mat]],0)*IF(Data_NFI_t[[#This Row],[Distribution Date]]&gt;"01-06-2015",1,2.5)</f>
        <v>1062.5</v>
      </c>
      <c r="AE12" s="143" t="str">
        <f ca="1">IFERROR(OFFSET(Camp_List[P_Code],MATCH(Data_NFI_t[[#This Row],[Camp Name]],Camp_List[Camp Name],0)-1,0,1,1),"")</f>
        <v>MMR012CMP023</v>
      </c>
      <c r="AF12" s="572" t="str">
        <f ca="1">IFERROR(OFFSET(Camp_List[Status],MATCH(Data_NFI_t[[#This Row],[Camp Name]],Camp_List[Camp Name],0)-1,0,1,1),"")</f>
        <v>Open</v>
      </c>
    </row>
    <row r="13" spans="1:58" s="100" customFormat="1" ht="15" customHeight="1">
      <c r="A13" s="254">
        <f t="shared" si="0"/>
        <v>5.833333333333333</v>
      </c>
      <c r="B13" s="254">
        <v>2015</v>
      </c>
      <c r="C13" s="585">
        <v>42347</v>
      </c>
      <c r="D13" s="547" t="s">
        <v>296</v>
      </c>
      <c r="E13" s="546" t="s">
        <v>642</v>
      </c>
      <c r="F13" s="547" t="s">
        <v>7</v>
      </c>
      <c r="G13" s="31" t="s">
        <v>19</v>
      </c>
      <c r="H13" s="31" t="s">
        <v>64</v>
      </c>
      <c r="I13" s="31"/>
      <c r="J13" s="60"/>
      <c r="K13" s="60"/>
      <c r="L13" s="60"/>
      <c r="M13" s="60"/>
      <c r="N13" s="60">
        <v>1598</v>
      </c>
      <c r="O13" s="60"/>
      <c r="P13" s="60"/>
      <c r="Q13" s="60"/>
      <c r="R13" s="570"/>
      <c r="S13" s="60"/>
      <c r="T13" s="143">
        <f>IF(NFI_Expiration=1,IF($A13&lt;VLOOKUP(I$5,NFI,5,0),1,0)*Data_NFI_t[[#This Row],[Hygiene Kit]],0)</f>
        <v>0</v>
      </c>
      <c r="U13" s="143">
        <f>IF(NFI_Expiration=1,IF($A13&lt;VLOOKUP(J$5,NFI,5,0),1,0)*Data_NFI_t[[#This Row],[NFI Core Kit]],0)</f>
        <v>0</v>
      </c>
      <c r="V13" s="124">
        <f>IF(NFI_Expiration=1,IF($A13&lt;VLOOKUP(K$5,NFI,5,0),1,0)*Data_NFI_t[[#This Row],[Sanitary Kit]],0)</f>
        <v>0</v>
      </c>
      <c r="W13" s="124">
        <f>IF(NFI_Expiration=1,IF($A13&lt;VLOOKUP(L$5,NFI,5,0),1,0)*Data_NFI_t[[#This Row],[Mosquito net]],0)</f>
        <v>0</v>
      </c>
      <c r="X13" s="124">
        <f>IF(NFI_Expiration=1,IF($A13&lt;VLOOKUP(M$5,NFI,5,0),1,0)*Data_NFI_t[[#This Row],[Tarpaulin]],0)</f>
        <v>0</v>
      </c>
      <c r="Y13" s="124">
        <f>IF(NFI_Expiration=1,IF($A13&lt;VLOOKUP(N$5,NFI,5,0),1,0)*Data_NFI_t[[#This Row],[Blanket]],0)</f>
        <v>1598</v>
      </c>
      <c r="Z13" s="124">
        <f>IF(NFI_Expiration=1,IF($A13&lt;VLOOKUP(O$5,NFI,5,0),1,0)*Data_NFI_t[[#This Row],[Kitchen Set]],0)</f>
        <v>0</v>
      </c>
      <c r="AA13" s="124">
        <f>IF(NFI_Expiration=1,IF($A13&lt;VLOOKUP(P$5,NFI,5,0),1,0)*Data_NFI_t[[#This Row],[Complementary Kit]],0)</f>
        <v>0</v>
      </c>
      <c r="AB13" s="124">
        <f>IF(NFI_Expiration=1,IF($A13&lt;VLOOKUP(Q$5,NFI,5,0),1,0)*Data_NFI_t[[#This Row],[Plastic Bucket]],0)</f>
        <v>0</v>
      </c>
      <c r="AC13" s="124">
        <f>IF(NFI_Expiration=1,IF($A13&lt;VLOOKUP(R$5,NFI,5,0),1,0)*Data_NFI_t[[#This Row],[Jerry Can]],0)</f>
        <v>0</v>
      </c>
      <c r="AD13" s="143">
        <f>IF(NFI_Expiration=1,IF($A13&lt;VLOOKUP(S$5,NFI,5,0),1,0)*Data_NFI_t[[#This Row],[Plastic Mat]],0)*IF(Data_NFI_t[[#This Row],[Distribution Date]]&gt;"01-06-2015",1,2.5)</f>
        <v>0</v>
      </c>
      <c r="AE13" s="143" t="str">
        <f ca="1">IFERROR(OFFSET(Camp_List[P_Code],MATCH(Data_NFI_t[[#This Row],[Camp Name]],Camp_List[Camp Name],0)-1,0,1,1),"")</f>
        <v>MMR012CMP042</v>
      </c>
      <c r="AF13" s="572" t="str">
        <f ca="1">IFERROR(OFFSET(Camp_List[Status],MATCH(Data_NFI_t[[#This Row],[Camp Name]],Camp_List[Camp Name],0)-1,0,1,1),"")</f>
        <v>Open</v>
      </c>
    </row>
    <row r="14" spans="1:58" s="100" customFormat="1" ht="15" customHeight="1">
      <c r="A14" s="254">
        <f t="shared" si="0"/>
        <v>6.3666666666666663</v>
      </c>
      <c r="B14" s="254">
        <v>2015</v>
      </c>
      <c r="C14" s="585">
        <v>42331</v>
      </c>
      <c r="D14" s="547" t="s">
        <v>642</v>
      </c>
      <c r="E14" s="546"/>
      <c r="F14" s="547" t="s">
        <v>7</v>
      </c>
      <c r="G14" s="31" t="s">
        <v>14</v>
      </c>
      <c r="H14" s="31" t="s">
        <v>40</v>
      </c>
      <c r="I14" s="31"/>
      <c r="J14" s="60">
        <v>986</v>
      </c>
      <c r="K14" s="60"/>
      <c r="L14" s="60">
        <v>1972</v>
      </c>
      <c r="M14" s="60">
        <v>986</v>
      </c>
      <c r="N14" s="60">
        <v>1972</v>
      </c>
      <c r="O14" s="60">
        <v>986</v>
      </c>
      <c r="P14" s="60"/>
      <c r="Q14" s="60">
        <v>968</v>
      </c>
      <c r="R14" s="570">
        <v>986</v>
      </c>
      <c r="S14" s="60">
        <v>4930</v>
      </c>
      <c r="T14" s="143">
        <f>IF(NFI_Expiration=1,IF($A14&lt;VLOOKUP(I$5,NFI,5,0),1,0)*Data_NFI_t[[#This Row],[Hygiene Kit]],0)</f>
        <v>0</v>
      </c>
      <c r="U14" s="143">
        <f>IF(NFI_Expiration=1,IF($A14&lt;VLOOKUP(J$5,NFI,5,0),1,0)*Data_NFI_t[[#This Row],[NFI Core Kit]],0)</f>
        <v>986</v>
      </c>
      <c r="V14" s="124">
        <f>IF(NFI_Expiration=1,IF($A14&lt;VLOOKUP(K$5,NFI,5,0),1,0)*Data_NFI_t[[#This Row],[Sanitary Kit]],0)</f>
        <v>0</v>
      </c>
      <c r="W14" s="124">
        <f>IF(NFI_Expiration=1,IF($A14&lt;VLOOKUP(L$5,NFI,5,0),1,0)*Data_NFI_t[[#This Row],[Mosquito net]],0)</f>
        <v>1972</v>
      </c>
      <c r="X14" s="124">
        <f>IF(NFI_Expiration=1,IF($A14&lt;VLOOKUP(M$5,NFI,5,0),1,0)*Data_NFI_t[[#This Row],[Tarpaulin]],0)</f>
        <v>986</v>
      </c>
      <c r="Y14" s="124">
        <f>IF(NFI_Expiration=1,IF($A14&lt;VLOOKUP(N$5,NFI,5,0),1,0)*Data_NFI_t[[#This Row],[Blanket]],0)</f>
        <v>1972</v>
      </c>
      <c r="Z14" s="124">
        <f>IF(NFI_Expiration=1,IF($A14&lt;VLOOKUP(O$5,NFI,5,0),1,0)*Data_NFI_t[[#This Row],[Kitchen Set]],0)</f>
        <v>986</v>
      </c>
      <c r="AA14" s="124">
        <f>IF(NFI_Expiration=1,IF($A14&lt;VLOOKUP(P$5,NFI,5,0),1,0)*Data_NFI_t[[#This Row],[Complementary Kit]],0)</f>
        <v>0</v>
      </c>
      <c r="AB14" s="124">
        <f>IF(NFI_Expiration=1,IF($A14&lt;VLOOKUP(Q$5,NFI,5,0),1,0)*Data_NFI_t[[#This Row],[Plastic Bucket]],0)</f>
        <v>968</v>
      </c>
      <c r="AC14" s="124">
        <f>IF(NFI_Expiration=1,IF($A14&lt;VLOOKUP(R$5,NFI,5,0),1,0)*Data_NFI_t[[#This Row],[Jerry Can]],0)</f>
        <v>986</v>
      </c>
      <c r="AD14" s="143">
        <f>IF(NFI_Expiration=1,IF($A14&lt;VLOOKUP(S$5,NFI,5,0),1,0)*Data_NFI_t[[#This Row],[Plastic Mat]],0)*IF(Data_NFI_t[[#This Row],[Distribution Date]]&gt;"01-06-2015",1,2.5)</f>
        <v>12325</v>
      </c>
      <c r="AE14" s="143" t="str">
        <f ca="1">IFERROR(OFFSET(Camp_List[P_Code],MATCH(Data_NFI_t[[#This Row],[Camp Name]],Camp_List[Camp Name],0)-1,0,1,1),"")</f>
        <v>MMR012CMP016</v>
      </c>
      <c r="AF14" s="572" t="str">
        <f ca="1">IFERROR(OFFSET(Camp_List[Status],MATCH(Data_NFI_t[[#This Row],[Camp Name]],Camp_List[Camp Name],0)-1,0,1,1),"")</f>
        <v>Open</v>
      </c>
    </row>
    <row r="15" spans="1:58" s="100" customFormat="1" ht="15" customHeight="1">
      <c r="A15" s="254">
        <f t="shared" si="0"/>
        <v>6.5</v>
      </c>
      <c r="B15" s="254">
        <v>2015</v>
      </c>
      <c r="C15" s="585">
        <v>42327</v>
      </c>
      <c r="D15" s="547" t="s">
        <v>972</v>
      </c>
      <c r="E15" s="546" t="s">
        <v>642</v>
      </c>
      <c r="F15" s="547" t="s">
        <v>7</v>
      </c>
      <c r="G15" s="31" t="s">
        <v>14</v>
      </c>
      <c r="H15" s="31" t="s">
        <v>41</v>
      </c>
      <c r="I15" s="31"/>
      <c r="J15" s="60"/>
      <c r="K15" s="60"/>
      <c r="L15" s="60">
        <v>1563</v>
      </c>
      <c r="M15" s="60"/>
      <c r="N15" s="60"/>
      <c r="O15" s="60"/>
      <c r="P15" s="60"/>
      <c r="Q15" s="60"/>
      <c r="R15" s="570"/>
      <c r="S15" s="60"/>
      <c r="T15" s="143">
        <f>IF(NFI_Expiration=1,IF($A15&lt;VLOOKUP(I$5,NFI,5,0),1,0)*Data_NFI_t[[#This Row],[Hygiene Kit]],0)</f>
        <v>0</v>
      </c>
      <c r="U15" s="143">
        <f>IF(NFI_Expiration=1,IF($A15&lt;VLOOKUP(J$5,NFI,5,0),1,0)*Data_NFI_t[[#This Row],[NFI Core Kit]],0)</f>
        <v>0</v>
      </c>
      <c r="V15" s="124">
        <f>IF(NFI_Expiration=1,IF($A15&lt;VLOOKUP(K$5,NFI,5,0),1,0)*Data_NFI_t[[#This Row],[Sanitary Kit]],0)</f>
        <v>0</v>
      </c>
      <c r="W15" s="124">
        <f>IF(NFI_Expiration=1,IF($A15&lt;VLOOKUP(L$5,NFI,5,0),1,0)*Data_NFI_t[[#This Row],[Mosquito net]],0)</f>
        <v>1563</v>
      </c>
      <c r="X15" s="124">
        <f>IF(NFI_Expiration=1,IF($A15&lt;VLOOKUP(M$5,NFI,5,0),1,0)*Data_NFI_t[[#This Row],[Tarpaulin]],0)</f>
        <v>0</v>
      </c>
      <c r="Y15" s="124">
        <f>IF(NFI_Expiration=1,IF($A15&lt;VLOOKUP(N$5,NFI,5,0),1,0)*Data_NFI_t[[#This Row],[Blanket]],0)</f>
        <v>0</v>
      </c>
      <c r="Z15" s="124">
        <f>IF(NFI_Expiration=1,IF($A15&lt;VLOOKUP(O$5,NFI,5,0),1,0)*Data_NFI_t[[#This Row],[Kitchen Set]],0)</f>
        <v>0</v>
      </c>
      <c r="AA15" s="124">
        <f>IF(NFI_Expiration=1,IF($A15&lt;VLOOKUP(P$5,NFI,5,0),1,0)*Data_NFI_t[[#This Row],[Complementary Kit]],0)</f>
        <v>0</v>
      </c>
      <c r="AB15" s="124">
        <f>IF(NFI_Expiration=1,IF($A15&lt;VLOOKUP(Q$5,NFI,5,0),1,0)*Data_NFI_t[[#This Row],[Plastic Bucket]],0)</f>
        <v>0</v>
      </c>
      <c r="AC15" s="124">
        <f>IF(NFI_Expiration=1,IF($A15&lt;VLOOKUP(R$5,NFI,5,0),1,0)*Data_NFI_t[[#This Row],[Jerry Can]],0)</f>
        <v>0</v>
      </c>
      <c r="AD15" s="143">
        <f>IF(NFI_Expiration=1,IF($A15&lt;VLOOKUP(S$5,NFI,5,0),1,0)*Data_NFI_t[[#This Row],[Plastic Mat]],0)*IF(Data_NFI_t[[#This Row],[Distribution Date]]&gt;"01-06-2015",1,2.5)</f>
        <v>0</v>
      </c>
      <c r="AE15" s="143" t="str">
        <f ca="1">IFERROR(OFFSET(Camp_List[P_Code],MATCH(Data_NFI_t[[#This Row],[Camp Name]],Camp_List[Camp Name],0)-1,0,1,1),"")</f>
        <v>MMR012CMP017</v>
      </c>
      <c r="AF15" s="572" t="str">
        <f ca="1">IFERROR(OFFSET(Camp_List[Status],MATCH(Data_NFI_t[[#This Row],[Camp Name]],Camp_List[Camp Name],0)-1,0,1,1),"")</f>
        <v>Open</v>
      </c>
    </row>
    <row r="16" spans="1:58" s="100" customFormat="1" ht="15" customHeight="1">
      <c r="A16" s="254">
        <f t="shared" si="0"/>
        <v>6.5333333333333332</v>
      </c>
      <c r="B16" s="254">
        <v>2015</v>
      </c>
      <c r="C16" s="585">
        <v>42326</v>
      </c>
      <c r="D16" s="547" t="s">
        <v>642</v>
      </c>
      <c r="E16" s="546" t="s">
        <v>642</v>
      </c>
      <c r="F16" s="547" t="s">
        <v>7</v>
      </c>
      <c r="G16" s="31" t="s">
        <v>14</v>
      </c>
      <c r="H16" s="31" t="s">
        <v>39</v>
      </c>
      <c r="I16" s="31"/>
      <c r="J16" s="60">
        <v>21</v>
      </c>
      <c r="K16" s="60"/>
      <c r="L16" s="60">
        <v>42</v>
      </c>
      <c r="M16" s="60">
        <v>21</v>
      </c>
      <c r="N16" s="60">
        <v>42</v>
      </c>
      <c r="O16" s="60">
        <v>21</v>
      </c>
      <c r="P16" s="60"/>
      <c r="Q16" s="60">
        <v>21</v>
      </c>
      <c r="R16" s="570">
        <v>21</v>
      </c>
      <c r="S16" s="60">
        <v>105</v>
      </c>
      <c r="T16" s="143">
        <f>IF(NFI_Expiration=1,IF($A16&lt;VLOOKUP(I$5,NFI,5,0),1,0)*Data_NFI_t[[#This Row],[Hygiene Kit]],0)</f>
        <v>0</v>
      </c>
      <c r="U16" s="143">
        <f>IF(NFI_Expiration=1,IF($A16&lt;VLOOKUP(J$5,NFI,5,0),1,0)*Data_NFI_t[[#This Row],[NFI Core Kit]],0)</f>
        <v>21</v>
      </c>
      <c r="V16" s="124">
        <f>IF(NFI_Expiration=1,IF($A16&lt;VLOOKUP(K$5,NFI,5,0),1,0)*Data_NFI_t[[#This Row],[Sanitary Kit]],0)</f>
        <v>0</v>
      </c>
      <c r="W16" s="124">
        <f>IF(NFI_Expiration=1,IF($A16&lt;VLOOKUP(L$5,NFI,5,0),1,0)*Data_NFI_t[[#This Row],[Mosquito net]],0)</f>
        <v>42</v>
      </c>
      <c r="X16" s="124">
        <f>IF(NFI_Expiration=1,IF($A16&lt;VLOOKUP(M$5,NFI,5,0),1,0)*Data_NFI_t[[#This Row],[Tarpaulin]],0)</f>
        <v>21</v>
      </c>
      <c r="Y16" s="124">
        <f>IF(NFI_Expiration=1,IF($A16&lt;VLOOKUP(N$5,NFI,5,0),1,0)*Data_NFI_t[[#This Row],[Blanket]],0)</f>
        <v>42</v>
      </c>
      <c r="Z16" s="124">
        <f>IF(NFI_Expiration=1,IF($A16&lt;VLOOKUP(O$5,NFI,5,0),1,0)*Data_NFI_t[[#This Row],[Kitchen Set]],0)</f>
        <v>21</v>
      </c>
      <c r="AA16" s="124">
        <f>IF(NFI_Expiration=1,IF($A16&lt;VLOOKUP(P$5,NFI,5,0),1,0)*Data_NFI_t[[#This Row],[Complementary Kit]],0)</f>
        <v>0</v>
      </c>
      <c r="AB16" s="124">
        <f>IF(NFI_Expiration=1,IF($A16&lt;VLOOKUP(Q$5,NFI,5,0),1,0)*Data_NFI_t[[#This Row],[Plastic Bucket]],0)</f>
        <v>21</v>
      </c>
      <c r="AC16" s="124">
        <f>IF(NFI_Expiration=1,IF($A16&lt;VLOOKUP(R$5,NFI,5,0),1,0)*Data_NFI_t[[#This Row],[Jerry Can]],0)</f>
        <v>21</v>
      </c>
      <c r="AD16" s="143">
        <f>IF(NFI_Expiration=1,IF($A16&lt;VLOOKUP(S$5,NFI,5,0),1,0)*Data_NFI_t[[#This Row],[Plastic Mat]],0)*IF(Data_NFI_t[[#This Row],[Distribution Date]]&gt;"01-06-2015",1,2.5)</f>
        <v>262.5</v>
      </c>
      <c r="AE16" s="143" t="str">
        <f ca="1">IFERROR(OFFSET(Camp_List[P_Code],MATCH(Data_NFI_t[[#This Row],[Camp Name]],Camp_List[Camp Name],0)-1,0,1,1),"")</f>
        <v>MMR012CMP015</v>
      </c>
      <c r="AF16" s="572" t="str">
        <f ca="1">IFERROR(OFFSET(Camp_List[Status],MATCH(Data_NFI_t[[#This Row],[Camp Name]],Camp_List[Camp Name],0)-1,0,1,1),"")</f>
        <v>Relocated in Individual Housing</v>
      </c>
    </row>
    <row r="17" spans="1:32" s="100" customFormat="1" ht="15" customHeight="1">
      <c r="A17" s="254">
        <f t="shared" si="0"/>
        <v>7.0333333333333332</v>
      </c>
      <c r="B17" s="254">
        <v>2015</v>
      </c>
      <c r="C17" s="585">
        <v>42311</v>
      </c>
      <c r="D17" s="547" t="s">
        <v>287</v>
      </c>
      <c r="E17" s="546" t="s">
        <v>974</v>
      </c>
      <c r="F17" s="547" t="s">
        <v>7</v>
      </c>
      <c r="G17" s="31" t="s">
        <v>16</v>
      </c>
      <c r="H17" s="31" t="s">
        <v>57</v>
      </c>
      <c r="I17" s="31">
        <v>0</v>
      </c>
      <c r="J17" s="60">
        <v>0</v>
      </c>
      <c r="K17" s="60">
        <v>0</v>
      </c>
      <c r="L17" s="60">
        <v>0</v>
      </c>
      <c r="M17" s="60">
        <v>7</v>
      </c>
      <c r="N17" s="60">
        <v>0</v>
      </c>
      <c r="O17" s="60">
        <v>0</v>
      </c>
      <c r="P17" s="60">
        <v>0</v>
      </c>
      <c r="Q17" s="60">
        <v>0</v>
      </c>
      <c r="R17" s="570">
        <v>0</v>
      </c>
      <c r="S17" s="60">
        <v>0</v>
      </c>
      <c r="T17" s="143">
        <f>IF(NFI_Expiration=1,IF($A17&lt;VLOOKUP(I$5,NFI,5,0),1,0)*Data_NFI_t[[#This Row],[Hygiene Kit]],0)</f>
        <v>0</v>
      </c>
      <c r="U17" s="143">
        <f>IF(NFI_Expiration=1,IF($A17&lt;VLOOKUP(J$5,NFI,5,0),1,0)*Data_NFI_t[[#This Row],[NFI Core Kit]],0)</f>
        <v>0</v>
      </c>
      <c r="V17" s="124">
        <f>IF(NFI_Expiration=1,IF($A17&lt;VLOOKUP(K$5,NFI,5,0),1,0)*Data_NFI_t[[#This Row],[Sanitary Kit]],0)</f>
        <v>0</v>
      </c>
      <c r="W17" s="124">
        <f>IF(NFI_Expiration=1,IF($A17&lt;VLOOKUP(L$5,NFI,5,0),1,0)*Data_NFI_t[[#This Row],[Mosquito net]],0)</f>
        <v>0</v>
      </c>
      <c r="X17" s="124">
        <f>IF(NFI_Expiration=1,IF($A17&lt;VLOOKUP(M$5,NFI,5,0),1,0)*Data_NFI_t[[#This Row],[Tarpaulin]],0)</f>
        <v>7</v>
      </c>
      <c r="Y17" s="124">
        <f>IF(NFI_Expiration=1,IF($A17&lt;VLOOKUP(N$5,NFI,5,0),1,0)*Data_NFI_t[[#This Row],[Blanket]],0)</f>
        <v>0</v>
      </c>
      <c r="Z17" s="124">
        <f>IF(NFI_Expiration=1,IF($A17&lt;VLOOKUP(O$5,NFI,5,0),1,0)*Data_NFI_t[[#This Row],[Kitchen Set]],0)</f>
        <v>0</v>
      </c>
      <c r="AA17" s="124">
        <f>IF(NFI_Expiration=1,IF($A17&lt;VLOOKUP(P$5,NFI,5,0),1,0)*Data_NFI_t[[#This Row],[Complementary Kit]],0)</f>
        <v>0</v>
      </c>
      <c r="AB17" s="124">
        <f>IF(NFI_Expiration=1,IF($A17&lt;VLOOKUP(Q$5,NFI,5,0),1,0)*Data_NFI_t[[#This Row],[Plastic Bucket]],0)</f>
        <v>0</v>
      </c>
      <c r="AC17" s="124">
        <f>IF(NFI_Expiration=1,IF($A17&lt;VLOOKUP(R$5,NFI,5,0),1,0)*Data_NFI_t[[#This Row],[Jerry Can]],0)</f>
        <v>0</v>
      </c>
      <c r="AD17" s="143">
        <f>IF(NFI_Expiration=1,IF($A17&lt;VLOOKUP(S$5,NFI,5,0),1,0)*Data_NFI_t[[#This Row],[Plastic Mat]],0)*IF(Data_NFI_t[[#This Row],[Distribution Date]]&gt;"01-06-2015",1,2.5)</f>
        <v>0</v>
      </c>
      <c r="AE17" s="143" t="str">
        <f ca="1">IFERROR(OFFSET(Camp_List[P_Code],MATCH(Data_NFI_t[[#This Row],[Camp Name]],Camp_List[Camp Name],0)-1,0,1,1),"")</f>
        <v>MMR012CMP034</v>
      </c>
      <c r="AF17" s="572" t="str">
        <f ca="1">IFERROR(OFFSET(Camp_List[Status],MATCH(Data_NFI_t[[#This Row],[Camp Name]],Camp_List[Camp Name],0)-1,0,1,1),"")</f>
        <v>Open</v>
      </c>
    </row>
    <row r="18" spans="1:32" s="100" customFormat="1" ht="15" customHeight="1">
      <c r="A18" s="254">
        <f t="shared" si="0"/>
        <v>7.2666666666666666</v>
      </c>
      <c r="B18" s="254">
        <v>2015</v>
      </c>
      <c r="C18" s="585">
        <v>42304</v>
      </c>
      <c r="D18" s="547" t="s">
        <v>287</v>
      </c>
      <c r="E18" s="546" t="s">
        <v>974</v>
      </c>
      <c r="F18" s="547" t="s">
        <v>7</v>
      </c>
      <c r="G18" s="31" t="s">
        <v>16</v>
      </c>
      <c r="H18" s="31" t="s">
        <v>56</v>
      </c>
      <c r="I18" s="31">
        <v>0</v>
      </c>
      <c r="J18" s="60">
        <v>0</v>
      </c>
      <c r="K18" s="60">
        <v>0</v>
      </c>
      <c r="L18" s="60">
        <v>0</v>
      </c>
      <c r="M18" s="60">
        <v>5</v>
      </c>
      <c r="N18" s="60">
        <v>0</v>
      </c>
      <c r="O18" s="60">
        <v>0</v>
      </c>
      <c r="P18" s="60">
        <v>0</v>
      </c>
      <c r="Q18" s="60">
        <v>0</v>
      </c>
      <c r="R18" s="570">
        <v>0</v>
      </c>
      <c r="S18" s="60">
        <v>0</v>
      </c>
      <c r="T18" s="143">
        <f>IF(NFI_Expiration=1,IF($A18&lt;VLOOKUP(I$5,NFI,5,0),1,0)*Data_NFI_t[[#This Row],[Hygiene Kit]],0)</f>
        <v>0</v>
      </c>
      <c r="U18" s="143">
        <f>IF(NFI_Expiration=1,IF($A18&lt;VLOOKUP(J$5,NFI,5,0),1,0)*Data_NFI_t[[#This Row],[NFI Core Kit]],0)</f>
        <v>0</v>
      </c>
      <c r="V18" s="124">
        <f>IF(NFI_Expiration=1,IF($A18&lt;VLOOKUP(K$5,NFI,5,0),1,0)*Data_NFI_t[[#This Row],[Sanitary Kit]],0)</f>
        <v>0</v>
      </c>
      <c r="W18" s="124">
        <f>IF(NFI_Expiration=1,IF($A18&lt;VLOOKUP(L$5,NFI,5,0),1,0)*Data_NFI_t[[#This Row],[Mosquito net]],0)</f>
        <v>0</v>
      </c>
      <c r="X18" s="124">
        <f>IF(NFI_Expiration=1,IF($A18&lt;VLOOKUP(M$5,NFI,5,0),1,0)*Data_NFI_t[[#This Row],[Tarpaulin]],0)</f>
        <v>5</v>
      </c>
      <c r="Y18" s="124">
        <f>IF(NFI_Expiration=1,IF($A18&lt;VLOOKUP(N$5,NFI,5,0),1,0)*Data_NFI_t[[#This Row],[Blanket]],0)</f>
        <v>0</v>
      </c>
      <c r="Z18" s="124">
        <f>IF(NFI_Expiration=1,IF($A18&lt;VLOOKUP(O$5,NFI,5,0),1,0)*Data_NFI_t[[#This Row],[Kitchen Set]],0)</f>
        <v>0</v>
      </c>
      <c r="AA18" s="124">
        <f>IF(NFI_Expiration=1,IF($A18&lt;VLOOKUP(P$5,NFI,5,0),1,0)*Data_NFI_t[[#This Row],[Complementary Kit]],0)</f>
        <v>0</v>
      </c>
      <c r="AB18" s="124">
        <f>IF(NFI_Expiration=1,IF($A18&lt;VLOOKUP(Q$5,NFI,5,0),1,0)*Data_NFI_t[[#This Row],[Plastic Bucket]],0)</f>
        <v>0</v>
      </c>
      <c r="AC18" s="124">
        <f>IF(NFI_Expiration=1,IF($A18&lt;VLOOKUP(R$5,NFI,5,0),1,0)*Data_NFI_t[[#This Row],[Jerry Can]],0)</f>
        <v>0</v>
      </c>
      <c r="AD18" s="143">
        <f>IF(NFI_Expiration=1,IF($A18&lt;VLOOKUP(S$5,NFI,5,0),1,0)*Data_NFI_t[[#This Row],[Plastic Mat]],0)*IF(Data_NFI_t[[#This Row],[Distribution Date]]&gt;"01-06-2015",1,2.5)</f>
        <v>0</v>
      </c>
      <c r="AE18" s="143" t="str">
        <f ca="1">IFERROR(OFFSET(Camp_List[P_Code],MATCH(Data_NFI_t[[#This Row],[Camp Name]],Camp_List[Camp Name],0)-1,0,1,1),"")</f>
        <v>MMR012CMP032</v>
      </c>
      <c r="AF18" s="572" t="str">
        <f ca="1">IFERROR(OFFSET(Camp_List[Status],MATCH(Data_NFI_t[[#This Row],[Camp Name]],Camp_List[Camp Name],0)-1,0,1,1),"")</f>
        <v>Returned in Individual Housing</v>
      </c>
    </row>
    <row r="19" spans="1:32" s="100" customFormat="1" ht="15" customHeight="1">
      <c r="A19" s="254">
        <f t="shared" si="0"/>
        <v>7.9</v>
      </c>
      <c r="B19" s="254">
        <f>YEAR(Data_NFI_t[[#This Row],[Distribution Date]])</f>
        <v>2015</v>
      </c>
      <c r="C19" s="585">
        <v>42285</v>
      </c>
      <c r="D19" s="547" t="s">
        <v>287</v>
      </c>
      <c r="E19" s="546" t="s">
        <v>642</v>
      </c>
      <c r="F19" s="547" t="s">
        <v>7</v>
      </c>
      <c r="G19" s="31" t="s">
        <v>19</v>
      </c>
      <c r="H19" s="31" t="s">
        <v>64</v>
      </c>
      <c r="I19" s="31"/>
      <c r="J19" s="60"/>
      <c r="K19" s="60"/>
      <c r="L19" s="60">
        <v>252</v>
      </c>
      <c r="M19" s="60">
        <v>127</v>
      </c>
      <c r="N19" s="60">
        <v>252</v>
      </c>
      <c r="O19" s="60">
        <v>127</v>
      </c>
      <c r="P19" s="60"/>
      <c r="Q19" s="60">
        <v>127</v>
      </c>
      <c r="R19" s="570">
        <v>127</v>
      </c>
      <c r="S19" s="60">
        <v>635</v>
      </c>
      <c r="T19" s="143">
        <f>IF(NFI_Expiration=1,IF($A19&lt;VLOOKUP(I$5,NFI,5,0),1,0)*Data_NFI_t[[#This Row],[Hygiene Kit]],0)</f>
        <v>0</v>
      </c>
      <c r="U19" s="143">
        <f>IF(NFI_Expiration=1,IF($A19&lt;VLOOKUP(J$5,NFI,5,0),1,0)*Data_NFI_t[[#This Row],[NFI Core Kit]],0)</f>
        <v>0</v>
      </c>
      <c r="V19" s="124">
        <f>IF(NFI_Expiration=1,IF($A19&lt;VLOOKUP(K$5,NFI,5,0),1,0)*Data_NFI_t[[#This Row],[Sanitary Kit]],0)</f>
        <v>0</v>
      </c>
      <c r="W19" s="124">
        <f>IF(NFI_Expiration=1,IF($A19&lt;VLOOKUP(L$5,NFI,5,0),1,0)*Data_NFI_t[[#This Row],[Mosquito net]],0)</f>
        <v>252</v>
      </c>
      <c r="X19" s="124">
        <f>IF(NFI_Expiration=1,IF($A19&lt;VLOOKUP(M$5,NFI,5,0),1,0)*Data_NFI_t[[#This Row],[Tarpaulin]],0)</f>
        <v>127</v>
      </c>
      <c r="Y19" s="124">
        <f>IF(NFI_Expiration=1,IF($A19&lt;VLOOKUP(N$5,NFI,5,0),1,0)*Data_NFI_t[[#This Row],[Blanket]],0)</f>
        <v>252</v>
      </c>
      <c r="Z19" s="124">
        <f>IF(NFI_Expiration=1,IF($A19&lt;VLOOKUP(O$5,NFI,5,0),1,0)*Data_NFI_t[[#This Row],[Kitchen Set]],0)</f>
        <v>127</v>
      </c>
      <c r="AA19" s="124">
        <f>IF(NFI_Expiration=1,IF($A19&lt;VLOOKUP(P$5,NFI,5,0),1,0)*Data_NFI_t[[#This Row],[Complementary Kit]],0)</f>
        <v>0</v>
      </c>
      <c r="AB19" s="124">
        <f>IF(NFI_Expiration=1,IF($A19&lt;VLOOKUP(Q$5,NFI,5,0),1,0)*Data_NFI_t[[#This Row],[Plastic Bucket]],0)</f>
        <v>127</v>
      </c>
      <c r="AC19" s="124">
        <f>IF(NFI_Expiration=1,IF($A19&lt;VLOOKUP(R$5,NFI,5,0),1,0)*Data_NFI_t[[#This Row],[Jerry Can]],0)</f>
        <v>127</v>
      </c>
      <c r="AD19" s="143">
        <f>IF(NFI_Expiration=1,IF($A19&lt;VLOOKUP(S$5,NFI,5,0),1,0)*Data_NFI_t[[#This Row],[Plastic Mat]],0)*IF(Data_NFI_t[[#This Row],[Distribution Date]]&gt;"01-06-2015",1,2.5)</f>
        <v>1587.5</v>
      </c>
      <c r="AE19" s="143" t="str">
        <f ca="1">IFERROR(OFFSET(Camp_List[P_Code],MATCH(Data_NFI_t[[#This Row],[Camp Name]],Camp_List[Camp Name],0)-1,0,1,1),"")</f>
        <v>MMR012CMP042</v>
      </c>
      <c r="AF19" s="572" t="str">
        <f ca="1">IFERROR(OFFSET(Camp_List[Status],MATCH(Data_NFI_t[[#This Row],[Camp Name]],Camp_List[Camp Name],0)-1,0,1,1),"")</f>
        <v>Open</v>
      </c>
    </row>
    <row r="20" spans="1:32" s="100" customFormat="1" ht="15" customHeight="1">
      <c r="A20" s="254">
        <f t="shared" si="0"/>
        <v>7.9</v>
      </c>
      <c r="B20" s="254">
        <f>YEAR(Data_NFI_t[[#This Row],[Distribution Date]])</f>
        <v>2015</v>
      </c>
      <c r="C20" s="585">
        <v>42285</v>
      </c>
      <c r="D20" s="547" t="s">
        <v>642</v>
      </c>
      <c r="E20" s="546"/>
      <c r="F20" s="547" t="s">
        <v>7</v>
      </c>
      <c r="G20" s="31" t="s">
        <v>19</v>
      </c>
      <c r="H20" s="31" t="s">
        <v>64</v>
      </c>
      <c r="I20" s="31"/>
      <c r="J20" s="60"/>
      <c r="K20" s="60"/>
      <c r="L20" s="60" t="s">
        <v>964</v>
      </c>
      <c r="M20" s="60">
        <v>1</v>
      </c>
      <c r="N20" s="60" t="s">
        <v>964</v>
      </c>
      <c r="O20" s="60" t="s">
        <v>965</v>
      </c>
      <c r="P20" s="60"/>
      <c r="Q20" s="60" t="s">
        <v>965</v>
      </c>
      <c r="R20" s="570"/>
      <c r="S20" s="60" t="s">
        <v>966</v>
      </c>
      <c r="T20" s="143">
        <f>IF(NFI_Expiration=1,IF($A20&lt;VLOOKUP(I$5,NFI,5,0),1,0)*Data_NFI_t[[#This Row],[Hygiene Kit]],0)</f>
        <v>0</v>
      </c>
      <c r="U20" s="143">
        <f>IF(NFI_Expiration=1,IF($A20&lt;VLOOKUP(J$5,NFI,5,0),1,0)*Data_NFI_t[[#This Row],[NFI Core Kit]],0)</f>
        <v>0</v>
      </c>
      <c r="V20" s="124">
        <f>IF(NFI_Expiration=1,IF($A20&lt;VLOOKUP(K$5,NFI,5,0),1,0)*Data_NFI_t[[#This Row],[Sanitary Kit]],0)</f>
        <v>0</v>
      </c>
      <c r="W20" s="124">
        <f>IF(NFI_Expiration=1,IF($A20&lt;VLOOKUP(L$5,NFI,5,0),1,0)*Data_NFI_t[[#This Row],[Mosquito net]],0)</f>
        <v>2</v>
      </c>
      <c r="X20" s="124">
        <f>IF(NFI_Expiration=1,IF($A20&lt;VLOOKUP(M$5,NFI,5,0),1,0)*Data_NFI_t[[#This Row],[Tarpaulin]],0)</f>
        <v>1</v>
      </c>
      <c r="Y20" s="124">
        <f>IF(NFI_Expiration=1,IF($A20&lt;VLOOKUP(N$5,NFI,5,0),1,0)*Data_NFI_t[[#This Row],[Blanket]],0)</f>
        <v>2</v>
      </c>
      <c r="Z20" s="124">
        <f>IF(NFI_Expiration=1,IF($A20&lt;VLOOKUP(O$5,NFI,5,0),1,0)*Data_NFI_t[[#This Row],[Kitchen Set]],0)</f>
        <v>1</v>
      </c>
      <c r="AA20" s="124">
        <f>IF(NFI_Expiration=1,IF($A20&lt;VLOOKUP(P$5,NFI,5,0),1,0)*Data_NFI_t[[#This Row],[Complementary Kit]],0)</f>
        <v>0</v>
      </c>
      <c r="AB20" s="124">
        <f>IF(NFI_Expiration=1,IF($A20&lt;VLOOKUP(Q$5,NFI,5,0),1,0)*Data_NFI_t[[#This Row],[Plastic Bucket]],0)</f>
        <v>1</v>
      </c>
      <c r="AC20" s="124">
        <f>IF(NFI_Expiration=1,IF($A20&lt;VLOOKUP(R$5,NFI,5,0),1,0)*Data_NFI_t[[#This Row],[Jerry Can]],0)</f>
        <v>0</v>
      </c>
      <c r="AD20" s="143">
        <f>IF(NFI_Expiration=1,IF($A20&lt;VLOOKUP(S$5,NFI,5,0),1,0)*Data_NFI_t[[#This Row],[Plastic Mat]],0)*IF(Data_NFI_t[[#This Row],[Distribution Date]]&gt;"01-06-2015",1,2.5)</f>
        <v>12.5</v>
      </c>
      <c r="AE20" s="143" t="str">
        <f ca="1">IFERROR(OFFSET(Camp_List[P_Code],MATCH(Data_NFI_t[[#This Row],[Camp Name]],Camp_List[Camp Name],0)-1,0,1,1),"")</f>
        <v>MMR012CMP042</v>
      </c>
      <c r="AF20" s="572" t="str">
        <f ca="1">IFERROR(OFFSET(Camp_List[Status],MATCH(Data_NFI_t[[#This Row],[Camp Name]],Camp_List[Camp Name],0)-1,0,1,1),"")</f>
        <v>Open</v>
      </c>
    </row>
    <row r="21" spans="1:32" s="100" customFormat="1" ht="15" customHeight="1">
      <c r="A21" s="254">
        <f t="shared" si="0"/>
        <v>8.6</v>
      </c>
      <c r="B21" s="254">
        <f>YEAR(Data_NFI_t[[#This Row],[Distribution Date]])</f>
        <v>2015</v>
      </c>
      <c r="C21" s="585">
        <v>42264</v>
      </c>
      <c r="D21" s="547" t="s">
        <v>287</v>
      </c>
      <c r="E21" s="546" t="s">
        <v>290</v>
      </c>
      <c r="F21" s="547" t="s">
        <v>7</v>
      </c>
      <c r="G21" s="31" t="s">
        <v>19</v>
      </c>
      <c r="H21" s="31" t="s">
        <v>67</v>
      </c>
      <c r="I21" s="31"/>
      <c r="J21" s="60"/>
      <c r="K21" s="60"/>
      <c r="L21" s="60">
        <v>730</v>
      </c>
      <c r="M21" s="60">
        <v>365</v>
      </c>
      <c r="N21" s="60">
        <v>730</v>
      </c>
      <c r="O21" s="60">
        <v>365</v>
      </c>
      <c r="P21" s="60"/>
      <c r="Q21" s="60">
        <v>365</v>
      </c>
      <c r="R21" s="570">
        <v>365</v>
      </c>
      <c r="S21" s="60">
        <v>1825</v>
      </c>
      <c r="T21" s="143">
        <f>IF(NFI_Expiration=1,IF($A21&lt;VLOOKUP(I$5,NFI,5,0),1,0)*Data_NFI_t[[#This Row],[Hygiene Kit]],0)</f>
        <v>0</v>
      </c>
      <c r="U21" s="143">
        <f>IF(NFI_Expiration=1,IF($A21&lt;VLOOKUP(J$5,NFI,5,0),1,0)*Data_NFI_t[[#This Row],[NFI Core Kit]],0)</f>
        <v>0</v>
      </c>
      <c r="V21" s="124">
        <f>IF(NFI_Expiration=1,IF($A21&lt;VLOOKUP(K$5,NFI,5,0),1,0)*Data_NFI_t[[#This Row],[Sanitary Kit]],0)</f>
        <v>0</v>
      </c>
      <c r="W21" s="124">
        <f>IF(NFI_Expiration=1,IF($A21&lt;VLOOKUP(L$5,NFI,5,0),1,0)*Data_NFI_t[[#This Row],[Mosquito net]],0)</f>
        <v>730</v>
      </c>
      <c r="X21" s="124">
        <f>IF(NFI_Expiration=1,IF($A21&lt;VLOOKUP(M$5,NFI,5,0),1,0)*Data_NFI_t[[#This Row],[Tarpaulin]],0)</f>
        <v>365</v>
      </c>
      <c r="Y21" s="124">
        <f>IF(NFI_Expiration=1,IF($A21&lt;VLOOKUP(N$5,NFI,5,0),1,0)*Data_NFI_t[[#This Row],[Blanket]],0)</f>
        <v>730</v>
      </c>
      <c r="Z21" s="124">
        <f>IF(NFI_Expiration=1,IF($A21&lt;VLOOKUP(O$5,NFI,5,0),1,0)*Data_NFI_t[[#This Row],[Kitchen Set]],0)</f>
        <v>365</v>
      </c>
      <c r="AA21" s="124">
        <f>IF(NFI_Expiration=1,IF($A21&lt;VLOOKUP(P$5,NFI,5,0),1,0)*Data_NFI_t[[#This Row],[Complementary Kit]],0)</f>
        <v>0</v>
      </c>
      <c r="AB21" s="124">
        <f>IF(NFI_Expiration=1,IF($A21&lt;VLOOKUP(Q$5,NFI,5,0),1,0)*Data_NFI_t[[#This Row],[Plastic Bucket]],0)</f>
        <v>365</v>
      </c>
      <c r="AC21" s="124">
        <f>IF(NFI_Expiration=1,IF($A21&lt;VLOOKUP(R$5,NFI,5,0),1,0)*Data_NFI_t[[#This Row],[Jerry Can]],0)</f>
        <v>365</v>
      </c>
      <c r="AD21" s="143">
        <f>IF(NFI_Expiration=1,IF($A21&lt;VLOOKUP(S$5,NFI,5,0),1,0)*Data_NFI_t[[#This Row],[Plastic Mat]],0)*IF(Data_NFI_t[[#This Row],[Distribution Date]]&gt;"01-06-2015",1,2.5)</f>
        <v>4562.5</v>
      </c>
      <c r="AE21" s="143" t="str">
        <f ca="1">IFERROR(OFFSET(Camp_List[P_Code],MATCH(Data_NFI_t[[#This Row],[Camp Name]],Camp_List[Camp Name],0)-1,0,1,1),"")</f>
        <v>MMR012CMP045</v>
      </c>
      <c r="AF21" s="572" t="str">
        <f ca="1">IFERROR(OFFSET(Camp_List[Status],MATCH(Data_NFI_t[[#This Row],[Camp Name]],Camp_List[Camp Name],0)-1,0,1,1),"")</f>
        <v>Open</v>
      </c>
    </row>
    <row r="22" spans="1:32" s="100" customFormat="1" ht="15" customHeight="1">
      <c r="A22" s="254">
        <f t="shared" si="0"/>
        <v>8.6</v>
      </c>
      <c r="B22" s="254">
        <v>2015</v>
      </c>
      <c r="C22" s="585">
        <v>42264</v>
      </c>
      <c r="D22" s="547" t="s">
        <v>287</v>
      </c>
      <c r="E22" s="546" t="s">
        <v>974</v>
      </c>
      <c r="F22" s="547" t="s">
        <v>7</v>
      </c>
      <c r="G22" s="31" t="s">
        <v>16</v>
      </c>
      <c r="H22" s="31" t="s">
        <v>623</v>
      </c>
      <c r="I22" s="31">
        <v>0</v>
      </c>
      <c r="J22" s="60">
        <v>0</v>
      </c>
      <c r="K22" s="60">
        <v>0</v>
      </c>
      <c r="L22" s="60">
        <v>0</v>
      </c>
      <c r="M22" s="60">
        <v>10</v>
      </c>
      <c r="N22" s="60">
        <v>0</v>
      </c>
      <c r="O22" s="60">
        <v>0</v>
      </c>
      <c r="P22" s="60">
        <v>0</v>
      </c>
      <c r="Q22" s="60">
        <v>0</v>
      </c>
      <c r="R22" s="570">
        <v>0</v>
      </c>
      <c r="S22" s="60">
        <v>0</v>
      </c>
      <c r="T22" s="143">
        <f>IF(NFI_Expiration=1,IF($A22&lt;VLOOKUP(I$5,NFI,5,0),1,0)*Data_NFI_t[[#This Row],[Hygiene Kit]],0)</f>
        <v>0</v>
      </c>
      <c r="U22" s="143">
        <f>IF(NFI_Expiration=1,IF($A22&lt;VLOOKUP(J$5,NFI,5,0),1,0)*Data_NFI_t[[#This Row],[NFI Core Kit]],0)</f>
        <v>0</v>
      </c>
      <c r="V22" s="124">
        <f>IF(NFI_Expiration=1,IF($A22&lt;VLOOKUP(K$5,NFI,5,0),1,0)*Data_NFI_t[[#This Row],[Sanitary Kit]],0)</f>
        <v>0</v>
      </c>
      <c r="W22" s="124">
        <f>IF(NFI_Expiration=1,IF($A22&lt;VLOOKUP(L$5,NFI,5,0),1,0)*Data_NFI_t[[#This Row],[Mosquito net]],0)</f>
        <v>0</v>
      </c>
      <c r="X22" s="124">
        <f>IF(NFI_Expiration=1,IF($A22&lt;VLOOKUP(M$5,NFI,5,0),1,0)*Data_NFI_t[[#This Row],[Tarpaulin]],0)</f>
        <v>10</v>
      </c>
      <c r="Y22" s="124">
        <f>IF(NFI_Expiration=1,IF($A22&lt;VLOOKUP(N$5,NFI,5,0),1,0)*Data_NFI_t[[#This Row],[Blanket]],0)</f>
        <v>0</v>
      </c>
      <c r="Z22" s="124">
        <f>IF(NFI_Expiration=1,IF($A22&lt;VLOOKUP(O$5,NFI,5,0),1,0)*Data_NFI_t[[#This Row],[Kitchen Set]],0)</f>
        <v>0</v>
      </c>
      <c r="AA22" s="124">
        <f>IF(NFI_Expiration=1,IF($A22&lt;VLOOKUP(P$5,NFI,5,0),1,0)*Data_NFI_t[[#This Row],[Complementary Kit]],0)</f>
        <v>0</v>
      </c>
      <c r="AB22" s="124">
        <f>IF(NFI_Expiration=1,IF($A22&lt;VLOOKUP(Q$5,NFI,5,0),1,0)*Data_NFI_t[[#This Row],[Plastic Bucket]],0)</f>
        <v>0</v>
      </c>
      <c r="AC22" s="124">
        <f>IF(NFI_Expiration=1,IF($A22&lt;VLOOKUP(R$5,NFI,5,0),1,0)*Data_NFI_t[[#This Row],[Jerry Can]],0)</f>
        <v>0</v>
      </c>
      <c r="AD22" s="143">
        <f>IF(NFI_Expiration=1,IF($A22&lt;VLOOKUP(S$5,NFI,5,0),1,0)*Data_NFI_t[[#This Row],[Plastic Mat]],0)*IF(Data_NFI_t[[#This Row],[Distribution Date]]&gt;"01-06-2015",1,2.5)</f>
        <v>0</v>
      </c>
      <c r="AE22" s="143" t="str">
        <f ca="1">IFERROR(OFFSET(Camp_List[P_Code],MATCH(Data_NFI_t[[#This Row],[Camp Name]],Camp_List[Camp Name],0)-1,0,1,1),"")</f>
        <v>MMR012CMP033</v>
      </c>
      <c r="AF22" s="572" t="str">
        <f ca="1">IFERROR(OFFSET(Camp_List[Status],MATCH(Data_NFI_t[[#This Row],[Camp Name]],Camp_List[Camp Name],0)-1,0,1,1),"")</f>
        <v>Open</v>
      </c>
    </row>
    <row r="23" spans="1:32" s="100" customFormat="1" ht="15" customHeight="1">
      <c r="A23" s="254">
        <f t="shared" si="0"/>
        <v>9.8000000000000007</v>
      </c>
      <c r="B23" s="254">
        <f>YEAR(Data_NFI_t[[#This Row],[Distribution Date]])</f>
        <v>2015</v>
      </c>
      <c r="C23" s="585">
        <v>42228</v>
      </c>
      <c r="D23" s="547" t="s">
        <v>287</v>
      </c>
      <c r="E23" s="546" t="s">
        <v>290</v>
      </c>
      <c r="F23" s="547" t="s">
        <v>7</v>
      </c>
      <c r="G23" s="31" t="s">
        <v>19</v>
      </c>
      <c r="H23" s="31" t="s">
        <v>67</v>
      </c>
      <c r="I23" s="31"/>
      <c r="J23" s="60">
        <v>273</v>
      </c>
      <c r="K23" s="60"/>
      <c r="L23" s="60">
        <v>546</v>
      </c>
      <c r="M23" s="60">
        <v>273</v>
      </c>
      <c r="N23" s="60">
        <v>546</v>
      </c>
      <c r="O23" s="60">
        <v>273</v>
      </c>
      <c r="P23" s="60"/>
      <c r="Q23" s="60">
        <v>273</v>
      </c>
      <c r="R23" s="570">
        <v>273</v>
      </c>
      <c r="S23" s="60">
        <v>1365</v>
      </c>
      <c r="T23" s="143">
        <f>IF(NFI_Expiration=1,IF($A23&lt;VLOOKUP(I$5,NFI,5,0),1,0)*Data_NFI_t[[#This Row],[Hygiene Kit]],0)</f>
        <v>0</v>
      </c>
      <c r="U23" s="143">
        <f>IF(NFI_Expiration=1,IF($A23&lt;VLOOKUP(J$5,NFI,5,0),1,0)*Data_NFI_t[[#This Row],[NFI Core Kit]],0)</f>
        <v>273</v>
      </c>
      <c r="V23" s="124">
        <f>IF(NFI_Expiration=1,IF($A23&lt;VLOOKUP(K$5,NFI,5,0),1,0)*Data_NFI_t[[#This Row],[Sanitary Kit]],0)</f>
        <v>0</v>
      </c>
      <c r="W23" s="124">
        <f>IF(NFI_Expiration=1,IF($A23&lt;VLOOKUP(L$5,NFI,5,0),1,0)*Data_NFI_t[[#This Row],[Mosquito net]],0)</f>
        <v>546</v>
      </c>
      <c r="X23" s="124">
        <f>IF(NFI_Expiration=1,IF($A23&lt;VLOOKUP(M$5,NFI,5,0),1,0)*Data_NFI_t[[#This Row],[Tarpaulin]],0)</f>
        <v>273</v>
      </c>
      <c r="Y23" s="124">
        <f>IF(NFI_Expiration=1,IF($A23&lt;VLOOKUP(N$5,NFI,5,0),1,0)*Data_NFI_t[[#This Row],[Blanket]],0)</f>
        <v>546</v>
      </c>
      <c r="Z23" s="124">
        <f>IF(NFI_Expiration=1,IF($A23&lt;VLOOKUP(O$5,NFI,5,0),1,0)*Data_NFI_t[[#This Row],[Kitchen Set]],0)</f>
        <v>273</v>
      </c>
      <c r="AA23" s="124">
        <f>IF(NFI_Expiration=1,IF($A23&lt;VLOOKUP(P$5,NFI,5,0),1,0)*Data_NFI_t[[#This Row],[Complementary Kit]],0)</f>
        <v>0</v>
      </c>
      <c r="AB23" s="124">
        <f>IF(NFI_Expiration=1,IF($A23&lt;VLOOKUP(Q$5,NFI,5,0),1,0)*Data_NFI_t[[#This Row],[Plastic Bucket]],0)</f>
        <v>273</v>
      </c>
      <c r="AC23" s="124">
        <f>IF(NFI_Expiration=1,IF($A23&lt;VLOOKUP(R$5,NFI,5,0),1,0)*Data_NFI_t[[#This Row],[Jerry Can]],0)</f>
        <v>273</v>
      </c>
      <c r="AD23" s="143">
        <f>IF(NFI_Expiration=1,IF($A23&lt;VLOOKUP(S$5,NFI,5,0),1,0)*Data_NFI_t[[#This Row],[Plastic Mat]],0)*IF(Data_NFI_t[[#This Row],[Distribution Date]]&gt;"01-06-2015",1,2.5)</f>
        <v>3412.5</v>
      </c>
      <c r="AE23" s="143" t="str">
        <f ca="1">IFERROR(OFFSET(Camp_List[P_Code],MATCH(Data_NFI_t[[#This Row],[Camp Name]],Camp_List[Camp Name],0)-1,0,1,1),"")</f>
        <v>MMR012CMP045</v>
      </c>
      <c r="AF23" s="572" t="str">
        <f ca="1">IFERROR(OFFSET(Camp_List[Status],MATCH(Data_NFI_t[[#This Row],[Camp Name]],Camp_List[Camp Name],0)-1,0,1,1),"")</f>
        <v>Open</v>
      </c>
    </row>
    <row r="24" spans="1:32" s="100" customFormat="1" ht="15" customHeight="1">
      <c r="A24" s="254">
        <f t="shared" si="0"/>
        <v>9.8000000000000007</v>
      </c>
      <c r="B24" s="254">
        <f>YEAR(Data_NFI_t[[#This Row],[Distribution Date]])</f>
        <v>2015</v>
      </c>
      <c r="C24" s="585">
        <v>42228</v>
      </c>
      <c r="D24" s="547" t="s">
        <v>287</v>
      </c>
      <c r="E24" s="546" t="s">
        <v>642</v>
      </c>
      <c r="F24" s="547" t="s">
        <v>7</v>
      </c>
      <c r="G24" s="31" t="s">
        <v>19</v>
      </c>
      <c r="H24" s="31" t="s">
        <v>61</v>
      </c>
      <c r="I24" s="31"/>
      <c r="J24" s="60">
        <v>59</v>
      </c>
      <c r="K24" s="60"/>
      <c r="L24" s="60">
        <v>6</v>
      </c>
      <c r="M24" s="60">
        <v>3</v>
      </c>
      <c r="N24" s="60">
        <v>6</v>
      </c>
      <c r="O24" s="60">
        <v>3</v>
      </c>
      <c r="P24" s="60"/>
      <c r="Q24" s="60">
        <v>3</v>
      </c>
      <c r="R24" s="570">
        <v>3</v>
      </c>
      <c r="S24" s="60">
        <v>15</v>
      </c>
      <c r="T24" s="143">
        <f>IF(NFI_Expiration=1,IF($A24&lt;VLOOKUP(I$5,NFI,5,0),1,0)*Data_NFI_t[[#This Row],[Hygiene Kit]],0)</f>
        <v>0</v>
      </c>
      <c r="U24" s="143">
        <f>IF(NFI_Expiration=1,IF($A24&lt;VLOOKUP(J$5,NFI,5,0),1,0)*Data_NFI_t[[#This Row],[NFI Core Kit]],0)</f>
        <v>59</v>
      </c>
      <c r="V24" s="124">
        <f>IF(NFI_Expiration=1,IF($A24&lt;VLOOKUP(K$5,NFI,5,0),1,0)*Data_NFI_t[[#This Row],[Sanitary Kit]],0)</f>
        <v>0</v>
      </c>
      <c r="W24" s="124">
        <f>IF(NFI_Expiration=1,IF($A24&lt;VLOOKUP(L$5,NFI,5,0),1,0)*Data_NFI_t[[#This Row],[Mosquito net]],0)</f>
        <v>6</v>
      </c>
      <c r="X24" s="124">
        <f>IF(NFI_Expiration=1,IF($A24&lt;VLOOKUP(M$5,NFI,5,0),1,0)*Data_NFI_t[[#This Row],[Tarpaulin]],0)</f>
        <v>3</v>
      </c>
      <c r="Y24" s="124">
        <f>IF(NFI_Expiration=1,IF($A24&lt;VLOOKUP(N$5,NFI,5,0),1,0)*Data_NFI_t[[#This Row],[Blanket]],0)</f>
        <v>6</v>
      </c>
      <c r="Z24" s="124">
        <f>IF(NFI_Expiration=1,IF($A24&lt;VLOOKUP(O$5,NFI,5,0),1,0)*Data_NFI_t[[#This Row],[Kitchen Set]],0)</f>
        <v>3</v>
      </c>
      <c r="AA24" s="124">
        <f>IF(NFI_Expiration=1,IF($A24&lt;VLOOKUP(P$5,NFI,5,0),1,0)*Data_NFI_t[[#This Row],[Complementary Kit]],0)</f>
        <v>0</v>
      </c>
      <c r="AB24" s="124">
        <f>IF(NFI_Expiration=1,IF($A24&lt;VLOOKUP(Q$5,NFI,5,0),1,0)*Data_NFI_t[[#This Row],[Plastic Bucket]],0)</f>
        <v>3</v>
      </c>
      <c r="AC24" s="124">
        <f>IF(NFI_Expiration=1,IF($A24&lt;VLOOKUP(R$5,NFI,5,0),1,0)*Data_NFI_t[[#This Row],[Jerry Can]],0)</f>
        <v>3</v>
      </c>
      <c r="AD24" s="143">
        <f>IF(NFI_Expiration=1,IF($A24&lt;VLOOKUP(S$5,NFI,5,0),1,0)*Data_NFI_t[[#This Row],[Plastic Mat]],0)*IF(Data_NFI_t[[#This Row],[Distribution Date]]&gt;"01-06-2015",1,2.5)</f>
        <v>37.5</v>
      </c>
      <c r="AE24" s="143" t="str">
        <f ca="1">IFERROR(OFFSET(Camp_List[P_Code],MATCH(Data_NFI_t[[#This Row],[Camp Name]],Camp_List[Camp Name],0)-1,0,1,1),"")</f>
        <v>MMR012CMP039</v>
      </c>
      <c r="AF24" s="572" t="str">
        <f ca="1">IFERROR(OFFSET(Camp_List[Status],MATCH(Data_NFI_t[[#This Row],[Camp Name]],Camp_List[Camp Name],0)-1,0,1,1),"")</f>
        <v>Open</v>
      </c>
    </row>
    <row r="25" spans="1:32" s="100" customFormat="1" ht="15" customHeight="1">
      <c r="A25" s="254">
        <f t="shared" si="0"/>
        <v>9.8000000000000007</v>
      </c>
      <c r="B25" s="254">
        <f>YEAR(Data_NFI_t[[#This Row],[Distribution Date]])</f>
        <v>2015</v>
      </c>
      <c r="C25" s="585">
        <v>42228</v>
      </c>
      <c r="D25" s="547" t="s">
        <v>287</v>
      </c>
      <c r="E25" s="546" t="s">
        <v>642</v>
      </c>
      <c r="F25" s="547" t="s">
        <v>7</v>
      </c>
      <c r="G25" s="31" t="s">
        <v>19</v>
      </c>
      <c r="H25" s="31" t="s">
        <v>64</v>
      </c>
      <c r="I25" s="31"/>
      <c r="J25" s="60">
        <v>160</v>
      </c>
      <c r="K25" s="60"/>
      <c r="L25" s="60">
        <v>96</v>
      </c>
      <c r="M25" s="60">
        <v>48</v>
      </c>
      <c r="N25" s="60">
        <v>96</v>
      </c>
      <c r="O25" s="60">
        <v>48</v>
      </c>
      <c r="P25" s="60"/>
      <c r="Q25" s="60">
        <v>48</v>
      </c>
      <c r="R25" s="570">
        <v>48</v>
      </c>
      <c r="S25" s="60">
        <v>240</v>
      </c>
      <c r="T25" s="143">
        <f>IF(NFI_Expiration=1,IF($A25&lt;VLOOKUP(I$5,NFI,5,0),1,0)*Data_NFI_t[[#This Row],[Hygiene Kit]],0)</f>
        <v>0</v>
      </c>
      <c r="U25" s="143">
        <f>IF(NFI_Expiration=1,IF($A25&lt;VLOOKUP(J$5,NFI,5,0),1,0)*Data_NFI_t[[#This Row],[NFI Core Kit]],0)</f>
        <v>160</v>
      </c>
      <c r="V25" s="124">
        <f>IF(NFI_Expiration=1,IF($A25&lt;VLOOKUP(K$5,NFI,5,0),1,0)*Data_NFI_t[[#This Row],[Sanitary Kit]],0)</f>
        <v>0</v>
      </c>
      <c r="W25" s="124">
        <f>IF(NFI_Expiration=1,IF($A25&lt;VLOOKUP(L$5,NFI,5,0),1,0)*Data_NFI_t[[#This Row],[Mosquito net]],0)</f>
        <v>96</v>
      </c>
      <c r="X25" s="124">
        <f>IF(NFI_Expiration=1,IF($A25&lt;VLOOKUP(M$5,NFI,5,0),1,0)*Data_NFI_t[[#This Row],[Tarpaulin]],0)</f>
        <v>48</v>
      </c>
      <c r="Y25" s="124">
        <f>IF(NFI_Expiration=1,IF($A25&lt;VLOOKUP(N$5,NFI,5,0),1,0)*Data_NFI_t[[#This Row],[Blanket]],0)</f>
        <v>96</v>
      </c>
      <c r="Z25" s="124">
        <f>IF(NFI_Expiration=1,IF($A25&lt;VLOOKUP(O$5,NFI,5,0),1,0)*Data_NFI_t[[#This Row],[Kitchen Set]],0)</f>
        <v>48</v>
      </c>
      <c r="AA25" s="124">
        <f>IF(NFI_Expiration=1,IF($A25&lt;VLOOKUP(P$5,NFI,5,0),1,0)*Data_NFI_t[[#This Row],[Complementary Kit]],0)</f>
        <v>0</v>
      </c>
      <c r="AB25" s="124">
        <f>IF(NFI_Expiration=1,IF($A25&lt;VLOOKUP(Q$5,NFI,5,0),1,0)*Data_NFI_t[[#This Row],[Plastic Bucket]],0)</f>
        <v>48</v>
      </c>
      <c r="AC25" s="124">
        <f>IF(NFI_Expiration=1,IF($A25&lt;VLOOKUP(R$5,NFI,5,0),1,0)*Data_NFI_t[[#This Row],[Jerry Can]],0)</f>
        <v>48</v>
      </c>
      <c r="AD25" s="143">
        <f>IF(NFI_Expiration=1,IF($A25&lt;VLOOKUP(S$5,NFI,5,0),1,0)*Data_NFI_t[[#This Row],[Plastic Mat]],0)*IF(Data_NFI_t[[#This Row],[Distribution Date]]&gt;"01-06-2015",1,2.5)</f>
        <v>600</v>
      </c>
      <c r="AE25" s="143" t="str">
        <f ca="1">IFERROR(OFFSET(Camp_List[P_Code],MATCH(Data_NFI_t[[#This Row],[Camp Name]],Camp_List[Camp Name],0)-1,0,1,1),"")</f>
        <v>MMR012CMP042</v>
      </c>
      <c r="AF25" s="572" t="str">
        <f ca="1">IFERROR(OFFSET(Camp_List[Status],MATCH(Data_NFI_t[[#This Row],[Camp Name]],Camp_List[Camp Name],0)-1,0,1,1),"")</f>
        <v>Open</v>
      </c>
    </row>
    <row r="26" spans="1:32" s="100" customFormat="1" ht="15" customHeight="1">
      <c r="A26" s="254">
        <f t="shared" si="0"/>
        <v>9.9333333333333336</v>
      </c>
      <c r="B26" s="254">
        <f>YEAR(Data_NFI_t[[#This Row],[Distribution Date]])</f>
        <v>2015</v>
      </c>
      <c r="C26" s="585">
        <v>42224</v>
      </c>
      <c r="D26" s="547" t="s">
        <v>287</v>
      </c>
      <c r="E26" s="546" t="s">
        <v>525</v>
      </c>
      <c r="F26" s="547" t="s">
        <v>7</v>
      </c>
      <c r="G26" s="31" t="s">
        <v>14</v>
      </c>
      <c r="H26" s="31" t="s">
        <v>42</v>
      </c>
      <c r="I26" s="31"/>
      <c r="J26" s="60"/>
      <c r="K26" s="60"/>
      <c r="L26" s="60">
        <v>62</v>
      </c>
      <c r="M26" s="60">
        <v>31</v>
      </c>
      <c r="N26" s="60">
        <v>62</v>
      </c>
      <c r="O26" s="60">
        <v>31</v>
      </c>
      <c r="P26" s="60"/>
      <c r="Q26" s="60">
        <v>31</v>
      </c>
      <c r="R26" s="570">
        <v>31</v>
      </c>
      <c r="S26" s="60">
        <v>155</v>
      </c>
      <c r="T26" s="143">
        <f>IF(NFI_Expiration=1,IF($A26&lt;VLOOKUP(I$5,NFI,5,0),1,0)*Data_NFI_t[[#This Row],[Hygiene Kit]],0)</f>
        <v>0</v>
      </c>
      <c r="U26" s="143">
        <f>IF(NFI_Expiration=1,IF($A26&lt;VLOOKUP(J$5,NFI,5,0),1,0)*Data_NFI_t[[#This Row],[NFI Core Kit]],0)</f>
        <v>0</v>
      </c>
      <c r="V26" s="124">
        <f>IF(NFI_Expiration=1,IF($A26&lt;VLOOKUP(K$5,NFI,5,0),1,0)*Data_NFI_t[[#This Row],[Sanitary Kit]],0)</f>
        <v>0</v>
      </c>
      <c r="W26" s="124">
        <f>IF(NFI_Expiration=1,IF($A26&lt;VLOOKUP(L$5,NFI,5,0),1,0)*Data_NFI_t[[#This Row],[Mosquito net]],0)</f>
        <v>62</v>
      </c>
      <c r="X26" s="124">
        <f>IF(NFI_Expiration=1,IF($A26&lt;VLOOKUP(M$5,NFI,5,0),1,0)*Data_NFI_t[[#This Row],[Tarpaulin]],0)</f>
        <v>31</v>
      </c>
      <c r="Y26" s="124">
        <f>IF(NFI_Expiration=1,IF($A26&lt;VLOOKUP(N$5,NFI,5,0),1,0)*Data_NFI_t[[#This Row],[Blanket]],0)</f>
        <v>62</v>
      </c>
      <c r="Z26" s="124">
        <f>IF(NFI_Expiration=1,IF($A26&lt;VLOOKUP(O$5,NFI,5,0),1,0)*Data_NFI_t[[#This Row],[Kitchen Set]],0)</f>
        <v>31</v>
      </c>
      <c r="AA26" s="124">
        <f>IF(NFI_Expiration=1,IF($A26&lt;VLOOKUP(P$5,NFI,5,0),1,0)*Data_NFI_t[[#This Row],[Complementary Kit]],0)</f>
        <v>0</v>
      </c>
      <c r="AB26" s="124">
        <f>IF(NFI_Expiration=1,IF($A26&lt;VLOOKUP(Q$5,NFI,5,0),1,0)*Data_NFI_t[[#This Row],[Plastic Bucket]],0)</f>
        <v>31</v>
      </c>
      <c r="AC26" s="124">
        <f>IF(NFI_Expiration=1,IF($A26&lt;VLOOKUP(R$5,NFI,5,0),1,0)*Data_NFI_t[[#This Row],[Jerry Can]],0)</f>
        <v>31</v>
      </c>
      <c r="AD26" s="143">
        <f>IF(NFI_Expiration=1,IF($A26&lt;VLOOKUP(S$5,NFI,5,0),1,0)*Data_NFI_t[[#This Row],[Plastic Mat]],0)*IF(Data_NFI_t[[#This Row],[Distribution Date]]&gt;"01-06-2015",1,2.5)</f>
        <v>387.5</v>
      </c>
      <c r="AE26" s="143" t="str">
        <f ca="1">IFERROR(OFFSET(Camp_List[P_Code],MATCH(Data_NFI_t[[#This Row],[Camp Name]],Camp_List[Camp Name],0)-1,0,1,1),"")</f>
        <v>MMR012CMP018</v>
      </c>
      <c r="AF26" s="572" t="str">
        <f ca="1">IFERROR(OFFSET(Camp_List[Status],MATCH(Data_NFI_t[[#This Row],[Camp Name]],Camp_List[Camp Name],0)-1,0,1,1),"")</f>
        <v>Open</v>
      </c>
    </row>
    <row r="27" spans="1:32" s="100" customFormat="1" ht="15" customHeight="1">
      <c r="A27" s="254">
        <f t="shared" si="0"/>
        <v>10.433333333333334</v>
      </c>
      <c r="B27" s="254">
        <f>YEAR(Data_NFI_t[[#This Row],[Distribution Date]])</f>
        <v>2015</v>
      </c>
      <c r="C27" s="585">
        <v>42209</v>
      </c>
      <c r="D27" s="547" t="s">
        <v>287</v>
      </c>
      <c r="E27" s="546" t="s">
        <v>525</v>
      </c>
      <c r="F27" s="547" t="s">
        <v>7</v>
      </c>
      <c r="G27" s="31" t="s">
        <v>19</v>
      </c>
      <c r="H27" s="31" t="s">
        <v>70</v>
      </c>
      <c r="I27" s="31"/>
      <c r="J27" s="60">
        <v>984</v>
      </c>
      <c r="K27" s="60"/>
      <c r="L27" s="60">
        <v>1968</v>
      </c>
      <c r="M27" s="60">
        <v>984</v>
      </c>
      <c r="N27" s="60">
        <v>1968</v>
      </c>
      <c r="O27" s="60">
        <v>984</v>
      </c>
      <c r="P27" s="60"/>
      <c r="Q27" s="60">
        <v>984</v>
      </c>
      <c r="R27" s="570">
        <v>984</v>
      </c>
      <c r="S27" s="60">
        <v>4920</v>
      </c>
      <c r="T27" s="143">
        <f>IF(NFI_Expiration=1,IF($A27&lt;VLOOKUP(I$5,NFI,5,0),1,0)*Data_NFI_t[[#This Row],[Hygiene Kit]],0)</f>
        <v>0</v>
      </c>
      <c r="U27" s="143">
        <f>IF(NFI_Expiration=1,IF($A27&lt;VLOOKUP(J$5,NFI,5,0),1,0)*Data_NFI_t[[#This Row],[NFI Core Kit]],0)</f>
        <v>984</v>
      </c>
      <c r="V27" s="124">
        <f>IF(NFI_Expiration=1,IF($A27&lt;VLOOKUP(K$5,NFI,5,0),1,0)*Data_NFI_t[[#This Row],[Sanitary Kit]],0)</f>
        <v>0</v>
      </c>
      <c r="W27" s="124">
        <f>IF(NFI_Expiration=1,IF($A27&lt;VLOOKUP(L$5,NFI,5,0),1,0)*Data_NFI_t[[#This Row],[Mosquito net]],0)</f>
        <v>1968</v>
      </c>
      <c r="X27" s="124">
        <f>IF(NFI_Expiration=1,IF($A27&lt;VLOOKUP(M$5,NFI,5,0),1,0)*Data_NFI_t[[#This Row],[Tarpaulin]],0)</f>
        <v>984</v>
      </c>
      <c r="Y27" s="124">
        <f>IF(NFI_Expiration=1,IF($A27&lt;VLOOKUP(N$5,NFI,5,0),1,0)*Data_NFI_t[[#This Row],[Blanket]],0)</f>
        <v>1968</v>
      </c>
      <c r="Z27" s="124">
        <f>IF(NFI_Expiration=1,IF($A27&lt;VLOOKUP(O$5,NFI,5,0),1,0)*Data_NFI_t[[#This Row],[Kitchen Set]],0)</f>
        <v>984</v>
      </c>
      <c r="AA27" s="124">
        <f>IF(NFI_Expiration=1,IF($A27&lt;VLOOKUP(P$5,NFI,5,0),1,0)*Data_NFI_t[[#This Row],[Complementary Kit]],0)</f>
        <v>0</v>
      </c>
      <c r="AB27" s="124">
        <f>IF(NFI_Expiration=1,IF($A27&lt;VLOOKUP(Q$5,NFI,5,0),1,0)*Data_NFI_t[[#This Row],[Plastic Bucket]],0)</f>
        <v>984</v>
      </c>
      <c r="AC27" s="124">
        <f>IF(NFI_Expiration=1,IF($A27&lt;VLOOKUP(R$5,NFI,5,0),1,0)*Data_NFI_t[[#This Row],[Jerry Can]],0)</f>
        <v>984</v>
      </c>
      <c r="AD27" s="143">
        <f>IF(NFI_Expiration=1,IF($A27&lt;VLOOKUP(S$5,NFI,5,0),1,0)*Data_NFI_t[[#This Row],[Plastic Mat]],0)*IF(Data_NFI_t[[#This Row],[Distribution Date]]&gt;"01-06-2015",1,2.5)</f>
        <v>12300</v>
      </c>
      <c r="AE27" s="143" t="str">
        <f ca="1">IFERROR(OFFSET(Camp_List[P_Code],MATCH(Data_NFI_t[[#This Row],[Camp Name]],Camp_List[Camp Name],0)-1,0,1,1),"")</f>
        <v>MMR012CMP048</v>
      </c>
      <c r="AF27" s="572" t="str">
        <f ca="1">IFERROR(OFFSET(Camp_List[Status],MATCH(Data_NFI_t[[#This Row],[Camp Name]],Camp_List[Camp Name],0)-1,0,1,1),"")</f>
        <v>Open</v>
      </c>
    </row>
    <row r="28" spans="1:32" s="100" customFormat="1" ht="15" customHeight="1">
      <c r="A28" s="254">
        <f t="shared" si="0"/>
        <v>10.466666666666667</v>
      </c>
      <c r="B28" s="254">
        <v>2015</v>
      </c>
      <c r="C28" s="585">
        <v>42208</v>
      </c>
      <c r="D28" s="547" t="s">
        <v>287</v>
      </c>
      <c r="E28" s="546" t="s">
        <v>287</v>
      </c>
      <c r="F28" s="547" t="s">
        <v>7</v>
      </c>
      <c r="G28" s="31" t="s">
        <v>16</v>
      </c>
      <c r="H28" s="31" t="s">
        <v>409</v>
      </c>
      <c r="I28" s="31">
        <v>0</v>
      </c>
      <c r="J28" s="60">
        <v>0</v>
      </c>
      <c r="K28" s="60">
        <v>0</v>
      </c>
      <c r="L28" s="60">
        <v>0</v>
      </c>
      <c r="M28" s="60">
        <v>217</v>
      </c>
      <c r="N28" s="60">
        <v>0</v>
      </c>
      <c r="O28" s="60">
        <v>0</v>
      </c>
      <c r="P28" s="60">
        <v>0</v>
      </c>
      <c r="Q28" s="60">
        <v>0</v>
      </c>
      <c r="R28" s="570">
        <v>0</v>
      </c>
      <c r="S28" s="60">
        <v>0</v>
      </c>
      <c r="T28" s="143">
        <f>IF(NFI_Expiration=1,IF($A28&lt;VLOOKUP(I$5,NFI,5,0),1,0)*Data_NFI_t[[#This Row],[Hygiene Kit]],0)</f>
        <v>0</v>
      </c>
      <c r="U28" s="143">
        <f>IF(NFI_Expiration=1,IF($A28&lt;VLOOKUP(J$5,NFI,5,0),1,0)*Data_NFI_t[[#This Row],[NFI Core Kit]],0)</f>
        <v>0</v>
      </c>
      <c r="V28" s="124">
        <f>IF(NFI_Expiration=1,IF($A28&lt;VLOOKUP(K$5,NFI,5,0),1,0)*Data_NFI_t[[#This Row],[Sanitary Kit]],0)</f>
        <v>0</v>
      </c>
      <c r="W28" s="124">
        <f>IF(NFI_Expiration=1,IF($A28&lt;VLOOKUP(L$5,NFI,5,0),1,0)*Data_NFI_t[[#This Row],[Mosquito net]],0)</f>
        <v>0</v>
      </c>
      <c r="X28" s="124">
        <f>IF(NFI_Expiration=1,IF($A28&lt;VLOOKUP(M$5,NFI,5,0),1,0)*Data_NFI_t[[#This Row],[Tarpaulin]],0)</f>
        <v>217</v>
      </c>
      <c r="Y28" s="124">
        <f>IF(NFI_Expiration=1,IF($A28&lt;VLOOKUP(N$5,NFI,5,0),1,0)*Data_NFI_t[[#This Row],[Blanket]],0)</f>
        <v>0</v>
      </c>
      <c r="Z28" s="124">
        <f>IF(NFI_Expiration=1,IF($A28&lt;VLOOKUP(O$5,NFI,5,0),1,0)*Data_NFI_t[[#This Row],[Kitchen Set]],0)</f>
        <v>0</v>
      </c>
      <c r="AA28" s="124">
        <f>IF(NFI_Expiration=1,IF($A28&lt;VLOOKUP(P$5,NFI,5,0),1,0)*Data_NFI_t[[#This Row],[Complementary Kit]],0)</f>
        <v>0</v>
      </c>
      <c r="AB28" s="124">
        <f>IF(NFI_Expiration=1,IF($A28&lt;VLOOKUP(Q$5,NFI,5,0),1,0)*Data_NFI_t[[#This Row],[Plastic Bucket]],0)</f>
        <v>0</v>
      </c>
      <c r="AC28" s="124">
        <f>IF(NFI_Expiration=1,IF($A28&lt;VLOOKUP(R$5,NFI,5,0),1,0)*Data_NFI_t[[#This Row],[Jerry Can]],0)</f>
        <v>0</v>
      </c>
      <c r="AD28" s="143">
        <f>IF(NFI_Expiration=1,IF($A28&lt;VLOOKUP(S$5,NFI,5,0),1,0)*Data_NFI_t[[#This Row],[Plastic Mat]],0)*IF(Data_NFI_t[[#This Row],[Distribution Date]]&gt;"01-06-2015",1,2.5)</f>
        <v>0</v>
      </c>
      <c r="AE28" s="143" t="str">
        <f ca="1">IFERROR(OFFSET(Camp_List[P_Code],MATCH(Data_NFI_t[[#This Row],[Camp Name]],Camp_List[Camp Name],0)-1,0,1,1),"")</f>
        <v>MMR012CMP110</v>
      </c>
      <c r="AF28" s="572" t="str">
        <f ca="1">IFERROR(OFFSET(Camp_List[Status],MATCH(Data_NFI_t[[#This Row],[Camp Name]],Camp_List[Camp Name],0)-1,0,1,1),"")</f>
        <v>Open</v>
      </c>
    </row>
    <row r="29" spans="1:32" s="100" customFormat="1" ht="15" customHeight="1">
      <c r="A29" s="254">
        <f t="shared" si="0"/>
        <v>10.466666666666667</v>
      </c>
      <c r="B29" s="254">
        <v>2015</v>
      </c>
      <c r="C29" s="585">
        <v>42208</v>
      </c>
      <c r="D29" s="547" t="s">
        <v>287</v>
      </c>
      <c r="E29" s="546" t="s">
        <v>287</v>
      </c>
      <c r="F29" s="547" t="s">
        <v>7</v>
      </c>
      <c r="G29" s="31" t="s">
        <v>16</v>
      </c>
      <c r="H29" s="31" t="s">
        <v>623</v>
      </c>
      <c r="I29" s="31">
        <v>0</v>
      </c>
      <c r="J29" s="60">
        <v>0</v>
      </c>
      <c r="K29" s="60">
        <v>0</v>
      </c>
      <c r="L29" s="60">
        <v>0</v>
      </c>
      <c r="M29" s="60">
        <v>167</v>
      </c>
      <c r="N29" s="60">
        <v>0</v>
      </c>
      <c r="O29" s="60">
        <v>0</v>
      </c>
      <c r="P29" s="60">
        <v>0</v>
      </c>
      <c r="Q29" s="60">
        <v>0</v>
      </c>
      <c r="R29" s="570">
        <v>0</v>
      </c>
      <c r="S29" s="60">
        <v>0</v>
      </c>
      <c r="T29" s="143">
        <f>IF(NFI_Expiration=1,IF($A29&lt;VLOOKUP(I$5,NFI,5,0),1,0)*Data_NFI_t[[#This Row],[Hygiene Kit]],0)</f>
        <v>0</v>
      </c>
      <c r="U29" s="143">
        <f>IF(NFI_Expiration=1,IF($A29&lt;VLOOKUP(J$5,NFI,5,0),1,0)*Data_NFI_t[[#This Row],[NFI Core Kit]],0)</f>
        <v>0</v>
      </c>
      <c r="V29" s="124">
        <f>IF(NFI_Expiration=1,IF($A29&lt;VLOOKUP(K$5,NFI,5,0),1,0)*Data_NFI_t[[#This Row],[Sanitary Kit]],0)</f>
        <v>0</v>
      </c>
      <c r="W29" s="124">
        <f>IF(NFI_Expiration=1,IF($A29&lt;VLOOKUP(L$5,NFI,5,0),1,0)*Data_NFI_t[[#This Row],[Mosquito net]],0)</f>
        <v>0</v>
      </c>
      <c r="X29" s="124">
        <f>IF(NFI_Expiration=1,IF($A29&lt;VLOOKUP(M$5,NFI,5,0),1,0)*Data_NFI_t[[#This Row],[Tarpaulin]],0)</f>
        <v>167</v>
      </c>
      <c r="Y29" s="124">
        <f>IF(NFI_Expiration=1,IF($A29&lt;VLOOKUP(N$5,NFI,5,0),1,0)*Data_NFI_t[[#This Row],[Blanket]],0)</f>
        <v>0</v>
      </c>
      <c r="Z29" s="124">
        <f>IF(NFI_Expiration=1,IF($A29&lt;VLOOKUP(O$5,NFI,5,0),1,0)*Data_NFI_t[[#This Row],[Kitchen Set]],0)</f>
        <v>0</v>
      </c>
      <c r="AA29" s="124">
        <f>IF(NFI_Expiration=1,IF($A29&lt;VLOOKUP(P$5,NFI,5,0),1,0)*Data_NFI_t[[#This Row],[Complementary Kit]],0)</f>
        <v>0</v>
      </c>
      <c r="AB29" s="124">
        <f>IF(NFI_Expiration=1,IF($A29&lt;VLOOKUP(Q$5,NFI,5,0),1,0)*Data_NFI_t[[#This Row],[Plastic Bucket]],0)</f>
        <v>0</v>
      </c>
      <c r="AC29" s="124">
        <f>IF(NFI_Expiration=1,IF($A29&lt;VLOOKUP(R$5,NFI,5,0),1,0)*Data_NFI_t[[#This Row],[Jerry Can]],0)</f>
        <v>0</v>
      </c>
      <c r="AD29" s="143">
        <f>IF(NFI_Expiration=1,IF($A29&lt;VLOOKUP(S$5,NFI,5,0),1,0)*Data_NFI_t[[#This Row],[Plastic Mat]],0)*IF(Data_NFI_t[[#This Row],[Distribution Date]]&gt;"01-06-2015",1,2.5)</f>
        <v>0</v>
      </c>
      <c r="AE29" s="143" t="str">
        <f ca="1">IFERROR(OFFSET(Camp_List[P_Code],MATCH(Data_NFI_t[[#This Row],[Camp Name]],Camp_List[Camp Name],0)-1,0,1,1),"")</f>
        <v>MMR012CMP033</v>
      </c>
      <c r="AF29" s="572" t="str">
        <f ca="1">IFERROR(OFFSET(Camp_List[Status],MATCH(Data_NFI_t[[#This Row],[Camp Name]],Camp_List[Camp Name],0)-1,0,1,1),"")</f>
        <v>Open</v>
      </c>
    </row>
    <row r="30" spans="1:32" s="100" customFormat="1" ht="15" customHeight="1">
      <c r="A30" s="254">
        <f t="shared" si="0"/>
        <v>10.933333333333334</v>
      </c>
      <c r="B30" s="254">
        <f>YEAR(Data_NFI_t[[#This Row],[Distribution Date]])</f>
        <v>2015</v>
      </c>
      <c r="C30" s="585">
        <v>42194</v>
      </c>
      <c r="D30" s="547" t="s">
        <v>287</v>
      </c>
      <c r="E30" s="546" t="s">
        <v>525</v>
      </c>
      <c r="F30" s="547" t="s">
        <v>7</v>
      </c>
      <c r="G30" s="31" t="s">
        <v>19</v>
      </c>
      <c r="H30" s="31" t="s">
        <v>647</v>
      </c>
      <c r="I30" s="31"/>
      <c r="J30" s="60">
        <v>624</v>
      </c>
      <c r="K30" s="60"/>
      <c r="L30" s="60">
        <v>1248</v>
      </c>
      <c r="M30" s="60">
        <v>624</v>
      </c>
      <c r="N30" s="60">
        <v>1248</v>
      </c>
      <c r="O30" s="60">
        <v>624</v>
      </c>
      <c r="P30" s="60"/>
      <c r="Q30" s="60">
        <v>624</v>
      </c>
      <c r="R30" s="570">
        <v>624</v>
      </c>
      <c r="S30" s="60">
        <v>3120</v>
      </c>
      <c r="T30" s="143">
        <f>IF(NFI_Expiration=1,IF($A30&lt;VLOOKUP(I$5,NFI,5,0),1,0)*Data_NFI_t[[#This Row],[Hygiene Kit]],0)</f>
        <v>0</v>
      </c>
      <c r="U30" s="143">
        <f>IF(NFI_Expiration=1,IF($A30&lt;VLOOKUP(J$5,NFI,5,0),1,0)*Data_NFI_t[[#This Row],[NFI Core Kit]],0)</f>
        <v>624</v>
      </c>
      <c r="V30" s="124">
        <f>IF(NFI_Expiration=1,IF($A30&lt;VLOOKUP(K$5,NFI,5,0),1,0)*Data_NFI_t[[#This Row],[Sanitary Kit]],0)</f>
        <v>0</v>
      </c>
      <c r="W30" s="124">
        <f>IF(NFI_Expiration=1,IF($A30&lt;VLOOKUP(L$5,NFI,5,0),1,0)*Data_NFI_t[[#This Row],[Mosquito net]],0)</f>
        <v>1248</v>
      </c>
      <c r="X30" s="124">
        <f>IF(NFI_Expiration=1,IF($A30&lt;VLOOKUP(M$5,NFI,5,0),1,0)*Data_NFI_t[[#This Row],[Tarpaulin]],0)</f>
        <v>624</v>
      </c>
      <c r="Y30" s="124">
        <f>IF(NFI_Expiration=1,IF($A30&lt;VLOOKUP(N$5,NFI,5,0),1,0)*Data_NFI_t[[#This Row],[Blanket]],0)</f>
        <v>1248</v>
      </c>
      <c r="Z30" s="124">
        <f>IF(NFI_Expiration=1,IF($A30&lt;VLOOKUP(O$5,NFI,5,0),1,0)*Data_NFI_t[[#This Row],[Kitchen Set]],0)</f>
        <v>624</v>
      </c>
      <c r="AA30" s="124">
        <f>IF(NFI_Expiration=1,IF($A30&lt;VLOOKUP(P$5,NFI,5,0),1,0)*Data_NFI_t[[#This Row],[Complementary Kit]],0)</f>
        <v>0</v>
      </c>
      <c r="AB30" s="124">
        <f>IF(NFI_Expiration=1,IF($A30&lt;VLOOKUP(Q$5,NFI,5,0),1,0)*Data_NFI_t[[#This Row],[Plastic Bucket]],0)</f>
        <v>624</v>
      </c>
      <c r="AC30" s="124">
        <f>IF(NFI_Expiration=1,IF($A30&lt;VLOOKUP(R$5,NFI,5,0),1,0)*Data_NFI_t[[#This Row],[Jerry Can]],0)</f>
        <v>624</v>
      </c>
      <c r="AD30" s="143">
        <f>IF(NFI_Expiration=1,IF($A30&lt;VLOOKUP(S$5,NFI,5,0),1,0)*Data_NFI_t[[#This Row],[Plastic Mat]],0)*IF(Data_NFI_t[[#This Row],[Distribution Date]]&gt;"01-06-2015",1,2.5)</f>
        <v>7800</v>
      </c>
      <c r="AE30" s="143" t="str">
        <f ca="1">IFERROR(OFFSET(Camp_List[P_Code],MATCH(Data_NFI_t[[#This Row],[Camp Name]],Camp_List[Camp Name],0)-1,0,1,1),"")</f>
        <v>MMR012CMP092</v>
      </c>
      <c r="AF30" s="572" t="str">
        <f ca="1">IFERROR(OFFSET(Camp_List[Status],MATCH(Data_NFI_t[[#This Row],[Camp Name]],Camp_List[Camp Name],0)-1,0,1,1),"")</f>
        <v>Open</v>
      </c>
    </row>
    <row r="31" spans="1:32" s="100" customFormat="1" ht="15" customHeight="1">
      <c r="A31" s="254">
        <f t="shared" si="0"/>
        <v>11.366666666666667</v>
      </c>
      <c r="B31" s="254">
        <f>YEAR(Data_NFI_t[[#This Row],[Distribution Date]])</f>
        <v>2015</v>
      </c>
      <c r="C31" s="585">
        <v>42181</v>
      </c>
      <c r="D31" s="547" t="s">
        <v>287</v>
      </c>
      <c r="E31" s="546" t="s">
        <v>287</v>
      </c>
      <c r="F31" s="547" t="s">
        <v>7</v>
      </c>
      <c r="G31" s="31" t="s">
        <v>15</v>
      </c>
      <c r="H31" s="31" t="s">
        <v>52</v>
      </c>
      <c r="I31" s="31"/>
      <c r="J31" s="60"/>
      <c r="K31" s="60"/>
      <c r="L31" s="60"/>
      <c r="M31" s="60">
        <v>112</v>
      </c>
      <c r="N31" s="60"/>
      <c r="O31" s="60"/>
      <c r="P31" s="60"/>
      <c r="Q31" s="60"/>
      <c r="R31" s="570"/>
      <c r="S31" s="60"/>
      <c r="T31" s="143">
        <f>IF(NFI_Expiration=1,IF($A31&lt;VLOOKUP(I$5,NFI,5,0),1,0)*Data_NFI_t[[#This Row],[Hygiene Kit]],0)</f>
        <v>0</v>
      </c>
      <c r="U31" s="143">
        <f>IF(NFI_Expiration=1,IF($A31&lt;VLOOKUP(J$5,NFI,5,0),1,0)*Data_NFI_t[[#This Row],[NFI Core Kit]],0)</f>
        <v>0</v>
      </c>
      <c r="V31" s="124">
        <f>IF(NFI_Expiration=1,IF($A31&lt;VLOOKUP(K$5,NFI,5,0),1,0)*Data_NFI_t[[#This Row],[Sanitary Kit]],0)</f>
        <v>0</v>
      </c>
      <c r="W31" s="124">
        <f>IF(NFI_Expiration=1,IF($A31&lt;VLOOKUP(L$5,NFI,5,0),1,0)*Data_NFI_t[[#This Row],[Mosquito net]],0)</f>
        <v>0</v>
      </c>
      <c r="X31" s="124">
        <f>IF(NFI_Expiration=1,IF($A31&lt;VLOOKUP(M$5,NFI,5,0),1,0)*Data_NFI_t[[#This Row],[Tarpaulin]],0)</f>
        <v>112</v>
      </c>
      <c r="Y31" s="124">
        <f>IF(NFI_Expiration=1,IF($A31&lt;VLOOKUP(N$5,NFI,5,0),1,0)*Data_NFI_t[[#This Row],[Blanket]],0)</f>
        <v>0</v>
      </c>
      <c r="Z31" s="124">
        <f>IF(NFI_Expiration=1,IF($A31&lt;VLOOKUP(O$5,NFI,5,0),1,0)*Data_NFI_t[[#This Row],[Kitchen Set]],0)</f>
        <v>0</v>
      </c>
      <c r="AA31" s="124">
        <f>IF(NFI_Expiration=1,IF($A31&lt;VLOOKUP(P$5,NFI,5,0),1,0)*Data_NFI_t[[#This Row],[Complementary Kit]],0)</f>
        <v>0</v>
      </c>
      <c r="AB31" s="124">
        <f>IF(NFI_Expiration=1,IF($A31&lt;VLOOKUP(Q$5,NFI,5,0),1,0)*Data_NFI_t[[#This Row],[Plastic Bucket]],0)</f>
        <v>0</v>
      </c>
      <c r="AC31" s="124">
        <f>IF(NFI_Expiration=1,IF($A31&lt;VLOOKUP(R$5,NFI,5,0),1,0)*Data_NFI_t[[#This Row],[Jerry Can]],0)</f>
        <v>0</v>
      </c>
      <c r="AD31" s="143">
        <f>IF(NFI_Expiration=1,IF($A31&lt;VLOOKUP(S$5,NFI,5,0),1,0)*Data_NFI_t[[#This Row],[Plastic Mat]],0)*IF(Data_NFI_t[[#This Row],[Distribution Date]]&gt;"01-06-2015",1,2.5)</f>
        <v>0</v>
      </c>
      <c r="AE31" s="143" t="str">
        <f ca="1">IFERROR(OFFSET(Camp_List[P_Code],MATCH(Data_NFI_t[[#This Row],[Camp Name]],Camp_List[Camp Name],0)-1,0,1,1),"")</f>
        <v>MMR012CMP028</v>
      </c>
      <c r="AF31" s="572" t="str">
        <f ca="1">IFERROR(OFFSET(Camp_List[Status],MATCH(Data_NFI_t[[#This Row],[Camp Name]],Camp_List[Camp Name],0)-1,0,1,1),"")</f>
        <v>Returned in Individual Housing</v>
      </c>
    </row>
    <row r="32" spans="1:32" s="100" customFormat="1" ht="15" customHeight="1">
      <c r="A32" s="254">
        <f t="shared" si="0"/>
        <v>11.366666666666667</v>
      </c>
      <c r="B32" s="254">
        <f>YEAR(Data_NFI_t[[#This Row],[Distribution Date]])</f>
        <v>2015</v>
      </c>
      <c r="C32" s="585">
        <v>42181</v>
      </c>
      <c r="D32" s="547" t="s">
        <v>287</v>
      </c>
      <c r="E32" s="546" t="s">
        <v>287</v>
      </c>
      <c r="F32" s="547" t="s">
        <v>7</v>
      </c>
      <c r="G32" s="31" t="s">
        <v>15</v>
      </c>
      <c r="H32" s="31" t="s">
        <v>53</v>
      </c>
      <c r="I32" s="31"/>
      <c r="J32" s="60"/>
      <c r="K32" s="60"/>
      <c r="L32" s="60"/>
      <c r="M32" s="60">
        <v>138</v>
      </c>
      <c r="N32" s="60"/>
      <c r="O32" s="60"/>
      <c r="P32" s="60"/>
      <c r="Q32" s="60"/>
      <c r="R32" s="570"/>
      <c r="S32" s="60"/>
      <c r="T32" s="143">
        <f>IF(NFI_Expiration=1,IF($A32&lt;VLOOKUP(I$5,NFI,5,0),1,0)*Data_NFI_t[[#This Row],[Hygiene Kit]],0)</f>
        <v>0</v>
      </c>
      <c r="U32" s="143">
        <f>IF(NFI_Expiration=1,IF($A32&lt;VLOOKUP(J$5,NFI,5,0),1,0)*Data_NFI_t[[#This Row],[NFI Core Kit]],0)</f>
        <v>0</v>
      </c>
      <c r="V32" s="124">
        <f>IF(NFI_Expiration=1,IF($A32&lt;VLOOKUP(K$5,NFI,5,0),1,0)*Data_NFI_t[[#This Row],[Sanitary Kit]],0)</f>
        <v>0</v>
      </c>
      <c r="W32" s="124">
        <f>IF(NFI_Expiration=1,IF($A32&lt;VLOOKUP(L$5,NFI,5,0),1,0)*Data_NFI_t[[#This Row],[Mosquito net]],0)</f>
        <v>0</v>
      </c>
      <c r="X32" s="124">
        <f>IF(NFI_Expiration=1,IF($A32&lt;VLOOKUP(M$5,NFI,5,0),1,0)*Data_NFI_t[[#This Row],[Tarpaulin]],0)</f>
        <v>138</v>
      </c>
      <c r="Y32" s="124">
        <f>IF(NFI_Expiration=1,IF($A32&lt;VLOOKUP(N$5,NFI,5,0),1,0)*Data_NFI_t[[#This Row],[Blanket]],0)</f>
        <v>0</v>
      </c>
      <c r="Z32" s="124">
        <f>IF(NFI_Expiration=1,IF($A32&lt;VLOOKUP(O$5,NFI,5,0),1,0)*Data_NFI_t[[#This Row],[Kitchen Set]],0)</f>
        <v>0</v>
      </c>
      <c r="AA32" s="124">
        <f>IF(NFI_Expiration=1,IF($A32&lt;VLOOKUP(P$5,NFI,5,0),1,0)*Data_NFI_t[[#This Row],[Complementary Kit]],0)</f>
        <v>0</v>
      </c>
      <c r="AB32" s="124">
        <f>IF(NFI_Expiration=1,IF($A32&lt;VLOOKUP(Q$5,NFI,5,0),1,0)*Data_NFI_t[[#This Row],[Plastic Bucket]],0)</f>
        <v>0</v>
      </c>
      <c r="AC32" s="124">
        <f>IF(NFI_Expiration=1,IF($A32&lt;VLOOKUP(R$5,NFI,5,0),1,0)*Data_NFI_t[[#This Row],[Jerry Can]],0)</f>
        <v>0</v>
      </c>
      <c r="AD32" s="143">
        <f>IF(NFI_Expiration=1,IF($A32&lt;VLOOKUP(S$5,NFI,5,0),1,0)*Data_NFI_t[[#This Row],[Plastic Mat]],0)*IF(Data_NFI_t[[#This Row],[Distribution Date]]&gt;"01-06-2015",1,2.5)</f>
        <v>0</v>
      </c>
      <c r="AE32" s="143" t="str">
        <f ca="1">IFERROR(OFFSET(Camp_List[P_Code],MATCH(Data_NFI_t[[#This Row],[Camp Name]],Camp_List[Camp Name],0)-1,0,1,1),"")</f>
        <v>MMR012CMP029</v>
      </c>
      <c r="AF32" s="572" t="str">
        <f ca="1">IFERROR(OFFSET(Camp_List[Status],MATCH(Data_NFI_t[[#This Row],[Camp Name]],Camp_List[Camp Name],0)-1,0,1,1),"")</f>
        <v>Returned in Individual Housing</v>
      </c>
    </row>
    <row r="33" spans="1:32" s="100" customFormat="1" ht="15" customHeight="1">
      <c r="A33" s="254">
        <f t="shared" si="0"/>
        <v>11.4</v>
      </c>
      <c r="B33" s="254">
        <f>YEAR(Data_NFI_t[[#This Row],[Distribution Date]])</f>
        <v>2015</v>
      </c>
      <c r="C33" s="585">
        <v>42180</v>
      </c>
      <c r="D33" s="547" t="s">
        <v>287</v>
      </c>
      <c r="E33" s="546" t="s">
        <v>287</v>
      </c>
      <c r="F33" s="547" t="s">
        <v>7</v>
      </c>
      <c r="G33" s="31" t="s">
        <v>15</v>
      </c>
      <c r="H33" s="31" t="s">
        <v>47</v>
      </c>
      <c r="I33" s="31"/>
      <c r="J33" s="60"/>
      <c r="K33" s="60"/>
      <c r="L33" s="60"/>
      <c r="M33" s="60">
        <v>85</v>
      </c>
      <c r="N33" s="60"/>
      <c r="O33" s="60"/>
      <c r="P33" s="60"/>
      <c r="Q33" s="60"/>
      <c r="R33" s="570"/>
      <c r="S33" s="60"/>
      <c r="T33" s="143">
        <f>IF(NFI_Expiration=1,IF($A33&lt;VLOOKUP(I$5,NFI,5,0),1,0)*Data_NFI_t[[#This Row],[Hygiene Kit]],0)</f>
        <v>0</v>
      </c>
      <c r="U33" s="143">
        <f>IF(NFI_Expiration=1,IF($A33&lt;VLOOKUP(J$5,NFI,5,0),1,0)*Data_NFI_t[[#This Row],[NFI Core Kit]],0)</f>
        <v>0</v>
      </c>
      <c r="V33" s="124">
        <f>IF(NFI_Expiration=1,IF($A33&lt;VLOOKUP(K$5,NFI,5,0),1,0)*Data_NFI_t[[#This Row],[Sanitary Kit]],0)</f>
        <v>0</v>
      </c>
      <c r="W33" s="124">
        <f>IF(NFI_Expiration=1,IF($A33&lt;VLOOKUP(L$5,NFI,5,0),1,0)*Data_NFI_t[[#This Row],[Mosquito net]],0)</f>
        <v>0</v>
      </c>
      <c r="X33" s="124">
        <f>IF(NFI_Expiration=1,IF($A33&lt;VLOOKUP(M$5,NFI,5,0),1,0)*Data_NFI_t[[#This Row],[Tarpaulin]],0)</f>
        <v>85</v>
      </c>
      <c r="Y33" s="124">
        <f>IF(NFI_Expiration=1,IF($A33&lt;VLOOKUP(N$5,NFI,5,0),1,0)*Data_NFI_t[[#This Row],[Blanket]],0)</f>
        <v>0</v>
      </c>
      <c r="Z33" s="124">
        <f>IF(NFI_Expiration=1,IF($A33&lt;VLOOKUP(O$5,NFI,5,0),1,0)*Data_NFI_t[[#This Row],[Kitchen Set]],0)</f>
        <v>0</v>
      </c>
      <c r="AA33" s="124">
        <f>IF(NFI_Expiration=1,IF($A33&lt;VLOOKUP(P$5,NFI,5,0),1,0)*Data_NFI_t[[#This Row],[Complementary Kit]],0)</f>
        <v>0</v>
      </c>
      <c r="AB33" s="124">
        <f>IF(NFI_Expiration=1,IF($A33&lt;VLOOKUP(Q$5,NFI,5,0),1,0)*Data_NFI_t[[#This Row],[Plastic Bucket]],0)</f>
        <v>0</v>
      </c>
      <c r="AC33" s="124">
        <f>IF(NFI_Expiration=1,IF($A33&lt;VLOOKUP(R$5,NFI,5,0),1,0)*Data_NFI_t[[#This Row],[Jerry Can]],0)</f>
        <v>0</v>
      </c>
      <c r="AD33" s="143">
        <f>IF(NFI_Expiration=1,IF($A33&lt;VLOOKUP(S$5,NFI,5,0),1,0)*Data_NFI_t[[#This Row],[Plastic Mat]],0)*IF(Data_NFI_t[[#This Row],[Distribution Date]]&gt;"01-06-2015",1,2.5)</f>
        <v>0</v>
      </c>
      <c r="AE33" s="143" t="str">
        <f ca="1">IFERROR(OFFSET(Camp_List[P_Code],MATCH(Data_NFI_t[[#This Row],[Camp Name]],Camp_List[Camp Name],0)-1,0,1,1),"")</f>
        <v>MMR012CMP023</v>
      </c>
      <c r="AF33" s="572" t="str">
        <f ca="1">IFERROR(OFFSET(Camp_List[Status],MATCH(Data_NFI_t[[#This Row],[Camp Name]],Camp_List[Camp Name],0)-1,0,1,1),"")</f>
        <v>Open</v>
      </c>
    </row>
    <row r="34" spans="1:32" s="100" customFormat="1" ht="15" customHeight="1">
      <c r="A34" s="254">
        <f t="shared" si="0"/>
        <v>11.4</v>
      </c>
      <c r="B34" s="254">
        <f>YEAR(Data_NFI_t[[#This Row],[Distribution Date]])</f>
        <v>2015</v>
      </c>
      <c r="C34" s="585">
        <v>42180</v>
      </c>
      <c r="D34" s="547" t="s">
        <v>287</v>
      </c>
      <c r="E34" s="546" t="s">
        <v>287</v>
      </c>
      <c r="F34" s="547" t="s">
        <v>7</v>
      </c>
      <c r="G34" s="31" t="s">
        <v>15</v>
      </c>
      <c r="H34" s="31" t="s">
        <v>54</v>
      </c>
      <c r="I34" s="31"/>
      <c r="J34" s="60"/>
      <c r="K34" s="60"/>
      <c r="L34" s="60"/>
      <c r="M34" s="60">
        <v>97</v>
      </c>
      <c r="N34" s="60"/>
      <c r="O34" s="60"/>
      <c r="P34" s="60"/>
      <c r="Q34" s="60"/>
      <c r="R34" s="570"/>
      <c r="S34" s="60"/>
      <c r="T34" s="143">
        <f>IF(NFI_Expiration=1,IF($A34&lt;VLOOKUP(I$5,NFI,5,0),1,0)*Data_NFI_t[[#This Row],[Hygiene Kit]],0)</f>
        <v>0</v>
      </c>
      <c r="U34" s="143">
        <f>IF(NFI_Expiration=1,IF($A34&lt;VLOOKUP(J$5,NFI,5,0),1,0)*Data_NFI_t[[#This Row],[NFI Core Kit]],0)</f>
        <v>0</v>
      </c>
      <c r="V34" s="124">
        <f>IF(NFI_Expiration=1,IF($A34&lt;VLOOKUP(K$5,NFI,5,0),1,0)*Data_NFI_t[[#This Row],[Sanitary Kit]],0)</f>
        <v>0</v>
      </c>
      <c r="W34" s="124">
        <f>IF(NFI_Expiration=1,IF($A34&lt;VLOOKUP(L$5,NFI,5,0),1,0)*Data_NFI_t[[#This Row],[Mosquito net]],0)</f>
        <v>0</v>
      </c>
      <c r="X34" s="124">
        <f>IF(NFI_Expiration=1,IF($A34&lt;VLOOKUP(M$5,NFI,5,0),1,0)*Data_NFI_t[[#This Row],[Tarpaulin]],0)</f>
        <v>97</v>
      </c>
      <c r="Y34" s="124">
        <f>IF(NFI_Expiration=1,IF($A34&lt;VLOOKUP(N$5,NFI,5,0),1,0)*Data_NFI_t[[#This Row],[Blanket]],0)</f>
        <v>0</v>
      </c>
      <c r="Z34" s="124">
        <f>IF(NFI_Expiration=1,IF($A34&lt;VLOOKUP(O$5,NFI,5,0),1,0)*Data_NFI_t[[#This Row],[Kitchen Set]],0)</f>
        <v>0</v>
      </c>
      <c r="AA34" s="124">
        <f>IF(NFI_Expiration=1,IF($A34&lt;VLOOKUP(P$5,NFI,5,0),1,0)*Data_NFI_t[[#This Row],[Complementary Kit]],0)</f>
        <v>0</v>
      </c>
      <c r="AB34" s="124">
        <f>IF(NFI_Expiration=1,IF($A34&lt;VLOOKUP(Q$5,NFI,5,0),1,0)*Data_NFI_t[[#This Row],[Plastic Bucket]],0)</f>
        <v>0</v>
      </c>
      <c r="AC34" s="124">
        <f>IF(NFI_Expiration=1,IF($A34&lt;VLOOKUP(R$5,NFI,5,0),1,0)*Data_NFI_t[[#This Row],[Jerry Can]],0)</f>
        <v>0</v>
      </c>
      <c r="AD34" s="143">
        <f>IF(NFI_Expiration=1,IF($A34&lt;VLOOKUP(S$5,NFI,5,0),1,0)*Data_NFI_t[[#This Row],[Plastic Mat]],0)*IF(Data_NFI_t[[#This Row],[Distribution Date]]&gt;"01-06-2015",1,2.5)</f>
        <v>0</v>
      </c>
      <c r="AE34" s="143" t="str">
        <f ca="1">IFERROR(OFFSET(Camp_List[P_Code],MATCH(Data_NFI_t[[#This Row],[Camp Name]],Camp_List[Camp Name],0)-1,0,1,1),"")</f>
        <v>MMR012CMP030</v>
      </c>
      <c r="AF34" s="572" t="str">
        <f ca="1">IFERROR(OFFSET(Camp_List[Status],MATCH(Data_NFI_t[[#This Row],[Camp Name]],Camp_List[Camp Name],0)-1,0,1,1),"")</f>
        <v>Relocated in Individual Housing</v>
      </c>
    </row>
    <row r="35" spans="1:32" s="100" customFormat="1" ht="15" customHeight="1">
      <c r="A35" s="254">
        <f t="shared" si="0"/>
        <v>11.433333333333334</v>
      </c>
      <c r="B35" s="254">
        <f>YEAR(Data_NFI_t[[#This Row],[Distribution Date]])</f>
        <v>2015</v>
      </c>
      <c r="C35" s="585">
        <v>42179</v>
      </c>
      <c r="D35" s="547" t="s">
        <v>287</v>
      </c>
      <c r="E35" s="546" t="s">
        <v>287</v>
      </c>
      <c r="F35" s="547" t="s">
        <v>7</v>
      </c>
      <c r="G35" s="31" t="s">
        <v>15</v>
      </c>
      <c r="H35" s="31" t="s">
        <v>50</v>
      </c>
      <c r="I35" s="31"/>
      <c r="J35" s="60"/>
      <c r="K35" s="60"/>
      <c r="L35" s="60"/>
      <c r="M35" s="60">
        <v>236</v>
      </c>
      <c r="N35" s="60"/>
      <c r="O35" s="60"/>
      <c r="P35" s="60"/>
      <c r="Q35" s="60"/>
      <c r="R35" s="570"/>
      <c r="S35" s="60"/>
      <c r="T35" s="143">
        <f>IF(NFI_Expiration=1,IF($A35&lt;VLOOKUP(I$5,NFI,5,0),1,0)*Data_NFI_t[[#This Row],[Hygiene Kit]],0)</f>
        <v>0</v>
      </c>
      <c r="U35" s="143">
        <f>IF(NFI_Expiration=1,IF($A35&lt;VLOOKUP(J$5,NFI,5,0),1,0)*Data_NFI_t[[#This Row],[NFI Core Kit]],0)</f>
        <v>0</v>
      </c>
      <c r="V35" s="124">
        <f>IF(NFI_Expiration=1,IF($A35&lt;VLOOKUP(K$5,NFI,5,0),1,0)*Data_NFI_t[[#This Row],[Sanitary Kit]],0)</f>
        <v>0</v>
      </c>
      <c r="W35" s="124">
        <f>IF(NFI_Expiration=1,IF($A35&lt;VLOOKUP(L$5,NFI,5,0),1,0)*Data_NFI_t[[#This Row],[Mosquito net]],0)</f>
        <v>0</v>
      </c>
      <c r="X35" s="124">
        <f>IF(NFI_Expiration=1,IF($A35&lt;VLOOKUP(M$5,NFI,5,0),1,0)*Data_NFI_t[[#This Row],[Tarpaulin]],0)</f>
        <v>236</v>
      </c>
      <c r="Y35" s="124">
        <f>IF(NFI_Expiration=1,IF($A35&lt;VLOOKUP(N$5,NFI,5,0),1,0)*Data_NFI_t[[#This Row],[Blanket]],0)</f>
        <v>0</v>
      </c>
      <c r="Z35" s="124">
        <f>IF(NFI_Expiration=1,IF($A35&lt;VLOOKUP(O$5,NFI,5,0),1,0)*Data_NFI_t[[#This Row],[Kitchen Set]],0)</f>
        <v>0</v>
      </c>
      <c r="AA35" s="124">
        <f>IF(NFI_Expiration=1,IF($A35&lt;VLOOKUP(P$5,NFI,5,0),1,0)*Data_NFI_t[[#This Row],[Complementary Kit]],0)</f>
        <v>0</v>
      </c>
      <c r="AB35" s="124">
        <f>IF(NFI_Expiration=1,IF($A35&lt;VLOOKUP(Q$5,NFI,5,0),1,0)*Data_NFI_t[[#This Row],[Plastic Bucket]],0)</f>
        <v>0</v>
      </c>
      <c r="AC35" s="124">
        <f>IF(NFI_Expiration=1,IF($A35&lt;VLOOKUP(R$5,NFI,5,0),1,0)*Data_NFI_t[[#This Row],[Jerry Can]],0)</f>
        <v>0</v>
      </c>
      <c r="AD35" s="143">
        <f>IF(NFI_Expiration=1,IF($A35&lt;VLOOKUP(S$5,NFI,5,0),1,0)*Data_NFI_t[[#This Row],[Plastic Mat]],0)*IF(Data_NFI_t[[#This Row],[Distribution Date]]&gt;"01-06-2015",1,2.5)</f>
        <v>0</v>
      </c>
      <c r="AE35" s="143" t="str">
        <f ca="1">IFERROR(OFFSET(Camp_List[P_Code],MATCH(Data_NFI_t[[#This Row],[Camp Name]],Camp_List[Camp Name],0)-1,0,1,1),"")</f>
        <v>MMR012CMP026</v>
      </c>
      <c r="AF35" s="572" t="str">
        <f ca="1">IFERROR(OFFSET(Camp_List[Status],MATCH(Data_NFI_t[[#This Row],[Camp Name]],Camp_List[Camp Name],0)-1,0,1,1),"")</f>
        <v>Returned in Individual Housing</v>
      </c>
    </row>
    <row r="36" spans="1:32" s="100" customFormat="1" ht="15" customHeight="1">
      <c r="A36" s="254">
        <f t="shared" si="0"/>
        <v>11.433333333333334</v>
      </c>
      <c r="B36" s="254">
        <f>YEAR(Data_NFI_t[[#This Row],[Distribution Date]])</f>
        <v>2015</v>
      </c>
      <c r="C36" s="585">
        <v>42179</v>
      </c>
      <c r="D36" s="547" t="s">
        <v>287</v>
      </c>
      <c r="E36" s="546" t="s">
        <v>287</v>
      </c>
      <c r="F36" s="547" t="s">
        <v>7</v>
      </c>
      <c r="G36" s="31" t="s">
        <v>15</v>
      </c>
      <c r="H36" s="31" t="s">
        <v>48</v>
      </c>
      <c r="I36" s="31"/>
      <c r="J36" s="60"/>
      <c r="K36" s="60"/>
      <c r="L36" s="60"/>
      <c r="M36" s="60">
        <v>92</v>
      </c>
      <c r="N36" s="60"/>
      <c r="O36" s="60"/>
      <c r="P36" s="60"/>
      <c r="Q36" s="60"/>
      <c r="R36" s="570"/>
      <c r="S36" s="60"/>
      <c r="T36" s="143">
        <f>IF(NFI_Expiration=1,IF($A36&lt;VLOOKUP(I$5,NFI,5,0),1,0)*Data_NFI_t[[#This Row],[Hygiene Kit]],0)</f>
        <v>0</v>
      </c>
      <c r="U36" s="143">
        <f>IF(NFI_Expiration=1,IF($A36&lt;VLOOKUP(J$5,NFI,5,0),1,0)*Data_NFI_t[[#This Row],[NFI Core Kit]],0)</f>
        <v>0</v>
      </c>
      <c r="V36" s="124">
        <f>IF(NFI_Expiration=1,IF($A36&lt;VLOOKUP(K$5,NFI,5,0),1,0)*Data_NFI_t[[#This Row],[Sanitary Kit]],0)</f>
        <v>0</v>
      </c>
      <c r="W36" s="124">
        <f>IF(NFI_Expiration=1,IF($A36&lt;VLOOKUP(L$5,NFI,5,0),1,0)*Data_NFI_t[[#This Row],[Mosquito net]],0)</f>
        <v>0</v>
      </c>
      <c r="X36" s="124">
        <f>IF(NFI_Expiration=1,IF($A36&lt;VLOOKUP(M$5,NFI,5,0),1,0)*Data_NFI_t[[#This Row],[Tarpaulin]],0)</f>
        <v>92</v>
      </c>
      <c r="Y36" s="124">
        <f>IF(NFI_Expiration=1,IF($A36&lt;VLOOKUP(N$5,NFI,5,0),1,0)*Data_NFI_t[[#This Row],[Blanket]],0)</f>
        <v>0</v>
      </c>
      <c r="Z36" s="124">
        <f>IF(NFI_Expiration=1,IF($A36&lt;VLOOKUP(O$5,NFI,5,0),1,0)*Data_NFI_t[[#This Row],[Kitchen Set]],0)</f>
        <v>0</v>
      </c>
      <c r="AA36" s="124">
        <f>IF(NFI_Expiration=1,IF($A36&lt;VLOOKUP(P$5,NFI,5,0),1,0)*Data_NFI_t[[#This Row],[Complementary Kit]],0)</f>
        <v>0</v>
      </c>
      <c r="AB36" s="124">
        <f>IF(NFI_Expiration=1,IF($A36&lt;VLOOKUP(Q$5,NFI,5,0),1,0)*Data_NFI_t[[#This Row],[Plastic Bucket]],0)</f>
        <v>0</v>
      </c>
      <c r="AC36" s="124">
        <f>IF(NFI_Expiration=1,IF($A36&lt;VLOOKUP(R$5,NFI,5,0),1,0)*Data_NFI_t[[#This Row],[Jerry Can]],0)</f>
        <v>0</v>
      </c>
      <c r="AD36" s="143">
        <f>IF(NFI_Expiration=1,IF($A36&lt;VLOOKUP(S$5,NFI,5,0),1,0)*Data_NFI_t[[#This Row],[Plastic Mat]],0)*IF(Data_NFI_t[[#This Row],[Distribution Date]]&gt;"01-06-2015",1,2.5)</f>
        <v>0</v>
      </c>
      <c r="AE36" s="143" t="str">
        <f ca="1">IFERROR(OFFSET(Camp_List[P_Code],MATCH(Data_NFI_t[[#This Row],[Camp Name]],Camp_List[Camp Name],0)-1,0,1,1),"")</f>
        <v>MMR012CMP024</v>
      </c>
      <c r="AF36" s="572" t="str">
        <f ca="1">IFERROR(OFFSET(Camp_List[Status],MATCH(Data_NFI_t[[#This Row],[Camp Name]],Camp_List[Camp Name],0)-1,0,1,1),"")</f>
        <v>Returned in Individual Housing</v>
      </c>
    </row>
    <row r="37" spans="1:32" s="100" customFormat="1" ht="15" customHeight="1">
      <c r="A37" s="254">
        <f t="shared" si="0"/>
        <v>11.433333333333334</v>
      </c>
      <c r="B37" s="254">
        <f>YEAR(Data_NFI_t[[#This Row],[Distribution Date]])</f>
        <v>2015</v>
      </c>
      <c r="C37" s="585">
        <v>42179</v>
      </c>
      <c r="D37" s="547" t="s">
        <v>287</v>
      </c>
      <c r="E37" s="546" t="s">
        <v>287</v>
      </c>
      <c r="F37" s="547" t="s">
        <v>7</v>
      </c>
      <c r="G37" s="31" t="s">
        <v>15</v>
      </c>
      <c r="H37" s="31" t="s">
        <v>51</v>
      </c>
      <c r="I37" s="31"/>
      <c r="J37" s="60"/>
      <c r="K37" s="60"/>
      <c r="L37" s="60"/>
      <c r="M37" s="60">
        <v>116</v>
      </c>
      <c r="N37" s="60"/>
      <c r="O37" s="60"/>
      <c r="P37" s="60"/>
      <c r="Q37" s="60"/>
      <c r="R37" s="570"/>
      <c r="S37" s="60"/>
      <c r="T37" s="143">
        <f>IF(NFI_Expiration=1,IF($A37&lt;VLOOKUP(I$5,NFI,5,0),1,0)*Data_NFI_t[[#This Row],[Hygiene Kit]],0)</f>
        <v>0</v>
      </c>
      <c r="U37" s="143">
        <f>IF(NFI_Expiration=1,IF($A37&lt;VLOOKUP(J$5,NFI,5,0),1,0)*Data_NFI_t[[#This Row],[NFI Core Kit]],0)</f>
        <v>0</v>
      </c>
      <c r="V37" s="124">
        <f>IF(NFI_Expiration=1,IF($A37&lt;VLOOKUP(K$5,NFI,5,0),1,0)*Data_NFI_t[[#This Row],[Sanitary Kit]],0)</f>
        <v>0</v>
      </c>
      <c r="W37" s="124">
        <f>IF(NFI_Expiration=1,IF($A37&lt;VLOOKUP(L$5,NFI,5,0),1,0)*Data_NFI_t[[#This Row],[Mosquito net]],0)</f>
        <v>0</v>
      </c>
      <c r="X37" s="124">
        <f>IF(NFI_Expiration=1,IF($A37&lt;VLOOKUP(M$5,NFI,5,0),1,0)*Data_NFI_t[[#This Row],[Tarpaulin]],0)</f>
        <v>116</v>
      </c>
      <c r="Y37" s="124">
        <f>IF(NFI_Expiration=1,IF($A37&lt;VLOOKUP(N$5,NFI,5,0),1,0)*Data_NFI_t[[#This Row],[Blanket]],0)</f>
        <v>0</v>
      </c>
      <c r="Z37" s="124">
        <f>IF(NFI_Expiration=1,IF($A37&lt;VLOOKUP(O$5,NFI,5,0),1,0)*Data_NFI_t[[#This Row],[Kitchen Set]],0)</f>
        <v>0</v>
      </c>
      <c r="AA37" s="124">
        <f>IF(NFI_Expiration=1,IF($A37&lt;VLOOKUP(P$5,NFI,5,0),1,0)*Data_NFI_t[[#This Row],[Complementary Kit]],0)</f>
        <v>0</v>
      </c>
      <c r="AB37" s="124">
        <f>IF(NFI_Expiration=1,IF($A37&lt;VLOOKUP(Q$5,NFI,5,0),1,0)*Data_NFI_t[[#This Row],[Plastic Bucket]],0)</f>
        <v>0</v>
      </c>
      <c r="AC37" s="124">
        <f>IF(NFI_Expiration=1,IF($A37&lt;VLOOKUP(R$5,NFI,5,0),1,0)*Data_NFI_t[[#This Row],[Jerry Can]],0)</f>
        <v>0</v>
      </c>
      <c r="AD37" s="143">
        <f>IF(NFI_Expiration=1,IF($A37&lt;VLOOKUP(S$5,NFI,5,0),1,0)*Data_NFI_t[[#This Row],[Plastic Mat]],0)*IF(Data_NFI_t[[#This Row],[Distribution Date]]&gt;"01-06-2015",1,2.5)</f>
        <v>0</v>
      </c>
      <c r="AE37" s="143" t="str">
        <f ca="1">IFERROR(OFFSET(Camp_List[P_Code],MATCH(Data_NFI_t[[#This Row],[Camp Name]],Camp_List[Camp Name],0)-1,0,1,1),"")</f>
        <v>MMR012CMP027</v>
      </c>
      <c r="AF37" s="572" t="str">
        <f ca="1">IFERROR(OFFSET(Camp_List[Status],MATCH(Data_NFI_t[[#This Row],[Camp Name]],Camp_List[Camp Name],0)-1,0,1,1),"")</f>
        <v>Returned in Individual Housing</v>
      </c>
    </row>
    <row r="38" spans="1:32" s="100" customFormat="1" ht="15" customHeight="1">
      <c r="A38" s="254">
        <f t="shared" si="0"/>
        <v>11.466666666666667</v>
      </c>
      <c r="B38" s="254">
        <f>YEAR(Data_NFI_t[[#This Row],[Distribution Date]])</f>
        <v>2015</v>
      </c>
      <c r="C38" s="585">
        <v>42178</v>
      </c>
      <c r="D38" s="547" t="s">
        <v>287</v>
      </c>
      <c r="E38" s="546" t="s">
        <v>287</v>
      </c>
      <c r="F38" s="547" t="s">
        <v>7</v>
      </c>
      <c r="G38" s="31" t="s">
        <v>11</v>
      </c>
      <c r="H38" s="31" t="s">
        <v>26</v>
      </c>
      <c r="I38" s="31"/>
      <c r="J38" s="60"/>
      <c r="K38" s="60"/>
      <c r="L38" s="60"/>
      <c r="M38" s="60">
        <v>16</v>
      </c>
      <c r="N38" s="60"/>
      <c r="O38" s="60"/>
      <c r="P38" s="60"/>
      <c r="Q38" s="60"/>
      <c r="R38" s="570"/>
      <c r="S38" s="60"/>
      <c r="T38" s="143">
        <f>IF(NFI_Expiration=1,IF($A38&lt;VLOOKUP(I$5,NFI,5,0),1,0)*Data_NFI_t[[#This Row],[Hygiene Kit]],0)</f>
        <v>0</v>
      </c>
      <c r="U38" s="143">
        <f>IF(NFI_Expiration=1,IF($A38&lt;VLOOKUP(J$5,NFI,5,0),1,0)*Data_NFI_t[[#This Row],[NFI Core Kit]],0)</f>
        <v>0</v>
      </c>
      <c r="V38" s="124">
        <f>IF(NFI_Expiration=1,IF($A38&lt;VLOOKUP(K$5,NFI,5,0),1,0)*Data_NFI_t[[#This Row],[Sanitary Kit]],0)</f>
        <v>0</v>
      </c>
      <c r="W38" s="124">
        <f>IF(NFI_Expiration=1,IF($A38&lt;VLOOKUP(L$5,NFI,5,0),1,0)*Data_NFI_t[[#This Row],[Mosquito net]],0)</f>
        <v>0</v>
      </c>
      <c r="X38" s="124">
        <f>IF(NFI_Expiration=1,IF($A38&lt;VLOOKUP(M$5,NFI,5,0),1,0)*Data_NFI_t[[#This Row],[Tarpaulin]],0)</f>
        <v>16</v>
      </c>
      <c r="Y38" s="124">
        <f>IF(NFI_Expiration=1,IF($A38&lt;VLOOKUP(N$5,NFI,5,0),1,0)*Data_NFI_t[[#This Row],[Blanket]],0)</f>
        <v>0</v>
      </c>
      <c r="Z38" s="124">
        <f>IF(NFI_Expiration=1,IF($A38&lt;VLOOKUP(O$5,NFI,5,0),1,0)*Data_NFI_t[[#This Row],[Kitchen Set]],0)</f>
        <v>0</v>
      </c>
      <c r="AA38" s="124">
        <f>IF(NFI_Expiration=1,IF($A38&lt;VLOOKUP(P$5,NFI,5,0),1,0)*Data_NFI_t[[#This Row],[Complementary Kit]],0)</f>
        <v>0</v>
      </c>
      <c r="AB38" s="124">
        <f>IF(NFI_Expiration=1,IF($A38&lt;VLOOKUP(Q$5,NFI,5,0),1,0)*Data_NFI_t[[#This Row],[Plastic Bucket]],0)</f>
        <v>0</v>
      </c>
      <c r="AC38" s="124">
        <f>IF(NFI_Expiration=1,IF($A38&lt;VLOOKUP(R$5,NFI,5,0),1,0)*Data_NFI_t[[#This Row],[Jerry Can]],0)</f>
        <v>0</v>
      </c>
      <c r="AD38" s="143">
        <f>IF(NFI_Expiration=1,IF($A38&lt;VLOOKUP(S$5,NFI,5,0),1,0)*Data_NFI_t[[#This Row],[Plastic Mat]],0)*IF(Data_NFI_t[[#This Row],[Distribution Date]]&gt;"01-06-2015",1,2.5)</f>
        <v>0</v>
      </c>
      <c r="AE38" s="143" t="str">
        <f ca="1">IFERROR(OFFSET(Camp_List[P_Code],MATCH(Data_NFI_t[[#This Row],[Camp Name]],Camp_List[Camp Name],0)-1,0,1,1),"")</f>
        <v>MMR012CMP002</v>
      </c>
      <c r="AF38" s="572" t="str">
        <f ca="1">IFERROR(OFFSET(Camp_List[Status],MATCH(Data_NFI_t[[#This Row],[Camp Name]],Camp_List[Camp Name],0)-1,0,1,1),"")</f>
        <v>Returned in Individual Housing</v>
      </c>
    </row>
    <row r="39" spans="1:32" s="100" customFormat="1" ht="15" customHeight="1">
      <c r="A39" s="254">
        <f t="shared" si="0"/>
        <v>11.733333333333333</v>
      </c>
      <c r="B39" s="254">
        <v>2015</v>
      </c>
      <c r="C39" s="585">
        <v>42170</v>
      </c>
      <c r="D39" s="547" t="s">
        <v>287</v>
      </c>
      <c r="E39" s="546" t="s">
        <v>974</v>
      </c>
      <c r="F39" s="547" t="s">
        <v>7</v>
      </c>
      <c r="G39" s="31" t="s">
        <v>16</v>
      </c>
      <c r="H39" s="31" t="s">
        <v>409</v>
      </c>
      <c r="I39" s="31">
        <v>0</v>
      </c>
      <c r="J39" s="60">
        <v>0</v>
      </c>
      <c r="K39" s="60">
        <v>0</v>
      </c>
      <c r="L39" s="60">
        <v>0</v>
      </c>
      <c r="M39" s="60">
        <v>10</v>
      </c>
      <c r="N39" s="60">
        <v>0</v>
      </c>
      <c r="O39" s="60">
        <v>0</v>
      </c>
      <c r="P39" s="60">
        <v>0</v>
      </c>
      <c r="Q39" s="60">
        <v>0</v>
      </c>
      <c r="R39" s="570">
        <v>0</v>
      </c>
      <c r="S39" s="60">
        <v>0</v>
      </c>
      <c r="T39" s="143">
        <f>IF(NFI_Expiration=1,IF($A39&lt;VLOOKUP(I$5,NFI,5,0),1,0)*Data_NFI_t[[#This Row],[Hygiene Kit]],0)</f>
        <v>0</v>
      </c>
      <c r="U39" s="143">
        <f>IF(NFI_Expiration=1,IF($A39&lt;VLOOKUP(J$5,NFI,5,0),1,0)*Data_NFI_t[[#This Row],[NFI Core Kit]],0)</f>
        <v>0</v>
      </c>
      <c r="V39" s="124">
        <f>IF(NFI_Expiration=1,IF($A39&lt;VLOOKUP(K$5,NFI,5,0),1,0)*Data_NFI_t[[#This Row],[Sanitary Kit]],0)</f>
        <v>0</v>
      </c>
      <c r="W39" s="124">
        <f>IF(NFI_Expiration=1,IF($A39&lt;VLOOKUP(L$5,NFI,5,0),1,0)*Data_NFI_t[[#This Row],[Mosquito net]],0)</f>
        <v>0</v>
      </c>
      <c r="X39" s="124">
        <f>IF(NFI_Expiration=1,IF($A39&lt;VLOOKUP(M$5,NFI,5,0),1,0)*Data_NFI_t[[#This Row],[Tarpaulin]],0)</f>
        <v>10</v>
      </c>
      <c r="Y39" s="124">
        <f>IF(NFI_Expiration=1,IF($A39&lt;VLOOKUP(N$5,NFI,5,0),1,0)*Data_NFI_t[[#This Row],[Blanket]],0)</f>
        <v>0</v>
      </c>
      <c r="Z39" s="124">
        <f>IF(NFI_Expiration=1,IF($A39&lt;VLOOKUP(O$5,NFI,5,0),1,0)*Data_NFI_t[[#This Row],[Kitchen Set]],0)</f>
        <v>0</v>
      </c>
      <c r="AA39" s="124">
        <f>IF(NFI_Expiration=1,IF($A39&lt;VLOOKUP(P$5,NFI,5,0),1,0)*Data_NFI_t[[#This Row],[Complementary Kit]],0)</f>
        <v>0</v>
      </c>
      <c r="AB39" s="124">
        <f>IF(NFI_Expiration=1,IF($A39&lt;VLOOKUP(Q$5,NFI,5,0),1,0)*Data_NFI_t[[#This Row],[Plastic Bucket]],0)</f>
        <v>0</v>
      </c>
      <c r="AC39" s="124">
        <f>IF(NFI_Expiration=1,IF($A39&lt;VLOOKUP(R$5,NFI,5,0),1,0)*Data_NFI_t[[#This Row],[Jerry Can]],0)</f>
        <v>0</v>
      </c>
      <c r="AD39" s="143">
        <f>IF(NFI_Expiration=1,IF($A39&lt;VLOOKUP(S$5,NFI,5,0),1,0)*Data_NFI_t[[#This Row],[Plastic Mat]],0)*IF(Data_NFI_t[[#This Row],[Distribution Date]]&gt;"01-06-2015",1,2.5)</f>
        <v>0</v>
      </c>
      <c r="AE39" s="143" t="str">
        <f ca="1">IFERROR(OFFSET(Camp_List[P_Code],MATCH(Data_NFI_t[[#This Row],[Camp Name]],Camp_List[Camp Name],0)-1,0,1,1),"")</f>
        <v>MMR012CMP110</v>
      </c>
      <c r="AF39" s="572" t="str">
        <f ca="1">IFERROR(OFFSET(Camp_List[Status],MATCH(Data_NFI_t[[#This Row],[Camp Name]],Camp_List[Camp Name],0)-1,0,1,1),"")</f>
        <v>Open</v>
      </c>
    </row>
    <row r="40" spans="1:32" s="100" customFormat="1" ht="15" customHeight="1">
      <c r="A40" s="254">
        <f t="shared" si="0"/>
        <v>11.733333333333333</v>
      </c>
      <c r="B40" s="254">
        <v>2015</v>
      </c>
      <c r="C40" s="585">
        <v>42170</v>
      </c>
      <c r="D40" s="547" t="s">
        <v>287</v>
      </c>
      <c r="E40" s="546" t="s">
        <v>974</v>
      </c>
      <c r="F40" s="547" t="s">
        <v>7</v>
      </c>
      <c r="G40" s="31" t="s">
        <v>16</v>
      </c>
      <c r="H40" s="31" t="s">
        <v>623</v>
      </c>
      <c r="I40" s="31">
        <v>0</v>
      </c>
      <c r="J40" s="60">
        <v>0</v>
      </c>
      <c r="K40" s="60">
        <v>0</v>
      </c>
      <c r="L40" s="60">
        <v>0</v>
      </c>
      <c r="M40" s="60">
        <v>20</v>
      </c>
      <c r="N40" s="60">
        <v>0</v>
      </c>
      <c r="O40" s="60">
        <v>0</v>
      </c>
      <c r="P40" s="60">
        <v>0</v>
      </c>
      <c r="Q40" s="60">
        <v>0</v>
      </c>
      <c r="R40" s="570">
        <v>0</v>
      </c>
      <c r="S40" s="60">
        <v>0</v>
      </c>
      <c r="T40" s="143">
        <f>IF(NFI_Expiration=1,IF($A40&lt;VLOOKUP(I$5,NFI,5,0),1,0)*Data_NFI_t[[#This Row],[Hygiene Kit]],0)</f>
        <v>0</v>
      </c>
      <c r="U40" s="143">
        <f>IF(NFI_Expiration=1,IF($A40&lt;VLOOKUP(J$5,NFI,5,0),1,0)*Data_NFI_t[[#This Row],[NFI Core Kit]],0)</f>
        <v>0</v>
      </c>
      <c r="V40" s="124">
        <f>IF(NFI_Expiration=1,IF($A40&lt;VLOOKUP(K$5,NFI,5,0),1,0)*Data_NFI_t[[#This Row],[Sanitary Kit]],0)</f>
        <v>0</v>
      </c>
      <c r="W40" s="124">
        <f>IF(NFI_Expiration=1,IF($A40&lt;VLOOKUP(L$5,NFI,5,0),1,0)*Data_NFI_t[[#This Row],[Mosquito net]],0)</f>
        <v>0</v>
      </c>
      <c r="X40" s="124">
        <f>IF(NFI_Expiration=1,IF($A40&lt;VLOOKUP(M$5,NFI,5,0),1,0)*Data_NFI_t[[#This Row],[Tarpaulin]],0)</f>
        <v>20</v>
      </c>
      <c r="Y40" s="124">
        <f>IF(NFI_Expiration=1,IF($A40&lt;VLOOKUP(N$5,NFI,5,0),1,0)*Data_NFI_t[[#This Row],[Blanket]],0)</f>
        <v>0</v>
      </c>
      <c r="Z40" s="124">
        <f>IF(NFI_Expiration=1,IF($A40&lt;VLOOKUP(O$5,NFI,5,0),1,0)*Data_NFI_t[[#This Row],[Kitchen Set]],0)</f>
        <v>0</v>
      </c>
      <c r="AA40" s="124">
        <f>IF(NFI_Expiration=1,IF($A40&lt;VLOOKUP(P$5,NFI,5,0),1,0)*Data_NFI_t[[#This Row],[Complementary Kit]],0)</f>
        <v>0</v>
      </c>
      <c r="AB40" s="124">
        <f>IF(NFI_Expiration=1,IF($A40&lt;VLOOKUP(Q$5,NFI,5,0),1,0)*Data_NFI_t[[#This Row],[Plastic Bucket]],0)</f>
        <v>0</v>
      </c>
      <c r="AC40" s="124">
        <f>IF(NFI_Expiration=1,IF($A40&lt;VLOOKUP(R$5,NFI,5,0),1,0)*Data_NFI_t[[#This Row],[Jerry Can]],0)</f>
        <v>0</v>
      </c>
      <c r="AD40" s="143">
        <f>IF(NFI_Expiration=1,IF($A40&lt;VLOOKUP(S$5,NFI,5,0),1,0)*Data_NFI_t[[#This Row],[Plastic Mat]],0)*IF(Data_NFI_t[[#This Row],[Distribution Date]]&gt;"01-06-2015",1,2.5)</f>
        <v>0</v>
      </c>
      <c r="AE40" s="143" t="str">
        <f ca="1">IFERROR(OFFSET(Camp_List[P_Code],MATCH(Data_NFI_t[[#This Row],[Camp Name]],Camp_List[Camp Name],0)-1,0,1,1),"")</f>
        <v>MMR012CMP033</v>
      </c>
      <c r="AF40" s="572" t="str">
        <f ca="1">IFERROR(OFFSET(Camp_List[Status],MATCH(Data_NFI_t[[#This Row],[Camp Name]],Camp_List[Camp Name],0)-1,0,1,1),"")</f>
        <v>Open</v>
      </c>
    </row>
    <row r="41" spans="1:32" s="100" customFormat="1" ht="15" customHeight="1">
      <c r="A41" s="254">
        <f t="shared" si="0"/>
        <v>11.733333333333333</v>
      </c>
      <c r="B41" s="254">
        <v>2015</v>
      </c>
      <c r="C41" s="585">
        <v>42170</v>
      </c>
      <c r="D41" s="547" t="s">
        <v>287</v>
      </c>
      <c r="E41" s="546" t="s">
        <v>974</v>
      </c>
      <c r="F41" s="547" t="s">
        <v>7</v>
      </c>
      <c r="G41" s="31" t="s">
        <v>16</v>
      </c>
      <c r="H41" s="31" t="s">
        <v>57</v>
      </c>
      <c r="I41" s="31">
        <v>0</v>
      </c>
      <c r="J41" s="60">
        <v>0</v>
      </c>
      <c r="K41" s="60">
        <v>0</v>
      </c>
      <c r="L41" s="60">
        <v>0</v>
      </c>
      <c r="M41" s="60">
        <v>10</v>
      </c>
      <c r="N41" s="60">
        <v>0</v>
      </c>
      <c r="O41" s="60">
        <v>0</v>
      </c>
      <c r="P41" s="60">
        <v>0</v>
      </c>
      <c r="Q41" s="60">
        <v>0</v>
      </c>
      <c r="R41" s="570">
        <v>0</v>
      </c>
      <c r="S41" s="60">
        <v>0</v>
      </c>
      <c r="T41" s="143">
        <f>IF(NFI_Expiration=1,IF($A41&lt;VLOOKUP(I$5,NFI,5,0),1,0)*Data_NFI_t[[#This Row],[Hygiene Kit]],0)</f>
        <v>0</v>
      </c>
      <c r="U41" s="143">
        <f>IF(NFI_Expiration=1,IF($A41&lt;VLOOKUP(J$5,NFI,5,0),1,0)*Data_NFI_t[[#This Row],[NFI Core Kit]],0)</f>
        <v>0</v>
      </c>
      <c r="V41" s="124">
        <f>IF(NFI_Expiration=1,IF($A41&lt;VLOOKUP(K$5,NFI,5,0),1,0)*Data_NFI_t[[#This Row],[Sanitary Kit]],0)</f>
        <v>0</v>
      </c>
      <c r="W41" s="124">
        <f>IF(NFI_Expiration=1,IF($A41&lt;VLOOKUP(L$5,NFI,5,0),1,0)*Data_NFI_t[[#This Row],[Mosquito net]],0)</f>
        <v>0</v>
      </c>
      <c r="X41" s="124">
        <f>IF(NFI_Expiration=1,IF($A41&lt;VLOOKUP(M$5,NFI,5,0),1,0)*Data_NFI_t[[#This Row],[Tarpaulin]],0)</f>
        <v>10</v>
      </c>
      <c r="Y41" s="124">
        <f>IF(NFI_Expiration=1,IF($A41&lt;VLOOKUP(N$5,NFI,5,0),1,0)*Data_NFI_t[[#This Row],[Blanket]],0)</f>
        <v>0</v>
      </c>
      <c r="Z41" s="124">
        <f>IF(NFI_Expiration=1,IF($A41&lt;VLOOKUP(O$5,NFI,5,0),1,0)*Data_NFI_t[[#This Row],[Kitchen Set]],0)</f>
        <v>0</v>
      </c>
      <c r="AA41" s="124">
        <f>IF(NFI_Expiration=1,IF($A41&lt;VLOOKUP(P$5,NFI,5,0),1,0)*Data_NFI_t[[#This Row],[Complementary Kit]],0)</f>
        <v>0</v>
      </c>
      <c r="AB41" s="124">
        <f>IF(NFI_Expiration=1,IF($A41&lt;VLOOKUP(Q$5,NFI,5,0),1,0)*Data_NFI_t[[#This Row],[Plastic Bucket]],0)</f>
        <v>0</v>
      </c>
      <c r="AC41" s="124">
        <f>IF(NFI_Expiration=1,IF($A41&lt;VLOOKUP(R$5,NFI,5,0),1,0)*Data_NFI_t[[#This Row],[Jerry Can]],0)</f>
        <v>0</v>
      </c>
      <c r="AD41" s="143">
        <f>IF(NFI_Expiration=1,IF($A41&lt;VLOOKUP(S$5,NFI,5,0),1,0)*Data_NFI_t[[#This Row],[Plastic Mat]],0)*IF(Data_NFI_t[[#This Row],[Distribution Date]]&gt;"01-06-2015",1,2.5)</f>
        <v>0</v>
      </c>
      <c r="AE41" s="143" t="str">
        <f ca="1">IFERROR(OFFSET(Camp_List[P_Code],MATCH(Data_NFI_t[[#This Row],[Camp Name]],Camp_List[Camp Name],0)-1,0,1,1),"")</f>
        <v>MMR012CMP034</v>
      </c>
      <c r="AF41" s="572" t="str">
        <f ca="1">IFERROR(OFFSET(Camp_List[Status],MATCH(Data_NFI_t[[#This Row],[Camp Name]],Camp_List[Camp Name],0)-1,0,1,1),"")</f>
        <v>Open</v>
      </c>
    </row>
    <row r="42" spans="1:32" s="100" customFormat="1" ht="15" customHeight="1">
      <c r="A42" s="254">
        <f t="shared" si="0"/>
        <v>11.866666666666667</v>
      </c>
      <c r="B42" s="254">
        <f>YEAR(Data_NFI_t[[#This Row],[Distribution Date]])</f>
        <v>2015</v>
      </c>
      <c r="C42" s="585">
        <v>42166</v>
      </c>
      <c r="D42" s="547" t="s">
        <v>287</v>
      </c>
      <c r="E42" s="546" t="s">
        <v>287</v>
      </c>
      <c r="F42" s="547" t="s">
        <v>7</v>
      </c>
      <c r="G42" s="31" t="s">
        <v>11</v>
      </c>
      <c r="H42" s="31" t="s">
        <v>26</v>
      </c>
      <c r="I42" s="31"/>
      <c r="J42" s="60"/>
      <c r="K42" s="60"/>
      <c r="L42" s="60"/>
      <c r="M42" s="60">
        <v>187</v>
      </c>
      <c r="N42" s="60"/>
      <c r="O42" s="60"/>
      <c r="P42" s="60"/>
      <c r="Q42" s="60"/>
      <c r="R42" s="570"/>
      <c r="S42" s="60"/>
      <c r="T42" s="143">
        <f>IF(NFI_Expiration=1,IF($A42&lt;VLOOKUP(I$5,NFI,5,0),1,0)*Data_NFI_t[[#This Row],[Hygiene Kit]],0)</f>
        <v>0</v>
      </c>
      <c r="U42" s="143">
        <f>IF(NFI_Expiration=1,IF($A42&lt;VLOOKUP(J$5,NFI,5,0),1,0)*Data_NFI_t[[#This Row],[NFI Core Kit]],0)</f>
        <v>0</v>
      </c>
      <c r="V42" s="124">
        <f>IF(NFI_Expiration=1,IF($A42&lt;VLOOKUP(K$5,NFI,5,0),1,0)*Data_NFI_t[[#This Row],[Sanitary Kit]],0)</f>
        <v>0</v>
      </c>
      <c r="W42" s="124">
        <f>IF(NFI_Expiration=1,IF($A42&lt;VLOOKUP(L$5,NFI,5,0),1,0)*Data_NFI_t[[#This Row],[Mosquito net]],0)</f>
        <v>0</v>
      </c>
      <c r="X42" s="124">
        <f>IF(NFI_Expiration=1,IF($A42&lt;VLOOKUP(M$5,NFI,5,0),1,0)*Data_NFI_t[[#This Row],[Tarpaulin]],0)</f>
        <v>187</v>
      </c>
      <c r="Y42" s="124">
        <f>IF(NFI_Expiration=1,IF($A42&lt;VLOOKUP(N$5,NFI,5,0),1,0)*Data_NFI_t[[#This Row],[Blanket]],0)</f>
        <v>0</v>
      </c>
      <c r="Z42" s="124">
        <f>IF(NFI_Expiration=1,IF($A42&lt;VLOOKUP(O$5,NFI,5,0),1,0)*Data_NFI_t[[#This Row],[Kitchen Set]],0)</f>
        <v>0</v>
      </c>
      <c r="AA42" s="124">
        <f>IF(NFI_Expiration=1,IF($A42&lt;VLOOKUP(P$5,NFI,5,0),1,0)*Data_NFI_t[[#This Row],[Complementary Kit]],0)</f>
        <v>0</v>
      </c>
      <c r="AB42" s="124">
        <f>IF(NFI_Expiration=1,IF($A42&lt;VLOOKUP(Q$5,NFI,5,0),1,0)*Data_NFI_t[[#This Row],[Plastic Bucket]],0)</f>
        <v>0</v>
      </c>
      <c r="AC42" s="124">
        <f>IF(NFI_Expiration=1,IF($A42&lt;VLOOKUP(R$5,NFI,5,0),1,0)*Data_NFI_t[[#This Row],[Jerry Can]],0)</f>
        <v>0</v>
      </c>
      <c r="AD42" s="143">
        <f>IF(NFI_Expiration=1,IF($A42&lt;VLOOKUP(S$5,NFI,5,0),1,0)*Data_NFI_t[[#This Row],[Plastic Mat]],0)*IF(Data_NFI_t[[#This Row],[Distribution Date]]&gt;"01-06-2015",1,2.5)</f>
        <v>0</v>
      </c>
      <c r="AE42" s="143" t="str">
        <f ca="1">IFERROR(OFFSET(Camp_List[P_Code],MATCH(Data_NFI_t[[#This Row],[Camp Name]],Camp_List[Camp Name],0)-1,0,1,1),"")</f>
        <v>MMR012CMP002</v>
      </c>
      <c r="AF42" s="572" t="str">
        <f ca="1">IFERROR(OFFSET(Camp_List[Status],MATCH(Data_NFI_t[[#This Row],[Camp Name]],Camp_List[Camp Name],0)-1,0,1,1),"")</f>
        <v>Returned in Individual Housing</v>
      </c>
    </row>
    <row r="43" spans="1:32" s="100" customFormat="1" ht="15" customHeight="1">
      <c r="A43" s="254">
        <f t="shared" si="0"/>
        <v>11.866666666666667</v>
      </c>
      <c r="B43" s="254">
        <f>YEAR(Data_NFI_t[[#This Row],[Distribution Date]])</f>
        <v>2015</v>
      </c>
      <c r="C43" s="585">
        <v>42166</v>
      </c>
      <c r="D43" s="547" t="s">
        <v>287</v>
      </c>
      <c r="E43" s="546" t="s">
        <v>287</v>
      </c>
      <c r="F43" s="547" t="s">
        <v>7</v>
      </c>
      <c r="G43" s="31" t="s">
        <v>11</v>
      </c>
      <c r="H43" s="31" t="s">
        <v>27</v>
      </c>
      <c r="I43" s="31"/>
      <c r="J43" s="60"/>
      <c r="K43" s="60"/>
      <c r="L43" s="60"/>
      <c r="M43" s="60">
        <v>90</v>
      </c>
      <c r="N43" s="60"/>
      <c r="O43" s="60"/>
      <c r="P43" s="60"/>
      <c r="Q43" s="60"/>
      <c r="R43" s="570"/>
      <c r="S43" s="60"/>
      <c r="T43" s="143">
        <f>IF(NFI_Expiration=1,IF($A43&lt;VLOOKUP(I$5,NFI,5,0),1,0)*Data_NFI_t[[#This Row],[Hygiene Kit]],0)</f>
        <v>0</v>
      </c>
      <c r="U43" s="143">
        <f>IF(NFI_Expiration=1,IF($A43&lt;VLOOKUP(J$5,NFI,5,0),1,0)*Data_NFI_t[[#This Row],[NFI Core Kit]],0)</f>
        <v>0</v>
      </c>
      <c r="V43" s="124">
        <f>IF(NFI_Expiration=1,IF($A43&lt;VLOOKUP(K$5,NFI,5,0),1,0)*Data_NFI_t[[#This Row],[Sanitary Kit]],0)</f>
        <v>0</v>
      </c>
      <c r="W43" s="124">
        <f>IF(NFI_Expiration=1,IF($A43&lt;VLOOKUP(L$5,NFI,5,0),1,0)*Data_NFI_t[[#This Row],[Mosquito net]],0)</f>
        <v>0</v>
      </c>
      <c r="X43" s="124">
        <f>IF(NFI_Expiration=1,IF($A43&lt;VLOOKUP(M$5,NFI,5,0),1,0)*Data_NFI_t[[#This Row],[Tarpaulin]],0)</f>
        <v>90</v>
      </c>
      <c r="Y43" s="124">
        <f>IF(NFI_Expiration=1,IF($A43&lt;VLOOKUP(N$5,NFI,5,0),1,0)*Data_NFI_t[[#This Row],[Blanket]],0)</f>
        <v>0</v>
      </c>
      <c r="Z43" s="124">
        <f>IF(NFI_Expiration=1,IF($A43&lt;VLOOKUP(O$5,NFI,5,0),1,0)*Data_NFI_t[[#This Row],[Kitchen Set]],0)</f>
        <v>0</v>
      </c>
      <c r="AA43" s="124">
        <f>IF(NFI_Expiration=1,IF($A43&lt;VLOOKUP(P$5,NFI,5,0),1,0)*Data_NFI_t[[#This Row],[Complementary Kit]],0)</f>
        <v>0</v>
      </c>
      <c r="AB43" s="124">
        <f>IF(NFI_Expiration=1,IF($A43&lt;VLOOKUP(Q$5,NFI,5,0),1,0)*Data_NFI_t[[#This Row],[Plastic Bucket]],0)</f>
        <v>0</v>
      </c>
      <c r="AC43" s="124">
        <f>IF(NFI_Expiration=1,IF($A43&lt;VLOOKUP(R$5,NFI,5,0),1,0)*Data_NFI_t[[#This Row],[Jerry Can]],0)</f>
        <v>0</v>
      </c>
      <c r="AD43" s="143">
        <f>IF(NFI_Expiration=1,IF($A43&lt;VLOOKUP(S$5,NFI,5,0),1,0)*Data_NFI_t[[#This Row],[Plastic Mat]],0)*IF(Data_NFI_t[[#This Row],[Distribution Date]]&gt;"01-06-2015",1,2.5)</f>
        <v>0</v>
      </c>
      <c r="AE43" s="143" t="str">
        <f ca="1">IFERROR(OFFSET(Camp_List[P_Code],MATCH(Data_NFI_t[[#This Row],[Camp Name]],Camp_List[Camp Name],0)-1,0,1,1),"")</f>
        <v>MMR012CMP003</v>
      </c>
      <c r="AF43" s="572" t="str">
        <f ca="1">IFERROR(OFFSET(Camp_List[Status],MATCH(Data_NFI_t[[#This Row],[Camp Name]],Camp_List[Camp Name],0)-1,0,1,1),"")</f>
        <v>Returned in Individual Housing</v>
      </c>
    </row>
    <row r="44" spans="1:32" s="100" customFormat="1" ht="15" customHeight="1">
      <c r="A44" s="254">
        <f t="shared" si="0"/>
        <v>11.866666666666667</v>
      </c>
      <c r="B44" s="254">
        <f>YEAR(Data_NFI_t[[#This Row],[Distribution Date]])</f>
        <v>2015</v>
      </c>
      <c r="C44" s="585">
        <v>42166</v>
      </c>
      <c r="D44" s="547" t="s">
        <v>287</v>
      </c>
      <c r="E44" s="546" t="s">
        <v>287</v>
      </c>
      <c r="F44" s="547" t="s">
        <v>7</v>
      </c>
      <c r="G44" s="31" t="s">
        <v>11</v>
      </c>
      <c r="H44" s="31" t="s">
        <v>30</v>
      </c>
      <c r="I44" s="31"/>
      <c r="J44" s="60"/>
      <c r="K44" s="60"/>
      <c r="L44" s="60"/>
      <c r="M44" s="60">
        <v>86</v>
      </c>
      <c r="N44" s="60"/>
      <c r="O44" s="60"/>
      <c r="P44" s="60"/>
      <c r="Q44" s="60"/>
      <c r="R44" s="570"/>
      <c r="S44" s="60"/>
      <c r="T44" s="143">
        <f>IF(NFI_Expiration=1,IF($A44&lt;VLOOKUP(I$5,NFI,5,0),1,0)*Data_NFI_t[[#This Row],[Hygiene Kit]],0)</f>
        <v>0</v>
      </c>
      <c r="U44" s="143">
        <f>IF(NFI_Expiration=1,IF($A44&lt;VLOOKUP(J$5,NFI,5,0),1,0)*Data_NFI_t[[#This Row],[NFI Core Kit]],0)</f>
        <v>0</v>
      </c>
      <c r="V44" s="124">
        <f>IF(NFI_Expiration=1,IF($A44&lt;VLOOKUP(K$5,NFI,5,0),1,0)*Data_NFI_t[[#This Row],[Sanitary Kit]],0)</f>
        <v>0</v>
      </c>
      <c r="W44" s="124">
        <f>IF(NFI_Expiration=1,IF($A44&lt;VLOOKUP(L$5,NFI,5,0),1,0)*Data_NFI_t[[#This Row],[Mosquito net]],0)</f>
        <v>0</v>
      </c>
      <c r="X44" s="124">
        <f>IF(NFI_Expiration=1,IF($A44&lt;VLOOKUP(M$5,NFI,5,0),1,0)*Data_NFI_t[[#This Row],[Tarpaulin]],0)</f>
        <v>86</v>
      </c>
      <c r="Y44" s="124">
        <f>IF(NFI_Expiration=1,IF($A44&lt;VLOOKUP(N$5,NFI,5,0),1,0)*Data_NFI_t[[#This Row],[Blanket]],0)</f>
        <v>0</v>
      </c>
      <c r="Z44" s="124">
        <f>IF(NFI_Expiration=1,IF($A44&lt;VLOOKUP(O$5,NFI,5,0),1,0)*Data_NFI_t[[#This Row],[Kitchen Set]],0)</f>
        <v>0</v>
      </c>
      <c r="AA44" s="124">
        <f>IF(NFI_Expiration=1,IF($A44&lt;VLOOKUP(P$5,NFI,5,0),1,0)*Data_NFI_t[[#This Row],[Complementary Kit]],0)</f>
        <v>0</v>
      </c>
      <c r="AB44" s="124">
        <f>IF(NFI_Expiration=1,IF($A44&lt;VLOOKUP(Q$5,NFI,5,0),1,0)*Data_NFI_t[[#This Row],[Plastic Bucket]],0)</f>
        <v>0</v>
      </c>
      <c r="AC44" s="124">
        <f>IF(NFI_Expiration=1,IF($A44&lt;VLOOKUP(R$5,NFI,5,0),1,0)*Data_NFI_t[[#This Row],[Jerry Can]],0)</f>
        <v>0</v>
      </c>
      <c r="AD44" s="143">
        <f>IF(NFI_Expiration=1,IF($A44&lt;VLOOKUP(S$5,NFI,5,0),1,0)*Data_NFI_t[[#This Row],[Plastic Mat]],0)*IF(Data_NFI_t[[#This Row],[Distribution Date]]&gt;"01-06-2015",1,2.5)</f>
        <v>0</v>
      </c>
      <c r="AE44" s="143" t="str">
        <f ca="1">IFERROR(OFFSET(Camp_List[P_Code],MATCH(Data_NFI_t[[#This Row],[Camp Name]],Camp_List[Camp Name],0)-1,0,1,1),"")</f>
        <v>MMR012CMP006</v>
      </c>
      <c r="AF44" s="572" t="str">
        <f ca="1">IFERROR(OFFSET(Camp_List[Status],MATCH(Data_NFI_t[[#This Row],[Camp Name]],Camp_List[Camp Name],0)-1,0,1,1),"")</f>
        <v>Returned in Individual Housing</v>
      </c>
    </row>
    <row r="45" spans="1:32" s="100" customFormat="1" ht="15" customHeight="1">
      <c r="A45" s="254">
        <f t="shared" si="0"/>
        <v>11.866666666666667</v>
      </c>
      <c r="B45" s="254">
        <f>YEAR(Data_NFI_t[[#This Row],[Distribution Date]])</f>
        <v>2015</v>
      </c>
      <c r="C45" s="585">
        <v>42166</v>
      </c>
      <c r="D45" s="547" t="s">
        <v>287</v>
      </c>
      <c r="E45" s="546" t="s">
        <v>287</v>
      </c>
      <c r="F45" s="547" t="s">
        <v>7</v>
      </c>
      <c r="G45" s="31" t="s">
        <v>11</v>
      </c>
      <c r="H45" s="31" t="s">
        <v>32</v>
      </c>
      <c r="I45" s="31"/>
      <c r="J45" s="60"/>
      <c r="K45" s="60"/>
      <c r="L45" s="60"/>
      <c r="M45" s="60">
        <v>225</v>
      </c>
      <c r="N45" s="60"/>
      <c r="O45" s="60"/>
      <c r="P45" s="60"/>
      <c r="Q45" s="60"/>
      <c r="R45" s="570"/>
      <c r="S45" s="60"/>
      <c r="T45" s="143">
        <f>IF(NFI_Expiration=1,IF($A45&lt;VLOOKUP(I$5,NFI,5,0),1,0)*Data_NFI_t[[#This Row],[Hygiene Kit]],0)</f>
        <v>0</v>
      </c>
      <c r="U45" s="143">
        <f>IF(NFI_Expiration=1,IF($A45&lt;VLOOKUP(J$5,NFI,5,0),1,0)*Data_NFI_t[[#This Row],[NFI Core Kit]],0)</f>
        <v>0</v>
      </c>
      <c r="V45" s="124">
        <f>IF(NFI_Expiration=1,IF($A45&lt;VLOOKUP(K$5,NFI,5,0),1,0)*Data_NFI_t[[#This Row],[Sanitary Kit]],0)</f>
        <v>0</v>
      </c>
      <c r="W45" s="124">
        <f>IF(NFI_Expiration=1,IF($A45&lt;VLOOKUP(L$5,NFI,5,0),1,0)*Data_NFI_t[[#This Row],[Mosquito net]],0)</f>
        <v>0</v>
      </c>
      <c r="X45" s="124">
        <f>IF(NFI_Expiration=1,IF($A45&lt;VLOOKUP(M$5,NFI,5,0),1,0)*Data_NFI_t[[#This Row],[Tarpaulin]],0)</f>
        <v>225</v>
      </c>
      <c r="Y45" s="124">
        <f>IF(NFI_Expiration=1,IF($A45&lt;VLOOKUP(N$5,NFI,5,0),1,0)*Data_NFI_t[[#This Row],[Blanket]],0)</f>
        <v>0</v>
      </c>
      <c r="Z45" s="124">
        <f>IF(NFI_Expiration=1,IF($A45&lt;VLOOKUP(O$5,NFI,5,0),1,0)*Data_NFI_t[[#This Row],[Kitchen Set]],0)</f>
        <v>0</v>
      </c>
      <c r="AA45" s="124">
        <f>IF(NFI_Expiration=1,IF($A45&lt;VLOOKUP(P$5,NFI,5,0),1,0)*Data_NFI_t[[#This Row],[Complementary Kit]],0)</f>
        <v>0</v>
      </c>
      <c r="AB45" s="124">
        <f>IF(NFI_Expiration=1,IF($A45&lt;VLOOKUP(Q$5,NFI,5,0),1,0)*Data_NFI_t[[#This Row],[Plastic Bucket]],0)</f>
        <v>0</v>
      </c>
      <c r="AC45" s="124">
        <f>IF(NFI_Expiration=1,IF($A45&lt;VLOOKUP(R$5,NFI,5,0),1,0)*Data_NFI_t[[#This Row],[Jerry Can]],0)</f>
        <v>0</v>
      </c>
      <c r="AD45" s="143">
        <f>IF(NFI_Expiration=1,IF($A45&lt;VLOOKUP(S$5,NFI,5,0),1,0)*Data_NFI_t[[#This Row],[Plastic Mat]],0)*IF(Data_NFI_t[[#This Row],[Distribution Date]]&gt;"01-06-2015",1,2.5)</f>
        <v>0</v>
      </c>
      <c r="AE45" s="143" t="str">
        <f ca="1">IFERROR(OFFSET(Camp_List[P_Code],MATCH(Data_NFI_t[[#This Row],[Camp Name]],Camp_List[Camp Name],0)-1,0,1,1),"")</f>
        <v>MMR012CMP008</v>
      </c>
      <c r="AF45" s="572" t="str">
        <f ca="1">IFERROR(OFFSET(Camp_List[Status],MATCH(Data_NFI_t[[#This Row],[Camp Name]],Camp_List[Camp Name],0)-1,0,1,1),"")</f>
        <v>Returned in Individual Housing</v>
      </c>
    </row>
    <row r="46" spans="1:32" s="100" customFormat="1" ht="15" customHeight="1">
      <c r="A46" s="254">
        <f t="shared" si="0"/>
        <v>11.9</v>
      </c>
      <c r="B46" s="254">
        <f>YEAR(Data_NFI_t[[#This Row],[Distribution Date]])</f>
        <v>2015</v>
      </c>
      <c r="C46" s="585">
        <v>42165</v>
      </c>
      <c r="D46" s="547" t="s">
        <v>287</v>
      </c>
      <c r="E46" s="546" t="s">
        <v>287</v>
      </c>
      <c r="F46" s="547" t="s">
        <v>7</v>
      </c>
      <c r="G46" s="31" t="s">
        <v>12</v>
      </c>
      <c r="H46" s="31" t="s">
        <v>33</v>
      </c>
      <c r="I46" s="31"/>
      <c r="J46" s="60"/>
      <c r="K46" s="60"/>
      <c r="L46" s="60"/>
      <c r="M46" s="60">
        <v>56</v>
      </c>
      <c r="N46" s="60"/>
      <c r="O46" s="60"/>
      <c r="P46" s="60"/>
      <c r="Q46" s="60"/>
      <c r="R46" s="570"/>
      <c r="S46" s="60"/>
      <c r="T46" s="143">
        <f>IF(NFI_Expiration=1,IF($A46&lt;VLOOKUP(I$5,NFI,5,0),1,0)*Data_NFI_t[[#This Row],[Hygiene Kit]],0)</f>
        <v>0</v>
      </c>
      <c r="U46" s="143">
        <f>IF(NFI_Expiration=1,IF($A46&lt;VLOOKUP(J$5,NFI,5,0),1,0)*Data_NFI_t[[#This Row],[NFI Core Kit]],0)</f>
        <v>0</v>
      </c>
      <c r="V46" s="124">
        <f>IF(NFI_Expiration=1,IF($A46&lt;VLOOKUP(K$5,NFI,5,0),1,0)*Data_NFI_t[[#This Row],[Sanitary Kit]],0)</f>
        <v>0</v>
      </c>
      <c r="W46" s="124">
        <f>IF(NFI_Expiration=1,IF($A46&lt;VLOOKUP(L$5,NFI,5,0),1,0)*Data_NFI_t[[#This Row],[Mosquito net]],0)</f>
        <v>0</v>
      </c>
      <c r="X46" s="124">
        <f>IF(NFI_Expiration=1,IF($A46&lt;VLOOKUP(M$5,NFI,5,0),1,0)*Data_NFI_t[[#This Row],[Tarpaulin]],0)</f>
        <v>56</v>
      </c>
      <c r="Y46" s="124">
        <f>IF(NFI_Expiration=1,IF($A46&lt;VLOOKUP(N$5,NFI,5,0),1,0)*Data_NFI_t[[#This Row],[Blanket]],0)</f>
        <v>0</v>
      </c>
      <c r="Z46" s="124">
        <f>IF(NFI_Expiration=1,IF($A46&lt;VLOOKUP(O$5,NFI,5,0),1,0)*Data_NFI_t[[#This Row],[Kitchen Set]],0)</f>
        <v>0</v>
      </c>
      <c r="AA46" s="124">
        <f>IF(NFI_Expiration=1,IF($A46&lt;VLOOKUP(P$5,NFI,5,0),1,0)*Data_NFI_t[[#This Row],[Complementary Kit]],0)</f>
        <v>0</v>
      </c>
      <c r="AB46" s="124">
        <f>IF(NFI_Expiration=1,IF($A46&lt;VLOOKUP(Q$5,NFI,5,0),1,0)*Data_NFI_t[[#This Row],[Plastic Bucket]],0)</f>
        <v>0</v>
      </c>
      <c r="AC46" s="124">
        <f>IF(NFI_Expiration=1,IF($A46&lt;VLOOKUP(R$5,NFI,5,0),1,0)*Data_NFI_t[[#This Row],[Jerry Can]],0)</f>
        <v>0</v>
      </c>
      <c r="AD46" s="143">
        <f>IF(NFI_Expiration=1,IF($A46&lt;VLOOKUP(S$5,NFI,5,0),1,0)*Data_NFI_t[[#This Row],[Plastic Mat]],0)*IF(Data_NFI_t[[#This Row],[Distribution Date]]&gt;"01-06-2015",1,2.5)</f>
        <v>0</v>
      </c>
      <c r="AE46" s="143" t="str">
        <f ca="1">IFERROR(OFFSET(Camp_List[P_Code],MATCH(Data_NFI_t[[#This Row],[Camp Name]],Camp_List[Camp Name],0)-1,0,1,1),"")</f>
        <v>MMR012CMP009</v>
      </c>
      <c r="AF46" s="572" t="str">
        <f ca="1">IFERROR(OFFSET(Camp_List[Status],MATCH(Data_NFI_t[[#This Row],[Camp Name]],Camp_List[Camp Name],0)-1,0,1,1),"")</f>
        <v>Returned in Individual Housing</v>
      </c>
    </row>
    <row r="47" spans="1:32" s="100" customFormat="1" ht="15" customHeight="1">
      <c r="A47" s="254">
        <f t="shared" si="0"/>
        <v>11.9</v>
      </c>
      <c r="B47" s="254">
        <f>YEAR(Data_NFI_t[[#This Row],[Distribution Date]])</f>
        <v>2015</v>
      </c>
      <c r="C47" s="585">
        <v>42165</v>
      </c>
      <c r="D47" s="547" t="s">
        <v>287</v>
      </c>
      <c r="E47" s="546" t="s">
        <v>287</v>
      </c>
      <c r="F47" s="547" t="s">
        <v>7</v>
      </c>
      <c r="G47" s="31" t="s">
        <v>12</v>
      </c>
      <c r="H47" s="31" t="s">
        <v>34</v>
      </c>
      <c r="I47" s="31"/>
      <c r="J47" s="60"/>
      <c r="K47" s="60"/>
      <c r="L47" s="60"/>
      <c r="M47" s="60">
        <v>55</v>
      </c>
      <c r="N47" s="60"/>
      <c r="O47" s="60"/>
      <c r="P47" s="60"/>
      <c r="Q47" s="60"/>
      <c r="R47" s="570"/>
      <c r="S47" s="60"/>
      <c r="T47" s="143">
        <f>IF(NFI_Expiration=1,IF($A47&lt;VLOOKUP(I$5,NFI,5,0),1,0)*Data_NFI_t[[#This Row],[Hygiene Kit]],0)</f>
        <v>0</v>
      </c>
      <c r="U47" s="143">
        <f>IF(NFI_Expiration=1,IF($A47&lt;VLOOKUP(J$5,NFI,5,0),1,0)*Data_NFI_t[[#This Row],[NFI Core Kit]],0)</f>
        <v>0</v>
      </c>
      <c r="V47" s="124">
        <f>IF(NFI_Expiration=1,IF($A47&lt;VLOOKUP(K$5,NFI,5,0),1,0)*Data_NFI_t[[#This Row],[Sanitary Kit]],0)</f>
        <v>0</v>
      </c>
      <c r="W47" s="124">
        <f>IF(NFI_Expiration=1,IF($A47&lt;VLOOKUP(L$5,NFI,5,0),1,0)*Data_NFI_t[[#This Row],[Mosquito net]],0)</f>
        <v>0</v>
      </c>
      <c r="X47" s="124">
        <f>IF(NFI_Expiration=1,IF($A47&lt;VLOOKUP(M$5,NFI,5,0),1,0)*Data_NFI_t[[#This Row],[Tarpaulin]],0)</f>
        <v>55</v>
      </c>
      <c r="Y47" s="124">
        <f>IF(NFI_Expiration=1,IF($A47&lt;VLOOKUP(N$5,NFI,5,0),1,0)*Data_NFI_t[[#This Row],[Blanket]],0)</f>
        <v>0</v>
      </c>
      <c r="Z47" s="124">
        <f>IF(NFI_Expiration=1,IF($A47&lt;VLOOKUP(O$5,NFI,5,0),1,0)*Data_NFI_t[[#This Row],[Kitchen Set]],0)</f>
        <v>0</v>
      </c>
      <c r="AA47" s="124">
        <f>IF(NFI_Expiration=1,IF($A47&lt;VLOOKUP(P$5,NFI,5,0),1,0)*Data_NFI_t[[#This Row],[Complementary Kit]],0)</f>
        <v>0</v>
      </c>
      <c r="AB47" s="124">
        <f>IF(NFI_Expiration=1,IF($A47&lt;VLOOKUP(Q$5,NFI,5,0),1,0)*Data_NFI_t[[#This Row],[Plastic Bucket]],0)</f>
        <v>0</v>
      </c>
      <c r="AC47" s="124">
        <f>IF(NFI_Expiration=1,IF($A47&lt;VLOOKUP(R$5,NFI,5,0),1,0)*Data_NFI_t[[#This Row],[Jerry Can]],0)</f>
        <v>0</v>
      </c>
      <c r="AD47" s="143">
        <f>IF(NFI_Expiration=1,IF($A47&lt;VLOOKUP(S$5,NFI,5,0),1,0)*Data_NFI_t[[#This Row],[Plastic Mat]],0)*IF(Data_NFI_t[[#This Row],[Distribution Date]]&gt;"01-06-2015",1,2.5)</f>
        <v>0</v>
      </c>
      <c r="AE47" s="143" t="str">
        <f ca="1">IFERROR(OFFSET(Camp_List[P_Code],MATCH(Data_NFI_t[[#This Row],[Camp Name]],Camp_List[Camp Name],0)-1,0,1,1),"")</f>
        <v>MMR012CMP010</v>
      </c>
      <c r="AF47" s="572" t="str">
        <f ca="1">IFERROR(OFFSET(Camp_List[Status],MATCH(Data_NFI_t[[#This Row],[Camp Name]],Camp_List[Camp Name],0)-1,0,1,1),"")</f>
        <v>Returned in Individual Housing</v>
      </c>
    </row>
    <row r="48" spans="1:32" s="100" customFormat="1" ht="15" customHeight="1">
      <c r="A48" s="254">
        <f t="shared" si="0"/>
        <v>11.9</v>
      </c>
      <c r="B48" s="254">
        <f>YEAR(Data_NFI_t[[#This Row],[Distribution Date]])</f>
        <v>2015</v>
      </c>
      <c r="C48" s="585">
        <v>42165</v>
      </c>
      <c r="D48" s="547" t="s">
        <v>287</v>
      </c>
      <c r="E48" s="546" t="s">
        <v>287</v>
      </c>
      <c r="F48" s="547" t="s">
        <v>7</v>
      </c>
      <c r="G48" s="31" t="s">
        <v>11</v>
      </c>
      <c r="H48" s="31" t="s">
        <v>29</v>
      </c>
      <c r="I48" s="31"/>
      <c r="J48" s="60"/>
      <c r="K48" s="60"/>
      <c r="L48" s="60"/>
      <c r="M48" s="60">
        <v>275</v>
      </c>
      <c r="N48" s="60"/>
      <c r="O48" s="60"/>
      <c r="P48" s="60"/>
      <c r="Q48" s="60"/>
      <c r="R48" s="570"/>
      <c r="S48" s="60"/>
      <c r="T48" s="143">
        <f>IF(NFI_Expiration=1,IF($A48&lt;VLOOKUP(I$5,NFI,5,0),1,0)*Data_NFI_t[[#This Row],[Hygiene Kit]],0)</f>
        <v>0</v>
      </c>
      <c r="U48" s="143">
        <f>IF(NFI_Expiration=1,IF($A48&lt;VLOOKUP(J$5,NFI,5,0),1,0)*Data_NFI_t[[#This Row],[NFI Core Kit]],0)</f>
        <v>0</v>
      </c>
      <c r="V48" s="124">
        <f>IF(NFI_Expiration=1,IF($A48&lt;VLOOKUP(K$5,NFI,5,0),1,0)*Data_NFI_t[[#This Row],[Sanitary Kit]],0)</f>
        <v>0</v>
      </c>
      <c r="W48" s="124">
        <f>IF(NFI_Expiration=1,IF($A48&lt;VLOOKUP(L$5,NFI,5,0),1,0)*Data_NFI_t[[#This Row],[Mosquito net]],0)</f>
        <v>0</v>
      </c>
      <c r="X48" s="124">
        <f>IF(NFI_Expiration=1,IF($A48&lt;VLOOKUP(M$5,NFI,5,0),1,0)*Data_NFI_t[[#This Row],[Tarpaulin]],0)</f>
        <v>275</v>
      </c>
      <c r="Y48" s="124">
        <f>IF(NFI_Expiration=1,IF($A48&lt;VLOOKUP(N$5,NFI,5,0),1,0)*Data_NFI_t[[#This Row],[Blanket]],0)</f>
        <v>0</v>
      </c>
      <c r="Z48" s="124">
        <f>IF(NFI_Expiration=1,IF($A48&lt;VLOOKUP(O$5,NFI,5,0),1,0)*Data_NFI_t[[#This Row],[Kitchen Set]],0)</f>
        <v>0</v>
      </c>
      <c r="AA48" s="124">
        <f>IF(NFI_Expiration=1,IF($A48&lt;VLOOKUP(P$5,NFI,5,0),1,0)*Data_NFI_t[[#This Row],[Complementary Kit]],0)</f>
        <v>0</v>
      </c>
      <c r="AB48" s="124">
        <f>IF(NFI_Expiration=1,IF($A48&lt;VLOOKUP(Q$5,NFI,5,0),1,0)*Data_NFI_t[[#This Row],[Plastic Bucket]],0)</f>
        <v>0</v>
      </c>
      <c r="AC48" s="124">
        <f>IF(NFI_Expiration=1,IF($A48&lt;VLOOKUP(R$5,NFI,5,0),1,0)*Data_NFI_t[[#This Row],[Jerry Can]],0)</f>
        <v>0</v>
      </c>
      <c r="AD48" s="143">
        <f>IF(NFI_Expiration=1,IF($A48&lt;VLOOKUP(S$5,NFI,5,0),1,0)*Data_NFI_t[[#This Row],[Plastic Mat]],0)*IF(Data_NFI_t[[#This Row],[Distribution Date]]&gt;"01-06-2015",1,2.5)</f>
        <v>0</v>
      </c>
      <c r="AE48" s="143" t="str">
        <f ca="1">IFERROR(OFFSET(Camp_List[P_Code],MATCH(Data_NFI_t[[#This Row],[Camp Name]],Camp_List[Camp Name],0)-1,0,1,1),"")</f>
        <v>MMR012CMP005</v>
      </c>
      <c r="AF48" s="572" t="str">
        <f ca="1">IFERROR(OFFSET(Camp_List[Status],MATCH(Data_NFI_t[[#This Row],[Camp Name]],Camp_List[Camp Name],0)-1,0,1,1),"")</f>
        <v>Returned in Individual Housing</v>
      </c>
    </row>
    <row r="49" spans="1:32" s="100" customFormat="1" ht="15" customHeight="1">
      <c r="A49" s="254">
        <f t="shared" si="0"/>
        <v>12.6</v>
      </c>
      <c r="B49" s="254">
        <f>YEAR(Data_NFI_t[[#This Row],[Distribution Date]])</f>
        <v>2015</v>
      </c>
      <c r="C49" s="585">
        <v>42144</v>
      </c>
      <c r="D49" s="547" t="s">
        <v>287</v>
      </c>
      <c r="E49" s="546" t="s">
        <v>290</v>
      </c>
      <c r="F49" s="547" t="s">
        <v>7</v>
      </c>
      <c r="G49" s="31" t="s">
        <v>19</v>
      </c>
      <c r="H49" s="31" t="s">
        <v>652</v>
      </c>
      <c r="I49" s="31">
        <v>0</v>
      </c>
      <c r="J49" s="60">
        <v>140</v>
      </c>
      <c r="K49" s="60">
        <v>0</v>
      </c>
      <c r="L49" s="60">
        <v>1298</v>
      </c>
      <c r="M49" s="60">
        <v>649</v>
      </c>
      <c r="N49" s="60">
        <v>1298</v>
      </c>
      <c r="O49" s="60">
        <v>649</v>
      </c>
      <c r="P49" s="60">
        <v>509</v>
      </c>
      <c r="Q49" s="60">
        <v>649</v>
      </c>
      <c r="R49" s="570">
        <v>649</v>
      </c>
      <c r="S49" s="60">
        <v>3245</v>
      </c>
      <c r="T49" s="143">
        <f>IF(NFI_Expiration=1,IF($A49&lt;VLOOKUP(I$5,NFI,5,0),1,0)*Data_NFI_t[[#This Row],[Hygiene Kit]],0)</f>
        <v>0</v>
      </c>
      <c r="U49" s="143">
        <f>IF(NFI_Expiration=1,IF($A49&lt;VLOOKUP(J$5,NFI,5,0),1,0)*Data_NFI_t[[#This Row],[NFI Core Kit]],0)</f>
        <v>0</v>
      </c>
      <c r="V49" s="124">
        <f>IF(NFI_Expiration=1,IF($A49&lt;VLOOKUP(K$5,NFI,5,0),1,0)*Data_NFI_t[[#This Row],[Sanitary Kit]],0)</f>
        <v>0</v>
      </c>
      <c r="W49" s="124">
        <f>IF(NFI_Expiration=1,IF($A49&lt;VLOOKUP(L$5,NFI,5,0),1,0)*Data_NFI_t[[#This Row],[Mosquito net]],0)</f>
        <v>0</v>
      </c>
      <c r="X49" s="124">
        <f>IF(NFI_Expiration=1,IF($A49&lt;VLOOKUP(M$5,NFI,5,0),1,0)*Data_NFI_t[[#This Row],[Tarpaulin]],0)</f>
        <v>0</v>
      </c>
      <c r="Y49" s="124">
        <f>IF(NFI_Expiration=1,IF($A49&lt;VLOOKUP(N$5,NFI,5,0),1,0)*Data_NFI_t[[#This Row],[Blanket]],0)</f>
        <v>0</v>
      </c>
      <c r="Z49" s="124">
        <f>IF(NFI_Expiration=1,IF($A49&lt;VLOOKUP(O$5,NFI,5,0),1,0)*Data_NFI_t[[#This Row],[Kitchen Set]],0)</f>
        <v>0</v>
      </c>
      <c r="AA49" s="124">
        <f>IF(NFI_Expiration=1,IF($A49&lt;VLOOKUP(P$5,NFI,5,0),1,0)*Data_NFI_t[[#This Row],[Complementary Kit]],0)</f>
        <v>0</v>
      </c>
      <c r="AB49" s="124">
        <f>IF(NFI_Expiration=1,IF($A49&lt;VLOOKUP(Q$5,NFI,5,0),1,0)*Data_NFI_t[[#This Row],[Plastic Bucket]],0)</f>
        <v>0</v>
      </c>
      <c r="AC49" s="124">
        <f>IF(NFI_Expiration=1,IF($A49&lt;VLOOKUP(R$5,NFI,5,0),1,0)*Data_NFI_t[[#This Row],[Jerry Can]],0)</f>
        <v>0</v>
      </c>
      <c r="AD49" s="143">
        <f>IF(NFI_Expiration=1,IF($A49&lt;VLOOKUP(S$5,NFI,5,0),1,0)*Data_NFI_t[[#This Row],[Plastic Mat]],0)*IF(Data_NFI_t[[#This Row],[Distribution Date]]&gt;"01-06-2015",1,2.5)</f>
        <v>0</v>
      </c>
      <c r="AE49" s="143" t="str">
        <f ca="1">IFERROR(OFFSET(Camp_List[P_Code],MATCH(Data_NFI_t[[#This Row],[Camp Name]],Camp_List[Camp Name],0)-1,0,1,1),"")</f>
        <v>MMR012CMP098</v>
      </c>
      <c r="AF49" s="572" t="str">
        <f ca="1">IFERROR(OFFSET(Camp_List[Status],MATCH(Data_NFI_t[[#This Row],[Camp Name]],Camp_List[Camp Name],0)-1,0,1,1),"")</f>
        <v>Open</v>
      </c>
    </row>
    <row r="50" spans="1:32" s="100" customFormat="1" ht="15" customHeight="1">
      <c r="A50" s="254">
        <f t="shared" si="0"/>
        <v>12.866666666666667</v>
      </c>
      <c r="B50" s="254">
        <f>YEAR(Data_NFI_t[[#This Row],[Distribution Date]])</f>
        <v>2015</v>
      </c>
      <c r="C50" s="585">
        <v>42136</v>
      </c>
      <c r="D50" s="547" t="s">
        <v>287</v>
      </c>
      <c r="E50" s="546" t="s">
        <v>525</v>
      </c>
      <c r="F50" s="547" t="s">
        <v>7</v>
      </c>
      <c r="G50" s="31" t="s">
        <v>19</v>
      </c>
      <c r="H50" s="31" t="s">
        <v>657</v>
      </c>
      <c r="I50" s="31">
        <v>0</v>
      </c>
      <c r="J50" s="60"/>
      <c r="K50" s="60">
        <v>0</v>
      </c>
      <c r="L50" s="60">
        <v>498</v>
      </c>
      <c r="M50" s="60">
        <v>249</v>
      </c>
      <c r="N50" s="60">
        <v>498</v>
      </c>
      <c r="O50" s="60">
        <v>249</v>
      </c>
      <c r="P50" s="60">
        <v>0</v>
      </c>
      <c r="Q50" s="60">
        <v>249</v>
      </c>
      <c r="R50" s="570">
        <v>249</v>
      </c>
      <c r="S50" s="60">
        <v>1245</v>
      </c>
      <c r="T50" s="143">
        <f>IF(NFI_Expiration=1,IF($A50&lt;VLOOKUP(I$5,NFI,5,0),1,0)*Data_NFI_t[[#This Row],[Hygiene Kit]],0)</f>
        <v>0</v>
      </c>
      <c r="U50" s="143">
        <f>IF(NFI_Expiration=1,IF($A50&lt;VLOOKUP(J$5,NFI,5,0),1,0)*Data_NFI_t[[#This Row],[NFI Core Kit]],0)</f>
        <v>0</v>
      </c>
      <c r="V50" s="124">
        <f>IF(NFI_Expiration=1,IF($A50&lt;VLOOKUP(K$5,NFI,5,0),1,0)*Data_NFI_t[[#This Row],[Sanitary Kit]],0)</f>
        <v>0</v>
      </c>
      <c r="W50" s="124">
        <f>IF(NFI_Expiration=1,IF($A50&lt;VLOOKUP(L$5,NFI,5,0),1,0)*Data_NFI_t[[#This Row],[Mosquito net]],0)</f>
        <v>0</v>
      </c>
      <c r="X50" s="124">
        <f>IF(NFI_Expiration=1,IF($A50&lt;VLOOKUP(M$5,NFI,5,0),1,0)*Data_NFI_t[[#This Row],[Tarpaulin]],0)</f>
        <v>0</v>
      </c>
      <c r="Y50" s="124">
        <f>IF(NFI_Expiration=1,IF($A50&lt;VLOOKUP(N$5,NFI,5,0),1,0)*Data_NFI_t[[#This Row],[Blanket]],0)</f>
        <v>0</v>
      </c>
      <c r="Z50" s="124">
        <f>IF(NFI_Expiration=1,IF($A50&lt;VLOOKUP(O$5,NFI,5,0),1,0)*Data_NFI_t[[#This Row],[Kitchen Set]],0)</f>
        <v>0</v>
      </c>
      <c r="AA50" s="124">
        <f>IF(NFI_Expiration=1,IF($A50&lt;VLOOKUP(P$5,NFI,5,0),1,0)*Data_NFI_t[[#This Row],[Complementary Kit]],0)</f>
        <v>0</v>
      </c>
      <c r="AB50" s="124">
        <f>IF(NFI_Expiration=1,IF($A50&lt;VLOOKUP(Q$5,NFI,5,0),1,0)*Data_NFI_t[[#This Row],[Plastic Bucket]],0)</f>
        <v>0</v>
      </c>
      <c r="AC50" s="124">
        <f>IF(NFI_Expiration=1,IF($A50&lt;VLOOKUP(R$5,NFI,5,0),1,0)*Data_NFI_t[[#This Row],[Jerry Can]],0)</f>
        <v>0</v>
      </c>
      <c r="AD50" s="143">
        <f>IF(NFI_Expiration=1,IF($A50&lt;VLOOKUP(S$5,NFI,5,0),1,0)*Data_NFI_t[[#This Row],[Plastic Mat]],0)*IF(Data_NFI_t[[#This Row],[Distribution Date]]&gt;"01-06-2015",1,2.5)</f>
        <v>0</v>
      </c>
      <c r="AE50" s="143" t="str">
        <f ca="1">IFERROR(OFFSET(Camp_List[P_Code],MATCH(Data_NFI_t[[#This Row],[Camp Name]],Camp_List[Camp Name],0)-1,0,1,1),"")</f>
        <v>MMR012CMP111</v>
      </c>
      <c r="AF50" s="572" t="str">
        <f ca="1">IFERROR(OFFSET(Camp_List[Status],MATCH(Data_NFI_t[[#This Row],[Camp Name]],Camp_List[Camp Name],0)-1,0,1,1),"")</f>
        <v>Relocated in Individual Housing</v>
      </c>
    </row>
    <row r="51" spans="1:32" s="100" customFormat="1" ht="15" customHeight="1">
      <c r="A51" s="254">
        <f t="shared" si="0"/>
        <v>13.033333333333333</v>
      </c>
      <c r="B51" s="254">
        <f>YEAR(Data_NFI_t[[#This Row],[Distribution Date]])</f>
        <v>2015</v>
      </c>
      <c r="C51" s="585">
        <v>42131</v>
      </c>
      <c r="D51" s="547" t="s">
        <v>287</v>
      </c>
      <c r="E51" s="546" t="s">
        <v>642</v>
      </c>
      <c r="F51" s="547" t="s">
        <v>7</v>
      </c>
      <c r="G51" s="31" t="s">
        <v>19</v>
      </c>
      <c r="H51" s="31" t="s">
        <v>68</v>
      </c>
      <c r="I51" s="31"/>
      <c r="J51" s="60">
        <v>2145</v>
      </c>
      <c r="K51" s="60"/>
      <c r="L51" s="60">
        <v>4290</v>
      </c>
      <c r="M51" s="60">
        <v>2145</v>
      </c>
      <c r="N51" s="60">
        <v>4290</v>
      </c>
      <c r="O51" s="60">
        <v>2145</v>
      </c>
      <c r="P51" s="60"/>
      <c r="Q51" s="60">
        <v>2145</v>
      </c>
      <c r="R51" s="570">
        <v>2145</v>
      </c>
      <c r="S51" s="60">
        <v>10725</v>
      </c>
      <c r="T51" s="143">
        <f>IF(NFI_Expiration=1,IF($A51&lt;VLOOKUP(I$5,NFI,5,0),1,0)*Data_NFI_t[[#This Row],[Hygiene Kit]],0)</f>
        <v>0</v>
      </c>
      <c r="U51" s="143">
        <f>IF(NFI_Expiration=1,IF($A51&lt;VLOOKUP(J$5,NFI,5,0),1,0)*Data_NFI_t[[#This Row],[NFI Core Kit]],0)</f>
        <v>0</v>
      </c>
      <c r="V51" s="124">
        <f>IF(NFI_Expiration=1,IF($A51&lt;VLOOKUP(K$5,NFI,5,0),1,0)*Data_NFI_t[[#This Row],[Sanitary Kit]],0)</f>
        <v>0</v>
      </c>
      <c r="W51" s="124">
        <f>IF(NFI_Expiration=1,IF($A51&lt;VLOOKUP(L$5,NFI,5,0),1,0)*Data_NFI_t[[#This Row],[Mosquito net]],0)</f>
        <v>0</v>
      </c>
      <c r="X51" s="124">
        <f>IF(NFI_Expiration=1,IF($A51&lt;VLOOKUP(M$5,NFI,5,0),1,0)*Data_NFI_t[[#This Row],[Tarpaulin]],0)</f>
        <v>0</v>
      </c>
      <c r="Y51" s="124">
        <f>IF(NFI_Expiration=1,IF($A51&lt;VLOOKUP(N$5,NFI,5,0),1,0)*Data_NFI_t[[#This Row],[Blanket]],0)</f>
        <v>0</v>
      </c>
      <c r="Z51" s="124">
        <f>IF(NFI_Expiration=1,IF($A51&lt;VLOOKUP(O$5,NFI,5,0),1,0)*Data_NFI_t[[#This Row],[Kitchen Set]],0)</f>
        <v>0</v>
      </c>
      <c r="AA51" s="124">
        <f>IF(NFI_Expiration=1,IF($A51&lt;VLOOKUP(P$5,NFI,5,0),1,0)*Data_NFI_t[[#This Row],[Complementary Kit]],0)</f>
        <v>0</v>
      </c>
      <c r="AB51" s="124">
        <f>IF(NFI_Expiration=1,IF($A51&lt;VLOOKUP(Q$5,NFI,5,0),1,0)*Data_NFI_t[[#This Row],[Plastic Bucket]],0)</f>
        <v>0</v>
      </c>
      <c r="AC51" s="124">
        <f>IF(NFI_Expiration=1,IF($A51&lt;VLOOKUP(R$5,NFI,5,0),1,0)*Data_NFI_t[[#This Row],[Jerry Can]],0)</f>
        <v>0</v>
      </c>
      <c r="AD51" s="143">
        <f>IF(NFI_Expiration=1,IF($A51&lt;VLOOKUP(S$5,NFI,5,0),1,0)*Data_NFI_t[[#This Row],[Plastic Mat]],0)*IF(Data_NFI_t[[#This Row],[Distribution Date]]&gt;"01-06-2015",1,2.5)</f>
        <v>0</v>
      </c>
      <c r="AE51" s="143" t="str">
        <f ca="1">IFERROR(OFFSET(Camp_List[P_Code],MATCH(Data_NFI_t[[#This Row],[Camp Name]],Camp_List[Camp Name],0)-1,0,1,1),"")</f>
        <v>MMR012CMP046</v>
      </c>
      <c r="AF51" s="572" t="str">
        <f ca="1">IFERROR(OFFSET(Camp_List[Status],MATCH(Data_NFI_t[[#This Row],[Camp Name]],Camp_List[Camp Name],0)-1,0,1,1),"")</f>
        <v>Open</v>
      </c>
    </row>
    <row r="52" spans="1:32" s="100" customFormat="1" ht="15" customHeight="1">
      <c r="A52" s="254">
        <f t="shared" si="0"/>
        <v>13.066666666666666</v>
      </c>
      <c r="B52" s="254">
        <f>YEAR(Data_NFI_t[[#This Row],[Distribution Date]])</f>
        <v>2015</v>
      </c>
      <c r="C52" s="585">
        <v>42130</v>
      </c>
      <c r="D52" s="547" t="s">
        <v>290</v>
      </c>
      <c r="E52" s="546" t="s">
        <v>290</v>
      </c>
      <c r="F52" s="547" t="s">
        <v>7</v>
      </c>
      <c r="G52" s="31" t="s">
        <v>19</v>
      </c>
      <c r="H52" s="31" t="s">
        <v>63</v>
      </c>
      <c r="I52" s="31">
        <v>0</v>
      </c>
      <c r="J52" s="60">
        <v>1364</v>
      </c>
      <c r="K52" s="60">
        <v>0</v>
      </c>
      <c r="L52" s="60">
        <v>2728</v>
      </c>
      <c r="M52" s="60">
        <v>1364</v>
      </c>
      <c r="N52" s="60">
        <v>2728</v>
      </c>
      <c r="O52" s="60">
        <v>1364</v>
      </c>
      <c r="P52" s="60">
        <v>0</v>
      </c>
      <c r="Q52" s="60">
        <v>1364</v>
      </c>
      <c r="R52" s="570">
        <v>1364</v>
      </c>
      <c r="S52" s="60">
        <v>6820</v>
      </c>
      <c r="T52" s="143">
        <f>IF(NFI_Expiration=1,IF($A52&lt;VLOOKUP(I$5,NFI,5,0),1,0)*Data_NFI_t[[#This Row],[Hygiene Kit]],0)</f>
        <v>0</v>
      </c>
      <c r="U52" s="143">
        <f>IF(NFI_Expiration=1,IF($A52&lt;VLOOKUP(J$5,NFI,5,0),1,0)*Data_NFI_t[[#This Row],[NFI Core Kit]],0)</f>
        <v>0</v>
      </c>
      <c r="V52" s="124">
        <f>IF(NFI_Expiration=1,IF($A52&lt;VLOOKUP(K$5,NFI,5,0),1,0)*Data_NFI_t[[#This Row],[Sanitary Kit]],0)</f>
        <v>0</v>
      </c>
      <c r="W52" s="124">
        <f>IF(NFI_Expiration=1,IF($A52&lt;VLOOKUP(L$5,NFI,5,0),1,0)*Data_NFI_t[[#This Row],[Mosquito net]],0)</f>
        <v>0</v>
      </c>
      <c r="X52" s="124">
        <f>IF(NFI_Expiration=1,IF($A52&lt;VLOOKUP(M$5,NFI,5,0),1,0)*Data_NFI_t[[#This Row],[Tarpaulin]],0)</f>
        <v>0</v>
      </c>
      <c r="Y52" s="124">
        <f>IF(NFI_Expiration=1,IF($A52&lt;VLOOKUP(N$5,NFI,5,0),1,0)*Data_NFI_t[[#This Row],[Blanket]],0)</f>
        <v>0</v>
      </c>
      <c r="Z52" s="124">
        <f>IF(NFI_Expiration=1,IF($A52&lt;VLOOKUP(O$5,NFI,5,0),1,0)*Data_NFI_t[[#This Row],[Kitchen Set]],0)</f>
        <v>0</v>
      </c>
      <c r="AA52" s="124">
        <f>IF(NFI_Expiration=1,IF($A52&lt;VLOOKUP(P$5,NFI,5,0),1,0)*Data_NFI_t[[#This Row],[Complementary Kit]],0)</f>
        <v>0</v>
      </c>
      <c r="AB52" s="124">
        <f>IF(NFI_Expiration=1,IF($A52&lt;VLOOKUP(Q$5,NFI,5,0),1,0)*Data_NFI_t[[#This Row],[Plastic Bucket]],0)</f>
        <v>0</v>
      </c>
      <c r="AC52" s="124">
        <f>IF(NFI_Expiration=1,IF($A52&lt;VLOOKUP(R$5,NFI,5,0),1,0)*Data_NFI_t[[#This Row],[Jerry Can]],0)</f>
        <v>0</v>
      </c>
      <c r="AD52" s="143">
        <f>IF(NFI_Expiration=1,IF($A52&lt;VLOOKUP(S$5,NFI,5,0),1,0)*Data_NFI_t[[#This Row],[Plastic Mat]],0)*IF(Data_NFI_t[[#This Row],[Distribution Date]]&gt;"01-06-2015",1,2.5)</f>
        <v>0</v>
      </c>
      <c r="AE52" s="143" t="str">
        <f ca="1">IFERROR(OFFSET(Camp_List[P_Code],MATCH(Data_NFI_t[[#This Row],[Camp Name]],Camp_List[Camp Name],0)-1,0,1,1),"")</f>
        <v>MMR012CMP041</v>
      </c>
      <c r="AF52" s="572" t="str">
        <f ca="1">IFERROR(OFFSET(Camp_List[Status],MATCH(Data_NFI_t[[#This Row],[Camp Name]],Camp_List[Camp Name],0)-1,0,1,1),"")</f>
        <v>Open</v>
      </c>
    </row>
    <row r="53" spans="1:32" s="100" customFormat="1" ht="15" customHeight="1">
      <c r="A53" s="254">
        <f t="shared" si="0"/>
        <v>13.1</v>
      </c>
      <c r="B53" s="254">
        <v>2015</v>
      </c>
      <c r="C53" s="585">
        <v>42129</v>
      </c>
      <c r="D53" s="547" t="s">
        <v>287</v>
      </c>
      <c r="E53" s="546" t="s">
        <v>287</v>
      </c>
      <c r="F53" s="547" t="s">
        <v>7</v>
      </c>
      <c r="G53" s="31" t="s">
        <v>16</v>
      </c>
      <c r="H53" s="31" t="s">
        <v>623</v>
      </c>
      <c r="I53" s="31">
        <v>0</v>
      </c>
      <c r="J53" s="60">
        <v>7</v>
      </c>
      <c r="K53" s="60">
        <v>7</v>
      </c>
      <c r="L53" s="60">
        <v>14</v>
      </c>
      <c r="M53" s="60">
        <v>5</v>
      </c>
      <c r="N53" s="60">
        <v>14</v>
      </c>
      <c r="O53" s="60">
        <v>5</v>
      </c>
      <c r="P53" s="60">
        <v>0</v>
      </c>
      <c r="Q53" s="60">
        <v>7</v>
      </c>
      <c r="R53" s="570">
        <v>7</v>
      </c>
      <c r="S53" s="60">
        <v>21</v>
      </c>
      <c r="T53" s="143">
        <f>IF(NFI_Expiration=1,IF($A53&lt;VLOOKUP(I$5,NFI,5,0),1,0)*Data_NFI_t[[#This Row],[Hygiene Kit]],0)</f>
        <v>0</v>
      </c>
      <c r="U53" s="143">
        <f>IF(NFI_Expiration=1,IF($A53&lt;VLOOKUP(J$5,NFI,5,0),1,0)*Data_NFI_t[[#This Row],[NFI Core Kit]],0)</f>
        <v>0</v>
      </c>
      <c r="V53" s="124">
        <f>IF(NFI_Expiration=1,IF($A53&lt;VLOOKUP(K$5,NFI,5,0),1,0)*Data_NFI_t[[#This Row],[Sanitary Kit]],0)</f>
        <v>0</v>
      </c>
      <c r="W53" s="124">
        <f>IF(NFI_Expiration=1,IF($A53&lt;VLOOKUP(L$5,NFI,5,0),1,0)*Data_NFI_t[[#This Row],[Mosquito net]],0)</f>
        <v>0</v>
      </c>
      <c r="X53" s="124">
        <f>IF(NFI_Expiration=1,IF($A53&lt;VLOOKUP(M$5,NFI,5,0),1,0)*Data_NFI_t[[#This Row],[Tarpaulin]],0)</f>
        <v>0</v>
      </c>
      <c r="Y53" s="124">
        <f>IF(NFI_Expiration=1,IF($A53&lt;VLOOKUP(N$5,NFI,5,0),1,0)*Data_NFI_t[[#This Row],[Blanket]],0)</f>
        <v>0</v>
      </c>
      <c r="Z53" s="124">
        <f>IF(NFI_Expiration=1,IF($A53&lt;VLOOKUP(O$5,NFI,5,0),1,0)*Data_NFI_t[[#This Row],[Kitchen Set]],0)</f>
        <v>0</v>
      </c>
      <c r="AA53" s="124">
        <f>IF(NFI_Expiration=1,IF($A53&lt;VLOOKUP(P$5,NFI,5,0),1,0)*Data_NFI_t[[#This Row],[Complementary Kit]],0)</f>
        <v>0</v>
      </c>
      <c r="AB53" s="124">
        <f>IF(NFI_Expiration=1,IF($A53&lt;VLOOKUP(Q$5,NFI,5,0),1,0)*Data_NFI_t[[#This Row],[Plastic Bucket]],0)</f>
        <v>0</v>
      </c>
      <c r="AC53" s="124">
        <f>IF(NFI_Expiration=1,IF($A53&lt;VLOOKUP(R$5,NFI,5,0),1,0)*Data_NFI_t[[#This Row],[Jerry Can]],0)</f>
        <v>0</v>
      </c>
      <c r="AD53" s="143">
        <f>IF(NFI_Expiration=1,IF($A53&lt;VLOOKUP(S$5,NFI,5,0),1,0)*Data_NFI_t[[#This Row],[Plastic Mat]],0)*IF(Data_NFI_t[[#This Row],[Distribution Date]]&gt;"01-06-2015",1,2.5)</f>
        <v>0</v>
      </c>
      <c r="AE53" s="143" t="str">
        <f ca="1">IFERROR(OFFSET(Camp_List[P_Code],MATCH(Data_NFI_t[[#This Row],[Camp Name]],Camp_List[Camp Name],0)-1,0,1,1),"")</f>
        <v>MMR012CMP033</v>
      </c>
      <c r="AF53" s="572" t="str">
        <f ca="1">IFERROR(OFFSET(Camp_List[Status],MATCH(Data_NFI_t[[#This Row],[Camp Name]],Camp_List[Camp Name],0)-1,0,1,1),"")</f>
        <v>Open</v>
      </c>
    </row>
    <row r="54" spans="1:32" s="100" customFormat="1" ht="15" customHeight="1">
      <c r="A54" s="254">
        <f t="shared" si="0"/>
        <v>13.366666666666667</v>
      </c>
      <c r="B54" s="254">
        <f>YEAR(Data_NFI_t[[#This Row],[Distribution Date]])</f>
        <v>2015</v>
      </c>
      <c r="C54" s="585">
        <v>42121</v>
      </c>
      <c r="D54" s="547" t="s">
        <v>287</v>
      </c>
      <c r="E54" s="546" t="s">
        <v>287</v>
      </c>
      <c r="F54" s="547" t="s">
        <v>7</v>
      </c>
      <c r="G54" s="31" t="s">
        <v>19</v>
      </c>
      <c r="H54" s="31" t="s">
        <v>658</v>
      </c>
      <c r="I54" s="31">
        <v>0</v>
      </c>
      <c r="J54" s="60"/>
      <c r="K54" s="60">
        <v>0</v>
      </c>
      <c r="L54" s="60">
        <v>836</v>
      </c>
      <c r="M54" s="60">
        <v>418</v>
      </c>
      <c r="N54" s="60">
        <v>836</v>
      </c>
      <c r="O54" s="60">
        <v>418</v>
      </c>
      <c r="P54" s="60">
        <v>0</v>
      </c>
      <c r="Q54" s="60">
        <v>418</v>
      </c>
      <c r="R54" s="570">
        <v>418</v>
      </c>
      <c r="S54" s="60">
        <v>2090</v>
      </c>
      <c r="T54" s="143">
        <f>IF(NFI_Expiration=1,IF($A54&lt;VLOOKUP(I$5,NFI,5,0),1,0)*Data_NFI_t[[#This Row],[Hygiene Kit]],0)</f>
        <v>0</v>
      </c>
      <c r="U54" s="143">
        <f>IF(NFI_Expiration=1,IF($A54&lt;VLOOKUP(J$5,NFI,5,0),1,0)*Data_NFI_t[[#This Row],[NFI Core Kit]],0)</f>
        <v>0</v>
      </c>
      <c r="V54" s="124">
        <f>IF(NFI_Expiration=1,IF($A54&lt;VLOOKUP(K$5,NFI,5,0),1,0)*Data_NFI_t[[#This Row],[Sanitary Kit]],0)</f>
        <v>0</v>
      </c>
      <c r="W54" s="124">
        <f>IF(NFI_Expiration=1,IF($A54&lt;VLOOKUP(L$5,NFI,5,0),1,0)*Data_NFI_t[[#This Row],[Mosquito net]],0)</f>
        <v>0</v>
      </c>
      <c r="X54" s="124">
        <f>IF(NFI_Expiration=1,IF($A54&lt;VLOOKUP(M$5,NFI,5,0),1,0)*Data_NFI_t[[#This Row],[Tarpaulin]],0)</f>
        <v>0</v>
      </c>
      <c r="Y54" s="124">
        <f>IF(NFI_Expiration=1,IF($A54&lt;VLOOKUP(N$5,NFI,5,0),1,0)*Data_NFI_t[[#This Row],[Blanket]],0)</f>
        <v>0</v>
      </c>
      <c r="Z54" s="124">
        <f>IF(NFI_Expiration=1,IF($A54&lt;VLOOKUP(O$5,NFI,5,0),1,0)*Data_NFI_t[[#This Row],[Kitchen Set]],0)</f>
        <v>0</v>
      </c>
      <c r="AA54" s="124">
        <f>IF(NFI_Expiration=1,IF($A54&lt;VLOOKUP(P$5,NFI,5,0),1,0)*Data_NFI_t[[#This Row],[Complementary Kit]],0)</f>
        <v>0</v>
      </c>
      <c r="AB54" s="124">
        <f>IF(NFI_Expiration=1,IF($A54&lt;VLOOKUP(Q$5,NFI,5,0),1,0)*Data_NFI_t[[#This Row],[Plastic Bucket]],0)</f>
        <v>0</v>
      </c>
      <c r="AC54" s="124">
        <f>IF(NFI_Expiration=1,IF($A54&lt;VLOOKUP(R$5,NFI,5,0),1,0)*Data_NFI_t[[#This Row],[Jerry Can]],0)</f>
        <v>0</v>
      </c>
      <c r="AD54" s="143">
        <f>IF(NFI_Expiration=1,IF($A54&lt;VLOOKUP(S$5,NFI,5,0),1,0)*Data_NFI_t[[#This Row],[Plastic Mat]],0)*IF(Data_NFI_t[[#This Row],[Distribution Date]]&gt;"01-06-2015",1,2.5)</f>
        <v>0</v>
      </c>
      <c r="AE54" s="143" t="str">
        <f ca="1">IFERROR(OFFSET(Camp_List[P_Code],MATCH(Data_NFI_t[[#This Row],[Camp Name]],Camp_List[Camp Name],0)-1,0,1,1),"")</f>
        <v>MMR012CMP112</v>
      </c>
      <c r="AF54" s="572" t="str">
        <f ca="1">IFERROR(OFFSET(Camp_List[Status],MATCH(Data_NFI_t[[#This Row],[Camp Name]],Camp_List[Camp Name],0)-1,0,1,1),"")</f>
        <v>Relocated in Individual Housing</v>
      </c>
    </row>
    <row r="55" spans="1:32" s="100" customFormat="1" ht="15" customHeight="1">
      <c r="A55" s="254">
        <f t="shared" si="0"/>
        <v>13.366666666666667</v>
      </c>
      <c r="B55" s="254">
        <f>YEAR(Data_NFI_t[[#This Row],[Distribution Date]])</f>
        <v>2015</v>
      </c>
      <c r="C55" s="585">
        <v>42121</v>
      </c>
      <c r="D55" s="547" t="s">
        <v>287</v>
      </c>
      <c r="E55" s="546" t="s">
        <v>642</v>
      </c>
      <c r="F55" s="547" t="s">
        <v>7</v>
      </c>
      <c r="G55" s="31" t="s">
        <v>19</v>
      </c>
      <c r="H55" s="31" t="s">
        <v>78</v>
      </c>
      <c r="I55" s="31"/>
      <c r="J55" s="60">
        <v>72</v>
      </c>
      <c r="K55" s="60"/>
      <c r="L55" s="60">
        <v>144</v>
      </c>
      <c r="M55" s="60">
        <v>72</v>
      </c>
      <c r="N55" s="60">
        <v>144</v>
      </c>
      <c r="O55" s="60">
        <v>72</v>
      </c>
      <c r="P55" s="60"/>
      <c r="Q55" s="60">
        <v>72</v>
      </c>
      <c r="R55" s="570">
        <v>72</v>
      </c>
      <c r="S55" s="60">
        <v>360</v>
      </c>
      <c r="T55" s="143">
        <f>IF(NFI_Expiration=1,IF($A55&lt;VLOOKUP(I$5,NFI,5,0),1,0)*Data_NFI_t[[#This Row],[Hygiene Kit]],0)</f>
        <v>0</v>
      </c>
      <c r="U55" s="143">
        <f>IF(NFI_Expiration=1,IF($A55&lt;VLOOKUP(J$5,NFI,5,0),1,0)*Data_NFI_t[[#This Row],[NFI Core Kit]],0)</f>
        <v>0</v>
      </c>
      <c r="V55" s="124">
        <f>IF(NFI_Expiration=1,IF($A55&lt;VLOOKUP(K$5,NFI,5,0),1,0)*Data_NFI_t[[#This Row],[Sanitary Kit]],0)</f>
        <v>0</v>
      </c>
      <c r="W55" s="124">
        <f>IF(NFI_Expiration=1,IF($A55&lt;VLOOKUP(L$5,NFI,5,0),1,0)*Data_NFI_t[[#This Row],[Mosquito net]],0)</f>
        <v>0</v>
      </c>
      <c r="X55" s="124">
        <f>IF(NFI_Expiration=1,IF($A55&lt;VLOOKUP(M$5,NFI,5,0),1,0)*Data_NFI_t[[#This Row],[Tarpaulin]],0)</f>
        <v>0</v>
      </c>
      <c r="Y55" s="124">
        <f>IF(NFI_Expiration=1,IF($A55&lt;VLOOKUP(N$5,NFI,5,0),1,0)*Data_NFI_t[[#This Row],[Blanket]],0)</f>
        <v>0</v>
      </c>
      <c r="Z55" s="124">
        <f>IF(NFI_Expiration=1,IF($A55&lt;VLOOKUP(O$5,NFI,5,0),1,0)*Data_NFI_t[[#This Row],[Kitchen Set]],0)</f>
        <v>0</v>
      </c>
      <c r="AA55" s="124">
        <f>IF(NFI_Expiration=1,IF($A55&lt;VLOOKUP(P$5,NFI,5,0),1,0)*Data_NFI_t[[#This Row],[Complementary Kit]],0)</f>
        <v>0</v>
      </c>
      <c r="AB55" s="124">
        <f>IF(NFI_Expiration=1,IF($A55&lt;VLOOKUP(Q$5,NFI,5,0),1,0)*Data_NFI_t[[#This Row],[Plastic Bucket]],0)</f>
        <v>0</v>
      </c>
      <c r="AC55" s="124">
        <f>IF(NFI_Expiration=1,IF($A55&lt;VLOOKUP(R$5,NFI,5,0),1,0)*Data_NFI_t[[#This Row],[Jerry Can]],0)</f>
        <v>0</v>
      </c>
      <c r="AD55" s="143">
        <f>IF(NFI_Expiration=1,IF($A55&lt;VLOOKUP(S$5,NFI,5,0),1,0)*Data_NFI_t[[#This Row],[Plastic Mat]],0)*IF(Data_NFI_t[[#This Row],[Distribution Date]]&gt;"01-06-2015",1,2.5)</f>
        <v>0</v>
      </c>
      <c r="AE55" s="143" t="str">
        <f ca="1">IFERROR(OFFSET(Camp_List[P_Code],MATCH(Data_NFI_t[[#This Row],[Camp Name]],Camp_List[Camp Name],0)-1,0,1,1),"")</f>
        <v>MMR012CMP056</v>
      </c>
      <c r="AF55" s="572" t="str">
        <f ca="1">IFERROR(OFFSET(Camp_List[Status],MATCH(Data_NFI_t[[#This Row],[Camp Name]],Camp_List[Camp Name],0)-1,0,1,1),"")</f>
        <v>Relocated in Individual Housing</v>
      </c>
    </row>
    <row r="56" spans="1:32" s="100" customFormat="1" ht="15" customHeight="1">
      <c r="A56" s="254">
        <f t="shared" si="0"/>
        <v>13.366666666666667</v>
      </c>
      <c r="B56" s="254">
        <f>YEAR(Data_NFI_t[[#This Row],[Distribution Date]])</f>
        <v>2015</v>
      </c>
      <c r="C56" s="585">
        <v>42121</v>
      </c>
      <c r="D56" s="547" t="s">
        <v>287</v>
      </c>
      <c r="E56" s="546" t="s">
        <v>642</v>
      </c>
      <c r="F56" s="547" t="s">
        <v>7</v>
      </c>
      <c r="G56" s="31" t="s">
        <v>19</v>
      </c>
      <c r="H56" s="31" t="s">
        <v>247</v>
      </c>
      <c r="I56" s="31"/>
      <c r="J56" s="60">
        <v>151</v>
      </c>
      <c r="K56" s="60"/>
      <c r="L56" s="60">
        <v>302</v>
      </c>
      <c r="M56" s="60">
        <v>151</v>
      </c>
      <c r="N56" s="60">
        <v>302</v>
      </c>
      <c r="O56" s="60">
        <v>151</v>
      </c>
      <c r="P56" s="60"/>
      <c r="Q56" s="60">
        <v>151</v>
      </c>
      <c r="R56" s="570">
        <v>151</v>
      </c>
      <c r="S56" s="60">
        <v>755</v>
      </c>
      <c r="T56" s="143">
        <f>IF(NFI_Expiration=1,IF($A56&lt;VLOOKUP(I$5,NFI,5,0),1,0)*Data_NFI_t[[#This Row],[Hygiene Kit]],0)</f>
        <v>0</v>
      </c>
      <c r="U56" s="143">
        <f>IF(NFI_Expiration=1,IF($A56&lt;VLOOKUP(J$5,NFI,5,0),1,0)*Data_NFI_t[[#This Row],[NFI Core Kit]],0)</f>
        <v>0</v>
      </c>
      <c r="V56" s="124">
        <f>IF(NFI_Expiration=1,IF($A56&lt;VLOOKUP(K$5,NFI,5,0),1,0)*Data_NFI_t[[#This Row],[Sanitary Kit]],0)</f>
        <v>0</v>
      </c>
      <c r="W56" s="124">
        <f>IF(NFI_Expiration=1,IF($A56&lt;VLOOKUP(L$5,NFI,5,0),1,0)*Data_NFI_t[[#This Row],[Mosquito net]],0)</f>
        <v>0</v>
      </c>
      <c r="X56" s="124">
        <f>IF(NFI_Expiration=1,IF($A56&lt;VLOOKUP(M$5,NFI,5,0),1,0)*Data_NFI_t[[#This Row],[Tarpaulin]],0)</f>
        <v>0</v>
      </c>
      <c r="Y56" s="124">
        <f>IF(NFI_Expiration=1,IF($A56&lt;VLOOKUP(N$5,NFI,5,0),1,0)*Data_NFI_t[[#This Row],[Blanket]],0)</f>
        <v>0</v>
      </c>
      <c r="Z56" s="124">
        <f>IF(NFI_Expiration=1,IF($A56&lt;VLOOKUP(O$5,NFI,5,0),1,0)*Data_NFI_t[[#This Row],[Kitchen Set]],0)</f>
        <v>0</v>
      </c>
      <c r="AA56" s="124">
        <f>IF(NFI_Expiration=1,IF($A56&lt;VLOOKUP(P$5,NFI,5,0),1,0)*Data_NFI_t[[#This Row],[Complementary Kit]],0)</f>
        <v>0</v>
      </c>
      <c r="AB56" s="124">
        <f>IF(NFI_Expiration=1,IF($A56&lt;VLOOKUP(Q$5,NFI,5,0),1,0)*Data_NFI_t[[#This Row],[Plastic Bucket]],0)</f>
        <v>0</v>
      </c>
      <c r="AC56" s="124">
        <f>IF(NFI_Expiration=1,IF($A56&lt;VLOOKUP(R$5,NFI,5,0),1,0)*Data_NFI_t[[#This Row],[Jerry Can]],0)</f>
        <v>0</v>
      </c>
      <c r="AD56" s="143">
        <f>IF(NFI_Expiration=1,IF($A56&lt;VLOOKUP(S$5,NFI,5,0),1,0)*Data_NFI_t[[#This Row],[Plastic Mat]],0)*IF(Data_NFI_t[[#This Row],[Distribution Date]]&gt;"01-06-2015",1,2.5)</f>
        <v>0</v>
      </c>
      <c r="AE56" s="143" t="str">
        <f ca="1">IFERROR(OFFSET(Camp_List[P_Code],MATCH(Data_NFI_t[[#This Row],[Camp Name]],Camp_List[Camp Name],0)-1,0,1,1),"")</f>
        <v>MMR012CMP093</v>
      </c>
      <c r="AF56" s="572" t="str">
        <f ca="1">IFERROR(OFFSET(Camp_List[Status],MATCH(Data_NFI_t[[#This Row],[Camp Name]],Camp_List[Camp Name],0)-1,0,1,1),"")</f>
        <v>Relocated in Individual Housing</v>
      </c>
    </row>
    <row r="57" spans="1:32" s="100" customFormat="1" ht="15" customHeight="1">
      <c r="A57" s="254">
        <f t="shared" si="0"/>
        <v>14.8</v>
      </c>
      <c r="B57" s="254">
        <f>YEAR(Data_NFI_t[[#This Row],[Distribution Date]])</f>
        <v>2015</v>
      </c>
      <c r="C57" s="585">
        <v>42078</v>
      </c>
      <c r="D57" s="547" t="s">
        <v>525</v>
      </c>
      <c r="E57" s="546" t="s">
        <v>525</v>
      </c>
      <c r="F57" s="547" t="s">
        <v>7</v>
      </c>
      <c r="G57" s="31" t="s">
        <v>19</v>
      </c>
      <c r="H57" s="31" t="s">
        <v>70</v>
      </c>
      <c r="I57" s="31">
        <v>1020</v>
      </c>
      <c r="J57" s="60"/>
      <c r="K57" s="60"/>
      <c r="L57" s="60"/>
      <c r="M57" s="60"/>
      <c r="N57" s="60"/>
      <c r="O57" s="60"/>
      <c r="P57" s="60"/>
      <c r="Q57" s="60"/>
      <c r="R57" s="570"/>
      <c r="S57" s="60"/>
      <c r="T57" s="143">
        <f>IF(NFI_Expiration=1,IF($A57&lt;VLOOKUP(I$5,NFI,5,0),1,0)*Data_NFI_t[[#This Row],[Hygiene Kit]],0)</f>
        <v>0</v>
      </c>
      <c r="U57" s="143">
        <f>IF(NFI_Expiration=1,IF($A57&lt;VLOOKUP(J$5,NFI,5,0),1,0)*Data_NFI_t[[#This Row],[NFI Core Kit]],0)</f>
        <v>0</v>
      </c>
      <c r="V57" s="124">
        <f>IF(NFI_Expiration=1,IF($A57&lt;VLOOKUP(K$5,NFI,5,0),1,0)*Data_NFI_t[[#This Row],[Sanitary Kit]],0)</f>
        <v>0</v>
      </c>
      <c r="W57" s="124">
        <f>IF(NFI_Expiration=1,IF($A57&lt;VLOOKUP(L$5,NFI,5,0),1,0)*Data_NFI_t[[#This Row],[Mosquito net]],0)</f>
        <v>0</v>
      </c>
      <c r="X57" s="124">
        <f>IF(NFI_Expiration=1,IF($A57&lt;VLOOKUP(M$5,NFI,5,0),1,0)*Data_NFI_t[[#This Row],[Tarpaulin]],0)</f>
        <v>0</v>
      </c>
      <c r="Y57" s="124">
        <f>IF(NFI_Expiration=1,IF($A57&lt;VLOOKUP(N$5,NFI,5,0),1,0)*Data_NFI_t[[#This Row],[Blanket]],0)</f>
        <v>0</v>
      </c>
      <c r="Z57" s="124">
        <f>IF(NFI_Expiration=1,IF($A57&lt;VLOOKUP(O$5,NFI,5,0),1,0)*Data_NFI_t[[#This Row],[Kitchen Set]],0)</f>
        <v>0</v>
      </c>
      <c r="AA57" s="124">
        <f>IF(NFI_Expiration=1,IF($A57&lt;VLOOKUP(P$5,NFI,5,0),1,0)*Data_NFI_t[[#This Row],[Complementary Kit]],0)</f>
        <v>0</v>
      </c>
      <c r="AB57" s="124">
        <f>IF(NFI_Expiration=1,IF($A57&lt;VLOOKUP(Q$5,NFI,5,0),1,0)*Data_NFI_t[[#This Row],[Plastic Bucket]],0)</f>
        <v>0</v>
      </c>
      <c r="AC57" s="124">
        <f>IF(NFI_Expiration=1,IF($A57&lt;VLOOKUP(R$5,NFI,5,0),1,0)*Data_NFI_t[[#This Row],[Jerry Can]],0)</f>
        <v>0</v>
      </c>
      <c r="AD57" s="143">
        <f>IF(NFI_Expiration=1,IF($A57&lt;VLOOKUP(S$5,NFI,5,0),1,0)*Data_NFI_t[[#This Row],[Plastic Mat]],0)*IF(Data_NFI_t[[#This Row],[Distribution Date]]&gt;"01-06-2015",1,2.5)</f>
        <v>0</v>
      </c>
      <c r="AE57" s="143" t="str">
        <f ca="1">IFERROR(OFFSET(Camp_List[P_Code],MATCH(Data_NFI_t[[#This Row],[Camp Name]],Camp_List[Camp Name],0)-1,0,1,1),"")</f>
        <v>MMR012CMP048</v>
      </c>
      <c r="AF57" s="572" t="str">
        <f ca="1">IFERROR(OFFSET(Camp_List[Status],MATCH(Data_NFI_t[[#This Row],[Camp Name]],Camp_List[Camp Name],0)-1,0,1,1),"")</f>
        <v>Open</v>
      </c>
    </row>
    <row r="58" spans="1:32" s="100" customFormat="1" ht="15" customHeight="1">
      <c r="A58" s="254">
        <f t="shared" si="0"/>
        <v>15.133333333333333</v>
      </c>
      <c r="B58" s="254">
        <v>2015</v>
      </c>
      <c r="C58" s="585">
        <v>42068</v>
      </c>
      <c r="D58" s="547" t="s">
        <v>287</v>
      </c>
      <c r="E58" s="546" t="s">
        <v>287</v>
      </c>
      <c r="F58" s="547" t="s">
        <v>7</v>
      </c>
      <c r="G58" s="31" t="s">
        <v>20</v>
      </c>
      <c r="H58" s="31" t="s">
        <v>106</v>
      </c>
      <c r="I58" s="31">
        <v>0</v>
      </c>
      <c r="J58" s="60">
        <v>43</v>
      </c>
      <c r="K58" s="60">
        <v>43</v>
      </c>
      <c r="L58" s="60">
        <v>86</v>
      </c>
      <c r="M58" s="60">
        <v>0</v>
      </c>
      <c r="N58" s="60">
        <v>86</v>
      </c>
      <c r="O58" s="60">
        <v>33</v>
      </c>
      <c r="P58" s="60">
        <v>0</v>
      </c>
      <c r="Q58" s="60">
        <v>43</v>
      </c>
      <c r="R58" s="570">
        <v>43</v>
      </c>
      <c r="S58" s="60">
        <v>165</v>
      </c>
      <c r="T58" s="143">
        <f>IF(NFI_Expiration=1,IF($A58&lt;VLOOKUP(I$5,NFI,5,0),1,0)*Data_NFI_t[[#This Row],[Hygiene Kit]],0)</f>
        <v>0</v>
      </c>
      <c r="U58" s="143">
        <f>IF(NFI_Expiration=1,IF($A58&lt;VLOOKUP(J$5,NFI,5,0),1,0)*Data_NFI_t[[#This Row],[NFI Core Kit]],0)</f>
        <v>0</v>
      </c>
      <c r="V58" s="124">
        <f>IF(NFI_Expiration=1,IF($A58&lt;VLOOKUP(K$5,NFI,5,0),1,0)*Data_NFI_t[[#This Row],[Sanitary Kit]],0)</f>
        <v>0</v>
      </c>
      <c r="W58" s="124">
        <f>IF(NFI_Expiration=1,IF($A58&lt;VLOOKUP(L$5,NFI,5,0),1,0)*Data_NFI_t[[#This Row],[Mosquito net]],0)</f>
        <v>0</v>
      </c>
      <c r="X58" s="124">
        <f>IF(NFI_Expiration=1,IF($A58&lt;VLOOKUP(M$5,NFI,5,0),1,0)*Data_NFI_t[[#This Row],[Tarpaulin]],0)</f>
        <v>0</v>
      </c>
      <c r="Y58" s="124">
        <f>IF(NFI_Expiration=1,IF($A58&lt;VLOOKUP(N$5,NFI,5,0),1,0)*Data_NFI_t[[#This Row],[Blanket]],0)</f>
        <v>0</v>
      </c>
      <c r="Z58" s="124">
        <f>IF(NFI_Expiration=1,IF($A58&lt;VLOOKUP(O$5,NFI,5,0),1,0)*Data_NFI_t[[#This Row],[Kitchen Set]],0)</f>
        <v>0</v>
      </c>
      <c r="AA58" s="124">
        <f>IF(NFI_Expiration=1,IF($A58&lt;VLOOKUP(P$5,NFI,5,0),1,0)*Data_NFI_t[[#This Row],[Complementary Kit]],0)</f>
        <v>0</v>
      </c>
      <c r="AB58" s="124">
        <f>IF(NFI_Expiration=1,IF($A58&lt;VLOOKUP(Q$5,NFI,5,0),1,0)*Data_NFI_t[[#This Row],[Plastic Bucket]],0)</f>
        <v>0</v>
      </c>
      <c r="AC58" s="124">
        <f>IF(NFI_Expiration=1,IF($A58&lt;VLOOKUP(R$5,NFI,5,0),1,0)*Data_NFI_t[[#This Row],[Jerry Can]],0)</f>
        <v>0</v>
      </c>
      <c r="AD58" s="143">
        <f>IF(NFI_Expiration=1,IF($A58&lt;VLOOKUP(S$5,NFI,5,0),1,0)*Data_NFI_t[[#This Row],[Plastic Mat]],0)*IF(Data_NFI_t[[#This Row],[Distribution Date]]&gt;"01-06-2015",1,2.5)</f>
        <v>0</v>
      </c>
      <c r="AE58" s="143" t="str">
        <f ca="1">IFERROR(OFFSET(Camp_List[P_Code],MATCH(Data_NFI_t[[#This Row],[Camp Name]],Camp_List[Camp Name],0)-1,0,1,1),"")</f>
        <v>MMR012CMP084</v>
      </c>
      <c r="AF58" s="572" t="str">
        <f ca="1">IFERROR(OFFSET(Camp_List[Status],MATCH(Data_NFI_t[[#This Row],[Camp Name]],Camp_List[Camp Name],0)-1,0,1,1),"")</f>
        <v>Open</v>
      </c>
    </row>
    <row r="59" spans="1:32" s="100" customFormat="1" ht="15" customHeight="1">
      <c r="A59" s="254">
        <f t="shared" si="0"/>
        <v>15.266666666666667</v>
      </c>
      <c r="B59" s="254">
        <f>YEAR(Data_NFI_t[[#This Row],[Distribution Date]])</f>
        <v>2015</v>
      </c>
      <c r="C59" s="585">
        <v>42064</v>
      </c>
      <c r="D59" s="547" t="s">
        <v>730</v>
      </c>
      <c r="E59" s="546" t="s">
        <v>730</v>
      </c>
      <c r="F59" s="547" t="s">
        <v>7</v>
      </c>
      <c r="G59" s="31" t="s">
        <v>900</v>
      </c>
      <c r="H59" s="31" t="s">
        <v>37</v>
      </c>
      <c r="I59" s="31">
        <v>42</v>
      </c>
      <c r="J59" s="60"/>
      <c r="K59" s="60"/>
      <c r="L59" s="60"/>
      <c r="M59" s="60"/>
      <c r="N59" s="60"/>
      <c r="O59" s="60"/>
      <c r="P59" s="60"/>
      <c r="Q59" s="60"/>
      <c r="R59" s="570"/>
      <c r="S59" s="60"/>
      <c r="T59" s="143">
        <f>IF(NFI_Expiration=1,IF($A59&lt;VLOOKUP(I$5,NFI,5,0),1,0)*Data_NFI_t[[#This Row],[Hygiene Kit]],0)</f>
        <v>0</v>
      </c>
      <c r="U59" s="143">
        <f>IF(NFI_Expiration=1,IF($A59&lt;VLOOKUP(J$5,NFI,5,0),1,0)*Data_NFI_t[[#This Row],[NFI Core Kit]],0)</f>
        <v>0</v>
      </c>
      <c r="V59" s="124">
        <f>IF(NFI_Expiration=1,IF($A59&lt;VLOOKUP(K$5,NFI,5,0),1,0)*Data_NFI_t[[#This Row],[Sanitary Kit]],0)</f>
        <v>0</v>
      </c>
      <c r="W59" s="124">
        <f>IF(NFI_Expiration=1,IF($A59&lt;VLOOKUP(L$5,NFI,5,0),1,0)*Data_NFI_t[[#This Row],[Mosquito net]],0)</f>
        <v>0</v>
      </c>
      <c r="X59" s="124">
        <f>IF(NFI_Expiration=1,IF($A59&lt;VLOOKUP(M$5,NFI,5,0),1,0)*Data_NFI_t[[#This Row],[Tarpaulin]],0)</f>
        <v>0</v>
      </c>
      <c r="Y59" s="124">
        <f>IF(NFI_Expiration=1,IF($A59&lt;VLOOKUP(N$5,NFI,5,0),1,0)*Data_NFI_t[[#This Row],[Blanket]],0)</f>
        <v>0</v>
      </c>
      <c r="Z59" s="124">
        <f>IF(NFI_Expiration=1,IF($A59&lt;VLOOKUP(O$5,NFI,5,0),1,0)*Data_NFI_t[[#This Row],[Kitchen Set]],0)</f>
        <v>0</v>
      </c>
      <c r="AA59" s="124">
        <f>IF(NFI_Expiration=1,IF($A59&lt;VLOOKUP(P$5,NFI,5,0),1,0)*Data_NFI_t[[#This Row],[Complementary Kit]],0)</f>
        <v>0</v>
      </c>
      <c r="AB59" s="124">
        <f>IF(NFI_Expiration=1,IF($A59&lt;VLOOKUP(Q$5,NFI,5,0),1,0)*Data_NFI_t[[#This Row],[Plastic Bucket]],0)</f>
        <v>0</v>
      </c>
      <c r="AC59" s="124">
        <f>IF(NFI_Expiration=1,IF($A59&lt;VLOOKUP(R$5,NFI,5,0),1,0)*Data_NFI_t[[#This Row],[Jerry Can]],0)</f>
        <v>0</v>
      </c>
      <c r="AD59" s="143">
        <f>IF(NFI_Expiration=1,IF($A59&lt;VLOOKUP(S$5,NFI,5,0),1,0)*Data_NFI_t[[#This Row],[Plastic Mat]],0)*IF(Data_NFI_t[[#This Row],[Distribution Date]]&gt;"01-06-2015",1,2.5)</f>
        <v>0</v>
      </c>
      <c r="AE59" s="143" t="str">
        <f ca="1">IFERROR(OFFSET(Camp_List[P_Code],MATCH(Data_NFI_t[[#This Row],[Camp Name]],Camp_List[Camp Name],0)-1,0,1,1),"")</f>
        <v>MMR012CMP013</v>
      </c>
      <c r="AF59" s="572" t="str">
        <f ca="1">IFERROR(OFFSET(Camp_List[Status],MATCH(Data_NFI_t[[#This Row],[Camp Name]],Camp_List[Camp Name],0)-1,0,1,1),"")</f>
        <v>Open</v>
      </c>
    </row>
    <row r="60" spans="1:32" s="100" customFormat="1" ht="15" customHeight="1">
      <c r="A60" s="254">
        <f t="shared" si="0"/>
        <v>15.266666666666667</v>
      </c>
      <c r="B60" s="254">
        <f>YEAR(Data_NFI_t[[#This Row],[Distribution Date]])</f>
        <v>2015</v>
      </c>
      <c r="C60" s="585">
        <v>42064</v>
      </c>
      <c r="D60" s="547" t="s">
        <v>730</v>
      </c>
      <c r="E60" s="546" t="s">
        <v>730</v>
      </c>
      <c r="F60" s="547" t="s">
        <v>7</v>
      </c>
      <c r="G60" s="31" t="s">
        <v>900</v>
      </c>
      <c r="H60" s="31" t="s">
        <v>38</v>
      </c>
      <c r="I60" s="31">
        <v>682</v>
      </c>
      <c r="J60" s="60"/>
      <c r="K60" s="60"/>
      <c r="L60" s="60"/>
      <c r="M60" s="60"/>
      <c r="N60" s="60"/>
      <c r="O60" s="60"/>
      <c r="P60" s="60"/>
      <c r="Q60" s="60"/>
      <c r="R60" s="570"/>
      <c r="S60" s="60"/>
      <c r="T60" s="143">
        <f>IF(NFI_Expiration=1,IF($A60&lt;VLOOKUP(I$5,NFI,5,0),1,0)*Data_NFI_t[[#This Row],[Hygiene Kit]],0)</f>
        <v>0</v>
      </c>
      <c r="U60" s="143">
        <f>IF(NFI_Expiration=1,IF($A60&lt;VLOOKUP(J$5,NFI,5,0),1,0)*Data_NFI_t[[#This Row],[NFI Core Kit]],0)</f>
        <v>0</v>
      </c>
      <c r="V60" s="124">
        <f>IF(NFI_Expiration=1,IF($A60&lt;VLOOKUP(K$5,NFI,5,0),1,0)*Data_NFI_t[[#This Row],[Sanitary Kit]],0)</f>
        <v>0</v>
      </c>
      <c r="W60" s="124">
        <f>IF(NFI_Expiration=1,IF($A60&lt;VLOOKUP(L$5,NFI,5,0),1,0)*Data_NFI_t[[#This Row],[Mosquito net]],0)</f>
        <v>0</v>
      </c>
      <c r="X60" s="124">
        <f>IF(NFI_Expiration=1,IF($A60&lt;VLOOKUP(M$5,NFI,5,0),1,0)*Data_NFI_t[[#This Row],[Tarpaulin]],0)</f>
        <v>0</v>
      </c>
      <c r="Y60" s="124">
        <f>IF(NFI_Expiration=1,IF($A60&lt;VLOOKUP(N$5,NFI,5,0),1,0)*Data_NFI_t[[#This Row],[Blanket]],0)</f>
        <v>0</v>
      </c>
      <c r="Z60" s="124">
        <f>IF(NFI_Expiration=1,IF($A60&lt;VLOOKUP(O$5,NFI,5,0),1,0)*Data_NFI_t[[#This Row],[Kitchen Set]],0)</f>
        <v>0</v>
      </c>
      <c r="AA60" s="124">
        <f>IF(NFI_Expiration=1,IF($A60&lt;VLOOKUP(P$5,NFI,5,0),1,0)*Data_NFI_t[[#This Row],[Complementary Kit]],0)</f>
        <v>0</v>
      </c>
      <c r="AB60" s="124">
        <f>IF(NFI_Expiration=1,IF($A60&lt;VLOOKUP(Q$5,NFI,5,0),1,0)*Data_NFI_t[[#This Row],[Plastic Bucket]],0)</f>
        <v>0</v>
      </c>
      <c r="AC60" s="124">
        <f>IF(NFI_Expiration=1,IF($A60&lt;VLOOKUP(R$5,NFI,5,0),1,0)*Data_NFI_t[[#This Row],[Jerry Can]],0)</f>
        <v>0</v>
      </c>
      <c r="AD60" s="143">
        <f>IF(NFI_Expiration=1,IF($A60&lt;VLOOKUP(S$5,NFI,5,0),1,0)*Data_NFI_t[[#This Row],[Plastic Mat]],0)*IF(Data_NFI_t[[#This Row],[Distribution Date]]&gt;"01-06-2015",1,2.5)</f>
        <v>0</v>
      </c>
      <c r="AE60" s="143" t="str">
        <f ca="1">IFERROR(OFFSET(Camp_List[P_Code],MATCH(Data_NFI_t[[#This Row],[Camp Name]],Camp_List[Camp Name],0)-1,0,1,1),"")</f>
        <v>MMR012CMP014</v>
      </c>
      <c r="AF60" s="572" t="str">
        <f ca="1">IFERROR(OFFSET(Camp_List[Status],MATCH(Data_NFI_t[[#This Row],[Camp Name]],Camp_List[Camp Name],0)-1,0,1,1),"")</f>
        <v>Open</v>
      </c>
    </row>
    <row r="61" spans="1:32" s="100" customFormat="1" ht="15" customHeight="1">
      <c r="A61" s="254">
        <f t="shared" si="0"/>
        <v>15.566666666666666</v>
      </c>
      <c r="B61" s="254">
        <f>YEAR(Data_NFI_t[[#This Row],[Distribution Date]])</f>
        <v>2015</v>
      </c>
      <c r="C61" s="585">
        <v>42055</v>
      </c>
      <c r="D61" s="547" t="s">
        <v>529</v>
      </c>
      <c r="E61" s="546" t="s">
        <v>529</v>
      </c>
      <c r="F61" s="547" t="s">
        <v>7</v>
      </c>
      <c r="G61" s="31" t="s">
        <v>19</v>
      </c>
      <c r="H61" s="31" t="s">
        <v>657</v>
      </c>
      <c r="I61" s="31">
        <v>249</v>
      </c>
      <c r="J61" s="60"/>
      <c r="K61" s="60"/>
      <c r="L61" s="60"/>
      <c r="M61" s="60"/>
      <c r="N61" s="60"/>
      <c r="O61" s="60"/>
      <c r="P61" s="60"/>
      <c r="Q61" s="60"/>
      <c r="R61" s="570"/>
      <c r="S61" s="60"/>
      <c r="T61" s="143">
        <f>IF(NFI_Expiration=1,IF($A61&lt;VLOOKUP(I$5,NFI,5,0),1,0)*Data_NFI_t[[#This Row],[Hygiene Kit]],0)</f>
        <v>0</v>
      </c>
      <c r="U61" s="143">
        <f>IF(NFI_Expiration=1,IF($A61&lt;VLOOKUP(J$5,NFI,5,0),1,0)*Data_NFI_t[[#This Row],[NFI Core Kit]],0)</f>
        <v>0</v>
      </c>
      <c r="V61" s="124">
        <f>IF(NFI_Expiration=1,IF($A61&lt;VLOOKUP(K$5,NFI,5,0),1,0)*Data_NFI_t[[#This Row],[Sanitary Kit]],0)</f>
        <v>0</v>
      </c>
      <c r="W61" s="124">
        <f>IF(NFI_Expiration=1,IF($A61&lt;VLOOKUP(L$5,NFI,5,0),1,0)*Data_NFI_t[[#This Row],[Mosquito net]],0)</f>
        <v>0</v>
      </c>
      <c r="X61" s="124">
        <f>IF(NFI_Expiration=1,IF($A61&lt;VLOOKUP(M$5,NFI,5,0),1,0)*Data_NFI_t[[#This Row],[Tarpaulin]],0)</f>
        <v>0</v>
      </c>
      <c r="Y61" s="124">
        <f>IF(NFI_Expiration=1,IF($A61&lt;VLOOKUP(N$5,NFI,5,0),1,0)*Data_NFI_t[[#This Row],[Blanket]],0)</f>
        <v>0</v>
      </c>
      <c r="Z61" s="124">
        <f>IF(NFI_Expiration=1,IF($A61&lt;VLOOKUP(O$5,NFI,5,0),1,0)*Data_NFI_t[[#This Row],[Kitchen Set]],0)</f>
        <v>0</v>
      </c>
      <c r="AA61" s="124">
        <f>IF(NFI_Expiration=1,IF($A61&lt;VLOOKUP(P$5,NFI,5,0),1,0)*Data_NFI_t[[#This Row],[Complementary Kit]],0)</f>
        <v>0</v>
      </c>
      <c r="AB61" s="124">
        <f>IF(NFI_Expiration=1,IF($A61&lt;VLOOKUP(Q$5,NFI,5,0),1,0)*Data_NFI_t[[#This Row],[Plastic Bucket]],0)</f>
        <v>0</v>
      </c>
      <c r="AC61" s="124">
        <f>IF(NFI_Expiration=1,IF($A61&lt;VLOOKUP(R$5,NFI,5,0),1,0)*Data_NFI_t[[#This Row],[Jerry Can]],0)</f>
        <v>0</v>
      </c>
      <c r="AD61" s="143">
        <f>IF(NFI_Expiration=1,IF($A61&lt;VLOOKUP(S$5,NFI,5,0),1,0)*Data_NFI_t[[#This Row],[Plastic Mat]],0)*IF(Data_NFI_t[[#This Row],[Distribution Date]]&gt;"01-06-2015",1,2.5)</f>
        <v>0</v>
      </c>
      <c r="AE61" s="143" t="str">
        <f ca="1">IFERROR(OFFSET(Camp_List[P_Code],MATCH(Data_NFI_t[[#This Row],[Camp Name]],Camp_List[Camp Name],0)-1,0,1,1),"")</f>
        <v>MMR012CMP111</v>
      </c>
      <c r="AF61" s="572" t="str">
        <f ca="1">IFERROR(OFFSET(Camp_List[Status],MATCH(Data_NFI_t[[#This Row],[Camp Name]],Camp_List[Camp Name],0)-1,0,1,1),"")</f>
        <v>Relocated in Individual Housing</v>
      </c>
    </row>
    <row r="62" spans="1:32" s="100" customFormat="1" ht="15" customHeight="1">
      <c r="A62" s="254">
        <f t="shared" si="0"/>
        <v>16.2</v>
      </c>
      <c r="B62" s="254">
        <f>YEAR(Data_NFI_t[[#This Row],[Distribution Date]])</f>
        <v>2015</v>
      </c>
      <c r="C62" s="585">
        <v>42036</v>
      </c>
      <c r="D62" s="547" t="s">
        <v>730</v>
      </c>
      <c r="E62" s="546" t="s">
        <v>730</v>
      </c>
      <c r="F62" s="547" t="s">
        <v>7</v>
      </c>
      <c r="G62" s="31" t="s">
        <v>900</v>
      </c>
      <c r="H62" s="31" t="s">
        <v>37</v>
      </c>
      <c r="I62" s="31">
        <v>42</v>
      </c>
      <c r="J62" s="60"/>
      <c r="K62" s="60"/>
      <c r="L62" s="60"/>
      <c r="M62" s="60"/>
      <c r="N62" s="60"/>
      <c r="O62" s="60"/>
      <c r="P62" s="60"/>
      <c r="Q62" s="60"/>
      <c r="R62" s="570"/>
      <c r="S62" s="60"/>
      <c r="T62" s="143">
        <f>IF(NFI_Expiration=1,IF($A62&lt;VLOOKUP(I$5,NFI,5,0),1,0)*Data_NFI_t[[#This Row],[Hygiene Kit]],0)</f>
        <v>0</v>
      </c>
      <c r="U62" s="143">
        <f>IF(NFI_Expiration=1,IF($A62&lt;VLOOKUP(J$5,NFI,5,0),1,0)*Data_NFI_t[[#This Row],[NFI Core Kit]],0)</f>
        <v>0</v>
      </c>
      <c r="V62" s="124">
        <f>IF(NFI_Expiration=1,IF($A62&lt;VLOOKUP(K$5,NFI,5,0),1,0)*Data_NFI_t[[#This Row],[Sanitary Kit]],0)</f>
        <v>0</v>
      </c>
      <c r="W62" s="124">
        <f>IF(NFI_Expiration=1,IF($A62&lt;VLOOKUP(L$5,NFI,5,0),1,0)*Data_NFI_t[[#This Row],[Mosquito net]],0)</f>
        <v>0</v>
      </c>
      <c r="X62" s="124">
        <f>IF(NFI_Expiration=1,IF($A62&lt;VLOOKUP(M$5,NFI,5,0),1,0)*Data_NFI_t[[#This Row],[Tarpaulin]],0)</f>
        <v>0</v>
      </c>
      <c r="Y62" s="124">
        <f>IF(NFI_Expiration=1,IF($A62&lt;VLOOKUP(N$5,NFI,5,0),1,0)*Data_NFI_t[[#This Row],[Blanket]],0)</f>
        <v>0</v>
      </c>
      <c r="Z62" s="124">
        <f>IF(NFI_Expiration=1,IF($A62&lt;VLOOKUP(O$5,NFI,5,0),1,0)*Data_NFI_t[[#This Row],[Kitchen Set]],0)</f>
        <v>0</v>
      </c>
      <c r="AA62" s="124">
        <f>IF(NFI_Expiration=1,IF($A62&lt;VLOOKUP(P$5,NFI,5,0),1,0)*Data_NFI_t[[#This Row],[Complementary Kit]],0)</f>
        <v>0</v>
      </c>
      <c r="AB62" s="124">
        <f>IF(NFI_Expiration=1,IF($A62&lt;VLOOKUP(Q$5,NFI,5,0),1,0)*Data_NFI_t[[#This Row],[Plastic Bucket]],0)</f>
        <v>0</v>
      </c>
      <c r="AC62" s="124">
        <f>IF(NFI_Expiration=1,IF($A62&lt;VLOOKUP(R$5,NFI,5,0),1,0)*Data_NFI_t[[#This Row],[Jerry Can]],0)</f>
        <v>0</v>
      </c>
      <c r="AD62" s="143">
        <f>IF(NFI_Expiration=1,IF($A62&lt;VLOOKUP(S$5,NFI,5,0),1,0)*Data_NFI_t[[#This Row],[Plastic Mat]],0)*IF(Data_NFI_t[[#This Row],[Distribution Date]]&gt;"01-06-2015",1,2.5)</f>
        <v>0</v>
      </c>
      <c r="AE62" s="143" t="str">
        <f ca="1">IFERROR(OFFSET(Camp_List[P_Code],MATCH(Data_NFI_t[[#This Row],[Camp Name]],Camp_List[Camp Name],0)-1,0,1,1),"")</f>
        <v>MMR012CMP013</v>
      </c>
      <c r="AF62" s="572" t="str">
        <f ca="1">IFERROR(OFFSET(Camp_List[Status],MATCH(Data_NFI_t[[#This Row],[Camp Name]],Camp_List[Camp Name],0)-1,0,1,1),"")</f>
        <v>Open</v>
      </c>
    </row>
    <row r="63" spans="1:32" s="100" customFormat="1" ht="15" customHeight="1">
      <c r="A63" s="254">
        <f t="shared" si="0"/>
        <v>16.2</v>
      </c>
      <c r="B63" s="254">
        <f>YEAR(Data_NFI_t[[#This Row],[Distribution Date]])</f>
        <v>2015</v>
      </c>
      <c r="C63" s="585">
        <v>42036</v>
      </c>
      <c r="D63" s="547" t="s">
        <v>730</v>
      </c>
      <c r="E63" s="546" t="s">
        <v>730</v>
      </c>
      <c r="F63" s="547" t="s">
        <v>7</v>
      </c>
      <c r="G63" s="31" t="s">
        <v>900</v>
      </c>
      <c r="H63" s="31" t="s">
        <v>38</v>
      </c>
      <c r="I63" s="31">
        <v>682</v>
      </c>
      <c r="J63" s="60"/>
      <c r="K63" s="60"/>
      <c r="L63" s="60"/>
      <c r="M63" s="60"/>
      <c r="N63" s="60"/>
      <c r="O63" s="60"/>
      <c r="P63" s="60"/>
      <c r="Q63" s="60"/>
      <c r="R63" s="570"/>
      <c r="S63" s="60"/>
      <c r="T63" s="143">
        <f>IF(NFI_Expiration=1,IF($A63&lt;VLOOKUP(I$5,NFI,5,0),1,0)*Data_NFI_t[[#This Row],[Hygiene Kit]],0)</f>
        <v>0</v>
      </c>
      <c r="U63" s="143">
        <f>IF(NFI_Expiration=1,IF($A63&lt;VLOOKUP(J$5,NFI,5,0),1,0)*Data_NFI_t[[#This Row],[NFI Core Kit]],0)</f>
        <v>0</v>
      </c>
      <c r="V63" s="124">
        <f>IF(NFI_Expiration=1,IF($A63&lt;VLOOKUP(K$5,NFI,5,0),1,0)*Data_NFI_t[[#This Row],[Sanitary Kit]],0)</f>
        <v>0</v>
      </c>
      <c r="W63" s="124">
        <f>IF(NFI_Expiration=1,IF($A63&lt;VLOOKUP(L$5,NFI,5,0),1,0)*Data_NFI_t[[#This Row],[Mosquito net]],0)</f>
        <v>0</v>
      </c>
      <c r="X63" s="124">
        <f>IF(NFI_Expiration=1,IF($A63&lt;VLOOKUP(M$5,NFI,5,0),1,0)*Data_NFI_t[[#This Row],[Tarpaulin]],0)</f>
        <v>0</v>
      </c>
      <c r="Y63" s="124">
        <f>IF(NFI_Expiration=1,IF($A63&lt;VLOOKUP(N$5,NFI,5,0),1,0)*Data_NFI_t[[#This Row],[Blanket]],0)</f>
        <v>0</v>
      </c>
      <c r="Z63" s="124">
        <f>IF(NFI_Expiration=1,IF($A63&lt;VLOOKUP(O$5,NFI,5,0),1,0)*Data_NFI_t[[#This Row],[Kitchen Set]],0)</f>
        <v>0</v>
      </c>
      <c r="AA63" s="124">
        <f>IF(NFI_Expiration=1,IF($A63&lt;VLOOKUP(P$5,NFI,5,0),1,0)*Data_NFI_t[[#This Row],[Complementary Kit]],0)</f>
        <v>0</v>
      </c>
      <c r="AB63" s="124">
        <f>IF(NFI_Expiration=1,IF($A63&lt;VLOOKUP(Q$5,NFI,5,0),1,0)*Data_NFI_t[[#This Row],[Plastic Bucket]],0)</f>
        <v>0</v>
      </c>
      <c r="AC63" s="124">
        <f>IF(NFI_Expiration=1,IF($A63&lt;VLOOKUP(R$5,NFI,5,0),1,0)*Data_NFI_t[[#This Row],[Jerry Can]],0)</f>
        <v>0</v>
      </c>
      <c r="AD63" s="143">
        <f>IF(NFI_Expiration=1,IF($A63&lt;VLOOKUP(S$5,NFI,5,0),1,0)*Data_NFI_t[[#This Row],[Plastic Mat]],0)*IF(Data_NFI_t[[#This Row],[Distribution Date]]&gt;"01-06-2015",1,2.5)</f>
        <v>0</v>
      </c>
      <c r="AE63" s="143" t="str">
        <f ca="1">IFERROR(OFFSET(Camp_List[P_Code],MATCH(Data_NFI_t[[#This Row],[Camp Name]],Camp_List[Camp Name],0)-1,0,1,1),"")</f>
        <v>MMR012CMP014</v>
      </c>
      <c r="AF63" s="572" t="str">
        <f ca="1">IFERROR(OFFSET(Camp_List[Status],MATCH(Data_NFI_t[[#This Row],[Camp Name]],Camp_List[Camp Name],0)-1,0,1,1),"")</f>
        <v>Open</v>
      </c>
    </row>
    <row r="64" spans="1:32" s="100" customFormat="1" ht="15" customHeight="1">
      <c r="A64" s="254">
        <f t="shared" si="0"/>
        <v>16.3</v>
      </c>
      <c r="B64" s="254">
        <f>YEAR(Data_NFI_t[[#This Row],[Distribution Date]])</f>
        <v>2015</v>
      </c>
      <c r="C64" s="585">
        <v>42033</v>
      </c>
      <c r="D64" s="547" t="s">
        <v>287</v>
      </c>
      <c r="E64" s="546" t="s">
        <v>287</v>
      </c>
      <c r="F64" s="547" t="s">
        <v>7</v>
      </c>
      <c r="G64" s="31" t="s">
        <v>14</v>
      </c>
      <c r="H64" s="31" t="s">
        <v>42</v>
      </c>
      <c r="I64" s="31"/>
      <c r="J64" s="60">
        <v>101</v>
      </c>
      <c r="K64" s="60"/>
      <c r="L64" s="60">
        <v>1888</v>
      </c>
      <c r="M64" s="60">
        <v>944</v>
      </c>
      <c r="N64" s="60">
        <v>1888</v>
      </c>
      <c r="O64" s="60">
        <v>944</v>
      </c>
      <c r="P64" s="60"/>
      <c r="Q64" s="60">
        <v>944</v>
      </c>
      <c r="R64" s="570">
        <v>944</v>
      </c>
      <c r="S64" s="60">
        <v>4720</v>
      </c>
      <c r="T64" s="143">
        <f>IF(NFI_Expiration=1,IF($A64&lt;VLOOKUP(I$5,NFI,5,0),1,0)*Data_NFI_t[[#This Row],[Hygiene Kit]],0)</f>
        <v>0</v>
      </c>
      <c r="U64" s="143">
        <f>IF(NFI_Expiration=1,IF($A64&lt;VLOOKUP(J$5,NFI,5,0),1,0)*Data_NFI_t[[#This Row],[NFI Core Kit]],0)</f>
        <v>0</v>
      </c>
      <c r="V64" s="124">
        <f>IF(NFI_Expiration=1,IF($A64&lt;VLOOKUP(K$5,NFI,5,0),1,0)*Data_NFI_t[[#This Row],[Sanitary Kit]],0)</f>
        <v>0</v>
      </c>
      <c r="W64" s="124">
        <f>IF(NFI_Expiration=1,IF($A64&lt;VLOOKUP(L$5,NFI,5,0),1,0)*Data_NFI_t[[#This Row],[Mosquito net]],0)</f>
        <v>0</v>
      </c>
      <c r="X64" s="124">
        <f>IF(NFI_Expiration=1,IF($A64&lt;VLOOKUP(M$5,NFI,5,0),1,0)*Data_NFI_t[[#This Row],[Tarpaulin]],0)</f>
        <v>0</v>
      </c>
      <c r="Y64" s="124">
        <f>IF(NFI_Expiration=1,IF($A64&lt;VLOOKUP(N$5,NFI,5,0),1,0)*Data_NFI_t[[#This Row],[Blanket]],0)</f>
        <v>0</v>
      </c>
      <c r="Z64" s="124">
        <f>IF(NFI_Expiration=1,IF($A64&lt;VLOOKUP(O$5,NFI,5,0),1,0)*Data_NFI_t[[#This Row],[Kitchen Set]],0)</f>
        <v>0</v>
      </c>
      <c r="AA64" s="124">
        <f>IF(NFI_Expiration=1,IF($A64&lt;VLOOKUP(P$5,NFI,5,0),1,0)*Data_NFI_t[[#This Row],[Complementary Kit]],0)</f>
        <v>0</v>
      </c>
      <c r="AB64" s="124">
        <f>IF(NFI_Expiration=1,IF($A64&lt;VLOOKUP(Q$5,NFI,5,0),1,0)*Data_NFI_t[[#This Row],[Plastic Bucket]],0)</f>
        <v>0</v>
      </c>
      <c r="AC64" s="124">
        <f>IF(NFI_Expiration=1,IF($A64&lt;VLOOKUP(R$5,NFI,5,0),1,0)*Data_NFI_t[[#This Row],[Jerry Can]],0)</f>
        <v>0</v>
      </c>
      <c r="AD64" s="143">
        <f>IF(NFI_Expiration=1,IF($A64&lt;VLOOKUP(S$5,NFI,5,0),1,0)*Data_NFI_t[[#This Row],[Plastic Mat]],0)*IF(Data_NFI_t[[#This Row],[Distribution Date]]&gt;"01-06-2015",1,2.5)</f>
        <v>0</v>
      </c>
      <c r="AE64" s="143" t="str">
        <f ca="1">IFERROR(OFFSET(Camp_List[P_Code],MATCH(Data_NFI_t[[#This Row],[Camp Name]],Camp_List[Camp Name],0)-1,0,1,1),"")</f>
        <v>MMR012CMP018</v>
      </c>
      <c r="AF64" s="572" t="str">
        <f ca="1">IFERROR(OFFSET(Camp_List[Status],MATCH(Data_NFI_t[[#This Row],[Camp Name]],Camp_List[Camp Name],0)-1,0,1,1),"")</f>
        <v>Open</v>
      </c>
    </row>
    <row r="65" spans="1:32" s="100" customFormat="1" ht="15" customHeight="1">
      <c r="A65" s="254">
        <f t="shared" si="0"/>
        <v>16.566666666666666</v>
      </c>
      <c r="B65" s="254">
        <v>2015</v>
      </c>
      <c r="C65" s="585">
        <v>42025</v>
      </c>
      <c r="D65" s="547" t="s">
        <v>287</v>
      </c>
      <c r="E65" s="546" t="s">
        <v>287</v>
      </c>
      <c r="F65" s="547" t="s">
        <v>7</v>
      </c>
      <c r="G65" s="31" t="s">
        <v>16</v>
      </c>
      <c r="H65" s="31" t="s">
        <v>623</v>
      </c>
      <c r="I65" s="31">
        <v>0</v>
      </c>
      <c r="J65" s="60">
        <v>0</v>
      </c>
      <c r="K65" s="60">
        <v>0</v>
      </c>
      <c r="L65" s="60">
        <v>0</v>
      </c>
      <c r="M65" s="60">
        <v>0</v>
      </c>
      <c r="N65" s="60">
        <v>700</v>
      </c>
      <c r="O65" s="60">
        <v>0</v>
      </c>
      <c r="P65" s="60">
        <v>0</v>
      </c>
      <c r="Q65" s="60">
        <v>350</v>
      </c>
      <c r="R65" s="570">
        <v>0</v>
      </c>
      <c r="S65" s="60">
        <v>1120</v>
      </c>
      <c r="T65" s="143">
        <f>IF(NFI_Expiration=1,IF($A65&lt;VLOOKUP(I$5,NFI,5,0),1,0)*Data_NFI_t[[#This Row],[Hygiene Kit]],0)</f>
        <v>0</v>
      </c>
      <c r="U65" s="143">
        <f>IF(NFI_Expiration=1,IF($A65&lt;VLOOKUP(J$5,NFI,5,0),1,0)*Data_NFI_t[[#This Row],[NFI Core Kit]],0)</f>
        <v>0</v>
      </c>
      <c r="V65" s="124">
        <f>IF(NFI_Expiration=1,IF($A65&lt;VLOOKUP(K$5,NFI,5,0),1,0)*Data_NFI_t[[#This Row],[Sanitary Kit]],0)</f>
        <v>0</v>
      </c>
      <c r="W65" s="124">
        <f>IF(NFI_Expiration=1,IF($A65&lt;VLOOKUP(L$5,NFI,5,0),1,0)*Data_NFI_t[[#This Row],[Mosquito net]],0)</f>
        <v>0</v>
      </c>
      <c r="X65" s="124">
        <f>IF(NFI_Expiration=1,IF($A65&lt;VLOOKUP(M$5,NFI,5,0),1,0)*Data_NFI_t[[#This Row],[Tarpaulin]],0)</f>
        <v>0</v>
      </c>
      <c r="Y65" s="124">
        <f>IF(NFI_Expiration=1,IF($A65&lt;VLOOKUP(N$5,NFI,5,0),1,0)*Data_NFI_t[[#This Row],[Blanket]],0)</f>
        <v>0</v>
      </c>
      <c r="Z65" s="124">
        <f>IF(NFI_Expiration=1,IF($A65&lt;VLOOKUP(O$5,NFI,5,0),1,0)*Data_NFI_t[[#This Row],[Kitchen Set]],0)</f>
        <v>0</v>
      </c>
      <c r="AA65" s="124">
        <f>IF(NFI_Expiration=1,IF($A65&lt;VLOOKUP(P$5,NFI,5,0),1,0)*Data_NFI_t[[#This Row],[Complementary Kit]],0)</f>
        <v>0</v>
      </c>
      <c r="AB65" s="124">
        <f>IF(NFI_Expiration=1,IF($A65&lt;VLOOKUP(Q$5,NFI,5,0),1,0)*Data_NFI_t[[#This Row],[Plastic Bucket]],0)</f>
        <v>0</v>
      </c>
      <c r="AC65" s="124">
        <f>IF(NFI_Expiration=1,IF($A65&lt;VLOOKUP(R$5,NFI,5,0),1,0)*Data_NFI_t[[#This Row],[Jerry Can]],0)</f>
        <v>0</v>
      </c>
      <c r="AD65" s="143">
        <f>IF(NFI_Expiration=1,IF($A65&lt;VLOOKUP(S$5,NFI,5,0),1,0)*Data_NFI_t[[#This Row],[Plastic Mat]],0)*IF(Data_NFI_t[[#This Row],[Distribution Date]]&gt;"01-06-2015",1,2.5)</f>
        <v>0</v>
      </c>
      <c r="AE65" s="143" t="str">
        <f ca="1">IFERROR(OFFSET(Camp_List[P_Code],MATCH(Data_NFI_t[[#This Row],[Camp Name]],Camp_List[Camp Name],0)-1,0,1,1),"")</f>
        <v>MMR012CMP033</v>
      </c>
      <c r="AF65" s="572" t="str">
        <f ca="1">IFERROR(OFFSET(Camp_List[Status],MATCH(Data_NFI_t[[#This Row],[Camp Name]],Camp_List[Camp Name],0)-1,0,1,1),"")</f>
        <v>Open</v>
      </c>
    </row>
    <row r="66" spans="1:32" s="100" customFormat="1" ht="15" customHeight="1">
      <c r="A66" s="254">
        <f t="shared" si="0"/>
        <v>16.566666666666666</v>
      </c>
      <c r="B66" s="254">
        <v>2015</v>
      </c>
      <c r="C66" s="585">
        <v>42025</v>
      </c>
      <c r="D66" s="547" t="s">
        <v>287</v>
      </c>
      <c r="E66" s="546" t="s">
        <v>287</v>
      </c>
      <c r="F66" s="547" t="s">
        <v>7</v>
      </c>
      <c r="G66" s="31" t="s">
        <v>16</v>
      </c>
      <c r="H66" s="31" t="s">
        <v>409</v>
      </c>
      <c r="I66" s="31">
        <v>0</v>
      </c>
      <c r="J66" s="60">
        <v>0</v>
      </c>
      <c r="K66" s="60">
        <v>0</v>
      </c>
      <c r="L66" s="60">
        <v>0</v>
      </c>
      <c r="M66" s="60">
        <v>0</v>
      </c>
      <c r="N66" s="60">
        <v>534</v>
      </c>
      <c r="O66" s="60">
        <v>0</v>
      </c>
      <c r="P66" s="60">
        <v>0</v>
      </c>
      <c r="Q66" s="60">
        <v>267</v>
      </c>
      <c r="R66" s="570"/>
      <c r="S66" s="60">
        <v>1010</v>
      </c>
      <c r="T66" s="143">
        <f>IF(NFI_Expiration=1,IF($A66&lt;VLOOKUP(I$5,NFI,5,0),1,0)*Data_NFI_t[[#This Row],[Hygiene Kit]],0)</f>
        <v>0</v>
      </c>
      <c r="U66" s="143">
        <f>IF(NFI_Expiration=1,IF($A66&lt;VLOOKUP(J$5,NFI,5,0),1,0)*Data_NFI_t[[#This Row],[NFI Core Kit]],0)</f>
        <v>0</v>
      </c>
      <c r="V66" s="124">
        <f>IF(NFI_Expiration=1,IF($A66&lt;VLOOKUP(K$5,NFI,5,0),1,0)*Data_NFI_t[[#This Row],[Sanitary Kit]],0)</f>
        <v>0</v>
      </c>
      <c r="W66" s="124">
        <f>IF(NFI_Expiration=1,IF($A66&lt;VLOOKUP(L$5,NFI,5,0),1,0)*Data_NFI_t[[#This Row],[Mosquito net]],0)</f>
        <v>0</v>
      </c>
      <c r="X66" s="124">
        <f>IF(NFI_Expiration=1,IF($A66&lt;VLOOKUP(M$5,NFI,5,0),1,0)*Data_NFI_t[[#This Row],[Tarpaulin]],0)</f>
        <v>0</v>
      </c>
      <c r="Y66" s="124">
        <f>IF(NFI_Expiration=1,IF($A66&lt;VLOOKUP(N$5,NFI,5,0),1,0)*Data_NFI_t[[#This Row],[Blanket]],0)</f>
        <v>0</v>
      </c>
      <c r="Z66" s="124">
        <f>IF(NFI_Expiration=1,IF($A66&lt;VLOOKUP(O$5,NFI,5,0),1,0)*Data_NFI_t[[#This Row],[Kitchen Set]],0)</f>
        <v>0</v>
      </c>
      <c r="AA66" s="124">
        <f>IF(NFI_Expiration=1,IF($A66&lt;VLOOKUP(P$5,NFI,5,0),1,0)*Data_NFI_t[[#This Row],[Complementary Kit]],0)</f>
        <v>0</v>
      </c>
      <c r="AB66" s="124">
        <f>IF(NFI_Expiration=1,IF($A66&lt;VLOOKUP(Q$5,NFI,5,0),1,0)*Data_NFI_t[[#This Row],[Plastic Bucket]],0)</f>
        <v>0</v>
      </c>
      <c r="AC66" s="124">
        <f>IF(NFI_Expiration=1,IF($A66&lt;VLOOKUP(R$5,NFI,5,0),1,0)*Data_NFI_t[[#This Row],[Jerry Can]],0)</f>
        <v>0</v>
      </c>
      <c r="AD66" s="143">
        <f>IF(NFI_Expiration=1,IF($A66&lt;VLOOKUP(S$5,NFI,5,0),1,0)*Data_NFI_t[[#This Row],[Plastic Mat]],0)*IF(Data_NFI_t[[#This Row],[Distribution Date]]&gt;"01-06-2015",1,2.5)</f>
        <v>0</v>
      </c>
      <c r="AE66" s="143" t="str">
        <f ca="1">IFERROR(OFFSET(Camp_List[P_Code],MATCH(Data_NFI_t[[#This Row],[Camp Name]],Camp_List[Camp Name],0)-1,0,1,1),"")</f>
        <v>MMR012CMP110</v>
      </c>
      <c r="AF66" s="572" t="str">
        <f ca="1">IFERROR(OFFSET(Camp_List[Status],MATCH(Data_NFI_t[[#This Row],[Camp Name]],Camp_List[Camp Name],0)-1,0,1,1),"")</f>
        <v>Open</v>
      </c>
    </row>
    <row r="67" spans="1:32" s="100" customFormat="1" ht="15" customHeight="1">
      <c r="A67" s="254">
        <f t="shared" si="0"/>
        <v>17.066666666666666</v>
      </c>
      <c r="B67" s="254">
        <v>2015</v>
      </c>
      <c r="C67" s="585">
        <v>42010</v>
      </c>
      <c r="D67" s="547" t="s">
        <v>287</v>
      </c>
      <c r="E67" s="546" t="s">
        <v>287</v>
      </c>
      <c r="F67" s="547" t="s">
        <v>7</v>
      </c>
      <c r="G67" s="31" t="s">
        <v>20</v>
      </c>
      <c r="H67" s="31" t="s">
        <v>906</v>
      </c>
      <c r="I67" s="31">
        <v>16</v>
      </c>
      <c r="J67" s="60">
        <v>16</v>
      </c>
      <c r="K67" s="60">
        <v>16</v>
      </c>
      <c r="L67" s="60">
        <v>32</v>
      </c>
      <c r="M67" s="60">
        <v>0</v>
      </c>
      <c r="N67" s="60">
        <v>32</v>
      </c>
      <c r="O67" s="60">
        <v>8</v>
      </c>
      <c r="P67" s="60">
        <v>0</v>
      </c>
      <c r="Q67" s="60">
        <v>16</v>
      </c>
      <c r="R67" s="570">
        <v>16</v>
      </c>
      <c r="S67" s="60">
        <v>40</v>
      </c>
      <c r="T67" s="143">
        <f>IF(NFI_Expiration=1,IF($A67&lt;VLOOKUP(I$5,NFI,5,0),1,0)*Data_NFI_t[[#This Row],[Hygiene Kit]],0)</f>
        <v>0</v>
      </c>
      <c r="U67" s="143">
        <f>IF(NFI_Expiration=1,IF($A67&lt;VLOOKUP(J$5,NFI,5,0),1,0)*Data_NFI_t[[#This Row],[NFI Core Kit]],0)</f>
        <v>0</v>
      </c>
      <c r="V67" s="124">
        <f>IF(NFI_Expiration=1,IF($A67&lt;VLOOKUP(K$5,NFI,5,0),1,0)*Data_NFI_t[[#This Row],[Sanitary Kit]],0)</f>
        <v>0</v>
      </c>
      <c r="W67" s="124">
        <f>IF(NFI_Expiration=1,IF($A67&lt;VLOOKUP(L$5,NFI,5,0),1,0)*Data_NFI_t[[#This Row],[Mosquito net]],0)</f>
        <v>0</v>
      </c>
      <c r="X67" s="124">
        <f>IF(NFI_Expiration=1,IF($A67&lt;VLOOKUP(M$5,NFI,5,0),1,0)*Data_NFI_t[[#This Row],[Tarpaulin]],0)</f>
        <v>0</v>
      </c>
      <c r="Y67" s="124">
        <f>IF(NFI_Expiration=1,IF($A67&lt;VLOOKUP(N$5,NFI,5,0),1,0)*Data_NFI_t[[#This Row],[Blanket]],0)</f>
        <v>0</v>
      </c>
      <c r="Z67" s="124">
        <f>IF(NFI_Expiration=1,IF($A67&lt;VLOOKUP(O$5,NFI,5,0),1,0)*Data_NFI_t[[#This Row],[Kitchen Set]],0)</f>
        <v>0</v>
      </c>
      <c r="AA67" s="124">
        <f>IF(NFI_Expiration=1,IF($A67&lt;VLOOKUP(P$5,NFI,5,0),1,0)*Data_NFI_t[[#This Row],[Complementary Kit]],0)</f>
        <v>0</v>
      </c>
      <c r="AB67" s="124">
        <f>IF(NFI_Expiration=1,IF($A67&lt;VLOOKUP(Q$5,NFI,5,0),1,0)*Data_NFI_t[[#This Row],[Plastic Bucket]],0)</f>
        <v>0</v>
      </c>
      <c r="AC67" s="124">
        <f>IF(NFI_Expiration=1,IF($A67&lt;VLOOKUP(R$5,NFI,5,0),1,0)*Data_NFI_t[[#This Row],[Jerry Can]],0)</f>
        <v>0</v>
      </c>
      <c r="AD67" s="143">
        <f>IF(NFI_Expiration=1,IF($A67&lt;VLOOKUP(S$5,NFI,5,0),1,0)*Data_NFI_t[[#This Row],[Plastic Mat]],0)*IF(Data_NFI_t[[#This Row],[Distribution Date]]&gt;"01-06-2015",1,2.5)</f>
        <v>0</v>
      </c>
      <c r="AE67" s="143" t="str">
        <f ca="1">IFERROR(OFFSET(Camp_List[P_Code],MATCH(Data_NFI_t[[#This Row],[Camp Name]],Camp_List[Camp Name],0)-1,0,1,1),"")</f>
        <v>MMR012CMP094</v>
      </c>
      <c r="AF67" s="572" t="str">
        <f ca="1">IFERROR(OFFSET(Camp_List[Status],MATCH(Data_NFI_t[[#This Row],[Camp Name]],Camp_List[Camp Name],0)-1,0,1,1),"")</f>
        <v>Open</v>
      </c>
    </row>
    <row r="68" spans="1:32" s="100" customFormat="1" ht="15" customHeight="1">
      <c r="A68" s="254">
        <f t="shared" si="0"/>
        <v>17.066666666666666</v>
      </c>
      <c r="B68" s="254">
        <v>2015</v>
      </c>
      <c r="C68" s="585">
        <v>42010</v>
      </c>
      <c r="D68" s="547" t="s">
        <v>287</v>
      </c>
      <c r="E68" s="546" t="s">
        <v>287</v>
      </c>
      <c r="F68" s="547" t="s">
        <v>7</v>
      </c>
      <c r="G68" s="31" t="s">
        <v>20</v>
      </c>
      <c r="H68" s="31" t="s">
        <v>107</v>
      </c>
      <c r="I68" s="31">
        <v>36</v>
      </c>
      <c r="J68" s="60">
        <v>36</v>
      </c>
      <c r="K68" s="60">
        <v>36</v>
      </c>
      <c r="L68" s="60">
        <v>72</v>
      </c>
      <c r="M68" s="60">
        <v>0</v>
      </c>
      <c r="N68" s="60">
        <v>72</v>
      </c>
      <c r="O68" s="60">
        <v>19</v>
      </c>
      <c r="P68" s="60">
        <v>0</v>
      </c>
      <c r="Q68" s="60">
        <v>36</v>
      </c>
      <c r="R68" s="570">
        <v>36</v>
      </c>
      <c r="S68" s="60">
        <v>95</v>
      </c>
      <c r="T68" s="143">
        <f>IF(NFI_Expiration=1,IF($A68&lt;VLOOKUP(I$5,NFI,5,0),1,0)*Data_NFI_t[[#This Row],[Hygiene Kit]],0)</f>
        <v>0</v>
      </c>
      <c r="U68" s="143">
        <f>IF(NFI_Expiration=1,IF($A68&lt;VLOOKUP(J$5,NFI,5,0),1,0)*Data_NFI_t[[#This Row],[NFI Core Kit]],0)</f>
        <v>0</v>
      </c>
      <c r="V68" s="124">
        <f>IF(NFI_Expiration=1,IF($A68&lt;VLOOKUP(K$5,NFI,5,0),1,0)*Data_NFI_t[[#This Row],[Sanitary Kit]],0)</f>
        <v>0</v>
      </c>
      <c r="W68" s="124">
        <f>IF(NFI_Expiration=1,IF($A68&lt;VLOOKUP(L$5,NFI,5,0),1,0)*Data_NFI_t[[#This Row],[Mosquito net]],0)</f>
        <v>0</v>
      </c>
      <c r="X68" s="124">
        <f>IF(NFI_Expiration=1,IF($A68&lt;VLOOKUP(M$5,NFI,5,0),1,0)*Data_NFI_t[[#This Row],[Tarpaulin]],0)</f>
        <v>0</v>
      </c>
      <c r="Y68" s="124">
        <f>IF(NFI_Expiration=1,IF($A68&lt;VLOOKUP(N$5,NFI,5,0),1,0)*Data_NFI_t[[#This Row],[Blanket]],0)</f>
        <v>0</v>
      </c>
      <c r="Z68" s="124">
        <f>IF(NFI_Expiration=1,IF($A68&lt;VLOOKUP(O$5,NFI,5,0),1,0)*Data_NFI_t[[#This Row],[Kitchen Set]],0)</f>
        <v>0</v>
      </c>
      <c r="AA68" s="124">
        <f>IF(NFI_Expiration=1,IF($A68&lt;VLOOKUP(P$5,NFI,5,0),1,0)*Data_NFI_t[[#This Row],[Complementary Kit]],0)</f>
        <v>0</v>
      </c>
      <c r="AB68" s="124">
        <f>IF(NFI_Expiration=1,IF($A68&lt;VLOOKUP(Q$5,NFI,5,0),1,0)*Data_NFI_t[[#This Row],[Plastic Bucket]],0)</f>
        <v>0</v>
      </c>
      <c r="AC68" s="124">
        <f>IF(NFI_Expiration=1,IF($A68&lt;VLOOKUP(R$5,NFI,5,0),1,0)*Data_NFI_t[[#This Row],[Jerry Can]],0)</f>
        <v>0</v>
      </c>
      <c r="AD68" s="143">
        <f>IF(NFI_Expiration=1,IF($A68&lt;VLOOKUP(S$5,NFI,5,0),1,0)*Data_NFI_t[[#This Row],[Plastic Mat]],0)*IF(Data_NFI_t[[#This Row],[Distribution Date]]&gt;"01-06-2015",1,2.5)</f>
        <v>0</v>
      </c>
      <c r="AE68" s="143" t="str">
        <f ca="1">IFERROR(OFFSET(Camp_List[P_Code],MATCH(Data_NFI_t[[#This Row],[Camp Name]],Camp_List[Camp Name],0)-1,0,1,1),"")</f>
        <v>MMR012CMP085</v>
      </c>
      <c r="AF68" s="572" t="str">
        <f ca="1">IFERROR(OFFSET(Camp_List[Status],MATCH(Data_NFI_t[[#This Row],[Camp Name]],Camp_List[Camp Name],0)-1,0,1,1),"")</f>
        <v>Open</v>
      </c>
    </row>
    <row r="69" spans="1:32" s="100" customFormat="1" ht="15" customHeight="1">
      <c r="A69" s="254">
        <f t="shared" si="0"/>
        <v>17.066666666666666</v>
      </c>
      <c r="B69" s="254">
        <v>2015</v>
      </c>
      <c r="C69" s="585">
        <v>42010</v>
      </c>
      <c r="D69" s="547" t="s">
        <v>287</v>
      </c>
      <c r="E69" s="546" t="s">
        <v>287</v>
      </c>
      <c r="F69" s="547" t="s">
        <v>7</v>
      </c>
      <c r="G69" s="31" t="s">
        <v>20</v>
      </c>
      <c r="H69" s="31" t="s">
        <v>973</v>
      </c>
      <c r="I69" s="31">
        <v>39</v>
      </c>
      <c r="J69" s="60">
        <v>39</v>
      </c>
      <c r="K69" s="60">
        <v>39</v>
      </c>
      <c r="L69" s="60">
        <v>78</v>
      </c>
      <c r="M69" s="60">
        <v>0</v>
      </c>
      <c r="N69" s="60">
        <v>78</v>
      </c>
      <c r="O69" s="60">
        <v>28</v>
      </c>
      <c r="P69" s="60">
        <v>0</v>
      </c>
      <c r="Q69" s="60">
        <v>39</v>
      </c>
      <c r="R69" s="570">
        <v>39</v>
      </c>
      <c r="S69" s="60">
        <v>40</v>
      </c>
      <c r="T69" s="143">
        <f>IF(NFI_Expiration=1,IF($A69&lt;VLOOKUP(I$5,NFI,5,0),1,0)*Data_NFI_t[[#This Row],[Hygiene Kit]],0)</f>
        <v>0</v>
      </c>
      <c r="U69" s="143">
        <f>IF(NFI_Expiration=1,IF($A69&lt;VLOOKUP(J$5,NFI,5,0),1,0)*Data_NFI_t[[#This Row],[NFI Core Kit]],0)</f>
        <v>0</v>
      </c>
      <c r="V69" s="124">
        <f>IF(NFI_Expiration=1,IF($A69&lt;VLOOKUP(K$5,NFI,5,0),1,0)*Data_NFI_t[[#This Row],[Sanitary Kit]],0)</f>
        <v>0</v>
      </c>
      <c r="W69" s="124">
        <f>IF(NFI_Expiration=1,IF($A69&lt;VLOOKUP(L$5,NFI,5,0),1,0)*Data_NFI_t[[#This Row],[Mosquito net]],0)</f>
        <v>0</v>
      </c>
      <c r="X69" s="124">
        <f>IF(NFI_Expiration=1,IF($A69&lt;VLOOKUP(M$5,NFI,5,0),1,0)*Data_NFI_t[[#This Row],[Tarpaulin]],0)</f>
        <v>0</v>
      </c>
      <c r="Y69" s="124">
        <f>IF(NFI_Expiration=1,IF($A69&lt;VLOOKUP(N$5,NFI,5,0),1,0)*Data_NFI_t[[#This Row],[Blanket]],0)</f>
        <v>0</v>
      </c>
      <c r="Z69" s="124">
        <f>IF(NFI_Expiration=1,IF($A69&lt;VLOOKUP(O$5,NFI,5,0),1,0)*Data_NFI_t[[#This Row],[Kitchen Set]],0)</f>
        <v>0</v>
      </c>
      <c r="AA69" s="124">
        <f>IF(NFI_Expiration=1,IF($A69&lt;VLOOKUP(P$5,NFI,5,0),1,0)*Data_NFI_t[[#This Row],[Complementary Kit]],0)</f>
        <v>0</v>
      </c>
      <c r="AB69" s="124">
        <f>IF(NFI_Expiration=1,IF($A69&lt;VLOOKUP(Q$5,NFI,5,0),1,0)*Data_NFI_t[[#This Row],[Plastic Bucket]],0)</f>
        <v>0</v>
      </c>
      <c r="AC69" s="124">
        <f>IF(NFI_Expiration=1,IF($A69&lt;VLOOKUP(R$5,NFI,5,0),1,0)*Data_NFI_t[[#This Row],[Jerry Can]],0)</f>
        <v>0</v>
      </c>
      <c r="AD69" s="143">
        <f>IF(NFI_Expiration=1,IF($A69&lt;VLOOKUP(S$5,NFI,5,0),1,0)*Data_NFI_t[[#This Row],[Plastic Mat]],0)*IF(Data_NFI_t[[#This Row],[Distribution Date]]&gt;"01-06-2015",1,2.5)</f>
        <v>0</v>
      </c>
      <c r="AE69" s="143" t="str">
        <f ca="1">IFERROR(OFFSET(Camp_List[P_Code],MATCH(Data_NFI_t[[#This Row],[Camp Name]],Camp_List[Camp Name],0)-1,0,1,1),"")</f>
        <v/>
      </c>
      <c r="AF69" s="572" t="str">
        <f ca="1">IFERROR(OFFSET(Camp_List[Status],MATCH(Data_NFI_t[[#This Row],[Camp Name]],Camp_List[Camp Name],0)-1,0,1,1),"")</f>
        <v/>
      </c>
    </row>
    <row r="70" spans="1:32" s="100" customFormat="1" ht="15" customHeight="1">
      <c r="A70" s="254">
        <f t="shared" si="0"/>
        <v>17.233333333333334</v>
      </c>
      <c r="B70" s="254">
        <f>YEAR(Data_NFI_t[[#This Row],[Distribution Date]])</f>
        <v>2015</v>
      </c>
      <c r="C70" s="585">
        <v>42005</v>
      </c>
      <c r="D70" s="547" t="s">
        <v>730</v>
      </c>
      <c r="E70" s="546" t="s">
        <v>730</v>
      </c>
      <c r="F70" s="547" t="s">
        <v>7</v>
      </c>
      <c r="G70" s="31" t="s">
        <v>900</v>
      </c>
      <c r="H70" s="31" t="s">
        <v>37</v>
      </c>
      <c r="I70" s="31">
        <v>42</v>
      </c>
      <c r="J70" s="60"/>
      <c r="K70" s="60"/>
      <c r="L70" s="60"/>
      <c r="M70" s="60"/>
      <c r="N70" s="60"/>
      <c r="O70" s="60"/>
      <c r="P70" s="60"/>
      <c r="Q70" s="60"/>
      <c r="R70" s="570"/>
      <c r="S70" s="60"/>
      <c r="T70" s="143">
        <f>IF(NFI_Expiration=1,IF($A70&lt;VLOOKUP(I$5,NFI,5,0),1,0)*Data_NFI_t[[#This Row],[Hygiene Kit]],0)</f>
        <v>0</v>
      </c>
      <c r="U70" s="143">
        <f>IF(NFI_Expiration=1,IF($A70&lt;VLOOKUP(J$5,NFI,5,0),1,0)*Data_NFI_t[[#This Row],[NFI Core Kit]],0)</f>
        <v>0</v>
      </c>
      <c r="V70" s="124">
        <f>IF(NFI_Expiration=1,IF($A70&lt;VLOOKUP(K$5,NFI,5,0),1,0)*Data_NFI_t[[#This Row],[Sanitary Kit]],0)</f>
        <v>0</v>
      </c>
      <c r="W70" s="124">
        <f>IF(NFI_Expiration=1,IF($A70&lt;VLOOKUP(L$5,NFI,5,0),1,0)*Data_NFI_t[[#This Row],[Mosquito net]],0)</f>
        <v>0</v>
      </c>
      <c r="X70" s="124">
        <f>IF(NFI_Expiration=1,IF($A70&lt;VLOOKUP(M$5,NFI,5,0),1,0)*Data_NFI_t[[#This Row],[Tarpaulin]],0)</f>
        <v>0</v>
      </c>
      <c r="Y70" s="124">
        <f>IF(NFI_Expiration=1,IF($A70&lt;VLOOKUP(N$5,NFI,5,0),1,0)*Data_NFI_t[[#This Row],[Blanket]],0)</f>
        <v>0</v>
      </c>
      <c r="Z70" s="124">
        <f>IF(NFI_Expiration=1,IF($A70&lt;VLOOKUP(O$5,NFI,5,0),1,0)*Data_NFI_t[[#This Row],[Kitchen Set]],0)</f>
        <v>0</v>
      </c>
      <c r="AA70" s="124">
        <f>IF(NFI_Expiration=1,IF($A70&lt;VLOOKUP(P$5,NFI,5,0),1,0)*Data_NFI_t[[#This Row],[Complementary Kit]],0)</f>
        <v>0</v>
      </c>
      <c r="AB70" s="124">
        <f>IF(NFI_Expiration=1,IF($A70&lt;VLOOKUP(Q$5,NFI,5,0),1,0)*Data_NFI_t[[#This Row],[Plastic Bucket]],0)</f>
        <v>0</v>
      </c>
      <c r="AC70" s="124">
        <f>IF(NFI_Expiration=1,IF($A70&lt;VLOOKUP(R$5,NFI,5,0),1,0)*Data_NFI_t[[#This Row],[Jerry Can]],0)</f>
        <v>0</v>
      </c>
      <c r="AD70" s="143">
        <f>IF(NFI_Expiration=1,IF($A70&lt;VLOOKUP(S$5,NFI,5,0),1,0)*Data_NFI_t[[#This Row],[Plastic Mat]],0)*IF(Data_NFI_t[[#This Row],[Distribution Date]]&gt;"01-06-2015",1,2.5)</f>
        <v>0</v>
      </c>
      <c r="AE70" s="143" t="str">
        <f ca="1">IFERROR(OFFSET(Camp_List[P_Code],MATCH(Data_NFI_t[[#This Row],[Camp Name]],Camp_List[Camp Name],0)-1,0,1,1),"")</f>
        <v>MMR012CMP013</v>
      </c>
      <c r="AF70" s="572" t="str">
        <f ca="1">IFERROR(OFFSET(Camp_List[Status],MATCH(Data_NFI_t[[#This Row],[Camp Name]],Camp_List[Camp Name],0)-1,0,1,1),"")</f>
        <v>Open</v>
      </c>
    </row>
    <row r="71" spans="1:32" s="100" customFormat="1" ht="15" customHeight="1">
      <c r="A71" s="254">
        <f t="shared" si="0"/>
        <v>17.233333333333334</v>
      </c>
      <c r="B71" s="254">
        <f>YEAR(Data_NFI_t[[#This Row],[Distribution Date]])</f>
        <v>2015</v>
      </c>
      <c r="C71" s="585">
        <v>42005</v>
      </c>
      <c r="D71" s="547" t="s">
        <v>730</v>
      </c>
      <c r="E71" s="546" t="s">
        <v>730</v>
      </c>
      <c r="F71" s="547" t="s">
        <v>7</v>
      </c>
      <c r="G71" s="31" t="s">
        <v>900</v>
      </c>
      <c r="H71" s="31" t="s">
        <v>38</v>
      </c>
      <c r="I71" s="31">
        <v>682</v>
      </c>
      <c r="J71" s="60"/>
      <c r="K71" s="60"/>
      <c r="L71" s="60"/>
      <c r="M71" s="60"/>
      <c r="N71" s="60"/>
      <c r="O71" s="60"/>
      <c r="P71" s="60"/>
      <c r="Q71" s="60"/>
      <c r="R71" s="570"/>
      <c r="S71" s="60"/>
      <c r="T71" s="143">
        <f>IF(NFI_Expiration=1,IF($A71&lt;VLOOKUP(I$5,NFI,5,0),1,0)*Data_NFI_t[[#This Row],[Hygiene Kit]],0)</f>
        <v>0</v>
      </c>
      <c r="U71" s="143">
        <f>IF(NFI_Expiration=1,IF($A71&lt;VLOOKUP(J$5,NFI,5,0),1,0)*Data_NFI_t[[#This Row],[NFI Core Kit]],0)</f>
        <v>0</v>
      </c>
      <c r="V71" s="124">
        <f>IF(NFI_Expiration=1,IF($A71&lt;VLOOKUP(K$5,NFI,5,0),1,0)*Data_NFI_t[[#This Row],[Sanitary Kit]],0)</f>
        <v>0</v>
      </c>
      <c r="W71" s="124">
        <f>IF(NFI_Expiration=1,IF($A71&lt;VLOOKUP(L$5,NFI,5,0),1,0)*Data_NFI_t[[#This Row],[Mosquito net]],0)</f>
        <v>0</v>
      </c>
      <c r="X71" s="124">
        <f>IF(NFI_Expiration=1,IF($A71&lt;VLOOKUP(M$5,NFI,5,0),1,0)*Data_NFI_t[[#This Row],[Tarpaulin]],0)</f>
        <v>0</v>
      </c>
      <c r="Y71" s="124">
        <f>IF(NFI_Expiration=1,IF($A71&lt;VLOOKUP(N$5,NFI,5,0),1,0)*Data_NFI_t[[#This Row],[Blanket]],0)</f>
        <v>0</v>
      </c>
      <c r="Z71" s="124">
        <f>IF(NFI_Expiration=1,IF($A71&lt;VLOOKUP(O$5,NFI,5,0),1,0)*Data_NFI_t[[#This Row],[Kitchen Set]],0)</f>
        <v>0</v>
      </c>
      <c r="AA71" s="124">
        <f>IF(NFI_Expiration=1,IF($A71&lt;VLOOKUP(P$5,NFI,5,0),1,0)*Data_NFI_t[[#This Row],[Complementary Kit]],0)</f>
        <v>0</v>
      </c>
      <c r="AB71" s="124">
        <f>IF(NFI_Expiration=1,IF($A71&lt;VLOOKUP(Q$5,NFI,5,0),1,0)*Data_NFI_t[[#This Row],[Plastic Bucket]],0)</f>
        <v>0</v>
      </c>
      <c r="AC71" s="124">
        <f>IF(NFI_Expiration=1,IF($A71&lt;VLOOKUP(R$5,NFI,5,0),1,0)*Data_NFI_t[[#This Row],[Jerry Can]],0)</f>
        <v>0</v>
      </c>
      <c r="AD71" s="143">
        <f>IF(NFI_Expiration=1,IF($A71&lt;VLOOKUP(S$5,NFI,5,0),1,0)*Data_NFI_t[[#This Row],[Plastic Mat]],0)*IF(Data_NFI_t[[#This Row],[Distribution Date]]&gt;"01-06-2015",1,2.5)</f>
        <v>0</v>
      </c>
      <c r="AE71" s="143" t="str">
        <f ca="1">IFERROR(OFFSET(Camp_List[P_Code],MATCH(Data_NFI_t[[#This Row],[Camp Name]],Camp_List[Camp Name],0)-1,0,1,1),"")</f>
        <v>MMR012CMP014</v>
      </c>
      <c r="AF71" s="572" t="str">
        <f ca="1">IFERROR(OFFSET(Camp_List[Status],MATCH(Data_NFI_t[[#This Row],[Camp Name]],Camp_List[Camp Name],0)-1,0,1,1),"")</f>
        <v>Open</v>
      </c>
    </row>
    <row r="72" spans="1:32" s="100" customFormat="1" ht="15" customHeight="1">
      <c r="A72" s="254">
        <f t="shared" ref="A72:A135" si="1">IF(ISBLANK(C72),"",(Report_Date-C72)/30)</f>
        <v>17.533333333333335</v>
      </c>
      <c r="B72" s="254">
        <f>YEAR(Data_NFI_t[[#This Row],[Distribution Date]])</f>
        <v>2014</v>
      </c>
      <c r="C72" s="585">
        <v>41996</v>
      </c>
      <c r="D72" s="547" t="s">
        <v>287</v>
      </c>
      <c r="E72" s="546" t="s">
        <v>287</v>
      </c>
      <c r="F72" s="547" t="s">
        <v>7</v>
      </c>
      <c r="G72" s="31" t="s">
        <v>20</v>
      </c>
      <c r="H72" s="31" t="s">
        <v>104</v>
      </c>
      <c r="I72" s="31">
        <v>27</v>
      </c>
      <c r="J72" s="60">
        <v>27</v>
      </c>
      <c r="K72" s="60">
        <v>27</v>
      </c>
      <c r="L72" s="60">
        <v>54</v>
      </c>
      <c r="M72" s="60">
        <v>0</v>
      </c>
      <c r="N72" s="60">
        <v>54</v>
      </c>
      <c r="O72" s="60">
        <v>17</v>
      </c>
      <c r="P72" s="60">
        <v>0</v>
      </c>
      <c r="Q72" s="60">
        <v>27</v>
      </c>
      <c r="R72" s="570"/>
      <c r="S72" s="60">
        <v>85</v>
      </c>
      <c r="T72" s="143">
        <f>IF(NFI_Expiration=1,IF($A72&lt;VLOOKUP(I$5,NFI,5,0),1,0)*Data_NFI_t[[#This Row],[Hygiene Kit]],0)</f>
        <v>0</v>
      </c>
      <c r="U72" s="143">
        <f>IF(NFI_Expiration=1,IF($A72&lt;VLOOKUP(J$5,NFI,5,0),1,0)*Data_NFI_t[[#This Row],[NFI Core Kit]],0)</f>
        <v>0</v>
      </c>
      <c r="V72" s="124">
        <f>IF(NFI_Expiration=1,IF($A72&lt;VLOOKUP(K$5,NFI,5,0),1,0)*Data_NFI_t[[#This Row],[Sanitary Kit]],0)</f>
        <v>0</v>
      </c>
      <c r="W72" s="124">
        <f>IF(NFI_Expiration=1,IF($A72&lt;VLOOKUP(L$5,NFI,5,0),1,0)*Data_NFI_t[[#This Row],[Mosquito net]],0)</f>
        <v>0</v>
      </c>
      <c r="X72" s="124">
        <f>IF(NFI_Expiration=1,IF($A72&lt;VLOOKUP(M$5,NFI,5,0),1,0)*Data_NFI_t[[#This Row],[Tarpaulin]],0)</f>
        <v>0</v>
      </c>
      <c r="Y72" s="124">
        <f>IF(NFI_Expiration=1,IF($A72&lt;VLOOKUP(N$5,NFI,5,0),1,0)*Data_NFI_t[[#This Row],[Blanket]],0)</f>
        <v>0</v>
      </c>
      <c r="Z72" s="124">
        <f>IF(NFI_Expiration=1,IF($A72&lt;VLOOKUP(O$5,NFI,5,0),1,0)*Data_NFI_t[[#This Row],[Kitchen Set]],0)</f>
        <v>0</v>
      </c>
      <c r="AA72" s="124">
        <f>IF(NFI_Expiration=1,IF($A72&lt;VLOOKUP(P$5,NFI,5,0),1,0)*Data_NFI_t[[#This Row],[Complementary Kit]],0)</f>
        <v>0</v>
      </c>
      <c r="AB72" s="124">
        <f>IF(NFI_Expiration=1,IF($A72&lt;VLOOKUP(Q$5,NFI,5,0),1,0)*Data_NFI_t[[#This Row],[Plastic Bucket]],0)</f>
        <v>0</v>
      </c>
      <c r="AC72" s="124">
        <f>IF(NFI_Expiration=1,IF($A72&lt;VLOOKUP(R$5,NFI,5,0),1,0)*Data_NFI_t[[#This Row],[Jerry Can]],0)</f>
        <v>0</v>
      </c>
      <c r="AD72" s="143">
        <f>IF(NFI_Expiration=1,IF($A72&lt;VLOOKUP(S$5,NFI,5,0),1,0)*Data_NFI_t[[#This Row],[Plastic Mat]],0)*IF(Data_NFI_t[[#This Row],[Distribution Date]]&gt;"01-06-2015",1,2.5)</f>
        <v>0</v>
      </c>
      <c r="AE72" s="143" t="str">
        <f ca="1">IFERROR(OFFSET(Camp_List[P_Code],MATCH(Data_NFI_t[[#This Row],[Camp Name]],Camp_List[Camp Name],0)-1,0,1,1),"")</f>
        <v>MMR012CMP082</v>
      </c>
      <c r="AF72" s="572" t="str">
        <f ca="1">IFERROR(OFFSET(Camp_List[Status],MATCH(Data_NFI_t[[#This Row],[Camp Name]],Camp_List[Camp Name],0)-1,0,1,1),"")</f>
        <v>Open</v>
      </c>
    </row>
    <row r="73" spans="1:32" s="100" customFormat="1" ht="15" customHeight="1">
      <c r="A73" s="254">
        <f t="shared" si="1"/>
        <v>17.7</v>
      </c>
      <c r="B73" s="254">
        <f>YEAR(Data_NFI_t[[#This Row],[Distribution Date]])</f>
        <v>2014</v>
      </c>
      <c r="C73" s="585">
        <v>41991</v>
      </c>
      <c r="D73" s="547" t="s">
        <v>287</v>
      </c>
      <c r="E73" s="546" t="s">
        <v>287</v>
      </c>
      <c r="F73" s="547" t="s">
        <v>7</v>
      </c>
      <c r="G73" s="31" t="s">
        <v>20</v>
      </c>
      <c r="H73" s="31" t="s">
        <v>108</v>
      </c>
      <c r="I73" s="31">
        <v>108</v>
      </c>
      <c r="J73" s="60">
        <v>108</v>
      </c>
      <c r="K73" s="60">
        <v>108</v>
      </c>
      <c r="L73" s="60">
        <v>216</v>
      </c>
      <c r="M73" s="60">
        <v>0</v>
      </c>
      <c r="N73" s="60">
        <v>216</v>
      </c>
      <c r="O73" s="60">
        <v>68</v>
      </c>
      <c r="P73" s="60">
        <v>0</v>
      </c>
      <c r="Q73" s="60">
        <v>108</v>
      </c>
      <c r="R73" s="570"/>
      <c r="S73" s="60">
        <v>340</v>
      </c>
      <c r="T73" s="143">
        <f>IF(NFI_Expiration=1,IF($A73&lt;VLOOKUP(I$5,NFI,5,0),1,0)*Data_NFI_t[[#This Row],[Hygiene Kit]],0)</f>
        <v>0</v>
      </c>
      <c r="U73" s="143">
        <f>IF(NFI_Expiration=1,IF($A73&lt;VLOOKUP(J$5,NFI,5,0),1,0)*Data_NFI_t[[#This Row],[NFI Core Kit]],0)</f>
        <v>0</v>
      </c>
      <c r="V73" s="124">
        <f>IF(NFI_Expiration=1,IF($A73&lt;VLOOKUP(K$5,NFI,5,0),1,0)*Data_NFI_t[[#This Row],[Sanitary Kit]],0)</f>
        <v>0</v>
      </c>
      <c r="W73" s="124">
        <f>IF(NFI_Expiration=1,IF($A73&lt;VLOOKUP(L$5,NFI,5,0),1,0)*Data_NFI_t[[#This Row],[Mosquito net]],0)</f>
        <v>0</v>
      </c>
      <c r="X73" s="124">
        <f>IF(NFI_Expiration=1,IF($A73&lt;VLOOKUP(M$5,NFI,5,0),1,0)*Data_NFI_t[[#This Row],[Tarpaulin]],0)</f>
        <v>0</v>
      </c>
      <c r="Y73" s="124">
        <f>IF(NFI_Expiration=1,IF($A73&lt;VLOOKUP(N$5,NFI,5,0),1,0)*Data_NFI_t[[#This Row],[Blanket]],0)</f>
        <v>0</v>
      </c>
      <c r="Z73" s="124">
        <f>IF(NFI_Expiration=1,IF($A73&lt;VLOOKUP(O$5,NFI,5,0),1,0)*Data_NFI_t[[#This Row],[Kitchen Set]],0)</f>
        <v>0</v>
      </c>
      <c r="AA73" s="124">
        <f>IF(NFI_Expiration=1,IF($A73&lt;VLOOKUP(P$5,NFI,5,0),1,0)*Data_NFI_t[[#This Row],[Complementary Kit]],0)</f>
        <v>0</v>
      </c>
      <c r="AB73" s="124">
        <f>IF(NFI_Expiration=1,IF($A73&lt;VLOOKUP(Q$5,NFI,5,0),1,0)*Data_NFI_t[[#This Row],[Plastic Bucket]],0)</f>
        <v>0</v>
      </c>
      <c r="AC73" s="124">
        <f>IF(NFI_Expiration=1,IF($A73&lt;VLOOKUP(R$5,NFI,5,0),1,0)*Data_NFI_t[[#This Row],[Jerry Can]],0)</f>
        <v>0</v>
      </c>
      <c r="AD73" s="143">
        <f>IF(NFI_Expiration=1,IF($A73&lt;VLOOKUP(S$5,NFI,5,0),1,0)*Data_NFI_t[[#This Row],[Plastic Mat]],0)*IF(Data_NFI_t[[#This Row],[Distribution Date]]&gt;"01-06-2015",1,2.5)</f>
        <v>0</v>
      </c>
      <c r="AE73" s="143" t="str">
        <f ca="1">IFERROR(OFFSET(Camp_List[P_Code],MATCH(Data_NFI_t[[#This Row],[Camp Name]],Camp_List[Camp Name],0)-1,0,1,1),"")</f>
        <v>MMR012CMP086</v>
      </c>
      <c r="AF73" s="572" t="str">
        <f ca="1">IFERROR(OFFSET(Camp_List[Status],MATCH(Data_NFI_t[[#This Row],[Camp Name]],Camp_List[Camp Name],0)-1,0,1,1),"")</f>
        <v>Open</v>
      </c>
    </row>
    <row r="74" spans="1:32" s="100" customFormat="1" ht="15" customHeight="1">
      <c r="A74" s="254">
        <f t="shared" si="1"/>
        <v>17.7</v>
      </c>
      <c r="B74" s="254">
        <f>YEAR(Data_NFI_t[[#This Row],[Distribution Date]])</f>
        <v>2014</v>
      </c>
      <c r="C74" s="585">
        <v>41991</v>
      </c>
      <c r="D74" s="547" t="s">
        <v>287</v>
      </c>
      <c r="E74" s="546" t="s">
        <v>287</v>
      </c>
      <c r="F74" s="547" t="s">
        <v>7</v>
      </c>
      <c r="G74" s="31" t="s">
        <v>20</v>
      </c>
      <c r="H74" s="31" t="s">
        <v>907</v>
      </c>
      <c r="I74" s="31">
        <v>164</v>
      </c>
      <c r="J74" s="60">
        <v>164</v>
      </c>
      <c r="K74" s="60">
        <v>164</v>
      </c>
      <c r="L74" s="60">
        <v>328</v>
      </c>
      <c r="M74" s="60">
        <v>0</v>
      </c>
      <c r="N74" s="60">
        <v>328</v>
      </c>
      <c r="O74" s="60">
        <v>92</v>
      </c>
      <c r="P74" s="60">
        <v>0</v>
      </c>
      <c r="Q74" s="60">
        <v>164</v>
      </c>
      <c r="R74" s="570"/>
      <c r="S74" s="60">
        <v>460</v>
      </c>
      <c r="T74" s="143">
        <f>IF(NFI_Expiration=1,IF($A74&lt;VLOOKUP(I$5,NFI,5,0),1,0)*Data_NFI_t[[#This Row],[Hygiene Kit]],0)</f>
        <v>0</v>
      </c>
      <c r="U74" s="143">
        <f>IF(NFI_Expiration=1,IF($A74&lt;VLOOKUP(J$5,NFI,5,0),1,0)*Data_NFI_t[[#This Row],[NFI Core Kit]],0)</f>
        <v>0</v>
      </c>
      <c r="V74" s="124">
        <f>IF(NFI_Expiration=1,IF($A74&lt;VLOOKUP(K$5,NFI,5,0),1,0)*Data_NFI_t[[#This Row],[Sanitary Kit]],0)</f>
        <v>0</v>
      </c>
      <c r="W74" s="124">
        <f>IF(NFI_Expiration=1,IF($A74&lt;VLOOKUP(L$5,NFI,5,0),1,0)*Data_NFI_t[[#This Row],[Mosquito net]],0)</f>
        <v>0</v>
      </c>
      <c r="X74" s="124">
        <f>IF(NFI_Expiration=1,IF($A74&lt;VLOOKUP(M$5,NFI,5,0),1,0)*Data_NFI_t[[#This Row],[Tarpaulin]],0)</f>
        <v>0</v>
      </c>
      <c r="Y74" s="124">
        <f>IF(NFI_Expiration=1,IF($A74&lt;VLOOKUP(N$5,NFI,5,0),1,0)*Data_NFI_t[[#This Row],[Blanket]],0)</f>
        <v>0</v>
      </c>
      <c r="Z74" s="124">
        <f>IF(NFI_Expiration=1,IF($A74&lt;VLOOKUP(O$5,NFI,5,0),1,0)*Data_NFI_t[[#This Row],[Kitchen Set]],0)</f>
        <v>0</v>
      </c>
      <c r="AA74" s="124">
        <f>IF(NFI_Expiration=1,IF($A74&lt;VLOOKUP(P$5,NFI,5,0),1,0)*Data_NFI_t[[#This Row],[Complementary Kit]],0)</f>
        <v>0</v>
      </c>
      <c r="AB74" s="124">
        <f>IF(NFI_Expiration=1,IF($A74&lt;VLOOKUP(Q$5,NFI,5,0),1,0)*Data_NFI_t[[#This Row],[Plastic Bucket]],0)</f>
        <v>0</v>
      </c>
      <c r="AC74" s="124">
        <f>IF(NFI_Expiration=1,IF($A74&lt;VLOOKUP(R$5,NFI,5,0),1,0)*Data_NFI_t[[#This Row],[Jerry Can]],0)</f>
        <v>0</v>
      </c>
      <c r="AD74" s="143">
        <f>IF(NFI_Expiration=1,IF($A74&lt;VLOOKUP(S$5,NFI,5,0),1,0)*Data_NFI_t[[#This Row],[Plastic Mat]],0)*IF(Data_NFI_t[[#This Row],[Distribution Date]]&gt;"01-06-2015",1,2.5)</f>
        <v>0</v>
      </c>
      <c r="AE74" s="143" t="str">
        <f ca="1">IFERROR(OFFSET(Camp_List[P_Code],MATCH(Data_NFI_t[[#This Row],[Camp Name]],Camp_List[Camp Name],0)-1,0,1,1),"")</f>
        <v>MMR012CMP095</v>
      </c>
      <c r="AF74" s="572" t="str">
        <f ca="1">IFERROR(OFFSET(Camp_List[Status],MATCH(Data_NFI_t[[#This Row],[Camp Name]],Camp_List[Camp Name],0)-1,0,1,1),"")</f>
        <v>Open</v>
      </c>
    </row>
    <row r="75" spans="1:32" s="100" customFormat="1" ht="15" customHeight="1">
      <c r="A75" s="254">
        <f t="shared" si="1"/>
        <v>17.733333333333334</v>
      </c>
      <c r="B75" s="254">
        <f>YEAR(Data_NFI_t[[#This Row],[Distribution Date]])</f>
        <v>2014</v>
      </c>
      <c r="C75" s="585">
        <v>41990</v>
      </c>
      <c r="D75" s="547" t="s">
        <v>287</v>
      </c>
      <c r="E75" s="546" t="s">
        <v>287</v>
      </c>
      <c r="F75" s="547" t="s">
        <v>7</v>
      </c>
      <c r="G75" s="31" t="s">
        <v>20</v>
      </c>
      <c r="H75" s="31" t="s">
        <v>905</v>
      </c>
      <c r="I75" s="31">
        <v>315</v>
      </c>
      <c r="J75" s="60">
        <v>315</v>
      </c>
      <c r="K75" s="60">
        <v>315</v>
      </c>
      <c r="L75" s="60">
        <v>630</v>
      </c>
      <c r="M75" s="60">
        <v>0</v>
      </c>
      <c r="N75" s="60">
        <v>630</v>
      </c>
      <c r="O75" s="60">
        <v>186</v>
      </c>
      <c r="P75" s="60">
        <v>0</v>
      </c>
      <c r="Q75" s="60">
        <v>315</v>
      </c>
      <c r="R75" s="570"/>
      <c r="S75" s="60">
        <v>930</v>
      </c>
      <c r="T75" s="143">
        <f>IF(NFI_Expiration=1,IF($A75&lt;VLOOKUP(I$5,NFI,5,0),1,0)*Data_NFI_t[[#This Row],[Hygiene Kit]],0)</f>
        <v>0</v>
      </c>
      <c r="U75" s="143">
        <f>IF(NFI_Expiration=1,IF($A75&lt;VLOOKUP(J$5,NFI,5,0),1,0)*Data_NFI_t[[#This Row],[NFI Core Kit]],0)</f>
        <v>0</v>
      </c>
      <c r="V75" s="124">
        <f>IF(NFI_Expiration=1,IF($A75&lt;VLOOKUP(K$5,NFI,5,0),1,0)*Data_NFI_t[[#This Row],[Sanitary Kit]],0)</f>
        <v>0</v>
      </c>
      <c r="W75" s="124">
        <f>IF(NFI_Expiration=1,IF($A75&lt;VLOOKUP(L$5,NFI,5,0),1,0)*Data_NFI_t[[#This Row],[Mosquito net]],0)</f>
        <v>0</v>
      </c>
      <c r="X75" s="124">
        <f>IF(NFI_Expiration=1,IF($A75&lt;VLOOKUP(M$5,NFI,5,0),1,0)*Data_NFI_t[[#This Row],[Tarpaulin]],0)</f>
        <v>0</v>
      </c>
      <c r="Y75" s="124">
        <f>IF(NFI_Expiration=1,IF($A75&lt;VLOOKUP(N$5,NFI,5,0),1,0)*Data_NFI_t[[#This Row],[Blanket]],0)</f>
        <v>0</v>
      </c>
      <c r="Z75" s="124">
        <f>IF(NFI_Expiration=1,IF($A75&lt;VLOOKUP(O$5,NFI,5,0),1,0)*Data_NFI_t[[#This Row],[Kitchen Set]],0)</f>
        <v>0</v>
      </c>
      <c r="AA75" s="124">
        <f>IF(NFI_Expiration=1,IF($A75&lt;VLOOKUP(P$5,NFI,5,0),1,0)*Data_NFI_t[[#This Row],[Complementary Kit]],0)</f>
        <v>0</v>
      </c>
      <c r="AB75" s="124">
        <f>IF(NFI_Expiration=1,IF($A75&lt;VLOOKUP(Q$5,NFI,5,0),1,0)*Data_NFI_t[[#This Row],[Plastic Bucket]],0)</f>
        <v>0</v>
      </c>
      <c r="AC75" s="124">
        <f>IF(NFI_Expiration=1,IF($A75&lt;VLOOKUP(R$5,NFI,5,0),1,0)*Data_NFI_t[[#This Row],[Jerry Can]],0)</f>
        <v>0</v>
      </c>
      <c r="AD75" s="143">
        <f>IF(NFI_Expiration=1,IF($A75&lt;VLOOKUP(S$5,NFI,5,0),1,0)*Data_NFI_t[[#This Row],[Plastic Mat]],0)*IF(Data_NFI_t[[#This Row],[Distribution Date]]&gt;"01-06-2015",1,2.5)</f>
        <v>0</v>
      </c>
      <c r="AE75" s="143" t="str">
        <f ca="1">IFERROR(OFFSET(Camp_List[P_Code],MATCH(Data_NFI_t[[#This Row],[Camp Name]],Camp_List[Camp Name],0)-1,0,1,1),"")</f>
        <v>MMR012CMP083</v>
      </c>
      <c r="AF75" s="572" t="str">
        <f ca="1">IFERROR(OFFSET(Camp_List[Status],MATCH(Data_NFI_t[[#This Row],[Camp Name]],Camp_List[Camp Name],0)-1,0,1,1),"")</f>
        <v>Open</v>
      </c>
    </row>
    <row r="76" spans="1:32" s="100" customFormat="1" ht="15" customHeight="1">
      <c r="A76" s="254">
        <f t="shared" si="1"/>
        <v>17.833333333333332</v>
      </c>
      <c r="B76" s="254">
        <f>YEAR(Data_NFI_t[[#This Row],[Distribution Date]])</f>
        <v>2014</v>
      </c>
      <c r="C76" s="585">
        <v>41987</v>
      </c>
      <c r="D76" s="547" t="s">
        <v>287</v>
      </c>
      <c r="E76" s="546" t="s">
        <v>287</v>
      </c>
      <c r="F76" s="547" t="s">
        <v>7</v>
      </c>
      <c r="G76" s="31" t="s">
        <v>20</v>
      </c>
      <c r="H76" s="31" t="s">
        <v>635</v>
      </c>
      <c r="I76" s="31">
        <v>170</v>
      </c>
      <c r="J76" s="60">
        <v>170</v>
      </c>
      <c r="K76" s="60">
        <v>170</v>
      </c>
      <c r="L76" s="60">
        <v>338</v>
      </c>
      <c r="M76" s="60">
        <v>0</v>
      </c>
      <c r="N76" s="60">
        <v>338</v>
      </c>
      <c r="O76" s="60">
        <v>110</v>
      </c>
      <c r="P76" s="60">
        <v>0</v>
      </c>
      <c r="Q76" s="60">
        <v>170</v>
      </c>
      <c r="R76" s="570"/>
      <c r="S76" s="60">
        <v>550</v>
      </c>
      <c r="T76" s="143">
        <f>IF(NFI_Expiration=1,IF($A76&lt;VLOOKUP(I$5,NFI,5,0),1,0)*Data_NFI_t[[#This Row],[Hygiene Kit]],0)</f>
        <v>0</v>
      </c>
      <c r="U76" s="143">
        <f>IF(NFI_Expiration=1,IF($A76&lt;VLOOKUP(J$5,NFI,5,0),1,0)*Data_NFI_t[[#This Row],[NFI Core Kit]],0)</f>
        <v>0</v>
      </c>
      <c r="V76" s="124">
        <f>IF(NFI_Expiration=1,IF($A76&lt;VLOOKUP(K$5,NFI,5,0),1,0)*Data_NFI_t[[#This Row],[Sanitary Kit]],0)</f>
        <v>0</v>
      </c>
      <c r="W76" s="124">
        <f>IF(NFI_Expiration=1,IF($A76&lt;VLOOKUP(L$5,NFI,5,0),1,0)*Data_NFI_t[[#This Row],[Mosquito net]],0)</f>
        <v>0</v>
      </c>
      <c r="X76" s="124">
        <f>IF(NFI_Expiration=1,IF($A76&lt;VLOOKUP(M$5,NFI,5,0),1,0)*Data_NFI_t[[#This Row],[Tarpaulin]],0)</f>
        <v>0</v>
      </c>
      <c r="Y76" s="124">
        <f>IF(NFI_Expiration=1,IF($A76&lt;VLOOKUP(N$5,NFI,5,0),1,0)*Data_NFI_t[[#This Row],[Blanket]],0)</f>
        <v>0</v>
      </c>
      <c r="Z76" s="124">
        <f>IF(NFI_Expiration=1,IF($A76&lt;VLOOKUP(O$5,NFI,5,0),1,0)*Data_NFI_t[[#This Row],[Kitchen Set]],0)</f>
        <v>0</v>
      </c>
      <c r="AA76" s="124">
        <f>IF(NFI_Expiration=1,IF($A76&lt;VLOOKUP(P$5,NFI,5,0),1,0)*Data_NFI_t[[#This Row],[Complementary Kit]],0)</f>
        <v>0</v>
      </c>
      <c r="AB76" s="124">
        <f>IF(NFI_Expiration=1,IF($A76&lt;VLOOKUP(Q$5,NFI,5,0),1,0)*Data_NFI_t[[#This Row],[Plastic Bucket]],0)</f>
        <v>0</v>
      </c>
      <c r="AC76" s="124">
        <f>IF(NFI_Expiration=1,IF($A76&lt;VLOOKUP(R$5,NFI,5,0),1,0)*Data_NFI_t[[#This Row],[Jerry Can]],0)</f>
        <v>0</v>
      </c>
      <c r="AD76" s="143">
        <f>IF(NFI_Expiration=1,IF($A76&lt;VLOOKUP(S$5,NFI,5,0),1,0)*Data_NFI_t[[#This Row],[Plastic Mat]],0)*IF(Data_NFI_t[[#This Row],[Distribution Date]]&gt;"01-06-2015",1,2.5)</f>
        <v>0</v>
      </c>
      <c r="AE76" s="143" t="str">
        <f ca="1">IFERROR(OFFSET(Camp_List[P_Code],MATCH(Data_NFI_t[[#This Row],[Camp Name]],Camp_List[Camp Name],0)-1,0,1,1),"")</f>
        <v>MMR012CMP109</v>
      </c>
      <c r="AF76" s="572" t="str">
        <f ca="1">IFERROR(OFFSET(Camp_List[Status],MATCH(Data_NFI_t[[#This Row],[Camp Name]],Camp_List[Camp Name],0)-1,0,1,1),"")</f>
        <v>Open</v>
      </c>
    </row>
    <row r="77" spans="1:32" s="100" customFormat="1" ht="15" customHeight="1">
      <c r="A77" s="254">
        <f t="shared" si="1"/>
        <v>20.733333333333334</v>
      </c>
      <c r="B77" s="254">
        <f>YEAR(Data_NFI_t[[#This Row],[Distribution Date]])</f>
        <v>2014</v>
      </c>
      <c r="C77" s="585">
        <v>41900</v>
      </c>
      <c r="D77" s="547" t="s">
        <v>287</v>
      </c>
      <c r="E77" s="546" t="s">
        <v>287</v>
      </c>
      <c r="F77" s="547" t="s">
        <v>7</v>
      </c>
      <c r="G77" s="31" t="s">
        <v>16</v>
      </c>
      <c r="H77" s="31" t="s">
        <v>57</v>
      </c>
      <c r="I77" s="31">
        <v>349</v>
      </c>
      <c r="J77" s="60">
        <v>349</v>
      </c>
      <c r="K77" s="60">
        <v>349</v>
      </c>
      <c r="L77" s="60">
        <v>698</v>
      </c>
      <c r="M77" s="60">
        <v>250</v>
      </c>
      <c r="N77" s="60">
        <v>698</v>
      </c>
      <c r="O77" s="60">
        <v>250</v>
      </c>
      <c r="P77" s="60">
        <v>0</v>
      </c>
      <c r="Q77" s="60">
        <v>349</v>
      </c>
      <c r="R77" s="570"/>
      <c r="S77" s="60">
        <v>1250</v>
      </c>
      <c r="T77" s="143">
        <f>IF(NFI_Expiration=1,IF($A77&lt;VLOOKUP(I$5,NFI,5,0),1,0)*Data_NFI_t[[#This Row],[Hygiene Kit]],0)</f>
        <v>0</v>
      </c>
      <c r="U77" s="143">
        <f>IF(NFI_Expiration=1,IF($A77&lt;VLOOKUP(J$5,NFI,5,0),1,0)*Data_NFI_t[[#This Row],[NFI Core Kit]],0)</f>
        <v>0</v>
      </c>
      <c r="V77" s="124">
        <f>IF(NFI_Expiration=1,IF($A77&lt;VLOOKUP(K$5,NFI,5,0),1,0)*Data_NFI_t[[#This Row],[Sanitary Kit]],0)</f>
        <v>0</v>
      </c>
      <c r="W77" s="124">
        <f>IF(NFI_Expiration=1,IF($A77&lt;VLOOKUP(L$5,NFI,5,0),1,0)*Data_NFI_t[[#This Row],[Mosquito net]],0)</f>
        <v>0</v>
      </c>
      <c r="X77" s="124">
        <f>IF(NFI_Expiration=1,IF($A77&lt;VLOOKUP(M$5,NFI,5,0),1,0)*Data_NFI_t[[#This Row],[Tarpaulin]],0)</f>
        <v>0</v>
      </c>
      <c r="Y77" s="124">
        <f>IF(NFI_Expiration=1,IF($A77&lt;VLOOKUP(N$5,NFI,5,0),1,0)*Data_NFI_t[[#This Row],[Blanket]],0)</f>
        <v>0</v>
      </c>
      <c r="Z77" s="124">
        <f>IF(NFI_Expiration=1,IF($A77&lt;VLOOKUP(O$5,NFI,5,0),1,0)*Data_NFI_t[[#This Row],[Kitchen Set]],0)</f>
        <v>0</v>
      </c>
      <c r="AA77" s="124">
        <f>IF(NFI_Expiration=1,IF($A77&lt;VLOOKUP(P$5,NFI,5,0),1,0)*Data_NFI_t[[#This Row],[Complementary Kit]],0)</f>
        <v>0</v>
      </c>
      <c r="AB77" s="124">
        <f>IF(NFI_Expiration=1,IF($A77&lt;VLOOKUP(Q$5,NFI,5,0),1,0)*Data_NFI_t[[#This Row],[Plastic Bucket]],0)</f>
        <v>0</v>
      </c>
      <c r="AC77" s="124">
        <f>IF(NFI_Expiration=1,IF($A77&lt;VLOOKUP(R$5,NFI,5,0),1,0)*Data_NFI_t[[#This Row],[Jerry Can]],0)</f>
        <v>0</v>
      </c>
      <c r="AD77" s="143">
        <f>IF(NFI_Expiration=1,IF($A77&lt;VLOOKUP(S$5,NFI,5,0),1,0)*Data_NFI_t[[#This Row],[Plastic Mat]],0)*IF(Data_NFI_t[[#This Row],[Distribution Date]]&gt;"01-06-2015",1,2.5)</f>
        <v>0</v>
      </c>
      <c r="AE77" s="143" t="str">
        <f ca="1">IFERROR(OFFSET(Camp_List[P_Code],MATCH(Data_NFI_t[[#This Row],[Camp Name]],Camp_List[Camp Name],0)-1,0,1,1),"")</f>
        <v>MMR012CMP034</v>
      </c>
      <c r="AF77" s="572" t="str">
        <f ca="1">IFERROR(OFFSET(Camp_List[Status],MATCH(Data_NFI_t[[#This Row],[Camp Name]],Camp_List[Camp Name],0)-1,0,1,1),"")</f>
        <v>Open</v>
      </c>
    </row>
    <row r="78" spans="1:32" s="100" customFormat="1" ht="15" customHeight="1">
      <c r="A78" s="254">
        <f t="shared" si="1"/>
        <v>20.766666666666666</v>
      </c>
      <c r="B78" s="254">
        <f>YEAR(Data_NFI_t[[#This Row],[Distribution Date]])</f>
        <v>2014</v>
      </c>
      <c r="C78" s="585">
        <v>41899</v>
      </c>
      <c r="D78" s="547" t="s">
        <v>287</v>
      </c>
      <c r="E78" s="546" t="s">
        <v>287</v>
      </c>
      <c r="F78" s="547" t="s">
        <v>7</v>
      </c>
      <c r="G78" s="31" t="s">
        <v>16</v>
      </c>
      <c r="H78" s="31" t="s">
        <v>56</v>
      </c>
      <c r="I78" s="31">
        <v>86</v>
      </c>
      <c r="J78" s="60">
        <v>86</v>
      </c>
      <c r="K78" s="60">
        <v>86</v>
      </c>
      <c r="L78" s="60">
        <v>170</v>
      </c>
      <c r="M78" s="60">
        <v>66</v>
      </c>
      <c r="N78" s="60">
        <v>170</v>
      </c>
      <c r="O78" s="60">
        <v>66</v>
      </c>
      <c r="P78" s="60">
        <v>0</v>
      </c>
      <c r="Q78" s="60">
        <v>86</v>
      </c>
      <c r="R78" s="570"/>
      <c r="S78" s="60">
        <v>330</v>
      </c>
      <c r="T78" s="143">
        <f>IF(NFI_Expiration=1,IF($A78&lt;VLOOKUP(I$5,NFI,5,0),1,0)*Data_NFI_t[[#This Row],[Hygiene Kit]],0)</f>
        <v>0</v>
      </c>
      <c r="U78" s="143">
        <f>IF(NFI_Expiration=1,IF($A78&lt;VLOOKUP(J$5,NFI,5,0),1,0)*Data_NFI_t[[#This Row],[NFI Core Kit]],0)</f>
        <v>0</v>
      </c>
      <c r="V78" s="124">
        <f>IF(NFI_Expiration=1,IF($A78&lt;VLOOKUP(K$5,NFI,5,0),1,0)*Data_NFI_t[[#This Row],[Sanitary Kit]],0)</f>
        <v>0</v>
      </c>
      <c r="W78" s="124">
        <f>IF(NFI_Expiration=1,IF($A78&lt;VLOOKUP(L$5,NFI,5,0),1,0)*Data_NFI_t[[#This Row],[Mosquito net]],0)</f>
        <v>0</v>
      </c>
      <c r="X78" s="124">
        <f>IF(NFI_Expiration=1,IF($A78&lt;VLOOKUP(M$5,NFI,5,0),1,0)*Data_NFI_t[[#This Row],[Tarpaulin]],0)</f>
        <v>0</v>
      </c>
      <c r="Y78" s="124">
        <f>IF(NFI_Expiration=1,IF($A78&lt;VLOOKUP(N$5,NFI,5,0),1,0)*Data_NFI_t[[#This Row],[Blanket]],0)</f>
        <v>0</v>
      </c>
      <c r="Z78" s="124">
        <f>IF(NFI_Expiration=1,IF($A78&lt;VLOOKUP(O$5,NFI,5,0),1,0)*Data_NFI_t[[#This Row],[Kitchen Set]],0)</f>
        <v>0</v>
      </c>
      <c r="AA78" s="124">
        <f>IF(NFI_Expiration=1,IF($A78&lt;VLOOKUP(P$5,NFI,5,0),1,0)*Data_NFI_t[[#This Row],[Complementary Kit]],0)</f>
        <v>0</v>
      </c>
      <c r="AB78" s="124">
        <f>IF(NFI_Expiration=1,IF($A78&lt;VLOOKUP(Q$5,NFI,5,0),1,0)*Data_NFI_t[[#This Row],[Plastic Bucket]],0)</f>
        <v>0</v>
      </c>
      <c r="AC78" s="124">
        <f>IF(NFI_Expiration=1,IF($A78&lt;VLOOKUP(R$5,NFI,5,0),1,0)*Data_NFI_t[[#This Row],[Jerry Can]],0)</f>
        <v>0</v>
      </c>
      <c r="AD78" s="143">
        <f>IF(NFI_Expiration=1,IF($A78&lt;VLOOKUP(S$5,NFI,5,0),1,0)*Data_NFI_t[[#This Row],[Plastic Mat]],0)*IF(Data_NFI_t[[#This Row],[Distribution Date]]&gt;"01-06-2015",1,2.5)</f>
        <v>0</v>
      </c>
      <c r="AE78" s="143" t="str">
        <f ca="1">IFERROR(OFFSET(Camp_List[P_Code],MATCH(Data_NFI_t[[#This Row],[Camp Name]],Camp_List[Camp Name],0)-1,0,1,1),"")</f>
        <v>MMR012CMP032</v>
      </c>
      <c r="AF78" s="572" t="str">
        <f ca="1">IFERROR(OFFSET(Camp_List[Status],MATCH(Data_NFI_t[[#This Row],[Camp Name]],Camp_List[Camp Name],0)-1,0,1,1),"")</f>
        <v>Returned in Individual Housing</v>
      </c>
    </row>
    <row r="79" spans="1:32" s="100" customFormat="1" ht="15" customHeight="1">
      <c r="A79" s="254">
        <f t="shared" si="1"/>
        <v>20.8</v>
      </c>
      <c r="B79" s="254">
        <f>YEAR(Data_NFI_t[[#This Row],[Distribution Date]])</f>
        <v>2014</v>
      </c>
      <c r="C79" s="585">
        <v>41898</v>
      </c>
      <c r="D79" s="547" t="s">
        <v>287</v>
      </c>
      <c r="E79" s="546" t="s">
        <v>287</v>
      </c>
      <c r="F79" s="547" t="s">
        <v>7</v>
      </c>
      <c r="G79" s="31" t="s">
        <v>16</v>
      </c>
      <c r="H79" s="31" t="s">
        <v>55</v>
      </c>
      <c r="I79" s="31">
        <v>102</v>
      </c>
      <c r="J79" s="60">
        <v>102</v>
      </c>
      <c r="K79" s="60">
        <v>102</v>
      </c>
      <c r="L79" s="60">
        <v>206</v>
      </c>
      <c r="M79" s="60">
        <v>66</v>
      </c>
      <c r="N79" s="60">
        <v>206</v>
      </c>
      <c r="O79" s="60">
        <v>66</v>
      </c>
      <c r="P79" s="60">
        <v>0</v>
      </c>
      <c r="Q79" s="60">
        <v>102</v>
      </c>
      <c r="R79" s="570"/>
      <c r="S79" s="60">
        <v>330</v>
      </c>
      <c r="T79" s="143">
        <f>IF(NFI_Expiration=1,IF($A79&lt;VLOOKUP(I$5,NFI,5,0),1,0)*Data_NFI_t[[#This Row],[Hygiene Kit]],0)</f>
        <v>0</v>
      </c>
      <c r="U79" s="143">
        <f>IF(NFI_Expiration=1,IF($A79&lt;VLOOKUP(J$5,NFI,5,0),1,0)*Data_NFI_t[[#This Row],[NFI Core Kit]],0)</f>
        <v>0</v>
      </c>
      <c r="V79" s="124">
        <f>IF(NFI_Expiration=1,IF($A79&lt;VLOOKUP(K$5,NFI,5,0),1,0)*Data_NFI_t[[#This Row],[Sanitary Kit]],0)</f>
        <v>0</v>
      </c>
      <c r="W79" s="124">
        <f>IF(NFI_Expiration=1,IF($A79&lt;VLOOKUP(L$5,NFI,5,0),1,0)*Data_NFI_t[[#This Row],[Mosquito net]],0)</f>
        <v>0</v>
      </c>
      <c r="X79" s="124">
        <f>IF(NFI_Expiration=1,IF($A79&lt;VLOOKUP(M$5,NFI,5,0),1,0)*Data_NFI_t[[#This Row],[Tarpaulin]],0)</f>
        <v>0</v>
      </c>
      <c r="Y79" s="124">
        <f>IF(NFI_Expiration=1,IF($A79&lt;VLOOKUP(N$5,NFI,5,0),1,0)*Data_NFI_t[[#This Row],[Blanket]],0)</f>
        <v>0</v>
      </c>
      <c r="Z79" s="124">
        <f>IF(NFI_Expiration=1,IF($A79&lt;VLOOKUP(O$5,NFI,5,0),1,0)*Data_NFI_t[[#This Row],[Kitchen Set]],0)</f>
        <v>0</v>
      </c>
      <c r="AA79" s="124">
        <f>IF(NFI_Expiration=1,IF($A79&lt;VLOOKUP(P$5,NFI,5,0),1,0)*Data_NFI_t[[#This Row],[Complementary Kit]],0)</f>
        <v>0</v>
      </c>
      <c r="AB79" s="124">
        <f>IF(NFI_Expiration=1,IF($A79&lt;VLOOKUP(Q$5,NFI,5,0),1,0)*Data_NFI_t[[#This Row],[Plastic Bucket]],0)</f>
        <v>0</v>
      </c>
      <c r="AC79" s="124">
        <f>IF(NFI_Expiration=1,IF($A79&lt;VLOOKUP(R$5,NFI,5,0),1,0)*Data_NFI_t[[#This Row],[Jerry Can]],0)</f>
        <v>0</v>
      </c>
      <c r="AD79" s="143">
        <f>IF(NFI_Expiration=1,IF($A79&lt;VLOOKUP(S$5,NFI,5,0),1,0)*Data_NFI_t[[#This Row],[Plastic Mat]],0)*IF(Data_NFI_t[[#This Row],[Distribution Date]]&gt;"01-06-2015",1,2.5)</f>
        <v>0</v>
      </c>
      <c r="AE79" s="143" t="str">
        <f ca="1">IFERROR(OFFSET(Camp_List[P_Code],MATCH(Data_NFI_t[[#This Row],[Camp Name]],Camp_List[Camp Name],0)-1,0,1,1),"")</f>
        <v>MMR012CMP031</v>
      </c>
      <c r="AF79" s="572" t="str">
        <f ca="1">IFERROR(OFFSET(Camp_List[Status],MATCH(Data_NFI_t[[#This Row],[Camp Name]],Camp_List[Camp Name],0)-1,0,1,1),"")</f>
        <v>Returned in Individual Housing</v>
      </c>
    </row>
    <row r="80" spans="1:32" s="100" customFormat="1" ht="15" customHeight="1">
      <c r="A80" s="254">
        <f t="shared" si="1"/>
        <v>21.433333333333334</v>
      </c>
      <c r="B80" s="254">
        <f>YEAR(Data_NFI_t[[#This Row],[Distribution Date]])</f>
        <v>2014</v>
      </c>
      <c r="C80" s="585">
        <v>41879</v>
      </c>
      <c r="D80" s="547" t="s">
        <v>290</v>
      </c>
      <c r="E80" s="546" t="s">
        <v>290</v>
      </c>
      <c r="F80" s="547" t="s">
        <v>7</v>
      </c>
      <c r="G80" s="31" t="s">
        <v>19</v>
      </c>
      <c r="H80" s="31" t="s">
        <v>649</v>
      </c>
      <c r="I80" s="31"/>
      <c r="J80" s="60"/>
      <c r="K80" s="60"/>
      <c r="L80" s="60">
        <v>2624</v>
      </c>
      <c r="M80" s="60">
        <v>1312</v>
      </c>
      <c r="N80" s="60">
        <v>2624</v>
      </c>
      <c r="O80" s="60">
        <v>1312</v>
      </c>
      <c r="P80" s="60"/>
      <c r="Q80" s="60">
        <v>1312</v>
      </c>
      <c r="R80" s="570"/>
      <c r="S80" s="60">
        <v>3936</v>
      </c>
      <c r="T80" s="143">
        <f>IF(NFI_Expiration=1,IF($A80&lt;VLOOKUP(I$5,NFI,5,0),1,0)*Data_NFI_t[[#This Row],[Hygiene Kit]],0)</f>
        <v>0</v>
      </c>
      <c r="U80" s="143">
        <f>IF(NFI_Expiration=1,IF($A80&lt;VLOOKUP(J$5,NFI,5,0),1,0)*Data_NFI_t[[#This Row],[NFI Core Kit]],0)</f>
        <v>0</v>
      </c>
      <c r="V80" s="124">
        <f>IF(NFI_Expiration=1,IF($A80&lt;VLOOKUP(K$5,NFI,5,0),1,0)*Data_NFI_t[[#This Row],[Sanitary Kit]],0)</f>
        <v>0</v>
      </c>
      <c r="W80" s="124">
        <f>IF(NFI_Expiration=1,IF($A80&lt;VLOOKUP(L$5,NFI,5,0),1,0)*Data_NFI_t[[#This Row],[Mosquito net]],0)</f>
        <v>0</v>
      </c>
      <c r="X80" s="124">
        <f>IF(NFI_Expiration=1,IF($A80&lt;VLOOKUP(M$5,NFI,5,0),1,0)*Data_NFI_t[[#This Row],[Tarpaulin]],0)</f>
        <v>0</v>
      </c>
      <c r="Y80" s="124">
        <f>IF(NFI_Expiration=1,IF($A80&lt;VLOOKUP(N$5,NFI,5,0),1,0)*Data_NFI_t[[#This Row],[Blanket]],0)</f>
        <v>0</v>
      </c>
      <c r="Z80" s="124">
        <f>IF(NFI_Expiration=1,IF($A80&lt;VLOOKUP(O$5,NFI,5,0),1,0)*Data_NFI_t[[#This Row],[Kitchen Set]],0)</f>
        <v>0</v>
      </c>
      <c r="AA80" s="124">
        <f>IF(NFI_Expiration=1,IF($A80&lt;VLOOKUP(P$5,NFI,5,0),1,0)*Data_NFI_t[[#This Row],[Complementary Kit]],0)</f>
        <v>0</v>
      </c>
      <c r="AB80" s="124">
        <f>IF(NFI_Expiration=1,IF($A80&lt;VLOOKUP(Q$5,NFI,5,0),1,0)*Data_NFI_t[[#This Row],[Plastic Bucket]],0)</f>
        <v>0</v>
      </c>
      <c r="AC80" s="124">
        <f>IF(NFI_Expiration=1,IF($A80&lt;VLOOKUP(R$5,NFI,5,0),1,0)*Data_NFI_t[[#This Row],[Jerry Can]],0)</f>
        <v>0</v>
      </c>
      <c r="AD80" s="143">
        <f>IF(NFI_Expiration=1,IF($A80&lt;VLOOKUP(S$5,NFI,5,0),1,0)*Data_NFI_t[[#This Row],[Plastic Mat]],0)*IF(Data_NFI_t[[#This Row],[Distribution Date]]&gt;"01-06-2015",1,2.5)</f>
        <v>0</v>
      </c>
      <c r="AE80" s="143" t="str">
        <f ca="1">IFERROR(OFFSET(Camp_List[P_Code],MATCH(Data_NFI_t[[#This Row],[Camp Name]],Camp_List[Camp Name],0)-1,0,1,1),"")</f>
        <v>MMR012CMP114</v>
      </c>
      <c r="AF80" s="572" t="str">
        <f ca="1">IFERROR(OFFSET(Camp_List[Status],MATCH(Data_NFI_t[[#This Row],[Camp Name]],Camp_List[Camp Name],0)-1,0,1,1),"")</f>
        <v>Open</v>
      </c>
    </row>
    <row r="81" spans="1:32" s="100" customFormat="1" ht="15" customHeight="1">
      <c r="A81" s="254">
        <f t="shared" si="1"/>
        <v>21.5</v>
      </c>
      <c r="B81" s="254">
        <f>YEAR(Data_NFI_t[[#This Row],[Distribution Date]])</f>
        <v>2014</v>
      </c>
      <c r="C81" s="585">
        <v>41877</v>
      </c>
      <c r="D81" s="547" t="s">
        <v>290</v>
      </c>
      <c r="E81" s="546" t="s">
        <v>290</v>
      </c>
      <c r="F81" s="547" t="s">
        <v>7</v>
      </c>
      <c r="G81" s="31" t="s">
        <v>19</v>
      </c>
      <c r="H81" s="31" t="s">
        <v>648</v>
      </c>
      <c r="I81" s="31"/>
      <c r="J81" s="60"/>
      <c r="K81" s="60"/>
      <c r="L81" s="60">
        <v>2020</v>
      </c>
      <c r="M81" s="60">
        <v>1010</v>
      </c>
      <c r="N81" s="60">
        <v>2020</v>
      </c>
      <c r="O81" s="60">
        <v>1010</v>
      </c>
      <c r="P81" s="60"/>
      <c r="Q81" s="60">
        <v>1010</v>
      </c>
      <c r="R81" s="570"/>
      <c r="S81" s="60">
        <v>3030</v>
      </c>
      <c r="T81" s="143">
        <f>IF(NFI_Expiration=1,IF($A81&lt;VLOOKUP(I$5,NFI,5,0),1,0)*Data_NFI_t[[#This Row],[Hygiene Kit]],0)</f>
        <v>0</v>
      </c>
      <c r="U81" s="143">
        <f>IF(NFI_Expiration=1,IF($A81&lt;VLOOKUP(J$5,NFI,5,0),1,0)*Data_NFI_t[[#This Row],[NFI Core Kit]],0)</f>
        <v>0</v>
      </c>
      <c r="V81" s="124">
        <f>IF(NFI_Expiration=1,IF($A81&lt;VLOOKUP(K$5,NFI,5,0),1,0)*Data_NFI_t[[#This Row],[Sanitary Kit]],0)</f>
        <v>0</v>
      </c>
      <c r="W81" s="124">
        <f>IF(NFI_Expiration=1,IF($A81&lt;VLOOKUP(L$5,NFI,5,0),1,0)*Data_NFI_t[[#This Row],[Mosquito net]],0)</f>
        <v>0</v>
      </c>
      <c r="X81" s="124">
        <f>IF(NFI_Expiration=1,IF($A81&lt;VLOOKUP(M$5,NFI,5,0),1,0)*Data_NFI_t[[#This Row],[Tarpaulin]],0)</f>
        <v>0</v>
      </c>
      <c r="Y81" s="124">
        <f>IF(NFI_Expiration=1,IF($A81&lt;VLOOKUP(N$5,NFI,5,0),1,0)*Data_NFI_t[[#This Row],[Blanket]],0)</f>
        <v>0</v>
      </c>
      <c r="Z81" s="124">
        <f>IF(NFI_Expiration=1,IF($A81&lt;VLOOKUP(O$5,NFI,5,0),1,0)*Data_NFI_t[[#This Row],[Kitchen Set]],0)</f>
        <v>0</v>
      </c>
      <c r="AA81" s="124">
        <f>IF(NFI_Expiration=1,IF($A81&lt;VLOOKUP(P$5,NFI,5,0),1,0)*Data_NFI_t[[#This Row],[Complementary Kit]],0)</f>
        <v>0</v>
      </c>
      <c r="AB81" s="124">
        <f>IF(NFI_Expiration=1,IF($A81&lt;VLOOKUP(Q$5,NFI,5,0),1,0)*Data_NFI_t[[#This Row],[Plastic Bucket]],0)</f>
        <v>0</v>
      </c>
      <c r="AC81" s="124">
        <f>IF(NFI_Expiration=1,IF($A81&lt;VLOOKUP(R$5,NFI,5,0),1,0)*Data_NFI_t[[#This Row],[Jerry Can]],0)</f>
        <v>0</v>
      </c>
      <c r="AD81" s="143">
        <f>IF(NFI_Expiration=1,IF($A81&lt;VLOOKUP(S$5,NFI,5,0),1,0)*Data_NFI_t[[#This Row],[Plastic Mat]],0)*IF(Data_NFI_t[[#This Row],[Distribution Date]]&gt;"01-06-2015",1,2.5)</f>
        <v>0</v>
      </c>
      <c r="AE81" s="143" t="str">
        <f ca="1">IFERROR(OFFSET(Camp_List[P_Code],MATCH(Data_NFI_t[[#This Row],[Camp Name]],Camp_List[Camp Name],0)-1,0,1,1),"")</f>
        <v>MMR012CMP113</v>
      </c>
      <c r="AF81" s="572" t="str">
        <f ca="1">IFERROR(OFFSET(Camp_List[Status],MATCH(Data_NFI_t[[#This Row],[Camp Name]],Camp_List[Camp Name],0)-1,0,1,1),"")</f>
        <v>Open</v>
      </c>
    </row>
    <row r="82" spans="1:32" s="100" customFormat="1" ht="15" customHeight="1">
      <c r="A82" s="254">
        <f t="shared" si="1"/>
        <v>21.9</v>
      </c>
      <c r="B82" s="254">
        <f>YEAR(Data_NFI_t[[#This Row],[Distribution Date]])</f>
        <v>2014</v>
      </c>
      <c r="C82" s="585">
        <v>41865</v>
      </c>
      <c r="D82" s="547" t="s">
        <v>642</v>
      </c>
      <c r="E82" s="546" t="s">
        <v>642</v>
      </c>
      <c r="F82" s="547" t="s">
        <v>7</v>
      </c>
      <c r="G82" s="31" t="s">
        <v>19</v>
      </c>
      <c r="H82" s="31" t="s">
        <v>78</v>
      </c>
      <c r="I82" s="31"/>
      <c r="J82" s="60"/>
      <c r="K82" s="60"/>
      <c r="L82" s="60">
        <v>2</v>
      </c>
      <c r="M82" s="60">
        <v>1</v>
      </c>
      <c r="N82" s="60">
        <v>2</v>
      </c>
      <c r="O82" s="60">
        <v>1</v>
      </c>
      <c r="P82" s="60"/>
      <c r="Q82" s="60">
        <v>1</v>
      </c>
      <c r="R82" s="570"/>
      <c r="S82" s="60">
        <v>5</v>
      </c>
      <c r="T82" s="143">
        <f>IF(NFI_Expiration=1,IF($A82&lt;VLOOKUP(I$5,NFI,5,0),1,0)*Data_NFI_t[[#This Row],[Hygiene Kit]],0)</f>
        <v>0</v>
      </c>
      <c r="U82" s="143">
        <f>IF(NFI_Expiration=1,IF($A82&lt;VLOOKUP(J$5,NFI,5,0),1,0)*Data_NFI_t[[#This Row],[NFI Core Kit]],0)</f>
        <v>0</v>
      </c>
      <c r="V82" s="124">
        <f>IF(NFI_Expiration=1,IF($A82&lt;VLOOKUP(K$5,NFI,5,0),1,0)*Data_NFI_t[[#This Row],[Sanitary Kit]],0)</f>
        <v>0</v>
      </c>
      <c r="W82" s="124">
        <f>IF(NFI_Expiration=1,IF($A82&lt;VLOOKUP(L$5,NFI,5,0),1,0)*Data_NFI_t[[#This Row],[Mosquito net]],0)</f>
        <v>0</v>
      </c>
      <c r="X82" s="124">
        <f>IF(NFI_Expiration=1,IF($A82&lt;VLOOKUP(M$5,NFI,5,0),1,0)*Data_NFI_t[[#This Row],[Tarpaulin]],0)</f>
        <v>0</v>
      </c>
      <c r="Y82" s="124">
        <f>IF(NFI_Expiration=1,IF($A82&lt;VLOOKUP(N$5,NFI,5,0),1,0)*Data_NFI_t[[#This Row],[Blanket]],0)</f>
        <v>0</v>
      </c>
      <c r="Z82" s="124">
        <f>IF(NFI_Expiration=1,IF($A82&lt;VLOOKUP(O$5,NFI,5,0),1,0)*Data_NFI_t[[#This Row],[Kitchen Set]],0)</f>
        <v>0</v>
      </c>
      <c r="AA82" s="124">
        <f>IF(NFI_Expiration=1,IF($A82&lt;VLOOKUP(P$5,NFI,5,0),1,0)*Data_NFI_t[[#This Row],[Complementary Kit]],0)</f>
        <v>0</v>
      </c>
      <c r="AB82" s="124">
        <f>IF(NFI_Expiration=1,IF($A82&lt;VLOOKUP(Q$5,NFI,5,0),1,0)*Data_NFI_t[[#This Row],[Plastic Bucket]],0)</f>
        <v>0</v>
      </c>
      <c r="AC82" s="124">
        <f>IF(NFI_Expiration=1,IF($A82&lt;VLOOKUP(R$5,NFI,5,0),1,0)*Data_NFI_t[[#This Row],[Jerry Can]],0)</f>
        <v>0</v>
      </c>
      <c r="AD82" s="143">
        <f>IF(NFI_Expiration=1,IF($A82&lt;VLOOKUP(S$5,NFI,5,0),1,0)*Data_NFI_t[[#This Row],[Plastic Mat]],0)*IF(Data_NFI_t[[#This Row],[Distribution Date]]&gt;"01-06-2015",1,2.5)</f>
        <v>0</v>
      </c>
      <c r="AE82" s="143" t="str">
        <f ca="1">IFERROR(OFFSET(Camp_List[P_Code],MATCH(Data_NFI_t[[#This Row],[Camp Name]],Camp_List[Camp Name],0)-1,0,1,1),"")</f>
        <v>MMR012CMP056</v>
      </c>
      <c r="AF82" s="572" t="str">
        <f ca="1">IFERROR(OFFSET(Camp_List[Status],MATCH(Data_NFI_t[[#This Row],[Camp Name]],Camp_List[Camp Name],0)-1,0,1,1),"")</f>
        <v>Relocated in Individual Housing</v>
      </c>
    </row>
    <row r="83" spans="1:32" s="100" customFormat="1" ht="15" customHeight="1">
      <c r="A83" s="254">
        <f t="shared" si="1"/>
        <v>21.9</v>
      </c>
      <c r="B83" s="254">
        <f>YEAR(Data_NFI_t[[#This Row],[Distribution Date]])</f>
        <v>2014</v>
      </c>
      <c r="C83" s="585">
        <v>41865</v>
      </c>
      <c r="D83" s="547" t="s">
        <v>642</v>
      </c>
      <c r="E83" s="546" t="s">
        <v>642</v>
      </c>
      <c r="F83" s="547" t="s">
        <v>7</v>
      </c>
      <c r="G83" s="31" t="s">
        <v>19</v>
      </c>
      <c r="H83" s="31" t="s">
        <v>247</v>
      </c>
      <c r="I83" s="31"/>
      <c r="J83" s="60"/>
      <c r="K83" s="60"/>
      <c r="L83" s="60">
        <v>2</v>
      </c>
      <c r="M83" s="60">
        <v>1</v>
      </c>
      <c r="N83" s="60">
        <v>2</v>
      </c>
      <c r="O83" s="60">
        <v>1</v>
      </c>
      <c r="P83" s="60"/>
      <c r="Q83" s="60">
        <v>1</v>
      </c>
      <c r="R83" s="570"/>
      <c r="S83" s="60">
        <v>5</v>
      </c>
      <c r="T83" s="143">
        <f>IF(NFI_Expiration=1,IF($A83&lt;VLOOKUP(I$5,NFI,5,0),1,0)*Data_NFI_t[[#This Row],[Hygiene Kit]],0)</f>
        <v>0</v>
      </c>
      <c r="U83" s="143">
        <f>IF(NFI_Expiration=1,IF($A83&lt;VLOOKUP(J$5,NFI,5,0),1,0)*Data_NFI_t[[#This Row],[NFI Core Kit]],0)</f>
        <v>0</v>
      </c>
      <c r="V83" s="124">
        <f>IF(NFI_Expiration=1,IF($A83&lt;VLOOKUP(K$5,NFI,5,0),1,0)*Data_NFI_t[[#This Row],[Sanitary Kit]],0)</f>
        <v>0</v>
      </c>
      <c r="W83" s="124">
        <f>IF(NFI_Expiration=1,IF($A83&lt;VLOOKUP(L$5,NFI,5,0),1,0)*Data_NFI_t[[#This Row],[Mosquito net]],0)</f>
        <v>0</v>
      </c>
      <c r="X83" s="124">
        <f>IF(NFI_Expiration=1,IF($A83&lt;VLOOKUP(M$5,NFI,5,0),1,0)*Data_NFI_t[[#This Row],[Tarpaulin]],0)</f>
        <v>0</v>
      </c>
      <c r="Y83" s="124">
        <f>IF(NFI_Expiration=1,IF($A83&lt;VLOOKUP(N$5,NFI,5,0),1,0)*Data_NFI_t[[#This Row],[Blanket]],0)</f>
        <v>0</v>
      </c>
      <c r="Z83" s="124">
        <f>IF(NFI_Expiration=1,IF($A83&lt;VLOOKUP(O$5,NFI,5,0),1,0)*Data_NFI_t[[#This Row],[Kitchen Set]],0)</f>
        <v>0</v>
      </c>
      <c r="AA83" s="124">
        <f>IF(NFI_Expiration=1,IF($A83&lt;VLOOKUP(P$5,NFI,5,0),1,0)*Data_NFI_t[[#This Row],[Complementary Kit]],0)</f>
        <v>0</v>
      </c>
      <c r="AB83" s="124">
        <f>IF(NFI_Expiration=1,IF($A83&lt;VLOOKUP(Q$5,NFI,5,0),1,0)*Data_NFI_t[[#This Row],[Plastic Bucket]],0)</f>
        <v>0</v>
      </c>
      <c r="AC83" s="124">
        <f>IF(NFI_Expiration=1,IF($A83&lt;VLOOKUP(R$5,NFI,5,0),1,0)*Data_NFI_t[[#This Row],[Jerry Can]],0)</f>
        <v>0</v>
      </c>
      <c r="AD83" s="143">
        <f>IF(NFI_Expiration=1,IF($A83&lt;VLOOKUP(S$5,NFI,5,0),1,0)*Data_NFI_t[[#This Row],[Plastic Mat]],0)*IF(Data_NFI_t[[#This Row],[Distribution Date]]&gt;"01-06-2015",1,2.5)</f>
        <v>0</v>
      </c>
      <c r="AE83" s="143" t="str">
        <f ca="1">IFERROR(OFFSET(Camp_List[P_Code],MATCH(Data_NFI_t[[#This Row],[Camp Name]],Camp_List[Camp Name],0)-1,0,1,1),"")</f>
        <v>MMR012CMP093</v>
      </c>
      <c r="AF83" s="572" t="str">
        <f ca="1">IFERROR(OFFSET(Camp_List[Status],MATCH(Data_NFI_t[[#This Row],[Camp Name]],Camp_List[Camp Name],0)-1,0,1,1),"")</f>
        <v>Relocated in Individual Housing</v>
      </c>
    </row>
    <row r="84" spans="1:32" s="100" customFormat="1" ht="15" customHeight="1">
      <c r="A84" s="254">
        <f t="shared" si="1"/>
        <v>22.333333333333332</v>
      </c>
      <c r="B84" s="254">
        <f>YEAR(Data_NFI_t[[#This Row],[Distribution Date]])</f>
        <v>2014</v>
      </c>
      <c r="C84" s="585">
        <v>41852</v>
      </c>
      <c r="D84" s="547" t="s">
        <v>911</v>
      </c>
      <c r="E84" s="546" t="s">
        <v>911</v>
      </c>
      <c r="F84" s="547" t="s">
        <v>7</v>
      </c>
      <c r="G84" s="31" t="s">
        <v>14</v>
      </c>
      <c r="H84" s="31" t="s">
        <v>40</v>
      </c>
      <c r="I84" s="31"/>
      <c r="J84" s="60"/>
      <c r="K84" s="60"/>
      <c r="L84" s="60"/>
      <c r="M84" s="60"/>
      <c r="N84" s="60"/>
      <c r="O84" s="60"/>
      <c r="P84" s="60">
        <v>1128</v>
      </c>
      <c r="Q84" s="60"/>
      <c r="R84" s="570"/>
      <c r="S84" s="60"/>
      <c r="T84" s="143">
        <f>IF(NFI_Expiration=1,IF($A84&lt;VLOOKUP(I$5,NFI,5,0),1,0)*Data_NFI_t[[#This Row],[Hygiene Kit]],0)</f>
        <v>0</v>
      </c>
      <c r="U84" s="143">
        <f>IF(NFI_Expiration=1,IF($A84&lt;VLOOKUP(J$5,NFI,5,0),1,0)*Data_NFI_t[[#This Row],[NFI Core Kit]],0)</f>
        <v>0</v>
      </c>
      <c r="V84" s="124">
        <f>IF(NFI_Expiration=1,IF($A84&lt;VLOOKUP(K$5,NFI,5,0),1,0)*Data_NFI_t[[#This Row],[Sanitary Kit]],0)</f>
        <v>0</v>
      </c>
      <c r="W84" s="124">
        <f>IF(NFI_Expiration=1,IF($A84&lt;VLOOKUP(L$5,NFI,5,0),1,0)*Data_NFI_t[[#This Row],[Mosquito net]],0)</f>
        <v>0</v>
      </c>
      <c r="X84" s="124">
        <f>IF(NFI_Expiration=1,IF($A84&lt;VLOOKUP(M$5,NFI,5,0),1,0)*Data_NFI_t[[#This Row],[Tarpaulin]],0)</f>
        <v>0</v>
      </c>
      <c r="Y84" s="124">
        <f>IF(NFI_Expiration=1,IF($A84&lt;VLOOKUP(N$5,NFI,5,0),1,0)*Data_NFI_t[[#This Row],[Blanket]],0)</f>
        <v>0</v>
      </c>
      <c r="Z84" s="124">
        <f>IF(NFI_Expiration=1,IF($A84&lt;VLOOKUP(O$5,NFI,5,0),1,0)*Data_NFI_t[[#This Row],[Kitchen Set]],0)</f>
        <v>0</v>
      </c>
      <c r="AA84" s="124">
        <f>IF(NFI_Expiration=1,IF($A84&lt;VLOOKUP(P$5,NFI,5,0),1,0)*Data_NFI_t[[#This Row],[Complementary Kit]],0)</f>
        <v>0</v>
      </c>
      <c r="AB84" s="124">
        <f>IF(NFI_Expiration=1,IF($A84&lt;VLOOKUP(Q$5,NFI,5,0),1,0)*Data_NFI_t[[#This Row],[Plastic Bucket]],0)</f>
        <v>0</v>
      </c>
      <c r="AC84" s="124">
        <f>IF(NFI_Expiration=1,IF($A84&lt;VLOOKUP(R$5,NFI,5,0),1,0)*Data_NFI_t[[#This Row],[Jerry Can]],0)</f>
        <v>0</v>
      </c>
      <c r="AD84" s="143">
        <f>IF(NFI_Expiration=1,IF($A84&lt;VLOOKUP(S$5,NFI,5,0),1,0)*Data_NFI_t[[#This Row],[Plastic Mat]],0)*IF(Data_NFI_t[[#This Row],[Distribution Date]]&gt;"01-06-2015",1,2.5)</f>
        <v>0</v>
      </c>
      <c r="AE84" s="143" t="str">
        <f ca="1">IFERROR(OFFSET(Camp_List[P_Code],MATCH(Data_NFI_t[[#This Row],[Camp Name]],Camp_List[Camp Name],0)-1,0,1,1),"")</f>
        <v>MMR012CMP016</v>
      </c>
      <c r="AF84" s="572" t="str">
        <f ca="1">IFERROR(OFFSET(Camp_List[Status],MATCH(Data_NFI_t[[#This Row],[Camp Name]],Camp_List[Camp Name],0)-1,0,1,1),"")</f>
        <v>Open</v>
      </c>
    </row>
    <row r="85" spans="1:32" s="100" customFormat="1" ht="15" customHeight="1">
      <c r="A85" s="254">
        <f t="shared" si="1"/>
        <v>22.333333333333332</v>
      </c>
      <c r="B85" s="254">
        <f>YEAR(Data_NFI_t[[#This Row],[Distribution Date]])</f>
        <v>2014</v>
      </c>
      <c r="C85" s="585">
        <v>41852</v>
      </c>
      <c r="D85" s="547" t="s">
        <v>911</v>
      </c>
      <c r="E85" s="546" t="s">
        <v>911</v>
      </c>
      <c r="F85" s="547" t="s">
        <v>7</v>
      </c>
      <c r="G85" s="31" t="s">
        <v>14</v>
      </c>
      <c r="H85" s="31" t="s">
        <v>42</v>
      </c>
      <c r="I85" s="31"/>
      <c r="J85" s="60"/>
      <c r="K85" s="60"/>
      <c r="L85" s="60"/>
      <c r="M85" s="60"/>
      <c r="N85" s="60"/>
      <c r="O85" s="60"/>
      <c r="P85" s="60">
        <v>959</v>
      </c>
      <c r="Q85" s="60"/>
      <c r="R85" s="570"/>
      <c r="S85" s="60"/>
      <c r="T85" s="143">
        <f>IF(NFI_Expiration=1,IF($A85&lt;VLOOKUP(I$5,NFI,5,0),1,0)*Data_NFI_t[[#This Row],[Hygiene Kit]],0)</f>
        <v>0</v>
      </c>
      <c r="U85" s="143">
        <f>IF(NFI_Expiration=1,IF($A85&lt;VLOOKUP(J$5,NFI,5,0),1,0)*Data_NFI_t[[#This Row],[NFI Core Kit]],0)</f>
        <v>0</v>
      </c>
      <c r="V85" s="124">
        <f>IF(NFI_Expiration=1,IF($A85&lt;VLOOKUP(K$5,NFI,5,0),1,0)*Data_NFI_t[[#This Row],[Sanitary Kit]],0)</f>
        <v>0</v>
      </c>
      <c r="W85" s="124">
        <f>IF(NFI_Expiration=1,IF($A85&lt;VLOOKUP(L$5,NFI,5,0),1,0)*Data_NFI_t[[#This Row],[Mosquito net]],0)</f>
        <v>0</v>
      </c>
      <c r="X85" s="124">
        <f>IF(NFI_Expiration=1,IF($A85&lt;VLOOKUP(M$5,NFI,5,0),1,0)*Data_NFI_t[[#This Row],[Tarpaulin]],0)</f>
        <v>0</v>
      </c>
      <c r="Y85" s="124">
        <f>IF(NFI_Expiration=1,IF($A85&lt;VLOOKUP(N$5,NFI,5,0),1,0)*Data_NFI_t[[#This Row],[Blanket]],0)</f>
        <v>0</v>
      </c>
      <c r="Z85" s="124">
        <f>IF(NFI_Expiration=1,IF($A85&lt;VLOOKUP(O$5,NFI,5,0),1,0)*Data_NFI_t[[#This Row],[Kitchen Set]],0)</f>
        <v>0</v>
      </c>
      <c r="AA85" s="124">
        <f>IF(NFI_Expiration=1,IF($A85&lt;VLOOKUP(P$5,NFI,5,0),1,0)*Data_NFI_t[[#This Row],[Complementary Kit]],0)</f>
        <v>0</v>
      </c>
      <c r="AB85" s="124">
        <f>IF(NFI_Expiration=1,IF($A85&lt;VLOOKUP(Q$5,NFI,5,0),1,0)*Data_NFI_t[[#This Row],[Plastic Bucket]],0)</f>
        <v>0</v>
      </c>
      <c r="AC85" s="124">
        <f>IF(NFI_Expiration=1,IF($A85&lt;VLOOKUP(R$5,NFI,5,0),1,0)*Data_NFI_t[[#This Row],[Jerry Can]],0)</f>
        <v>0</v>
      </c>
      <c r="AD85" s="143">
        <f>IF(NFI_Expiration=1,IF($A85&lt;VLOOKUP(S$5,NFI,5,0),1,0)*Data_NFI_t[[#This Row],[Plastic Mat]],0)*IF(Data_NFI_t[[#This Row],[Distribution Date]]&gt;"01-06-2015",1,2.5)</f>
        <v>0</v>
      </c>
      <c r="AE85" s="143" t="str">
        <f ca="1">IFERROR(OFFSET(Camp_List[P_Code],MATCH(Data_NFI_t[[#This Row],[Camp Name]],Camp_List[Camp Name],0)-1,0,1,1),"")</f>
        <v>MMR012CMP018</v>
      </c>
      <c r="AF85" s="572" t="str">
        <f ca="1">IFERROR(OFFSET(Camp_List[Status],MATCH(Data_NFI_t[[#This Row],[Camp Name]],Camp_List[Camp Name],0)-1,0,1,1),"")</f>
        <v>Open</v>
      </c>
    </row>
    <row r="86" spans="1:32" s="100" customFormat="1" ht="15" customHeight="1">
      <c r="A86" s="254">
        <f t="shared" si="1"/>
        <v>22.333333333333332</v>
      </c>
      <c r="B86" s="254">
        <f>YEAR(Data_NFI_t[[#This Row],[Distribution Date]])</f>
        <v>2014</v>
      </c>
      <c r="C86" s="585">
        <v>41852</v>
      </c>
      <c r="D86" s="547" t="s">
        <v>911</v>
      </c>
      <c r="E86" s="546" t="s">
        <v>911</v>
      </c>
      <c r="F86" s="547" t="s">
        <v>7</v>
      </c>
      <c r="G86" s="31" t="s">
        <v>14</v>
      </c>
      <c r="H86" s="31" t="s">
        <v>41</v>
      </c>
      <c r="I86" s="31"/>
      <c r="J86" s="60"/>
      <c r="K86" s="60"/>
      <c r="L86" s="60"/>
      <c r="M86" s="60"/>
      <c r="N86" s="60"/>
      <c r="O86" s="60"/>
      <c r="P86" s="60">
        <v>1130</v>
      </c>
      <c r="Q86" s="60"/>
      <c r="R86" s="570"/>
      <c r="S86" s="60"/>
      <c r="T86" s="143">
        <f>IF(NFI_Expiration=1,IF($A86&lt;VLOOKUP(I$5,NFI,5,0),1,0)*Data_NFI_t[[#This Row],[Hygiene Kit]],0)</f>
        <v>0</v>
      </c>
      <c r="U86" s="143">
        <f>IF(NFI_Expiration=1,IF($A86&lt;VLOOKUP(J$5,NFI,5,0),1,0)*Data_NFI_t[[#This Row],[NFI Core Kit]],0)</f>
        <v>0</v>
      </c>
      <c r="V86" s="124">
        <f>IF(NFI_Expiration=1,IF($A86&lt;VLOOKUP(K$5,NFI,5,0),1,0)*Data_NFI_t[[#This Row],[Sanitary Kit]],0)</f>
        <v>0</v>
      </c>
      <c r="W86" s="124">
        <f>IF(NFI_Expiration=1,IF($A86&lt;VLOOKUP(L$5,NFI,5,0),1,0)*Data_NFI_t[[#This Row],[Mosquito net]],0)</f>
        <v>0</v>
      </c>
      <c r="X86" s="124">
        <f>IF(NFI_Expiration=1,IF($A86&lt;VLOOKUP(M$5,NFI,5,0),1,0)*Data_NFI_t[[#This Row],[Tarpaulin]],0)</f>
        <v>0</v>
      </c>
      <c r="Y86" s="124">
        <f>IF(NFI_Expiration=1,IF($A86&lt;VLOOKUP(N$5,NFI,5,0),1,0)*Data_NFI_t[[#This Row],[Blanket]],0)</f>
        <v>0</v>
      </c>
      <c r="Z86" s="124">
        <f>IF(NFI_Expiration=1,IF($A86&lt;VLOOKUP(O$5,NFI,5,0),1,0)*Data_NFI_t[[#This Row],[Kitchen Set]],0)</f>
        <v>0</v>
      </c>
      <c r="AA86" s="124">
        <f>IF(NFI_Expiration=1,IF($A86&lt;VLOOKUP(P$5,NFI,5,0),1,0)*Data_NFI_t[[#This Row],[Complementary Kit]],0)</f>
        <v>0</v>
      </c>
      <c r="AB86" s="124">
        <f>IF(NFI_Expiration=1,IF($A86&lt;VLOOKUP(Q$5,NFI,5,0),1,0)*Data_NFI_t[[#This Row],[Plastic Bucket]],0)</f>
        <v>0</v>
      </c>
      <c r="AC86" s="124">
        <f>IF(NFI_Expiration=1,IF($A86&lt;VLOOKUP(R$5,NFI,5,0),1,0)*Data_NFI_t[[#This Row],[Jerry Can]],0)</f>
        <v>0</v>
      </c>
      <c r="AD86" s="143">
        <f>IF(NFI_Expiration=1,IF($A86&lt;VLOOKUP(S$5,NFI,5,0),1,0)*Data_NFI_t[[#This Row],[Plastic Mat]],0)*IF(Data_NFI_t[[#This Row],[Distribution Date]]&gt;"01-06-2015",1,2.5)</f>
        <v>0</v>
      </c>
      <c r="AE86" s="143" t="str">
        <f ca="1">IFERROR(OFFSET(Camp_List[P_Code],MATCH(Data_NFI_t[[#This Row],[Camp Name]],Camp_List[Camp Name],0)-1,0,1,1),"")</f>
        <v>MMR012CMP017</v>
      </c>
      <c r="AF86" s="572" t="str">
        <f ca="1">IFERROR(OFFSET(Camp_List[Status],MATCH(Data_NFI_t[[#This Row],[Camp Name]],Camp_List[Camp Name],0)-1,0,1,1),"")</f>
        <v>Open</v>
      </c>
    </row>
    <row r="87" spans="1:32" s="100" customFormat="1" ht="15" customHeight="1">
      <c r="A87" s="254">
        <f t="shared" si="1"/>
        <v>22.333333333333332</v>
      </c>
      <c r="B87" s="254">
        <f>YEAR(Data_NFI_t[[#This Row],[Distribution Date]])</f>
        <v>2014</v>
      </c>
      <c r="C87" s="585">
        <v>41852</v>
      </c>
      <c r="D87" s="547" t="s">
        <v>911</v>
      </c>
      <c r="E87" s="546" t="s">
        <v>911</v>
      </c>
      <c r="F87" s="547" t="s">
        <v>7</v>
      </c>
      <c r="G87" s="31" t="s">
        <v>14</v>
      </c>
      <c r="H87" s="31" t="s">
        <v>43</v>
      </c>
      <c r="I87" s="31"/>
      <c r="J87" s="60"/>
      <c r="K87" s="60"/>
      <c r="L87" s="60"/>
      <c r="M87" s="60"/>
      <c r="N87" s="60"/>
      <c r="O87" s="60"/>
      <c r="P87" s="60">
        <v>681</v>
      </c>
      <c r="Q87" s="60"/>
      <c r="R87" s="570"/>
      <c r="S87" s="60"/>
      <c r="T87" s="143">
        <f>IF(NFI_Expiration=1,IF($A87&lt;VLOOKUP(I$5,NFI,5,0),1,0)*Data_NFI_t[[#This Row],[Hygiene Kit]],0)</f>
        <v>0</v>
      </c>
      <c r="U87" s="143">
        <f>IF(NFI_Expiration=1,IF($A87&lt;VLOOKUP(J$5,NFI,5,0),1,0)*Data_NFI_t[[#This Row],[NFI Core Kit]],0)</f>
        <v>0</v>
      </c>
      <c r="V87" s="124">
        <f>IF(NFI_Expiration=1,IF($A87&lt;VLOOKUP(K$5,NFI,5,0),1,0)*Data_NFI_t[[#This Row],[Sanitary Kit]],0)</f>
        <v>0</v>
      </c>
      <c r="W87" s="124">
        <f>IF(NFI_Expiration=1,IF($A87&lt;VLOOKUP(L$5,NFI,5,0),1,0)*Data_NFI_t[[#This Row],[Mosquito net]],0)</f>
        <v>0</v>
      </c>
      <c r="X87" s="124">
        <f>IF(NFI_Expiration=1,IF($A87&lt;VLOOKUP(M$5,NFI,5,0),1,0)*Data_NFI_t[[#This Row],[Tarpaulin]],0)</f>
        <v>0</v>
      </c>
      <c r="Y87" s="124">
        <f>IF(NFI_Expiration=1,IF($A87&lt;VLOOKUP(N$5,NFI,5,0),1,0)*Data_NFI_t[[#This Row],[Blanket]],0)</f>
        <v>0</v>
      </c>
      <c r="Z87" s="124">
        <f>IF(NFI_Expiration=1,IF($A87&lt;VLOOKUP(O$5,NFI,5,0),1,0)*Data_NFI_t[[#This Row],[Kitchen Set]],0)</f>
        <v>0</v>
      </c>
      <c r="AA87" s="124">
        <f>IF(NFI_Expiration=1,IF($A87&lt;VLOOKUP(P$5,NFI,5,0),1,0)*Data_NFI_t[[#This Row],[Complementary Kit]],0)</f>
        <v>0</v>
      </c>
      <c r="AB87" s="124">
        <f>IF(NFI_Expiration=1,IF($A87&lt;VLOOKUP(Q$5,NFI,5,0),1,0)*Data_NFI_t[[#This Row],[Plastic Bucket]],0)</f>
        <v>0</v>
      </c>
      <c r="AC87" s="124">
        <f>IF(NFI_Expiration=1,IF($A87&lt;VLOOKUP(R$5,NFI,5,0),1,0)*Data_NFI_t[[#This Row],[Jerry Can]],0)</f>
        <v>0</v>
      </c>
      <c r="AD87" s="143">
        <f>IF(NFI_Expiration=1,IF($A87&lt;VLOOKUP(S$5,NFI,5,0),1,0)*Data_NFI_t[[#This Row],[Plastic Mat]],0)*IF(Data_NFI_t[[#This Row],[Distribution Date]]&gt;"01-06-2015",1,2.5)</f>
        <v>0</v>
      </c>
      <c r="AE87" s="143" t="str">
        <f ca="1">IFERROR(OFFSET(Camp_List[P_Code],MATCH(Data_NFI_t[[#This Row],[Camp Name]],Camp_List[Camp Name],0)-1,0,1,1),"")</f>
        <v>MMR012CMP019</v>
      </c>
      <c r="AF87" s="572" t="str">
        <f ca="1">IFERROR(OFFSET(Camp_List[Status],MATCH(Data_NFI_t[[#This Row],[Camp Name]],Camp_List[Camp Name],0)-1,0,1,1),"")</f>
        <v>Open</v>
      </c>
    </row>
    <row r="88" spans="1:32" s="100" customFormat="1" ht="15" customHeight="1">
      <c r="A88" s="254">
        <f t="shared" si="1"/>
        <v>22.333333333333332</v>
      </c>
      <c r="B88" s="254">
        <f>YEAR(Data_NFI_t[[#This Row],[Distribution Date]])</f>
        <v>2014</v>
      </c>
      <c r="C88" s="585">
        <v>41852</v>
      </c>
      <c r="D88" s="547" t="s">
        <v>911</v>
      </c>
      <c r="E88" s="546" t="s">
        <v>911</v>
      </c>
      <c r="F88" s="547" t="s">
        <v>7</v>
      </c>
      <c r="G88" s="31" t="s">
        <v>14</v>
      </c>
      <c r="H88" s="31" t="s">
        <v>39</v>
      </c>
      <c r="I88" s="31"/>
      <c r="J88" s="60"/>
      <c r="K88" s="60"/>
      <c r="L88" s="60"/>
      <c r="M88" s="60"/>
      <c r="N88" s="60"/>
      <c r="O88" s="60"/>
      <c r="P88" s="60">
        <v>24</v>
      </c>
      <c r="Q88" s="60"/>
      <c r="R88" s="570"/>
      <c r="S88" s="60"/>
      <c r="T88" s="143">
        <f>IF(NFI_Expiration=1,IF($A88&lt;VLOOKUP(I$5,NFI,5,0),1,0)*Data_NFI_t[[#This Row],[Hygiene Kit]],0)</f>
        <v>0</v>
      </c>
      <c r="U88" s="143">
        <f>IF(NFI_Expiration=1,IF($A88&lt;VLOOKUP(J$5,NFI,5,0),1,0)*Data_NFI_t[[#This Row],[NFI Core Kit]],0)</f>
        <v>0</v>
      </c>
      <c r="V88" s="124">
        <f>IF(NFI_Expiration=1,IF($A88&lt;VLOOKUP(K$5,NFI,5,0),1,0)*Data_NFI_t[[#This Row],[Sanitary Kit]],0)</f>
        <v>0</v>
      </c>
      <c r="W88" s="124">
        <f>IF(NFI_Expiration=1,IF($A88&lt;VLOOKUP(L$5,NFI,5,0),1,0)*Data_NFI_t[[#This Row],[Mosquito net]],0)</f>
        <v>0</v>
      </c>
      <c r="X88" s="124">
        <f>IF(NFI_Expiration=1,IF($A88&lt;VLOOKUP(M$5,NFI,5,0),1,0)*Data_NFI_t[[#This Row],[Tarpaulin]],0)</f>
        <v>0</v>
      </c>
      <c r="Y88" s="124">
        <f>IF(NFI_Expiration=1,IF($A88&lt;VLOOKUP(N$5,NFI,5,0),1,0)*Data_NFI_t[[#This Row],[Blanket]],0)</f>
        <v>0</v>
      </c>
      <c r="Z88" s="124">
        <f>IF(NFI_Expiration=1,IF($A88&lt;VLOOKUP(O$5,NFI,5,0),1,0)*Data_NFI_t[[#This Row],[Kitchen Set]],0)</f>
        <v>0</v>
      </c>
      <c r="AA88" s="124">
        <f>IF(NFI_Expiration=1,IF($A88&lt;VLOOKUP(P$5,NFI,5,0),1,0)*Data_NFI_t[[#This Row],[Complementary Kit]],0)</f>
        <v>0</v>
      </c>
      <c r="AB88" s="124">
        <f>IF(NFI_Expiration=1,IF($A88&lt;VLOOKUP(Q$5,NFI,5,0),1,0)*Data_NFI_t[[#This Row],[Plastic Bucket]],0)</f>
        <v>0</v>
      </c>
      <c r="AC88" s="124">
        <f>IF(NFI_Expiration=1,IF($A88&lt;VLOOKUP(R$5,NFI,5,0),1,0)*Data_NFI_t[[#This Row],[Jerry Can]],0)</f>
        <v>0</v>
      </c>
      <c r="AD88" s="143">
        <f>IF(NFI_Expiration=1,IF($A88&lt;VLOOKUP(S$5,NFI,5,0),1,0)*Data_NFI_t[[#This Row],[Plastic Mat]],0)*IF(Data_NFI_t[[#This Row],[Distribution Date]]&gt;"01-06-2015",1,2.5)</f>
        <v>0</v>
      </c>
      <c r="AE88" s="143" t="str">
        <f ca="1">IFERROR(OFFSET(Camp_List[P_Code],MATCH(Data_NFI_t[[#This Row],[Camp Name]],Camp_List[Camp Name],0)-1,0,1,1),"")</f>
        <v>MMR012CMP015</v>
      </c>
      <c r="AF88" s="572" t="str">
        <f ca="1">IFERROR(OFFSET(Camp_List[Status],MATCH(Data_NFI_t[[#This Row],[Camp Name]],Camp_List[Camp Name],0)-1,0,1,1),"")</f>
        <v>Relocated in Individual Housing</v>
      </c>
    </row>
    <row r="89" spans="1:32" s="100" customFormat="1" ht="15" customHeight="1">
      <c r="A89" s="254">
        <f t="shared" si="1"/>
        <v>22.333333333333332</v>
      </c>
      <c r="B89" s="254">
        <f>YEAR(Data_NFI_t[[#This Row],[Distribution Date]])</f>
        <v>2014</v>
      </c>
      <c r="C89" s="585">
        <v>41852</v>
      </c>
      <c r="D89" s="547" t="s">
        <v>911</v>
      </c>
      <c r="E89" s="546" t="s">
        <v>911</v>
      </c>
      <c r="F89" s="547" t="s">
        <v>7</v>
      </c>
      <c r="G89" s="31" t="s">
        <v>20</v>
      </c>
      <c r="H89" s="31" t="s">
        <v>98</v>
      </c>
      <c r="I89" s="31"/>
      <c r="J89" s="60"/>
      <c r="K89" s="60"/>
      <c r="L89" s="60"/>
      <c r="M89" s="60"/>
      <c r="N89" s="60"/>
      <c r="O89" s="60"/>
      <c r="P89" s="60">
        <v>183</v>
      </c>
      <c r="Q89" s="60"/>
      <c r="R89" s="570"/>
      <c r="S89" s="60"/>
      <c r="T89" s="143">
        <f>IF(NFI_Expiration=1,IF($A89&lt;VLOOKUP(I$5,NFI,5,0),1,0)*Data_NFI_t[[#This Row],[Hygiene Kit]],0)</f>
        <v>0</v>
      </c>
      <c r="U89" s="143">
        <f>IF(NFI_Expiration=1,IF($A89&lt;VLOOKUP(J$5,NFI,5,0),1,0)*Data_NFI_t[[#This Row],[NFI Core Kit]],0)</f>
        <v>0</v>
      </c>
      <c r="V89" s="124">
        <f>IF(NFI_Expiration=1,IF($A89&lt;VLOOKUP(K$5,NFI,5,0),1,0)*Data_NFI_t[[#This Row],[Sanitary Kit]],0)</f>
        <v>0</v>
      </c>
      <c r="W89" s="124">
        <f>IF(NFI_Expiration=1,IF($A89&lt;VLOOKUP(L$5,NFI,5,0),1,0)*Data_NFI_t[[#This Row],[Mosquito net]],0)</f>
        <v>0</v>
      </c>
      <c r="X89" s="124">
        <f>IF(NFI_Expiration=1,IF($A89&lt;VLOOKUP(M$5,NFI,5,0),1,0)*Data_NFI_t[[#This Row],[Tarpaulin]],0)</f>
        <v>0</v>
      </c>
      <c r="Y89" s="124">
        <f>IF(NFI_Expiration=1,IF($A89&lt;VLOOKUP(N$5,NFI,5,0),1,0)*Data_NFI_t[[#This Row],[Blanket]],0)</f>
        <v>0</v>
      </c>
      <c r="Z89" s="124">
        <f>IF(NFI_Expiration=1,IF($A89&lt;VLOOKUP(O$5,NFI,5,0),1,0)*Data_NFI_t[[#This Row],[Kitchen Set]],0)</f>
        <v>0</v>
      </c>
      <c r="AA89" s="124">
        <f>IF(NFI_Expiration=1,IF($A89&lt;VLOOKUP(P$5,NFI,5,0),1,0)*Data_NFI_t[[#This Row],[Complementary Kit]],0)</f>
        <v>0</v>
      </c>
      <c r="AB89" s="124">
        <f>IF(NFI_Expiration=1,IF($A89&lt;VLOOKUP(Q$5,NFI,5,0),1,0)*Data_NFI_t[[#This Row],[Plastic Bucket]],0)</f>
        <v>0</v>
      </c>
      <c r="AC89" s="124">
        <f>IF(NFI_Expiration=1,IF($A89&lt;VLOOKUP(R$5,NFI,5,0),1,0)*Data_NFI_t[[#This Row],[Jerry Can]],0)</f>
        <v>0</v>
      </c>
      <c r="AD89" s="143">
        <f>IF(NFI_Expiration=1,IF($A89&lt;VLOOKUP(S$5,NFI,5,0),1,0)*Data_NFI_t[[#This Row],[Plastic Mat]],0)*IF(Data_NFI_t[[#This Row],[Distribution Date]]&gt;"01-06-2015",1,2.5)</f>
        <v>0</v>
      </c>
      <c r="AE89" s="143" t="str">
        <f ca="1">IFERROR(OFFSET(Camp_List[P_Code],MATCH(Data_NFI_t[[#This Row],[Camp Name]],Camp_List[Camp Name],0)-1,0,1,1),"")</f>
        <v>MMR012CMP076</v>
      </c>
      <c r="AF89" s="572" t="str">
        <f ca="1">IFERROR(OFFSET(Camp_List[Status],MATCH(Data_NFI_t[[#This Row],[Camp Name]],Camp_List[Camp Name],0)-1,0,1,1),"")</f>
        <v>Close</v>
      </c>
    </row>
    <row r="90" spans="1:32" s="100" customFormat="1" ht="15" customHeight="1">
      <c r="A90" s="254">
        <f t="shared" si="1"/>
        <v>22.333333333333332</v>
      </c>
      <c r="B90" s="254">
        <f>YEAR(Data_NFI_t[[#This Row],[Distribution Date]])</f>
        <v>2014</v>
      </c>
      <c r="C90" s="585">
        <v>41852</v>
      </c>
      <c r="D90" s="547" t="s">
        <v>911</v>
      </c>
      <c r="E90" s="546" t="s">
        <v>911</v>
      </c>
      <c r="F90" s="547" t="s">
        <v>7</v>
      </c>
      <c r="G90" s="31" t="s">
        <v>20</v>
      </c>
      <c r="H90" s="31" t="s">
        <v>100</v>
      </c>
      <c r="I90" s="31"/>
      <c r="J90" s="60"/>
      <c r="K90" s="60"/>
      <c r="L90" s="60"/>
      <c r="M90" s="60"/>
      <c r="N90" s="60"/>
      <c r="O90" s="60"/>
      <c r="P90" s="60">
        <v>162</v>
      </c>
      <c r="Q90" s="60"/>
      <c r="R90" s="570"/>
      <c r="S90" s="60"/>
      <c r="T90" s="143">
        <f>IF(NFI_Expiration=1,IF($A90&lt;VLOOKUP(I$5,NFI,5,0),1,0)*Data_NFI_t[[#This Row],[Hygiene Kit]],0)</f>
        <v>0</v>
      </c>
      <c r="U90" s="143">
        <f>IF(NFI_Expiration=1,IF($A90&lt;VLOOKUP(J$5,NFI,5,0),1,0)*Data_NFI_t[[#This Row],[NFI Core Kit]],0)</f>
        <v>0</v>
      </c>
      <c r="V90" s="124">
        <f>IF(NFI_Expiration=1,IF($A90&lt;VLOOKUP(K$5,NFI,5,0),1,0)*Data_NFI_t[[#This Row],[Sanitary Kit]],0)</f>
        <v>0</v>
      </c>
      <c r="W90" s="124">
        <f>IF(NFI_Expiration=1,IF($A90&lt;VLOOKUP(L$5,NFI,5,0),1,0)*Data_NFI_t[[#This Row],[Mosquito net]],0)</f>
        <v>0</v>
      </c>
      <c r="X90" s="124">
        <f>IF(NFI_Expiration=1,IF($A90&lt;VLOOKUP(M$5,NFI,5,0),1,0)*Data_NFI_t[[#This Row],[Tarpaulin]],0)</f>
        <v>0</v>
      </c>
      <c r="Y90" s="124">
        <f>IF(NFI_Expiration=1,IF($A90&lt;VLOOKUP(N$5,NFI,5,0),1,0)*Data_NFI_t[[#This Row],[Blanket]],0)</f>
        <v>0</v>
      </c>
      <c r="Z90" s="124">
        <f>IF(NFI_Expiration=1,IF($A90&lt;VLOOKUP(O$5,NFI,5,0),1,0)*Data_NFI_t[[#This Row],[Kitchen Set]],0)</f>
        <v>0</v>
      </c>
      <c r="AA90" s="124">
        <f>IF(NFI_Expiration=1,IF($A90&lt;VLOOKUP(P$5,NFI,5,0),1,0)*Data_NFI_t[[#This Row],[Complementary Kit]],0)</f>
        <v>0</v>
      </c>
      <c r="AB90" s="124">
        <f>IF(NFI_Expiration=1,IF($A90&lt;VLOOKUP(Q$5,NFI,5,0),1,0)*Data_NFI_t[[#This Row],[Plastic Bucket]],0)</f>
        <v>0</v>
      </c>
      <c r="AC90" s="124">
        <f>IF(NFI_Expiration=1,IF($A90&lt;VLOOKUP(R$5,NFI,5,0),1,0)*Data_NFI_t[[#This Row],[Jerry Can]],0)</f>
        <v>0</v>
      </c>
      <c r="AD90" s="143">
        <f>IF(NFI_Expiration=1,IF($A90&lt;VLOOKUP(S$5,NFI,5,0),1,0)*Data_NFI_t[[#This Row],[Plastic Mat]],0)*IF(Data_NFI_t[[#This Row],[Distribution Date]]&gt;"01-06-2015",1,2.5)</f>
        <v>0</v>
      </c>
      <c r="AE90" s="143" t="str">
        <f ca="1">IFERROR(OFFSET(Camp_List[P_Code],MATCH(Data_NFI_t[[#This Row],[Camp Name]],Camp_List[Camp Name],0)-1,0,1,1),"")</f>
        <v>MMR012CMP078</v>
      </c>
      <c r="AF90" s="572" t="str">
        <f ca="1">IFERROR(OFFSET(Camp_List[Status],MATCH(Data_NFI_t[[#This Row],[Camp Name]],Camp_List[Camp Name],0)-1,0,1,1),"")</f>
        <v>Close</v>
      </c>
    </row>
    <row r="91" spans="1:32" s="100" customFormat="1" ht="15" customHeight="1">
      <c r="A91" s="254">
        <f t="shared" si="1"/>
        <v>22.333333333333332</v>
      </c>
      <c r="B91" s="254">
        <f>YEAR(Data_NFI_t[[#This Row],[Distribution Date]])</f>
        <v>2014</v>
      </c>
      <c r="C91" s="585">
        <v>41852</v>
      </c>
      <c r="D91" s="547" t="s">
        <v>911</v>
      </c>
      <c r="E91" s="546" t="s">
        <v>911</v>
      </c>
      <c r="F91" s="547" t="s">
        <v>7</v>
      </c>
      <c r="G91" s="31" t="s">
        <v>20</v>
      </c>
      <c r="H91" s="31" t="s">
        <v>99</v>
      </c>
      <c r="I91" s="31"/>
      <c r="J91" s="60"/>
      <c r="K91" s="60"/>
      <c r="L91" s="60"/>
      <c r="M91" s="60"/>
      <c r="N91" s="60"/>
      <c r="O91" s="60"/>
      <c r="P91" s="60">
        <v>192</v>
      </c>
      <c r="Q91" s="60"/>
      <c r="R91" s="570"/>
      <c r="S91" s="60"/>
      <c r="T91" s="143">
        <f>IF(NFI_Expiration=1,IF($A91&lt;VLOOKUP(I$5,NFI,5,0),1,0)*Data_NFI_t[[#This Row],[Hygiene Kit]],0)</f>
        <v>0</v>
      </c>
      <c r="U91" s="143">
        <f>IF(NFI_Expiration=1,IF($A91&lt;VLOOKUP(J$5,NFI,5,0),1,0)*Data_NFI_t[[#This Row],[NFI Core Kit]],0)</f>
        <v>0</v>
      </c>
      <c r="V91" s="124">
        <f>IF(NFI_Expiration=1,IF($A91&lt;VLOOKUP(K$5,NFI,5,0),1,0)*Data_NFI_t[[#This Row],[Sanitary Kit]],0)</f>
        <v>0</v>
      </c>
      <c r="W91" s="124">
        <f>IF(NFI_Expiration=1,IF($A91&lt;VLOOKUP(L$5,NFI,5,0),1,0)*Data_NFI_t[[#This Row],[Mosquito net]],0)</f>
        <v>0</v>
      </c>
      <c r="X91" s="124">
        <f>IF(NFI_Expiration=1,IF($A91&lt;VLOOKUP(M$5,NFI,5,0),1,0)*Data_NFI_t[[#This Row],[Tarpaulin]],0)</f>
        <v>0</v>
      </c>
      <c r="Y91" s="124">
        <f>IF(NFI_Expiration=1,IF($A91&lt;VLOOKUP(N$5,NFI,5,0),1,0)*Data_NFI_t[[#This Row],[Blanket]],0)</f>
        <v>0</v>
      </c>
      <c r="Z91" s="124">
        <f>IF(NFI_Expiration=1,IF($A91&lt;VLOOKUP(O$5,NFI,5,0),1,0)*Data_NFI_t[[#This Row],[Kitchen Set]],0)</f>
        <v>0</v>
      </c>
      <c r="AA91" s="124">
        <f>IF(NFI_Expiration=1,IF($A91&lt;VLOOKUP(P$5,NFI,5,0),1,0)*Data_NFI_t[[#This Row],[Complementary Kit]],0)</f>
        <v>0</v>
      </c>
      <c r="AB91" s="124">
        <f>IF(NFI_Expiration=1,IF($A91&lt;VLOOKUP(Q$5,NFI,5,0),1,0)*Data_NFI_t[[#This Row],[Plastic Bucket]],0)</f>
        <v>0</v>
      </c>
      <c r="AC91" s="124">
        <f>IF(NFI_Expiration=1,IF($A91&lt;VLOOKUP(R$5,NFI,5,0),1,0)*Data_NFI_t[[#This Row],[Jerry Can]],0)</f>
        <v>0</v>
      </c>
      <c r="AD91" s="143">
        <f>IF(NFI_Expiration=1,IF($A91&lt;VLOOKUP(S$5,NFI,5,0),1,0)*Data_NFI_t[[#This Row],[Plastic Mat]],0)*IF(Data_NFI_t[[#This Row],[Distribution Date]]&gt;"01-06-2015",1,2.5)</f>
        <v>0</v>
      </c>
      <c r="AE91" s="143" t="str">
        <f ca="1">IFERROR(OFFSET(Camp_List[P_Code],MATCH(Data_NFI_t[[#This Row],[Camp Name]],Camp_List[Camp Name],0)-1,0,1,1),"")</f>
        <v>MMR012CMP077</v>
      </c>
      <c r="AF91" s="572" t="str">
        <f ca="1">IFERROR(OFFSET(Camp_List[Status],MATCH(Data_NFI_t[[#This Row],[Camp Name]],Camp_List[Camp Name],0)-1,0,1,1),"")</f>
        <v>Close</v>
      </c>
    </row>
    <row r="92" spans="1:32" s="100" customFormat="1" ht="15" customHeight="1">
      <c r="A92" s="254">
        <f t="shared" si="1"/>
        <v>22.333333333333332</v>
      </c>
      <c r="B92" s="254">
        <f>YEAR(Data_NFI_t[[#This Row],[Distribution Date]])</f>
        <v>2014</v>
      </c>
      <c r="C92" s="585">
        <v>41852</v>
      </c>
      <c r="D92" s="547" t="s">
        <v>911</v>
      </c>
      <c r="E92" s="546" t="s">
        <v>911</v>
      </c>
      <c r="F92" s="547" t="s">
        <v>7</v>
      </c>
      <c r="G92" s="31" t="s">
        <v>20</v>
      </c>
      <c r="H92" s="31" t="s">
        <v>102</v>
      </c>
      <c r="I92" s="31"/>
      <c r="J92" s="60"/>
      <c r="K92" s="60"/>
      <c r="L92" s="60"/>
      <c r="M92" s="60"/>
      <c r="N92" s="60"/>
      <c r="O92" s="60"/>
      <c r="P92" s="60">
        <v>102</v>
      </c>
      <c r="Q92" s="60"/>
      <c r="R92" s="570"/>
      <c r="S92" s="60"/>
      <c r="T92" s="143">
        <f>IF(NFI_Expiration=1,IF($A92&lt;VLOOKUP(I$5,NFI,5,0),1,0)*Data_NFI_t[[#This Row],[Hygiene Kit]],0)</f>
        <v>0</v>
      </c>
      <c r="U92" s="143">
        <f>IF(NFI_Expiration=1,IF($A92&lt;VLOOKUP(J$5,NFI,5,0),1,0)*Data_NFI_t[[#This Row],[NFI Core Kit]],0)</f>
        <v>0</v>
      </c>
      <c r="V92" s="124">
        <f>IF(NFI_Expiration=1,IF($A92&lt;VLOOKUP(K$5,NFI,5,0),1,0)*Data_NFI_t[[#This Row],[Sanitary Kit]],0)</f>
        <v>0</v>
      </c>
      <c r="W92" s="124">
        <f>IF(NFI_Expiration=1,IF($A92&lt;VLOOKUP(L$5,NFI,5,0),1,0)*Data_NFI_t[[#This Row],[Mosquito net]],0)</f>
        <v>0</v>
      </c>
      <c r="X92" s="124">
        <f>IF(NFI_Expiration=1,IF($A92&lt;VLOOKUP(M$5,NFI,5,0),1,0)*Data_NFI_t[[#This Row],[Tarpaulin]],0)</f>
        <v>0</v>
      </c>
      <c r="Y92" s="124">
        <f>IF(NFI_Expiration=1,IF($A92&lt;VLOOKUP(N$5,NFI,5,0),1,0)*Data_NFI_t[[#This Row],[Blanket]],0)</f>
        <v>0</v>
      </c>
      <c r="Z92" s="124">
        <f>IF(NFI_Expiration=1,IF($A92&lt;VLOOKUP(O$5,NFI,5,0),1,0)*Data_NFI_t[[#This Row],[Kitchen Set]],0)</f>
        <v>0</v>
      </c>
      <c r="AA92" s="124">
        <f>IF(NFI_Expiration=1,IF($A92&lt;VLOOKUP(P$5,NFI,5,0),1,0)*Data_NFI_t[[#This Row],[Complementary Kit]],0)</f>
        <v>0</v>
      </c>
      <c r="AB92" s="124">
        <f>IF(NFI_Expiration=1,IF($A92&lt;VLOOKUP(Q$5,NFI,5,0),1,0)*Data_NFI_t[[#This Row],[Plastic Bucket]],0)</f>
        <v>0</v>
      </c>
      <c r="AC92" s="124">
        <f>IF(NFI_Expiration=1,IF($A92&lt;VLOOKUP(R$5,NFI,5,0),1,0)*Data_NFI_t[[#This Row],[Jerry Can]],0)</f>
        <v>0</v>
      </c>
      <c r="AD92" s="143">
        <f>IF(NFI_Expiration=1,IF($A92&lt;VLOOKUP(S$5,NFI,5,0),1,0)*Data_NFI_t[[#This Row],[Plastic Mat]],0)*IF(Data_NFI_t[[#This Row],[Distribution Date]]&gt;"01-06-2015",1,2.5)</f>
        <v>0</v>
      </c>
      <c r="AE92" s="143" t="str">
        <f ca="1">IFERROR(OFFSET(Camp_List[P_Code],MATCH(Data_NFI_t[[#This Row],[Camp Name]],Camp_List[Camp Name],0)-1,0,1,1),"")</f>
        <v>MMR012CMP080</v>
      </c>
      <c r="AF92" s="572" t="str">
        <f ca="1">IFERROR(OFFSET(Camp_List[Status],MATCH(Data_NFI_t[[#This Row],[Camp Name]],Camp_List[Camp Name],0)-1,0,1,1),"")</f>
        <v>Close</v>
      </c>
    </row>
    <row r="93" spans="1:32" s="100" customFormat="1" ht="15" customHeight="1">
      <c r="A93" s="254">
        <f t="shared" si="1"/>
        <v>22.333333333333332</v>
      </c>
      <c r="B93" s="254">
        <f>YEAR(Data_NFI_t[[#This Row],[Distribution Date]])</f>
        <v>2014</v>
      </c>
      <c r="C93" s="585">
        <v>41852</v>
      </c>
      <c r="D93" s="547" t="s">
        <v>911</v>
      </c>
      <c r="E93" s="546" t="s">
        <v>911</v>
      </c>
      <c r="F93" s="547" t="s">
        <v>7</v>
      </c>
      <c r="G93" s="31" t="s">
        <v>20</v>
      </c>
      <c r="H93" s="31" t="s">
        <v>101</v>
      </c>
      <c r="I93" s="31"/>
      <c r="J93" s="60"/>
      <c r="K93" s="60"/>
      <c r="L93" s="60"/>
      <c r="M93" s="60"/>
      <c r="N93" s="60"/>
      <c r="O93" s="60"/>
      <c r="P93" s="60">
        <v>103</v>
      </c>
      <c r="Q93" s="60"/>
      <c r="R93" s="570"/>
      <c r="S93" s="60"/>
      <c r="T93" s="143">
        <f>IF(NFI_Expiration=1,IF($A93&lt;VLOOKUP(I$5,NFI,5,0),1,0)*Data_NFI_t[[#This Row],[Hygiene Kit]],0)</f>
        <v>0</v>
      </c>
      <c r="U93" s="143">
        <f>IF(NFI_Expiration=1,IF($A93&lt;VLOOKUP(J$5,NFI,5,0),1,0)*Data_NFI_t[[#This Row],[NFI Core Kit]],0)</f>
        <v>0</v>
      </c>
      <c r="V93" s="124">
        <f>IF(NFI_Expiration=1,IF($A93&lt;VLOOKUP(K$5,NFI,5,0),1,0)*Data_NFI_t[[#This Row],[Sanitary Kit]],0)</f>
        <v>0</v>
      </c>
      <c r="W93" s="124">
        <f>IF(NFI_Expiration=1,IF($A93&lt;VLOOKUP(L$5,NFI,5,0),1,0)*Data_NFI_t[[#This Row],[Mosquito net]],0)</f>
        <v>0</v>
      </c>
      <c r="X93" s="124">
        <f>IF(NFI_Expiration=1,IF($A93&lt;VLOOKUP(M$5,NFI,5,0),1,0)*Data_NFI_t[[#This Row],[Tarpaulin]],0)</f>
        <v>0</v>
      </c>
      <c r="Y93" s="124">
        <f>IF(NFI_Expiration=1,IF($A93&lt;VLOOKUP(N$5,NFI,5,0),1,0)*Data_NFI_t[[#This Row],[Blanket]],0)</f>
        <v>0</v>
      </c>
      <c r="Z93" s="124">
        <f>IF(NFI_Expiration=1,IF($A93&lt;VLOOKUP(O$5,NFI,5,0),1,0)*Data_NFI_t[[#This Row],[Kitchen Set]],0)</f>
        <v>0</v>
      </c>
      <c r="AA93" s="124">
        <f>IF(NFI_Expiration=1,IF($A93&lt;VLOOKUP(P$5,NFI,5,0),1,0)*Data_NFI_t[[#This Row],[Complementary Kit]],0)</f>
        <v>0</v>
      </c>
      <c r="AB93" s="124">
        <f>IF(NFI_Expiration=1,IF($A93&lt;VLOOKUP(Q$5,NFI,5,0),1,0)*Data_NFI_t[[#This Row],[Plastic Bucket]],0)</f>
        <v>0</v>
      </c>
      <c r="AC93" s="124">
        <f>IF(NFI_Expiration=1,IF($A93&lt;VLOOKUP(R$5,NFI,5,0),1,0)*Data_NFI_t[[#This Row],[Jerry Can]],0)</f>
        <v>0</v>
      </c>
      <c r="AD93" s="143">
        <f>IF(NFI_Expiration=1,IF($A93&lt;VLOOKUP(S$5,NFI,5,0),1,0)*Data_NFI_t[[#This Row],[Plastic Mat]],0)*IF(Data_NFI_t[[#This Row],[Distribution Date]]&gt;"01-06-2015",1,2.5)</f>
        <v>0</v>
      </c>
      <c r="AE93" s="143" t="str">
        <f ca="1">IFERROR(OFFSET(Camp_List[P_Code],MATCH(Data_NFI_t[[#This Row],[Camp Name]],Camp_List[Camp Name],0)-1,0,1,1),"")</f>
        <v>MMR012CMP079</v>
      </c>
      <c r="AF93" s="572" t="str">
        <f ca="1">IFERROR(OFFSET(Camp_List[Status],MATCH(Data_NFI_t[[#This Row],[Camp Name]],Camp_List[Camp Name],0)-1,0,1,1),"")</f>
        <v>Close</v>
      </c>
    </row>
    <row r="94" spans="1:32" s="100" customFormat="1" ht="15" customHeight="1">
      <c r="A94" s="254">
        <f t="shared" si="1"/>
        <v>22.333333333333332</v>
      </c>
      <c r="B94" s="254">
        <f>YEAR(Data_NFI_t[[#This Row],[Distribution Date]])</f>
        <v>2014</v>
      </c>
      <c r="C94" s="585">
        <v>41852</v>
      </c>
      <c r="D94" s="547" t="s">
        <v>911</v>
      </c>
      <c r="E94" s="546" t="s">
        <v>911</v>
      </c>
      <c r="F94" s="547" t="s">
        <v>7</v>
      </c>
      <c r="G94" s="31" t="s">
        <v>20</v>
      </c>
      <c r="H94" s="31" t="s">
        <v>103</v>
      </c>
      <c r="I94" s="31"/>
      <c r="J94" s="60"/>
      <c r="K94" s="60"/>
      <c r="L94" s="60"/>
      <c r="M94" s="60"/>
      <c r="N94" s="60"/>
      <c r="O94" s="60"/>
      <c r="P94" s="60">
        <v>175</v>
      </c>
      <c r="Q94" s="60"/>
      <c r="R94" s="570"/>
      <c r="S94" s="60"/>
      <c r="T94" s="143">
        <f>IF(NFI_Expiration=1,IF($A94&lt;VLOOKUP(I$5,NFI,5,0),1,0)*Data_NFI_t[[#This Row],[Hygiene Kit]],0)</f>
        <v>0</v>
      </c>
      <c r="U94" s="143">
        <f>IF(NFI_Expiration=1,IF($A94&lt;VLOOKUP(J$5,NFI,5,0),1,0)*Data_NFI_t[[#This Row],[NFI Core Kit]],0)</f>
        <v>0</v>
      </c>
      <c r="V94" s="124">
        <f>IF(NFI_Expiration=1,IF($A94&lt;VLOOKUP(K$5,NFI,5,0),1,0)*Data_NFI_t[[#This Row],[Sanitary Kit]],0)</f>
        <v>0</v>
      </c>
      <c r="W94" s="124">
        <f>IF(NFI_Expiration=1,IF($A94&lt;VLOOKUP(L$5,NFI,5,0),1,0)*Data_NFI_t[[#This Row],[Mosquito net]],0)</f>
        <v>0</v>
      </c>
      <c r="X94" s="124">
        <f>IF(NFI_Expiration=1,IF($A94&lt;VLOOKUP(M$5,NFI,5,0),1,0)*Data_NFI_t[[#This Row],[Tarpaulin]],0)</f>
        <v>0</v>
      </c>
      <c r="Y94" s="124">
        <f>IF(NFI_Expiration=1,IF($A94&lt;VLOOKUP(N$5,NFI,5,0),1,0)*Data_NFI_t[[#This Row],[Blanket]],0)</f>
        <v>0</v>
      </c>
      <c r="Z94" s="124">
        <f>IF(NFI_Expiration=1,IF($A94&lt;VLOOKUP(O$5,NFI,5,0),1,0)*Data_NFI_t[[#This Row],[Kitchen Set]],0)</f>
        <v>0</v>
      </c>
      <c r="AA94" s="124">
        <f>IF(NFI_Expiration=1,IF($A94&lt;VLOOKUP(P$5,NFI,5,0),1,0)*Data_NFI_t[[#This Row],[Complementary Kit]],0)</f>
        <v>0</v>
      </c>
      <c r="AB94" s="124">
        <f>IF(NFI_Expiration=1,IF($A94&lt;VLOOKUP(Q$5,NFI,5,0),1,0)*Data_NFI_t[[#This Row],[Plastic Bucket]],0)</f>
        <v>0</v>
      </c>
      <c r="AC94" s="124">
        <f>IF(NFI_Expiration=1,IF($A94&lt;VLOOKUP(R$5,NFI,5,0),1,0)*Data_NFI_t[[#This Row],[Jerry Can]],0)</f>
        <v>0</v>
      </c>
      <c r="AD94" s="143">
        <f>IF(NFI_Expiration=1,IF($A94&lt;VLOOKUP(S$5,NFI,5,0),1,0)*Data_NFI_t[[#This Row],[Plastic Mat]],0)*IF(Data_NFI_t[[#This Row],[Distribution Date]]&gt;"01-06-2015",1,2.5)</f>
        <v>0</v>
      </c>
      <c r="AE94" s="143" t="str">
        <f ca="1">IFERROR(OFFSET(Camp_List[P_Code],MATCH(Data_NFI_t[[#This Row],[Camp Name]],Camp_List[Camp Name],0)-1,0,1,1),"")</f>
        <v>MMR012CMP081</v>
      </c>
      <c r="AF94" s="572" t="str">
        <f ca="1">IFERROR(OFFSET(Camp_List[Status],MATCH(Data_NFI_t[[#This Row],[Camp Name]],Camp_List[Camp Name],0)-1,0,1,1),"")</f>
        <v>Close</v>
      </c>
    </row>
    <row r="95" spans="1:32" s="100" customFormat="1" ht="15" customHeight="1">
      <c r="A95" s="254">
        <f t="shared" si="1"/>
        <v>22.7</v>
      </c>
      <c r="B95" s="254">
        <f>YEAR(Data_NFI_t[[#This Row],[Distribution Date]])</f>
        <v>2014</v>
      </c>
      <c r="C95" s="585">
        <v>41841</v>
      </c>
      <c r="D95" s="547" t="s">
        <v>290</v>
      </c>
      <c r="E95" s="546" t="s">
        <v>290</v>
      </c>
      <c r="F95" s="547" t="s">
        <v>7</v>
      </c>
      <c r="G95" s="31" t="s">
        <v>19</v>
      </c>
      <c r="H95" s="31" t="s">
        <v>63</v>
      </c>
      <c r="I95" s="31"/>
      <c r="J95" s="60"/>
      <c r="K95" s="60"/>
      <c r="L95" s="60"/>
      <c r="M95" s="60">
        <v>304</v>
      </c>
      <c r="N95" s="60">
        <v>608</v>
      </c>
      <c r="O95" s="60"/>
      <c r="P95" s="60"/>
      <c r="Q95" s="60">
        <v>304</v>
      </c>
      <c r="R95" s="570"/>
      <c r="S95" s="60"/>
      <c r="T95" s="143">
        <f>IF(NFI_Expiration=1,IF($A95&lt;VLOOKUP(I$5,NFI,5,0),1,0)*Data_NFI_t[[#This Row],[Hygiene Kit]],0)</f>
        <v>0</v>
      </c>
      <c r="U95" s="143">
        <f>IF(NFI_Expiration=1,IF($A95&lt;VLOOKUP(J$5,NFI,5,0),1,0)*Data_NFI_t[[#This Row],[NFI Core Kit]],0)</f>
        <v>0</v>
      </c>
      <c r="V95" s="124">
        <f>IF(NFI_Expiration=1,IF($A95&lt;VLOOKUP(K$5,NFI,5,0),1,0)*Data_NFI_t[[#This Row],[Sanitary Kit]],0)</f>
        <v>0</v>
      </c>
      <c r="W95" s="124">
        <f>IF(NFI_Expiration=1,IF($A95&lt;VLOOKUP(L$5,NFI,5,0),1,0)*Data_NFI_t[[#This Row],[Mosquito net]],0)</f>
        <v>0</v>
      </c>
      <c r="X95" s="124">
        <f>IF(NFI_Expiration=1,IF($A95&lt;VLOOKUP(M$5,NFI,5,0),1,0)*Data_NFI_t[[#This Row],[Tarpaulin]],0)</f>
        <v>0</v>
      </c>
      <c r="Y95" s="124">
        <f>IF(NFI_Expiration=1,IF($A95&lt;VLOOKUP(N$5,NFI,5,0),1,0)*Data_NFI_t[[#This Row],[Blanket]],0)</f>
        <v>0</v>
      </c>
      <c r="Z95" s="124">
        <f>IF(NFI_Expiration=1,IF($A95&lt;VLOOKUP(O$5,NFI,5,0),1,0)*Data_NFI_t[[#This Row],[Kitchen Set]],0)</f>
        <v>0</v>
      </c>
      <c r="AA95" s="124">
        <f>IF(NFI_Expiration=1,IF($A95&lt;VLOOKUP(P$5,NFI,5,0),1,0)*Data_NFI_t[[#This Row],[Complementary Kit]],0)</f>
        <v>0</v>
      </c>
      <c r="AB95" s="124">
        <f>IF(NFI_Expiration=1,IF($A95&lt;VLOOKUP(Q$5,NFI,5,0),1,0)*Data_NFI_t[[#This Row],[Plastic Bucket]],0)</f>
        <v>0</v>
      </c>
      <c r="AC95" s="124">
        <f>IF(NFI_Expiration=1,IF($A95&lt;VLOOKUP(R$5,NFI,5,0),1,0)*Data_NFI_t[[#This Row],[Jerry Can]],0)</f>
        <v>0</v>
      </c>
      <c r="AD95" s="143">
        <f>IF(NFI_Expiration=1,IF($A95&lt;VLOOKUP(S$5,NFI,5,0),1,0)*Data_NFI_t[[#This Row],[Plastic Mat]],0)*IF(Data_NFI_t[[#This Row],[Distribution Date]]&gt;"01-06-2015",1,2.5)</f>
        <v>0</v>
      </c>
      <c r="AE95" s="143" t="str">
        <f ca="1">IFERROR(OFFSET(Camp_List[P_Code],MATCH(Data_NFI_t[[#This Row],[Camp Name]],Camp_List[Camp Name],0)-1,0,1,1),"")</f>
        <v>MMR012CMP041</v>
      </c>
      <c r="AF95" s="572" t="str">
        <f ca="1">IFERROR(OFFSET(Camp_List[Status],MATCH(Data_NFI_t[[#This Row],[Camp Name]],Camp_List[Camp Name],0)-1,0,1,1),"")</f>
        <v>Open</v>
      </c>
    </row>
    <row r="96" spans="1:32" s="100" customFormat="1" ht="15" customHeight="1">
      <c r="A96" s="254">
        <f t="shared" si="1"/>
        <v>22.7</v>
      </c>
      <c r="B96" s="254">
        <f>YEAR(Data_NFI_t[[#This Row],[Distribution Date]])</f>
        <v>2014</v>
      </c>
      <c r="C96" s="585">
        <v>41841</v>
      </c>
      <c r="D96" s="547" t="s">
        <v>642</v>
      </c>
      <c r="E96" s="546" t="s">
        <v>642</v>
      </c>
      <c r="F96" s="547" t="s">
        <v>7</v>
      </c>
      <c r="G96" s="31" t="s">
        <v>19</v>
      </c>
      <c r="H96" s="31" t="s">
        <v>78</v>
      </c>
      <c r="I96" s="31"/>
      <c r="J96" s="60">
        <v>70</v>
      </c>
      <c r="K96" s="60"/>
      <c r="L96" s="60"/>
      <c r="M96" s="60"/>
      <c r="N96" s="60"/>
      <c r="O96" s="60"/>
      <c r="P96" s="60"/>
      <c r="Q96" s="60"/>
      <c r="R96" s="570"/>
      <c r="S96" s="60"/>
      <c r="T96" s="143">
        <f>IF(NFI_Expiration=1,IF($A96&lt;VLOOKUP(I$5,NFI,5,0),1,0)*Data_NFI_t[[#This Row],[Hygiene Kit]],0)</f>
        <v>0</v>
      </c>
      <c r="U96" s="143">
        <f>IF(NFI_Expiration=1,IF($A96&lt;VLOOKUP(J$5,NFI,5,0),1,0)*Data_NFI_t[[#This Row],[NFI Core Kit]],0)</f>
        <v>0</v>
      </c>
      <c r="V96" s="124">
        <f>IF(NFI_Expiration=1,IF($A96&lt;VLOOKUP(K$5,NFI,5,0),1,0)*Data_NFI_t[[#This Row],[Sanitary Kit]],0)</f>
        <v>0</v>
      </c>
      <c r="W96" s="124">
        <f>IF(NFI_Expiration=1,IF($A96&lt;VLOOKUP(L$5,NFI,5,0),1,0)*Data_NFI_t[[#This Row],[Mosquito net]],0)</f>
        <v>0</v>
      </c>
      <c r="X96" s="124">
        <f>IF(NFI_Expiration=1,IF($A96&lt;VLOOKUP(M$5,NFI,5,0),1,0)*Data_NFI_t[[#This Row],[Tarpaulin]],0)</f>
        <v>0</v>
      </c>
      <c r="Y96" s="124">
        <f>IF(NFI_Expiration=1,IF($A96&lt;VLOOKUP(N$5,NFI,5,0),1,0)*Data_NFI_t[[#This Row],[Blanket]],0)</f>
        <v>0</v>
      </c>
      <c r="Z96" s="124">
        <f>IF(NFI_Expiration=1,IF($A96&lt;VLOOKUP(O$5,NFI,5,0),1,0)*Data_NFI_t[[#This Row],[Kitchen Set]],0)</f>
        <v>0</v>
      </c>
      <c r="AA96" s="124">
        <f>IF(NFI_Expiration=1,IF($A96&lt;VLOOKUP(P$5,NFI,5,0),1,0)*Data_NFI_t[[#This Row],[Complementary Kit]],0)</f>
        <v>0</v>
      </c>
      <c r="AB96" s="124">
        <f>IF(NFI_Expiration=1,IF($A96&lt;VLOOKUP(Q$5,NFI,5,0),1,0)*Data_NFI_t[[#This Row],[Plastic Bucket]],0)</f>
        <v>0</v>
      </c>
      <c r="AC96" s="124">
        <f>IF(NFI_Expiration=1,IF($A96&lt;VLOOKUP(R$5,NFI,5,0),1,0)*Data_NFI_t[[#This Row],[Jerry Can]],0)</f>
        <v>0</v>
      </c>
      <c r="AD96" s="143">
        <f>IF(NFI_Expiration=1,IF($A96&lt;VLOOKUP(S$5,NFI,5,0),1,0)*Data_NFI_t[[#This Row],[Plastic Mat]],0)*IF(Data_NFI_t[[#This Row],[Distribution Date]]&gt;"01-06-2015",1,2.5)</f>
        <v>0</v>
      </c>
      <c r="AE96" s="143" t="str">
        <f ca="1">IFERROR(OFFSET(Camp_List[P_Code],MATCH(Data_NFI_t[[#This Row],[Camp Name]],Camp_List[Camp Name],0)-1,0,1,1),"")</f>
        <v>MMR012CMP056</v>
      </c>
      <c r="AF96" s="572" t="str">
        <f ca="1">IFERROR(OFFSET(Camp_List[Status],MATCH(Data_NFI_t[[#This Row],[Camp Name]],Camp_List[Camp Name],0)-1,0,1,1),"")</f>
        <v>Relocated in Individual Housing</v>
      </c>
    </row>
    <row r="97" spans="1:32" s="100" customFormat="1" ht="15" customHeight="1">
      <c r="A97" s="254">
        <f t="shared" si="1"/>
        <v>22.7</v>
      </c>
      <c r="B97" s="254">
        <f>YEAR(Data_NFI_t[[#This Row],[Distribution Date]])</f>
        <v>2014</v>
      </c>
      <c r="C97" s="585">
        <v>41841</v>
      </c>
      <c r="D97" s="547" t="s">
        <v>642</v>
      </c>
      <c r="E97" s="546" t="s">
        <v>642</v>
      </c>
      <c r="F97" s="547" t="s">
        <v>7</v>
      </c>
      <c r="G97" s="31" t="s">
        <v>19</v>
      </c>
      <c r="H97" s="31" t="s">
        <v>247</v>
      </c>
      <c r="I97" s="31"/>
      <c r="J97" s="60">
        <v>151</v>
      </c>
      <c r="K97" s="60"/>
      <c r="L97" s="60"/>
      <c r="M97" s="60"/>
      <c r="N97" s="60"/>
      <c r="O97" s="60"/>
      <c r="P97" s="60"/>
      <c r="Q97" s="60"/>
      <c r="R97" s="570"/>
      <c r="S97" s="60"/>
      <c r="T97" s="143">
        <f>IF(NFI_Expiration=1,IF($A97&lt;VLOOKUP(I$5,NFI,5,0),1,0)*Data_NFI_t[[#This Row],[Hygiene Kit]],0)</f>
        <v>0</v>
      </c>
      <c r="U97" s="143">
        <f>IF(NFI_Expiration=1,IF($A97&lt;VLOOKUP(J$5,NFI,5,0),1,0)*Data_NFI_t[[#This Row],[NFI Core Kit]],0)</f>
        <v>0</v>
      </c>
      <c r="V97" s="124">
        <f>IF(NFI_Expiration=1,IF($A97&lt;VLOOKUP(K$5,NFI,5,0),1,0)*Data_NFI_t[[#This Row],[Sanitary Kit]],0)</f>
        <v>0</v>
      </c>
      <c r="W97" s="124">
        <f>IF(NFI_Expiration=1,IF($A97&lt;VLOOKUP(L$5,NFI,5,0),1,0)*Data_NFI_t[[#This Row],[Mosquito net]],0)</f>
        <v>0</v>
      </c>
      <c r="X97" s="124">
        <f>IF(NFI_Expiration=1,IF($A97&lt;VLOOKUP(M$5,NFI,5,0),1,0)*Data_NFI_t[[#This Row],[Tarpaulin]],0)</f>
        <v>0</v>
      </c>
      <c r="Y97" s="124">
        <f>IF(NFI_Expiration=1,IF($A97&lt;VLOOKUP(N$5,NFI,5,0),1,0)*Data_NFI_t[[#This Row],[Blanket]],0)</f>
        <v>0</v>
      </c>
      <c r="Z97" s="124">
        <f>IF(NFI_Expiration=1,IF($A97&lt;VLOOKUP(O$5,NFI,5,0),1,0)*Data_NFI_t[[#This Row],[Kitchen Set]],0)</f>
        <v>0</v>
      </c>
      <c r="AA97" s="124">
        <f>IF(NFI_Expiration=1,IF($A97&lt;VLOOKUP(P$5,NFI,5,0),1,0)*Data_NFI_t[[#This Row],[Complementary Kit]],0)</f>
        <v>0</v>
      </c>
      <c r="AB97" s="124">
        <f>IF(NFI_Expiration=1,IF($A97&lt;VLOOKUP(Q$5,NFI,5,0),1,0)*Data_NFI_t[[#This Row],[Plastic Bucket]],0)</f>
        <v>0</v>
      </c>
      <c r="AC97" s="124">
        <f>IF(NFI_Expiration=1,IF($A97&lt;VLOOKUP(R$5,NFI,5,0),1,0)*Data_NFI_t[[#This Row],[Jerry Can]],0)</f>
        <v>0</v>
      </c>
      <c r="AD97" s="143">
        <f>IF(NFI_Expiration=1,IF($A97&lt;VLOOKUP(S$5,NFI,5,0),1,0)*Data_NFI_t[[#This Row],[Plastic Mat]],0)*IF(Data_NFI_t[[#This Row],[Distribution Date]]&gt;"01-06-2015",1,2.5)</f>
        <v>0</v>
      </c>
      <c r="AE97" s="143" t="str">
        <f ca="1">IFERROR(OFFSET(Camp_List[P_Code],MATCH(Data_NFI_t[[#This Row],[Camp Name]],Camp_List[Camp Name],0)-1,0,1,1),"")</f>
        <v>MMR012CMP093</v>
      </c>
      <c r="AF97" s="572" t="str">
        <f ca="1">IFERROR(OFFSET(Camp_List[Status],MATCH(Data_NFI_t[[#This Row],[Camp Name]],Camp_List[Camp Name],0)-1,0,1,1),"")</f>
        <v>Relocated in Individual Housing</v>
      </c>
    </row>
    <row r="98" spans="1:32" s="100" customFormat="1" ht="15" customHeight="1">
      <c r="A98" s="254">
        <f t="shared" si="1"/>
        <v>23.933333333333334</v>
      </c>
      <c r="B98" s="254">
        <f>YEAR(Data_NFI_t[[#This Row],[Distribution Date]])</f>
        <v>2014</v>
      </c>
      <c r="C98" s="585">
        <v>41804</v>
      </c>
      <c r="D98" s="547" t="s">
        <v>642</v>
      </c>
      <c r="E98" s="546" t="s">
        <v>642</v>
      </c>
      <c r="F98" s="547" t="s">
        <v>7</v>
      </c>
      <c r="G98" s="31" t="s">
        <v>19</v>
      </c>
      <c r="H98" s="31" t="s">
        <v>64</v>
      </c>
      <c r="I98" s="31"/>
      <c r="J98" s="60"/>
      <c r="K98" s="60"/>
      <c r="L98" s="60">
        <v>2</v>
      </c>
      <c r="M98" s="60">
        <v>1</v>
      </c>
      <c r="N98" s="60">
        <v>2</v>
      </c>
      <c r="O98" s="60">
        <v>1</v>
      </c>
      <c r="P98" s="60"/>
      <c r="Q98" s="60">
        <v>1</v>
      </c>
      <c r="R98" s="570"/>
      <c r="S98" s="60">
        <v>5</v>
      </c>
      <c r="T98" s="143">
        <f>IF(NFI_Expiration=1,IF($A98&lt;VLOOKUP(I$5,NFI,5,0),1,0)*Data_NFI_t[[#This Row],[Hygiene Kit]],0)</f>
        <v>0</v>
      </c>
      <c r="U98" s="143">
        <f>IF(NFI_Expiration=1,IF($A98&lt;VLOOKUP(J$5,NFI,5,0),1,0)*Data_NFI_t[[#This Row],[NFI Core Kit]],0)</f>
        <v>0</v>
      </c>
      <c r="V98" s="124">
        <f>IF(NFI_Expiration=1,IF($A98&lt;VLOOKUP(K$5,NFI,5,0),1,0)*Data_NFI_t[[#This Row],[Sanitary Kit]],0)</f>
        <v>0</v>
      </c>
      <c r="W98" s="124">
        <f>IF(NFI_Expiration=1,IF($A98&lt;VLOOKUP(L$5,NFI,5,0),1,0)*Data_NFI_t[[#This Row],[Mosquito net]],0)</f>
        <v>0</v>
      </c>
      <c r="X98" s="124">
        <f>IF(NFI_Expiration=1,IF($A98&lt;VLOOKUP(M$5,NFI,5,0),1,0)*Data_NFI_t[[#This Row],[Tarpaulin]],0)</f>
        <v>0</v>
      </c>
      <c r="Y98" s="124">
        <f>IF(NFI_Expiration=1,IF($A98&lt;VLOOKUP(N$5,NFI,5,0),1,0)*Data_NFI_t[[#This Row],[Blanket]],0)</f>
        <v>0</v>
      </c>
      <c r="Z98" s="124">
        <f>IF(NFI_Expiration=1,IF($A98&lt;VLOOKUP(O$5,NFI,5,0),1,0)*Data_NFI_t[[#This Row],[Kitchen Set]],0)</f>
        <v>0</v>
      </c>
      <c r="AA98" s="124">
        <f>IF(NFI_Expiration=1,IF($A98&lt;VLOOKUP(P$5,NFI,5,0),1,0)*Data_NFI_t[[#This Row],[Complementary Kit]],0)</f>
        <v>0</v>
      </c>
      <c r="AB98" s="124">
        <f>IF(NFI_Expiration=1,IF($A98&lt;VLOOKUP(Q$5,NFI,5,0),1,0)*Data_NFI_t[[#This Row],[Plastic Bucket]],0)</f>
        <v>0</v>
      </c>
      <c r="AC98" s="124">
        <f>IF(NFI_Expiration=1,IF($A98&lt;VLOOKUP(R$5,NFI,5,0),1,0)*Data_NFI_t[[#This Row],[Jerry Can]],0)</f>
        <v>0</v>
      </c>
      <c r="AD98" s="143">
        <f>IF(NFI_Expiration=1,IF($A98&lt;VLOOKUP(S$5,NFI,5,0),1,0)*Data_NFI_t[[#This Row],[Plastic Mat]],0)*IF(Data_NFI_t[[#This Row],[Distribution Date]]&gt;"01-06-2015",1,2.5)</f>
        <v>0</v>
      </c>
      <c r="AE98" s="143" t="str">
        <f ca="1">IFERROR(OFFSET(Camp_List[P_Code],MATCH(Data_NFI_t[[#This Row],[Camp Name]],Camp_List[Camp Name],0)-1,0,1,1),"")</f>
        <v>MMR012CMP042</v>
      </c>
      <c r="AF98" s="572" t="str">
        <f ca="1">IFERROR(OFFSET(Camp_List[Status],MATCH(Data_NFI_t[[#This Row],[Camp Name]],Camp_List[Camp Name],0)-1,0,1,1),"")</f>
        <v>Open</v>
      </c>
    </row>
    <row r="99" spans="1:32" s="100" customFormat="1" ht="15" customHeight="1">
      <c r="A99" s="254">
        <f t="shared" si="1"/>
        <v>24.133333333333333</v>
      </c>
      <c r="B99" s="254">
        <f>YEAR(Data_NFI_t[[#This Row],[Distribution Date]])</f>
        <v>2014</v>
      </c>
      <c r="C99" s="585">
        <v>41798</v>
      </c>
      <c r="D99" s="547" t="s">
        <v>287</v>
      </c>
      <c r="E99" s="546" t="s">
        <v>287</v>
      </c>
      <c r="F99" s="547" t="s">
        <v>7</v>
      </c>
      <c r="G99" s="31" t="s">
        <v>19</v>
      </c>
      <c r="H99" s="31" t="s">
        <v>564</v>
      </c>
      <c r="I99" s="31"/>
      <c r="J99" s="60">
        <v>2404</v>
      </c>
      <c r="K99" s="60"/>
      <c r="L99" s="60">
        <v>4808</v>
      </c>
      <c r="M99" s="60">
        <v>2404</v>
      </c>
      <c r="N99" s="60">
        <v>4808</v>
      </c>
      <c r="O99" s="60">
        <v>2404</v>
      </c>
      <c r="P99" s="60"/>
      <c r="Q99" s="60">
        <v>2404</v>
      </c>
      <c r="R99" s="570"/>
      <c r="S99" s="60">
        <v>12020</v>
      </c>
      <c r="T99" s="143">
        <f>IF(NFI_Expiration=1,IF($A99&lt;VLOOKUP(I$5,NFI,5,0),1,0)*Data_NFI_t[[#This Row],[Hygiene Kit]],0)</f>
        <v>0</v>
      </c>
      <c r="U99" s="143">
        <f>IF(NFI_Expiration=1,IF($A99&lt;VLOOKUP(J$5,NFI,5,0),1,0)*Data_NFI_t[[#This Row],[NFI Core Kit]],0)</f>
        <v>0</v>
      </c>
      <c r="V99" s="124">
        <f>IF(NFI_Expiration=1,IF($A99&lt;VLOOKUP(K$5,NFI,5,0),1,0)*Data_NFI_t[[#This Row],[Sanitary Kit]],0)</f>
        <v>0</v>
      </c>
      <c r="W99" s="124">
        <f>IF(NFI_Expiration=1,IF($A99&lt;VLOOKUP(L$5,NFI,5,0),1,0)*Data_NFI_t[[#This Row],[Mosquito net]],0)</f>
        <v>0</v>
      </c>
      <c r="X99" s="124">
        <f>IF(NFI_Expiration=1,IF($A99&lt;VLOOKUP(M$5,NFI,5,0),1,0)*Data_NFI_t[[#This Row],[Tarpaulin]],0)</f>
        <v>0</v>
      </c>
      <c r="Y99" s="124">
        <f>IF(NFI_Expiration=1,IF($A99&lt;VLOOKUP(N$5,NFI,5,0),1,0)*Data_NFI_t[[#This Row],[Blanket]],0)</f>
        <v>0</v>
      </c>
      <c r="Z99" s="124">
        <f>IF(NFI_Expiration=1,IF($A99&lt;VLOOKUP(O$5,NFI,5,0),1,0)*Data_NFI_t[[#This Row],[Kitchen Set]],0)</f>
        <v>0</v>
      </c>
      <c r="AA99" s="124">
        <f>IF(NFI_Expiration=1,IF($A99&lt;VLOOKUP(P$5,NFI,5,0),1,0)*Data_NFI_t[[#This Row],[Complementary Kit]],0)</f>
        <v>0</v>
      </c>
      <c r="AB99" s="124">
        <f>IF(NFI_Expiration=1,IF($A99&lt;VLOOKUP(Q$5,NFI,5,0),1,0)*Data_NFI_t[[#This Row],[Plastic Bucket]],0)</f>
        <v>0</v>
      </c>
      <c r="AC99" s="124">
        <f>IF(NFI_Expiration=1,IF($A99&lt;VLOOKUP(R$5,NFI,5,0),1,0)*Data_NFI_t[[#This Row],[Jerry Can]],0)</f>
        <v>0</v>
      </c>
      <c r="AD99" s="143">
        <f>IF(NFI_Expiration=1,IF($A99&lt;VLOOKUP(S$5,NFI,5,0),1,0)*Data_NFI_t[[#This Row],[Plastic Mat]],0)*IF(Data_NFI_t[[#This Row],[Distribution Date]]&gt;"01-06-2015",1,2.5)</f>
        <v>0</v>
      </c>
      <c r="AE99" s="143" t="str">
        <f ca="1">IFERROR(OFFSET(Camp_List[P_Code],MATCH(Data_NFI_t[[#This Row],[Camp Name]],Camp_List[Camp Name],0)-1,0,1,1),"")</f>
        <v>MMR012CMP101</v>
      </c>
      <c r="AF99" s="572" t="str">
        <f ca="1">IFERROR(OFFSET(Camp_List[Status],MATCH(Data_NFI_t[[#This Row],[Camp Name]],Camp_List[Camp Name],0)-1,0,1,1),"")</f>
        <v>Close</v>
      </c>
    </row>
    <row r="100" spans="1:32" s="100" customFormat="1" ht="15" customHeight="1">
      <c r="A100" s="254">
        <f t="shared" si="1"/>
        <v>26.4</v>
      </c>
      <c r="B100" s="254">
        <f>YEAR(Data_NFI_t[[#This Row],[Distribution Date]])</f>
        <v>2014</v>
      </c>
      <c r="C100" s="585">
        <v>41730</v>
      </c>
      <c r="D100" s="547" t="s">
        <v>290</v>
      </c>
      <c r="E100" s="546" t="s">
        <v>290</v>
      </c>
      <c r="F100" s="547" t="s">
        <v>7</v>
      </c>
      <c r="G100" s="31" t="s">
        <v>19</v>
      </c>
      <c r="H100" s="31" t="s">
        <v>67</v>
      </c>
      <c r="I100" s="31"/>
      <c r="J100" s="60"/>
      <c r="K100" s="60"/>
      <c r="L100" s="60"/>
      <c r="M100" s="60">
        <v>2573</v>
      </c>
      <c r="N100" s="60"/>
      <c r="O100" s="60"/>
      <c r="P100" s="60"/>
      <c r="Q100" s="60"/>
      <c r="R100" s="570"/>
      <c r="S100" s="60"/>
      <c r="T100" s="143">
        <f>IF(NFI_Expiration=1,IF($A100&lt;VLOOKUP(I$5,NFI,5,0),1,0)*Data_NFI_t[[#This Row],[Hygiene Kit]],0)</f>
        <v>0</v>
      </c>
      <c r="U100" s="143">
        <f>IF(NFI_Expiration=1,IF($A100&lt;VLOOKUP(J$5,NFI,5,0),1,0)*Data_NFI_t[[#This Row],[NFI Core Kit]],0)</f>
        <v>0</v>
      </c>
      <c r="V100" s="124">
        <f>IF(NFI_Expiration=1,IF($A100&lt;VLOOKUP(K$5,NFI,5,0),1,0)*Data_NFI_t[[#This Row],[Sanitary Kit]],0)</f>
        <v>0</v>
      </c>
      <c r="W100" s="124">
        <f>IF(NFI_Expiration=1,IF($A100&lt;VLOOKUP(L$5,NFI,5,0),1,0)*Data_NFI_t[[#This Row],[Mosquito net]],0)</f>
        <v>0</v>
      </c>
      <c r="X100" s="124">
        <f>IF(NFI_Expiration=1,IF($A100&lt;VLOOKUP(M$5,NFI,5,0),1,0)*Data_NFI_t[[#This Row],[Tarpaulin]],0)</f>
        <v>0</v>
      </c>
      <c r="Y100" s="124">
        <f>IF(NFI_Expiration=1,IF($A100&lt;VLOOKUP(N$5,NFI,5,0),1,0)*Data_NFI_t[[#This Row],[Blanket]],0)</f>
        <v>0</v>
      </c>
      <c r="Z100" s="124">
        <f>IF(NFI_Expiration=1,IF($A100&lt;VLOOKUP(O$5,NFI,5,0),1,0)*Data_NFI_t[[#This Row],[Kitchen Set]],0)</f>
        <v>0</v>
      </c>
      <c r="AA100" s="124">
        <f>IF(NFI_Expiration=1,IF($A100&lt;VLOOKUP(P$5,NFI,5,0),1,0)*Data_NFI_t[[#This Row],[Complementary Kit]],0)</f>
        <v>0</v>
      </c>
      <c r="AB100" s="124">
        <f>IF(NFI_Expiration=1,IF($A100&lt;VLOOKUP(Q$5,NFI,5,0),1,0)*Data_NFI_t[[#This Row],[Plastic Bucket]],0)</f>
        <v>0</v>
      </c>
      <c r="AC100" s="124">
        <f>IF(NFI_Expiration=1,IF($A100&lt;VLOOKUP(R$5,NFI,5,0),1,0)*Data_NFI_t[[#This Row],[Jerry Can]],0)</f>
        <v>0</v>
      </c>
      <c r="AD100" s="143">
        <f>IF(NFI_Expiration=1,IF($A100&lt;VLOOKUP(S$5,NFI,5,0),1,0)*Data_NFI_t[[#This Row],[Plastic Mat]],0)*IF(Data_NFI_t[[#This Row],[Distribution Date]]&gt;"01-06-2015",1,2.5)</f>
        <v>0</v>
      </c>
      <c r="AE100" s="143" t="str">
        <f ca="1">IFERROR(OFFSET(Camp_List[P_Code],MATCH(Data_NFI_t[[#This Row],[Camp Name]],Camp_List[Camp Name],0)-1,0,1,1),"")</f>
        <v>MMR012CMP045</v>
      </c>
      <c r="AF100" s="572" t="str">
        <f ca="1">IFERROR(OFFSET(Camp_List[Status],MATCH(Data_NFI_t[[#This Row],[Camp Name]],Camp_List[Camp Name],0)-1,0,1,1),"")</f>
        <v>Open</v>
      </c>
    </row>
    <row r="101" spans="1:32" s="100" customFormat="1" ht="15" customHeight="1">
      <c r="A101" s="254">
        <f t="shared" si="1"/>
        <v>27.433333333333334</v>
      </c>
      <c r="B101" s="254">
        <f>YEAR(Data_NFI_t[[#This Row],[Distribution Date]])</f>
        <v>2014</v>
      </c>
      <c r="C101" s="585">
        <v>41699</v>
      </c>
      <c r="D101" s="547" t="s">
        <v>290</v>
      </c>
      <c r="E101" s="546" t="s">
        <v>290</v>
      </c>
      <c r="F101" s="547" t="s">
        <v>7</v>
      </c>
      <c r="G101" s="31" t="s">
        <v>19</v>
      </c>
      <c r="H101" s="31" t="s">
        <v>648</v>
      </c>
      <c r="I101" s="31"/>
      <c r="J101" s="60"/>
      <c r="K101" s="60"/>
      <c r="L101" s="60"/>
      <c r="M101" s="60">
        <v>1000</v>
      </c>
      <c r="N101" s="60"/>
      <c r="O101" s="60"/>
      <c r="P101" s="60"/>
      <c r="Q101" s="60"/>
      <c r="R101" s="570"/>
      <c r="S101" s="60"/>
      <c r="T101" s="143">
        <f>IF(NFI_Expiration=1,IF($A101&lt;VLOOKUP(I$5,NFI,5,0),1,0)*Data_NFI_t[[#This Row],[Hygiene Kit]],0)</f>
        <v>0</v>
      </c>
      <c r="U101" s="143">
        <f>IF(NFI_Expiration=1,IF($A101&lt;VLOOKUP(J$5,NFI,5,0),1,0)*Data_NFI_t[[#This Row],[NFI Core Kit]],0)</f>
        <v>0</v>
      </c>
      <c r="V101" s="124">
        <f>IF(NFI_Expiration=1,IF($A101&lt;VLOOKUP(K$5,NFI,5,0),1,0)*Data_NFI_t[[#This Row],[Sanitary Kit]],0)</f>
        <v>0</v>
      </c>
      <c r="W101" s="124">
        <f>IF(NFI_Expiration=1,IF($A101&lt;VLOOKUP(L$5,NFI,5,0),1,0)*Data_NFI_t[[#This Row],[Mosquito net]],0)</f>
        <v>0</v>
      </c>
      <c r="X101" s="124">
        <f>IF(NFI_Expiration=1,IF($A101&lt;VLOOKUP(M$5,NFI,5,0),1,0)*Data_NFI_t[[#This Row],[Tarpaulin]],0)</f>
        <v>0</v>
      </c>
      <c r="Y101" s="124">
        <f>IF(NFI_Expiration=1,IF($A101&lt;VLOOKUP(N$5,NFI,5,0),1,0)*Data_NFI_t[[#This Row],[Blanket]],0)</f>
        <v>0</v>
      </c>
      <c r="Z101" s="124">
        <f>IF(NFI_Expiration=1,IF($A101&lt;VLOOKUP(O$5,NFI,5,0),1,0)*Data_NFI_t[[#This Row],[Kitchen Set]],0)</f>
        <v>0</v>
      </c>
      <c r="AA101" s="124">
        <f>IF(NFI_Expiration=1,IF($A101&lt;VLOOKUP(P$5,NFI,5,0),1,0)*Data_NFI_t[[#This Row],[Complementary Kit]],0)</f>
        <v>0</v>
      </c>
      <c r="AB101" s="124">
        <f>IF(NFI_Expiration=1,IF($A101&lt;VLOOKUP(Q$5,NFI,5,0),1,0)*Data_NFI_t[[#This Row],[Plastic Bucket]],0)</f>
        <v>0</v>
      </c>
      <c r="AC101" s="124">
        <f>IF(NFI_Expiration=1,IF($A101&lt;VLOOKUP(R$5,NFI,5,0),1,0)*Data_NFI_t[[#This Row],[Jerry Can]],0)</f>
        <v>0</v>
      </c>
      <c r="AD101" s="143">
        <f>IF(NFI_Expiration=1,IF($A101&lt;VLOOKUP(S$5,NFI,5,0),1,0)*Data_NFI_t[[#This Row],[Plastic Mat]],0)*IF(Data_NFI_t[[#This Row],[Distribution Date]]&gt;"01-06-2015",1,2.5)</f>
        <v>0</v>
      </c>
      <c r="AE101" s="143" t="str">
        <f ca="1">IFERROR(OFFSET(Camp_List[P_Code],MATCH(Data_NFI_t[[#This Row],[Camp Name]],Camp_List[Camp Name],0)-1,0,1,1),"")</f>
        <v>MMR012CMP113</v>
      </c>
      <c r="AF101" s="572" t="str">
        <f ca="1">IFERROR(OFFSET(Camp_List[Status],MATCH(Data_NFI_t[[#This Row],[Camp Name]],Camp_List[Camp Name],0)-1,0,1,1),"")</f>
        <v>Open</v>
      </c>
    </row>
    <row r="102" spans="1:32" s="100" customFormat="1" ht="15" customHeight="1">
      <c r="A102" s="254">
        <f t="shared" si="1"/>
        <v>27.433333333333334</v>
      </c>
      <c r="B102" s="254">
        <f>YEAR(Data_NFI_t[[#This Row],[Distribution Date]])</f>
        <v>2014</v>
      </c>
      <c r="C102" s="585">
        <v>41699</v>
      </c>
      <c r="D102" s="547" t="s">
        <v>290</v>
      </c>
      <c r="E102" s="546" t="s">
        <v>290</v>
      </c>
      <c r="F102" s="547" t="s">
        <v>7</v>
      </c>
      <c r="G102" s="31" t="s">
        <v>19</v>
      </c>
      <c r="H102" s="31" t="s">
        <v>649</v>
      </c>
      <c r="I102" s="31"/>
      <c r="J102" s="60"/>
      <c r="K102" s="60"/>
      <c r="L102" s="60"/>
      <c r="M102" s="60">
        <v>1320</v>
      </c>
      <c r="N102" s="60"/>
      <c r="O102" s="60"/>
      <c r="P102" s="60"/>
      <c r="Q102" s="60"/>
      <c r="R102" s="570"/>
      <c r="S102" s="60"/>
      <c r="T102" s="143">
        <f>IF(NFI_Expiration=1,IF($A102&lt;VLOOKUP(I$5,NFI,5,0),1,0)*Data_NFI_t[[#This Row],[Hygiene Kit]],0)</f>
        <v>0</v>
      </c>
      <c r="U102" s="143">
        <f>IF(NFI_Expiration=1,IF($A102&lt;VLOOKUP(J$5,NFI,5,0),1,0)*Data_NFI_t[[#This Row],[NFI Core Kit]],0)</f>
        <v>0</v>
      </c>
      <c r="V102" s="124">
        <f>IF(NFI_Expiration=1,IF($A102&lt;VLOOKUP(K$5,NFI,5,0),1,0)*Data_NFI_t[[#This Row],[Sanitary Kit]],0)</f>
        <v>0</v>
      </c>
      <c r="W102" s="124">
        <f>IF(NFI_Expiration=1,IF($A102&lt;VLOOKUP(L$5,NFI,5,0),1,0)*Data_NFI_t[[#This Row],[Mosquito net]],0)</f>
        <v>0</v>
      </c>
      <c r="X102" s="124">
        <f>IF(NFI_Expiration=1,IF($A102&lt;VLOOKUP(M$5,NFI,5,0),1,0)*Data_NFI_t[[#This Row],[Tarpaulin]],0)</f>
        <v>0</v>
      </c>
      <c r="Y102" s="124">
        <f>IF(NFI_Expiration=1,IF($A102&lt;VLOOKUP(N$5,NFI,5,0),1,0)*Data_NFI_t[[#This Row],[Blanket]],0)</f>
        <v>0</v>
      </c>
      <c r="Z102" s="124">
        <f>IF(NFI_Expiration=1,IF($A102&lt;VLOOKUP(O$5,NFI,5,0),1,0)*Data_NFI_t[[#This Row],[Kitchen Set]],0)</f>
        <v>0</v>
      </c>
      <c r="AA102" s="124">
        <f>IF(NFI_Expiration=1,IF($A102&lt;VLOOKUP(P$5,NFI,5,0),1,0)*Data_NFI_t[[#This Row],[Complementary Kit]],0)</f>
        <v>0</v>
      </c>
      <c r="AB102" s="124">
        <f>IF(NFI_Expiration=1,IF($A102&lt;VLOOKUP(Q$5,NFI,5,0),1,0)*Data_NFI_t[[#This Row],[Plastic Bucket]],0)</f>
        <v>0</v>
      </c>
      <c r="AC102" s="124">
        <f>IF(NFI_Expiration=1,IF($A102&lt;VLOOKUP(R$5,NFI,5,0),1,0)*Data_NFI_t[[#This Row],[Jerry Can]],0)</f>
        <v>0</v>
      </c>
      <c r="AD102" s="143">
        <f>IF(NFI_Expiration=1,IF($A102&lt;VLOOKUP(S$5,NFI,5,0),1,0)*Data_NFI_t[[#This Row],[Plastic Mat]],0)*IF(Data_NFI_t[[#This Row],[Distribution Date]]&gt;"01-06-2015",1,2.5)</f>
        <v>0</v>
      </c>
      <c r="AE102" s="143" t="str">
        <f ca="1">IFERROR(OFFSET(Camp_List[P_Code],MATCH(Data_NFI_t[[#This Row],[Camp Name]],Camp_List[Camp Name],0)-1,0,1,1),"")</f>
        <v>MMR012CMP114</v>
      </c>
      <c r="AF102" s="572" t="str">
        <f ca="1">IFERROR(OFFSET(Camp_List[Status],MATCH(Data_NFI_t[[#This Row],[Camp Name]],Camp_List[Camp Name],0)-1,0,1,1),"")</f>
        <v>Open</v>
      </c>
    </row>
    <row r="103" spans="1:32" s="100" customFormat="1" ht="15" customHeight="1">
      <c r="A103" s="254">
        <f t="shared" si="1"/>
        <v>27.433333333333334</v>
      </c>
      <c r="B103" s="254">
        <f>YEAR(Data_NFI_t[[#This Row],[Distribution Date]])</f>
        <v>2014</v>
      </c>
      <c r="C103" s="585">
        <v>41699</v>
      </c>
      <c r="D103" s="547" t="s">
        <v>290</v>
      </c>
      <c r="E103" s="546" t="s">
        <v>290</v>
      </c>
      <c r="F103" s="547" t="s">
        <v>7</v>
      </c>
      <c r="G103" s="31" t="s">
        <v>19</v>
      </c>
      <c r="H103" s="31" t="s">
        <v>557</v>
      </c>
      <c r="I103" s="31"/>
      <c r="J103" s="60"/>
      <c r="K103" s="60"/>
      <c r="L103" s="60"/>
      <c r="M103" s="60">
        <v>1400</v>
      </c>
      <c r="N103" s="60"/>
      <c r="O103" s="60"/>
      <c r="P103" s="60"/>
      <c r="Q103" s="60"/>
      <c r="R103" s="570"/>
      <c r="S103" s="60"/>
      <c r="T103" s="143">
        <f>IF(NFI_Expiration=1,IF($A103&lt;VLOOKUP(I$5,NFI,5,0),1,0)*Data_NFI_t[[#This Row],[Hygiene Kit]],0)</f>
        <v>0</v>
      </c>
      <c r="U103" s="143">
        <f>IF(NFI_Expiration=1,IF($A103&lt;VLOOKUP(J$5,NFI,5,0),1,0)*Data_NFI_t[[#This Row],[NFI Core Kit]],0)</f>
        <v>0</v>
      </c>
      <c r="V103" s="124">
        <f>IF(NFI_Expiration=1,IF($A103&lt;VLOOKUP(K$5,NFI,5,0),1,0)*Data_NFI_t[[#This Row],[Sanitary Kit]],0)</f>
        <v>0</v>
      </c>
      <c r="W103" s="124">
        <f>IF(NFI_Expiration=1,IF($A103&lt;VLOOKUP(L$5,NFI,5,0),1,0)*Data_NFI_t[[#This Row],[Mosquito net]],0)</f>
        <v>0</v>
      </c>
      <c r="X103" s="124">
        <f>IF(NFI_Expiration=1,IF($A103&lt;VLOOKUP(M$5,NFI,5,0),1,0)*Data_NFI_t[[#This Row],[Tarpaulin]],0)</f>
        <v>0</v>
      </c>
      <c r="Y103" s="124">
        <f>IF(NFI_Expiration=1,IF($A103&lt;VLOOKUP(N$5,NFI,5,0),1,0)*Data_NFI_t[[#This Row],[Blanket]],0)</f>
        <v>0</v>
      </c>
      <c r="Z103" s="124">
        <f>IF(NFI_Expiration=1,IF($A103&lt;VLOOKUP(O$5,NFI,5,0),1,0)*Data_NFI_t[[#This Row],[Kitchen Set]],0)</f>
        <v>0</v>
      </c>
      <c r="AA103" s="124">
        <f>IF(NFI_Expiration=1,IF($A103&lt;VLOOKUP(P$5,NFI,5,0),1,0)*Data_NFI_t[[#This Row],[Complementary Kit]],0)</f>
        <v>0</v>
      </c>
      <c r="AB103" s="124">
        <f>IF(NFI_Expiration=1,IF($A103&lt;VLOOKUP(Q$5,NFI,5,0),1,0)*Data_NFI_t[[#This Row],[Plastic Bucket]],0)</f>
        <v>0</v>
      </c>
      <c r="AC103" s="124">
        <f>IF(NFI_Expiration=1,IF($A103&lt;VLOOKUP(R$5,NFI,5,0),1,0)*Data_NFI_t[[#This Row],[Jerry Can]],0)</f>
        <v>0</v>
      </c>
      <c r="AD103" s="143">
        <f>IF(NFI_Expiration=1,IF($A103&lt;VLOOKUP(S$5,NFI,5,0),1,0)*Data_NFI_t[[#This Row],[Plastic Mat]],0)*IF(Data_NFI_t[[#This Row],[Distribution Date]]&gt;"01-06-2015",1,2.5)</f>
        <v>0</v>
      </c>
      <c r="AE103" s="143" t="str">
        <f ca="1">IFERROR(OFFSET(Camp_List[P_Code],MATCH(Data_NFI_t[[#This Row],[Camp Name]],Camp_List[Camp Name],0)-1,0,1,1),"")</f>
        <v>MMR012CMP097</v>
      </c>
      <c r="AF103" s="572" t="str">
        <f ca="1">IFERROR(OFFSET(Camp_List[Status],MATCH(Data_NFI_t[[#This Row],[Camp Name]],Camp_List[Camp Name],0)-1,0,1,1),"")</f>
        <v>Open</v>
      </c>
    </row>
    <row r="104" spans="1:32" s="100" customFormat="1" ht="15" customHeight="1">
      <c r="A104" s="254">
        <f t="shared" si="1"/>
        <v>27.433333333333334</v>
      </c>
      <c r="B104" s="254">
        <f>YEAR(Data_NFI_t[[#This Row],[Distribution Date]])</f>
        <v>2014</v>
      </c>
      <c r="C104" s="585">
        <v>41699</v>
      </c>
      <c r="D104" s="547" t="s">
        <v>290</v>
      </c>
      <c r="E104" s="546" t="s">
        <v>290</v>
      </c>
      <c r="F104" s="547" t="s">
        <v>7</v>
      </c>
      <c r="G104" s="31" t="s">
        <v>19</v>
      </c>
      <c r="H104" s="31" t="s">
        <v>653</v>
      </c>
      <c r="I104" s="31"/>
      <c r="J104" s="60"/>
      <c r="K104" s="60"/>
      <c r="L104" s="60"/>
      <c r="M104" s="60">
        <v>2549</v>
      </c>
      <c r="N104" s="60"/>
      <c r="O104" s="60"/>
      <c r="P104" s="60"/>
      <c r="Q104" s="60"/>
      <c r="R104" s="570"/>
      <c r="S104" s="60"/>
      <c r="T104" s="143">
        <f>IF(NFI_Expiration=1,IF($A104&lt;VLOOKUP(I$5,NFI,5,0),1,0)*Data_NFI_t[[#This Row],[Hygiene Kit]],0)</f>
        <v>0</v>
      </c>
      <c r="U104" s="143">
        <f>IF(NFI_Expiration=1,IF($A104&lt;VLOOKUP(J$5,NFI,5,0),1,0)*Data_NFI_t[[#This Row],[NFI Core Kit]],0)</f>
        <v>0</v>
      </c>
      <c r="V104" s="124">
        <f>IF(NFI_Expiration=1,IF($A104&lt;VLOOKUP(K$5,NFI,5,0),1,0)*Data_NFI_t[[#This Row],[Sanitary Kit]],0)</f>
        <v>0</v>
      </c>
      <c r="W104" s="124">
        <f>IF(NFI_Expiration=1,IF($A104&lt;VLOOKUP(L$5,NFI,5,0),1,0)*Data_NFI_t[[#This Row],[Mosquito net]],0)</f>
        <v>0</v>
      </c>
      <c r="X104" s="124">
        <f>IF(NFI_Expiration=1,IF($A104&lt;VLOOKUP(M$5,NFI,5,0),1,0)*Data_NFI_t[[#This Row],[Tarpaulin]],0)</f>
        <v>0</v>
      </c>
      <c r="Y104" s="124">
        <f>IF(NFI_Expiration=1,IF($A104&lt;VLOOKUP(N$5,NFI,5,0),1,0)*Data_NFI_t[[#This Row],[Blanket]],0)</f>
        <v>0</v>
      </c>
      <c r="Z104" s="124">
        <f>IF(NFI_Expiration=1,IF($A104&lt;VLOOKUP(O$5,NFI,5,0),1,0)*Data_NFI_t[[#This Row],[Kitchen Set]],0)</f>
        <v>0</v>
      </c>
      <c r="AA104" s="124">
        <f>IF(NFI_Expiration=1,IF($A104&lt;VLOOKUP(P$5,NFI,5,0),1,0)*Data_NFI_t[[#This Row],[Complementary Kit]],0)</f>
        <v>0</v>
      </c>
      <c r="AB104" s="124">
        <f>IF(NFI_Expiration=1,IF($A104&lt;VLOOKUP(Q$5,NFI,5,0),1,0)*Data_NFI_t[[#This Row],[Plastic Bucket]],0)</f>
        <v>0</v>
      </c>
      <c r="AC104" s="124">
        <f>IF(NFI_Expiration=1,IF($A104&lt;VLOOKUP(R$5,NFI,5,0),1,0)*Data_NFI_t[[#This Row],[Jerry Can]],0)</f>
        <v>0</v>
      </c>
      <c r="AD104" s="143">
        <f>IF(NFI_Expiration=1,IF($A104&lt;VLOOKUP(S$5,NFI,5,0),1,0)*Data_NFI_t[[#This Row],[Plastic Mat]],0)*IF(Data_NFI_t[[#This Row],[Distribution Date]]&gt;"01-06-2015",1,2.5)</f>
        <v>0</v>
      </c>
      <c r="AE104" s="143" t="str">
        <f ca="1">IFERROR(OFFSET(Camp_List[P_Code],MATCH(Data_NFI_t[[#This Row],[Camp Name]],Camp_List[Camp Name],0)-1,0,1,1),"")</f>
        <v>MMR012CMP115</v>
      </c>
      <c r="AF104" s="572" t="str">
        <f ca="1">IFERROR(OFFSET(Camp_List[Status],MATCH(Data_NFI_t[[#This Row],[Camp Name]],Camp_List[Camp Name],0)-1,0,1,1),"")</f>
        <v>Open</v>
      </c>
    </row>
    <row r="105" spans="1:32" s="100" customFormat="1" ht="15" customHeight="1">
      <c r="A105" s="254">
        <f t="shared" si="1"/>
        <v>28.4</v>
      </c>
      <c r="B105" s="254">
        <f>YEAR(Data_NFI_t[[#This Row],[Distribution Date]])</f>
        <v>2014</v>
      </c>
      <c r="C105" s="585">
        <v>41670</v>
      </c>
      <c r="D105" s="547" t="s">
        <v>287</v>
      </c>
      <c r="E105" s="546" t="s">
        <v>287</v>
      </c>
      <c r="F105" s="547" t="s">
        <v>7</v>
      </c>
      <c r="G105" s="31" t="s">
        <v>15</v>
      </c>
      <c r="H105" s="31" t="s">
        <v>48</v>
      </c>
      <c r="I105" s="31"/>
      <c r="J105" s="60"/>
      <c r="K105" s="60"/>
      <c r="L105" s="60">
        <v>2</v>
      </c>
      <c r="M105" s="60"/>
      <c r="N105" s="60">
        <v>2</v>
      </c>
      <c r="O105" s="60">
        <v>1</v>
      </c>
      <c r="P105" s="60">
        <v>4</v>
      </c>
      <c r="Q105" s="60">
        <v>1</v>
      </c>
      <c r="R105" s="570"/>
      <c r="S105" s="60">
        <v>2</v>
      </c>
      <c r="T105" s="143">
        <f>IF(NFI_Expiration=1,IF($A105&lt;VLOOKUP(I$5,NFI,5,0),1,0)*Data_NFI_t[[#This Row],[Hygiene Kit]],0)</f>
        <v>0</v>
      </c>
      <c r="U105" s="143">
        <f>IF(NFI_Expiration=1,IF($A105&lt;VLOOKUP(J$5,NFI,5,0),1,0)*Data_NFI_t[[#This Row],[NFI Core Kit]],0)</f>
        <v>0</v>
      </c>
      <c r="V105" s="124">
        <f>IF(NFI_Expiration=1,IF($A105&lt;VLOOKUP(K$5,NFI,5,0),1,0)*Data_NFI_t[[#This Row],[Sanitary Kit]],0)</f>
        <v>0</v>
      </c>
      <c r="W105" s="124">
        <f>IF(NFI_Expiration=1,IF($A105&lt;VLOOKUP(L$5,NFI,5,0),1,0)*Data_NFI_t[[#This Row],[Mosquito net]],0)</f>
        <v>0</v>
      </c>
      <c r="X105" s="124">
        <f>IF(NFI_Expiration=1,IF($A105&lt;VLOOKUP(M$5,NFI,5,0),1,0)*Data_NFI_t[[#This Row],[Tarpaulin]],0)</f>
        <v>0</v>
      </c>
      <c r="Y105" s="124">
        <f>IF(NFI_Expiration=1,IF($A105&lt;VLOOKUP(N$5,NFI,5,0),1,0)*Data_NFI_t[[#This Row],[Blanket]],0)</f>
        <v>0</v>
      </c>
      <c r="Z105" s="124">
        <f>IF(NFI_Expiration=1,IF($A105&lt;VLOOKUP(O$5,NFI,5,0),1,0)*Data_NFI_t[[#This Row],[Kitchen Set]],0)</f>
        <v>0</v>
      </c>
      <c r="AA105" s="124">
        <f>IF(NFI_Expiration=1,IF($A105&lt;VLOOKUP(P$5,NFI,5,0),1,0)*Data_NFI_t[[#This Row],[Complementary Kit]],0)</f>
        <v>0</v>
      </c>
      <c r="AB105" s="124">
        <f>IF(NFI_Expiration=1,IF($A105&lt;VLOOKUP(Q$5,NFI,5,0),1,0)*Data_NFI_t[[#This Row],[Plastic Bucket]],0)</f>
        <v>0</v>
      </c>
      <c r="AC105" s="124">
        <f>IF(NFI_Expiration=1,IF($A105&lt;VLOOKUP(R$5,NFI,5,0),1,0)*Data_NFI_t[[#This Row],[Jerry Can]],0)</f>
        <v>0</v>
      </c>
      <c r="AD105" s="143">
        <f>IF(NFI_Expiration=1,IF($A105&lt;VLOOKUP(S$5,NFI,5,0),1,0)*Data_NFI_t[[#This Row],[Plastic Mat]],0)*IF(Data_NFI_t[[#This Row],[Distribution Date]]&gt;"01-06-2015",1,2.5)</f>
        <v>0</v>
      </c>
      <c r="AE105" s="143" t="str">
        <f ca="1">IFERROR(OFFSET(Camp_List[P_Code],MATCH(Data_NFI_t[[#This Row],[Camp Name]],Camp_List[Camp Name],0)-1,0,1,1),"")</f>
        <v>MMR012CMP024</v>
      </c>
      <c r="AF105" s="572" t="str">
        <f ca="1">IFERROR(OFFSET(Camp_List[Status],MATCH(Data_NFI_t[[#This Row],[Camp Name]],Camp_List[Camp Name],0)-1,0,1,1),"")</f>
        <v>Returned in Individual Housing</v>
      </c>
    </row>
    <row r="106" spans="1:32" s="100" customFormat="1" ht="15" customHeight="1">
      <c r="A106" s="254">
        <f t="shared" si="1"/>
        <v>28.9</v>
      </c>
      <c r="B106" s="254">
        <f>YEAR(Data_NFI_t[[#This Row],[Distribution Date]])</f>
        <v>2014</v>
      </c>
      <c r="C106" s="585">
        <v>41655</v>
      </c>
      <c r="D106" s="547" t="s">
        <v>287</v>
      </c>
      <c r="E106" s="546" t="s">
        <v>287</v>
      </c>
      <c r="F106" s="547" t="s">
        <v>7</v>
      </c>
      <c r="G106" s="31" t="s">
        <v>14</v>
      </c>
      <c r="H106" s="31" t="s">
        <v>43</v>
      </c>
      <c r="I106" s="31"/>
      <c r="J106" s="60"/>
      <c r="K106" s="60"/>
      <c r="L106" s="60"/>
      <c r="M106" s="60"/>
      <c r="N106" s="60">
        <v>20</v>
      </c>
      <c r="O106" s="60">
        <v>700</v>
      </c>
      <c r="P106" s="60"/>
      <c r="Q106" s="60"/>
      <c r="R106" s="570"/>
      <c r="S106" s="60">
        <v>120</v>
      </c>
      <c r="T106" s="143">
        <f>IF(NFI_Expiration=1,IF($A106&lt;VLOOKUP(I$5,NFI,5,0),1,0)*Data_NFI_t[[#This Row],[Hygiene Kit]],0)</f>
        <v>0</v>
      </c>
      <c r="U106" s="143">
        <f>IF(NFI_Expiration=1,IF($A106&lt;VLOOKUP(J$5,NFI,5,0),1,0)*Data_NFI_t[[#This Row],[NFI Core Kit]],0)</f>
        <v>0</v>
      </c>
      <c r="V106" s="124">
        <f>IF(NFI_Expiration=1,IF($A106&lt;VLOOKUP(K$5,NFI,5,0),1,0)*Data_NFI_t[[#This Row],[Sanitary Kit]],0)</f>
        <v>0</v>
      </c>
      <c r="W106" s="124">
        <f>IF(NFI_Expiration=1,IF($A106&lt;VLOOKUP(L$5,NFI,5,0),1,0)*Data_NFI_t[[#This Row],[Mosquito net]],0)</f>
        <v>0</v>
      </c>
      <c r="X106" s="124">
        <f>IF(NFI_Expiration=1,IF($A106&lt;VLOOKUP(M$5,NFI,5,0),1,0)*Data_NFI_t[[#This Row],[Tarpaulin]],0)</f>
        <v>0</v>
      </c>
      <c r="Y106" s="124">
        <f>IF(NFI_Expiration=1,IF($A106&lt;VLOOKUP(N$5,NFI,5,0),1,0)*Data_NFI_t[[#This Row],[Blanket]],0)</f>
        <v>0</v>
      </c>
      <c r="Z106" s="124">
        <f>IF(NFI_Expiration=1,IF($A106&lt;VLOOKUP(O$5,NFI,5,0),1,0)*Data_NFI_t[[#This Row],[Kitchen Set]],0)</f>
        <v>0</v>
      </c>
      <c r="AA106" s="124">
        <f>IF(NFI_Expiration=1,IF($A106&lt;VLOOKUP(P$5,NFI,5,0),1,0)*Data_NFI_t[[#This Row],[Complementary Kit]],0)</f>
        <v>0</v>
      </c>
      <c r="AB106" s="124">
        <f>IF(NFI_Expiration=1,IF($A106&lt;VLOOKUP(Q$5,NFI,5,0),1,0)*Data_NFI_t[[#This Row],[Plastic Bucket]],0)</f>
        <v>0</v>
      </c>
      <c r="AC106" s="124">
        <f>IF(NFI_Expiration=1,IF($A106&lt;VLOOKUP(R$5,NFI,5,0),1,0)*Data_NFI_t[[#This Row],[Jerry Can]],0)</f>
        <v>0</v>
      </c>
      <c r="AD106" s="143">
        <f>IF(NFI_Expiration=1,IF($A106&lt;VLOOKUP(S$5,NFI,5,0),1,0)*Data_NFI_t[[#This Row],[Plastic Mat]],0)*IF(Data_NFI_t[[#This Row],[Distribution Date]]&gt;"01-06-2015",1,2.5)</f>
        <v>0</v>
      </c>
      <c r="AE106" s="143" t="str">
        <f ca="1">IFERROR(OFFSET(Camp_List[P_Code],MATCH(Data_NFI_t[[#This Row],[Camp Name]],Camp_List[Camp Name],0)-1,0,1,1),"")</f>
        <v>MMR012CMP019</v>
      </c>
      <c r="AF106" s="572" t="str">
        <f ca="1">IFERROR(OFFSET(Camp_List[Status],MATCH(Data_NFI_t[[#This Row],[Camp Name]],Camp_List[Camp Name],0)-1,0,1,1),"")</f>
        <v>Open</v>
      </c>
    </row>
    <row r="107" spans="1:32" s="100" customFormat="1" ht="15" customHeight="1">
      <c r="A107" s="254">
        <f t="shared" si="1"/>
        <v>28.9</v>
      </c>
      <c r="B107" s="254">
        <f>YEAR(Data_NFI_t[[#This Row],[Distribution Date]])</f>
        <v>2014</v>
      </c>
      <c r="C107" s="585">
        <v>41655</v>
      </c>
      <c r="D107" s="547" t="s">
        <v>287</v>
      </c>
      <c r="E107" s="546" t="s">
        <v>287</v>
      </c>
      <c r="F107" s="547" t="s">
        <v>7</v>
      </c>
      <c r="G107" s="31" t="s">
        <v>14</v>
      </c>
      <c r="H107" s="31" t="s">
        <v>43</v>
      </c>
      <c r="I107" s="31"/>
      <c r="J107" s="60"/>
      <c r="K107" s="60"/>
      <c r="L107" s="60">
        <v>807</v>
      </c>
      <c r="M107" s="60"/>
      <c r="N107" s="60"/>
      <c r="O107" s="60"/>
      <c r="P107" s="60">
        <v>807</v>
      </c>
      <c r="Q107" s="60"/>
      <c r="R107" s="570"/>
      <c r="S107" s="60"/>
      <c r="T107" s="143">
        <f>IF(NFI_Expiration=1,IF($A107&lt;VLOOKUP(I$5,NFI,5,0),1,0)*Data_NFI_t[[#This Row],[Hygiene Kit]],0)</f>
        <v>0</v>
      </c>
      <c r="U107" s="143">
        <f>IF(NFI_Expiration=1,IF($A107&lt;VLOOKUP(J$5,NFI,5,0),1,0)*Data_NFI_t[[#This Row],[NFI Core Kit]],0)</f>
        <v>0</v>
      </c>
      <c r="V107" s="124">
        <f>IF(NFI_Expiration=1,IF($A107&lt;VLOOKUP(K$5,NFI,5,0),1,0)*Data_NFI_t[[#This Row],[Sanitary Kit]],0)</f>
        <v>0</v>
      </c>
      <c r="W107" s="124">
        <f>IF(NFI_Expiration=1,IF($A107&lt;VLOOKUP(L$5,NFI,5,0),1,0)*Data_NFI_t[[#This Row],[Mosquito net]],0)</f>
        <v>0</v>
      </c>
      <c r="X107" s="124">
        <f>IF(NFI_Expiration=1,IF($A107&lt;VLOOKUP(M$5,NFI,5,0),1,0)*Data_NFI_t[[#This Row],[Tarpaulin]],0)</f>
        <v>0</v>
      </c>
      <c r="Y107" s="124">
        <f>IF(NFI_Expiration=1,IF($A107&lt;VLOOKUP(N$5,NFI,5,0),1,0)*Data_NFI_t[[#This Row],[Blanket]],0)</f>
        <v>0</v>
      </c>
      <c r="Z107" s="124">
        <f>IF(NFI_Expiration=1,IF($A107&lt;VLOOKUP(O$5,NFI,5,0),1,0)*Data_NFI_t[[#This Row],[Kitchen Set]],0)</f>
        <v>0</v>
      </c>
      <c r="AA107" s="124">
        <f>IF(NFI_Expiration=1,IF($A107&lt;VLOOKUP(P$5,NFI,5,0),1,0)*Data_NFI_t[[#This Row],[Complementary Kit]],0)</f>
        <v>0</v>
      </c>
      <c r="AB107" s="124">
        <f>IF(NFI_Expiration=1,IF($A107&lt;VLOOKUP(Q$5,NFI,5,0),1,0)*Data_NFI_t[[#This Row],[Plastic Bucket]],0)</f>
        <v>0</v>
      </c>
      <c r="AC107" s="124">
        <f>IF(NFI_Expiration=1,IF($A107&lt;VLOOKUP(R$5,NFI,5,0),1,0)*Data_NFI_t[[#This Row],[Jerry Can]],0)</f>
        <v>0</v>
      </c>
      <c r="AD107" s="143">
        <f>IF(NFI_Expiration=1,IF($A107&lt;VLOOKUP(S$5,NFI,5,0),1,0)*Data_NFI_t[[#This Row],[Plastic Mat]],0)*IF(Data_NFI_t[[#This Row],[Distribution Date]]&gt;"01-06-2015",1,2.5)</f>
        <v>0</v>
      </c>
      <c r="AE107" s="143" t="str">
        <f ca="1">IFERROR(OFFSET(Camp_List[P_Code],MATCH(Data_NFI_t[[#This Row],[Camp Name]],Camp_List[Camp Name],0)-1,0,1,1),"")</f>
        <v>MMR012CMP019</v>
      </c>
      <c r="AF107" s="572" t="str">
        <f ca="1">IFERROR(OFFSET(Camp_List[Status],MATCH(Data_NFI_t[[#This Row],[Camp Name]],Camp_List[Camp Name],0)-1,0,1,1),"")</f>
        <v>Open</v>
      </c>
    </row>
    <row r="108" spans="1:32" s="100" customFormat="1" ht="15" customHeight="1">
      <c r="A108" s="254">
        <f t="shared" si="1"/>
        <v>28.933333333333334</v>
      </c>
      <c r="B108" s="254">
        <f>YEAR(Data_NFI_t[[#This Row],[Distribution Date]])</f>
        <v>2014</v>
      </c>
      <c r="C108" s="585">
        <v>41654</v>
      </c>
      <c r="D108" s="547" t="s">
        <v>287</v>
      </c>
      <c r="E108" s="546" t="s">
        <v>287</v>
      </c>
      <c r="F108" s="547" t="s">
        <v>7</v>
      </c>
      <c r="G108" s="31" t="s">
        <v>14</v>
      </c>
      <c r="H108" s="31" t="s">
        <v>41</v>
      </c>
      <c r="I108" s="31"/>
      <c r="J108" s="60"/>
      <c r="K108" s="60"/>
      <c r="L108" s="60">
        <v>588</v>
      </c>
      <c r="M108" s="60"/>
      <c r="N108" s="60">
        <v>588</v>
      </c>
      <c r="O108" s="60">
        <v>294</v>
      </c>
      <c r="P108" s="60">
        <v>1176</v>
      </c>
      <c r="Q108" s="60">
        <v>294</v>
      </c>
      <c r="R108" s="570"/>
      <c r="S108" s="60">
        <v>588</v>
      </c>
      <c r="T108" s="143">
        <f>IF(NFI_Expiration=1,IF($A108&lt;VLOOKUP(I$5,NFI,5,0),1,0)*Data_NFI_t[[#This Row],[Hygiene Kit]],0)</f>
        <v>0</v>
      </c>
      <c r="U108" s="143">
        <f>IF(NFI_Expiration=1,IF($A108&lt;VLOOKUP(J$5,NFI,5,0),1,0)*Data_NFI_t[[#This Row],[NFI Core Kit]],0)</f>
        <v>0</v>
      </c>
      <c r="V108" s="124">
        <f>IF(NFI_Expiration=1,IF($A108&lt;VLOOKUP(K$5,NFI,5,0),1,0)*Data_NFI_t[[#This Row],[Sanitary Kit]],0)</f>
        <v>0</v>
      </c>
      <c r="W108" s="124">
        <f>IF(NFI_Expiration=1,IF($A108&lt;VLOOKUP(L$5,NFI,5,0),1,0)*Data_NFI_t[[#This Row],[Mosquito net]],0)</f>
        <v>0</v>
      </c>
      <c r="X108" s="124">
        <f>IF(NFI_Expiration=1,IF($A108&lt;VLOOKUP(M$5,NFI,5,0),1,0)*Data_NFI_t[[#This Row],[Tarpaulin]],0)</f>
        <v>0</v>
      </c>
      <c r="Y108" s="124">
        <f>IF(NFI_Expiration=1,IF($A108&lt;VLOOKUP(N$5,NFI,5,0),1,0)*Data_NFI_t[[#This Row],[Blanket]],0)</f>
        <v>0</v>
      </c>
      <c r="Z108" s="124">
        <f>IF(NFI_Expiration=1,IF($A108&lt;VLOOKUP(O$5,NFI,5,0),1,0)*Data_NFI_t[[#This Row],[Kitchen Set]],0)</f>
        <v>0</v>
      </c>
      <c r="AA108" s="124">
        <f>IF(NFI_Expiration=1,IF($A108&lt;VLOOKUP(P$5,NFI,5,0),1,0)*Data_NFI_t[[#This Row],[Complementary Kit]],0)</f>
        <v>0</v>
      </c>
      <c r="AB108" s="124">
        <f>IF(NFI_Expiration=1,IF($A108&lt;VLOOKUP(Q$5,NFI,5,0),1,0)*Data_NFI_t[[#This Row],[Plastic Bucket]],0)</f>
        <v>0</v>
      </c>
      <c r="AC108" s="124">
        <f>IF(NFI_Expiration=1,IF($A108&lt;VLOOKUP(R$5,NFI,5,0),1,0)*Data_NFI_t[[#This Row],[Jerry Can]],0)</f>
        <v>0</v>
      </c>
      <c r="AD108" s="143">
        <f>IF(NFI_Expiration=1,IF($A108&lt;VLOOKUP(S$5,NFI,5,0),1,0)*Data_NFI_t[[#This Row],[Plastic Mat]],0)*IF(Data_NFI_t[[#This Row],[Distribution Date]]&gt;"01-06-2015",1,2.5)</f>
        <v>0</v>
      </c>
      <c r="AE108" s="143" t="str">
        <f ca="1">IFERROR(OFFSET(Camp_List[P_Code],MATCH(Data_NFI_t[[#This Row],[Camp Name]],Camp_List[Camp Name],0)-1,0,1,1),"")</f>
        <v>MMR012CMP017</v>
      </c>
      <c r="AF108" s="572" t="str">
        <f ca="1">IFERROR(OFFSET(Camp_List[Status],MATCH(Data_NFI_t[[#This Row],[Camp Name]],Camp_List[Camp Name],0)-1,0,1,1),"")</f>
        <v>Open</v>
      </c>
    </row>
    <row r="109" spans="1:32" s="100" customFormat="1" ht="15" customHeight="1">
      <c r="A109" s="254">
        <f t="shared" si="1"/>
        <v>28.933333333333334</v>
      </c>
      <c r="B109" s="254">
        <f>YEAR(Data_NFI_t[[#This Row],[Distribution Date]])</f>
        <v>2014</v>
      </c>
      <c r="C109" s="585">
        <v>41654</v>
      </c>
      <c r="D109" s="547" t="s">
        <v>287</v>
      </c>
      <c r="E109" s="546" t="s">
        <v>287</v>
      </c>
      <c r="F109" s="547" t="s">
        <v>7</v>
      </c>
      <c r="G109" s="31" t="s">
        <v>14</v>
      </c>
      <c r="H109" s="31" t="s">
        <v>43</v>
      </c>
      <c r="I109" s="31"/>
      <c r="J109" s="60"/>
      <c r="K109" s="60"/>
      <c r="L109" s="60">
        <v>1420</v>
      </c>
      <c r="M109" s="60"/>
      <c r="N109" s="60">
        <v>1400</v>
      </c>
      <c r="O109" s="60"/>
      <c r="P109" s="60">
        <v>2800</v>
      </c>
      <c r="Q109" s="60">
        <v>700</v>
      </c>
      <c r="R109" s="570"/>
      <c r="S109" s="60">
        <v>1400</v>
      </c>
      <c r="T109" s="143">
        <f>IF(NFI_Expiration=1,IF($A109&lt;VLOOKUP(I$5,NFI,5,0),1,0)*Data_NFI_t[[#This Row],[Hygiene Kit]],0)</f>
        <v>0</v>
      </c>
      <c r="U109" s="143">
        <f>IF(NFI_Expiration=1,IF($A109&lt;VLOOKUP(J$5,NFI,5,0),1,0)*Data_NFI_t[[#This Row],[NFI Core Kit]],0)</f>
        <v>0</v>
      </c>
      <c r="V109" s="124">
        <f>IF(NFI_Expiration=1,IF($A109&lt;VLOOKUP(K$5,NFI,5,0),1,0)*Data_NFI_t[[#This Row],[Sanitary Kit]],0)</f>
        <v>0</v>
      </c>
      <c r="W109" s="124">
        <f>IF(NFI_Expiration=1,IF($A109&lt;VLOOKUP(L$5,NFI,5,0),1,0)*Data_NFI_t[[#This Row],[Mosquito net]],0)</f>
        <v>0</v>
      </c>
      <c r="X109" s="124">
        <f>IF(NFI_Expiration=1,IF($A109&lt;VLOOKUP(M$5,NFI,5,0),1,0)*Data_NFI_t[[#This Row],[Tarpaulin]],0)</f>
        <v>0</v>
      </c>
      <c r="Y109" s="124">
        <f>IF(NFI_Expiration=1,IF($A109&lt;VLOOKUP(N$5,NFI,5,0),1,0)*Data_NFI_t[[#This Row],[Blanket]],0)</f>
        <v>0</v>
      </c>
      <c r="Z109" s="124">
        <f>IF(NFI_Expiration=1,IF($A109&lt;VLOOKUP(O$5,NFI,5,0),1,0)*Data_NFI_t[[#This Row],[Kitchen Set]],0)</f>
        <v>0</v>
      </c>
      <c r="AA109" s="124">
        <f>IF(NFI_Expiration=1,IF($A109&lt;VLOOKUP(P$5,NFI,5,0),1,0)*Data_NFI_t[[#This Row],[Complementary Kit]],0)</f>
        <v>0</v>
      </c>
      <c r="AB109" s="124">
        <f>IF(NFI_Expiration=1,IF($A109&lt;VLOOKUP(Q$5,NFI,5,0),1,0)*Data_NFI_t[[#This Row],[Plastic Bucket]],0)</f>
        <v>0</v>
      </c>
      <c r="AC109" s="124">
        <f>IF(NFI_Expiration=1,IF($A109&lt;VLOOKUP(R$5,NFI,5,0),1,0)*Data_NFI_t[[#This Row],[Jerry Can]],0)</f>
        <v>0</v>
      </c>
      <c r="AD109" s="143">
        <f>IF(NFI_Expiration=1,IF($A109&lt;VLOOKUP(S$5,NFI,5,0),1,0)*Data_NFI_t[[#This Row],[Plastic Mat]],0)*IF(Data_NFI_t[[#This Row],[Distribution Date]]&gt;"01-06-2015",1,2.5)</f>
        <v>0</v>
      </c>
      <c r="AE109" s="143" t="str">
        <f ca="1">IFERROR(OFFSET(Camp_List[P_Code],MATCH(Data_NFI_t[[#This Row],[Camp Name]],Camp_List[Camp Name],0)-1,0,1,1),"")</f>
        <v>MMR012CMP019</v>
      </c>
      <c r="AF109" s="572" t="str">
        <f ca="1">IFERROR(OFFSET(Camp_List[Status],MATCH(Data_NFI_t[[#This Row],[Camp Name]],Camp_List[Camp Name],0)-1,0,1,1),"")</f>
        <v>Open</v>
      </c>
    </row>
    <row r="110" spans="1:32" s="100" customFormat="1" ht="15" customHeight="1">
      <c r="A110" s="254">
        <f t="shared" si="1"/>
        <v>29.233333333333334</v>
      </c>
      <c r="B110" s="254">
        <f>YEAR(Data_NFI_t[[#This Row],[Distribution Date]])</f>
        <v>2014</v>
      </c>
      <c r="C110" s="585">
        <v>41645</v>
      </c>
      <c r="D110" s="547" t="s">
        <v>287</v>
      </c>
      <c r="E110" s="546" t="s">
        <v>287</v>
      </c>
      <c r="F110" s="547" t="s">
        <v>7</v>
      </c>
      <c r="G110" s="31" t="s">
        <v>19</v>
      </c>
      <c r="H110" s="31" t="s">
        <v>652</v>
      </c>
      <c r="I110" s="31"/>
      <c r="J110" s="60"/>
      <c r="K110" s="60"/>
      <c r="L110" s="60">
        <v>10</v>
      </c>
      <c r="M110" s="60">
        <v>5</v>
      </c>
      <c r="N110" s="60">
        <v>15</v>
      </c>
      <c r="O110" s="60">
        <v>5</v>
      </c>
      <c r="P110" s="60"/>
      <c r="Q110" s="60"/>
      <c r="R110" s="570"/>
      <c r="S110" s="60">
        <v>10</v>
      </c>
      <c r="T110" s="143">
        <f>IF(NFI_Expiration=1,IF($A110&lt;VLOOKUP(I$5,NFI,5,0),1,0)*Data_NFI_t[[#This Row],[Hygiene Kit]],0)</f>
        <v>0</v>
      </c>
      <c r="U110" s="143">
        <f>IF(NFI_Expiration=1,IF($A110&lt;VLOOKUP(J$5,NFI,5,0),1,0)*Data_NFI_t[[#This Row],[NFI Core Kit]],0)</f>
        <v>0</v>
      </c>
      <c r="V110" s="124">
        <f>IF(NFI_Expiration=1,IF($A110&lt;VLOOKUP(K$5,NFI,5,0),1,0)*Data_NFI_t[[#This Row],[Sanitary Kit]],0)</f>
        <v>0</v>
      </c>
      <c r="W110" s="124">
        <f>IF(NFI_Expiration=1,IF($A110&lt;VLOOKUP(L$5,NFI,5,0),1,0)*Data_NFI_t[[#This Row],[Mosquito net]],0)</f>
        <v>0</v>
      </c>
      <c r="X110" s="124">
        <f>IF(NFI_Expiration=1,IF($A110&lt;VLOOKUP(M$5,NFI,5,0),1,0)*Data_NFI_t[[#This Row],[Tarpaulin]],0)</f>
        <v>0</v>
      </c>
      <c r="Y110" s="124">
        <f>IF(NFI_Expiration=1,IF($A110&lt;VLOOKUP(N$5,NFI,5,0),1,0)*Data_NFI_t[[#This Row],[Blanket]],0)</f>
        <v>0</v>
      </c>
      <c r="Z110" s="124">
        <f>IF(NFI_Expiration=1,IF($A110&lt;VLOOKUP(O$5,NFI,5,0),1,0)*Data_NFI_t[[#This Row],[Kitchen Set]],0)</f>
        <v>0</v>
      </c>
      <c r="AA110" s="124">
        <f>IF(NFI_Expiration=1,IF($A110&lt;VLOOKUP(P$5,NFI,5,0),1,0)*Data_NFI_t[[#This Row],[Complementary Kit]],0)</f>
        <v>0</v>
      </c>
      <c r="AB110" s="124">
        <f>IF(NFI_Expiration=1,IF($A110&lt;VLOOKUP(Q$5,NFI,5,0),1,0)*Data_NFI_t[[#This Row],[Plastic Bucket]],0)</f>
        <v>0</v>
      </c>
      <c r="AC110" s="124">
        <f>IF(NFI_Expiration=1,IF($A110&lt;VLOOKUP(R$5,NFI,5,0),1,0)*Data_NFI_t[[#This Row],[Jerry Can]],0)</f>
        <v>0</v>
      </c>
      <c r="AD110" s="143">
        <f>IF(NFI_Expiration=1,IF($A110&lt;VLOOKUP(S$5,NFI,5,0),1,0)*Data_NFI_t[[#This Row],[Plastic Mat]],0)*IF(Data_NFI_t[[#This Row],[Distribution Date]]&gt;"01-06-2015",1,2.5)</f>
        <v>0</v>
      </c>
      <c r="AE110" s="143" t="str">
        <f ca="1">IFERROR(OFFSET(Camp_List[P_Code],MATCH(Data_NFI_t[[#This Row],[Camp Name]],Camp_List[Camp Name],0)-1,0,1,1),"")</f>
        <v>MMR012CMP098</v>
      </c>
      <c r="AF110" s="572" t="str">
        <f ca="1">IFERROR(OFFSET(Camp_List[Status],MATCH(Data_NFI_t[[#This Row],[Camp Name]],Camp_List[Camp Name],0)-1,0,1,1),"")</f>
        <v>Open</v>
      </c>
    </row>
    <row r="111" spans="1:32" s="100" customFormat="1" ht="15" customHeight="1">
      <c r="A111" s="254">
        <f t="shared" si="1"/>
        <v>29.366666666666667</v>
      </c>
      <c r="B111" s="254">
        <f>YEAR(Data_NFI_t[[#This Row],[Distribution Date]])</f>
        <v>2014</v>
      </c>
      <c r="C111" s="585">
        <v>41641</v>
      </c>
      <c r="D111" s="547" t="s">
        <v>287</v>
      </c>
      <c r="E111" s="546" t="s">
        <v>287</v>
      </c>
      <c r="F111" s="547" t="s">
        <v>7</v>
      </c>
      <c r="G111" s="31" t="s">
        <v>15</v>
      </c>
      <c r="H111" s="31" t="s">
        <v>48</v>
      </c>
      <c r="I111" s="31"/>
      <c r="J111" s="60"/>
      <c r="K111" s="60">
        <v>1</v>
      </c>
      <c r="L111" s="60">
        <v>2</v>
      </c>
      <c r="M111" s="60"/>
      <c r="N111" s="60">
        <v>2</v>
      </c>
      <c r="O111" s="60">
        <v>1</v>
      </c>
      <c r="P111" s="60">
        <v>1</v>
      </c>
      <c r="Q111" s="60">
        <v>1</v>
      </c>
      <c r="R111" s="570"/>
      <c r="S111" s="60">
        <v>2</v>
      </c>
      <c r="T111" s="143">
        <f>IF(NFI_Expiration=1,IF($A111&lt;VLOOKUP(I$5,NFI,5,0),1,0)*Data_NFI_t[[#This Row],[Hygiene Kit]],0)</f>
        <v>0</v>
      </c>
      <c r="U111" s="143">
        <f>IF(NFI_Expiration=1,IF($A111&lt;VLOOKUP(J$5,NFI,5,0),1,0)*Data_NFI_t[[#This Row],[NFI Core Kit]],0)</f>
        <v>0</v>
      </c>
      <c r="V111" s="124">
        <f>IF(NFI_Expiration=1,IF($A111&lt;VLOOKUP(K$5,NFI,5,0),1,0)*Data_NFI_t[[#This Row],[Sanitary Kit]],0)</f>
        <v>0</v>
      </c>
      <c r="W111" s="124">
        <f>IF(NFI_Expiration=1,IF($A111&lt;VLOOKUP(L$5,NFI,5,0),1,0)*Data_NFI_t[[#This Row],[Mosquito net]],0)</f>
        <v>0</v>
      </c>
      <c r="X111" s="124">
        <f>IF(NFI_Expiration=1,IF($A111&lt;VLOOKUP(M$5,NFI,5,0),1,0)*Data_NFI_t[[#This Row],[Tarpaulin]],0)</f>
        <v>0</v>
      </c>
      <c r="Y111" s="124">
        <f>IF(NFI_Expiration=1,IF($A111&lt;VLOOKUP(N$5,NFI,5,0),1,0)*Data_NFI_t[[#This Row],[Blanket]],0)</f>
        <v>0</v>
      </c>
      <c r="Z111" s="124">
        <f>IF(NFI_Expiration=1,IF($A111&lt;VLOOKUP(O$5,NFI,5,0),1,0)*Data_NFI_t[[#This Row],[Kitchen Set]],0)</f>
        <v>0</v>
      </c>
      <c r="AA111" s="124">
        <f>IF(NFI_Expiration=1,IF($A111&lt;VLOOKUP(P$5,NFI,5,0),1,0)*Data_NFI_t[[#This Row],[Complementary Kit]],0)</f>
        <v>0</v>
      </c>
      <c r="AB111" s="124">
        <f>IF(NFI_Expiration=1,IF($A111&lt;VLOOKUP(Q$5,NFI,5,0),1,0)*Data_NFI_t[[#This Row],[Plastic Bucket]],0)</f>
        <v>0</v>
      </c>
      <c r="AC111" s="124">
        <f>IF(NFI_Expiration=1,IF($A111&lt;VLOOKUP(R$5,NFI,5,0),1,0)*Data_NFI_t[[#This Row],[Jerry Can]],0)</f>
        <v>0</v>
      </c>
      <c r="AD111" s="143">
        <f>IF(NFI_Expiration=1,IF($A111&lt;VLOOKUP(S$5,NFI,5,0),1,0)*Data_NFI_t[[#This Row],[Plastic Mat]],0)*IF(Data_NFI_t[[#This Row],[Distribution Date]]&gt;"01-06-2015",1,2.5)</f>
        <v>0</v>
      </c>
      <c r="AE111" s="143" t="str">
        <f ca="1">IFERROR(OFFSET(Camp_List[P_Code],MATCH(Data_NFI_t[[#This Row],[Camp Name]],Camp_List[Camp Name],0)-1,0,1,1),"")</f>
        <v>MMR012CMP024</v>
      </c>
      <c r="AF111" s="572" t="str">
        <f ca="1">IFERROR(OFFSET(Camp_List[Status],MATCH(Data_NFI_t[[#This Row],[Camp Name]],Camp_List[Camp Name],0)-1,0,1,1),"")</f>
        <v>Returned in Individual Housing</v>
      </c>
    </row>
    <row r="112" spans="1:32" s="100" customFormat="1" ht="15" customHeight="1">
      <c r="A112" s="254">
        <f t="shared" si="1"/>
        <v>29.366666666666667</v>
      </c>
      <c r="B112" s="254">
        <f>YEAR(Data_NFI_t[[#This Row],[Distribution Date]])</f>
        <v>2014</v>
      </c>
      <c r="C112" s="585">
        <v>41641</v>
      </c>
      <c r="D112" s="547" t="s">
        <v>287</v>
      </c>
      <c r="E112" s="546" t="s">
        <v>287</v>
      </c>
      <c r="F112" s="547" t="s">
        <v>7</v>
      </c>
      <c r="G112" s="31" t="s">
        <v>19</v>
      </c>
      <c r="H112" s="31" t="s">
        <v>652</v>
      </c>
      <c r="I112" s="31"/>
      <c r="J112" s="60">
        <v>30</v>
      </c>
      <c r="K112" s="60"/>
      <c r="L112" s="60">
        <v>50</v>
      </c>
      <c r="M112" s="60">
        <v>25</v>
      </c>
      <c r="N112" s="60">
        <v>75</v>
      </c>
      <c r="O112" s="60">
        <v>25</v>
      </c>
      <c r="P112" s="60"/>
      <c r="Q112" s="60"/>
      <c r="R112" s="570"/>
      <c r="S112" s="60">
        <v>50</v>
      </c>
      <c r="T112" s="143">
        <f>IF(NFI_Expiration=1,IF($A112&lt;VLOOKUP(I$5,NFI,5,0),1,0)*Data_NFI_t[[#This Row],[Hygiene Kit]],0)</f>
        <v>0</v>
      </c>
      <c r="U112" s="143">
        <f>IF(NFI_Expiration=1,IF($A112&lt;VLOOKUP(J$5,NFI,5,0),1,0)*Data_NFI_t[[#This Row],[NFI Core Kit]],0)</f>
        <v>0</v>
      </c>
      <c r="V112" s="124">
        <f>IF(NFI_Expiration=1,IF($A112&lt;VLOOKUP(K$5,NFI,5,0),1,0)*Data_NFI_t[[#This Row],[Sanitary Kit]],0)</f>
        <v>0</v>
      </c>
      <c r="W112" s="124">
        <f>IF(NFI_Expiration=1,IF($A112&lt;VLOOKUP(L$5,NFI,5,0),1,0)*Data_NFI_t[[#This Row],[Mosquito net]],0)</f>
        <v>0</v>
      </c>
      <c r="X112" s="124">
        <f>IF(NFI_Expiration=1,IF($A112&lt;VLOOKUP(M$5,NFI,5,0),1,0)*Data_NFI_t[[#This Row],[Tarpaulin]],0)</f>
        <v>0</v>
      </c>
      <c r="Y112" s="124">
        <f>IF(NFI_Expiration=1,IF($A112&lt;VLOOKUP(N$5,NFI,5,0),1,0)*Data_NFI_t[[#This Row],[Blanket]],0)</f>
        <v>0</v>
      </c>
      <c r="Z112" s="124">
        <f>IF(NFI_Expiration=1,IF($A112&lt;VLOOKUP(O$5,NFI,5,0),1,0)*Data_NFI_t[[#This Row],[Kitchen Set]],0)</f>
        <v>0</v>
      </c>
      <c r="AA112" s="124">
        <f>IF(NFI_Expiration=1,IF($A112&lt;VLOOKUP(P$5,NFI,5,0),1,0)*Data_NFI_t[[#This Row],[Complementary Kit]],0)</f>
        <v>0</v>
      </c>
      <c r="AB112" s="124">
        <f>IF(NFI_Expiration=1,IF($A112&lt;VLOOKUP(Q$5,NFI,5,0),1,0)*Data_NFI_t[[#This Row],[Plastic Bucket]],0)</f>
        <v>0</v>
      </c>
      <c r="AC112" s="124">
        <f>IF(NFI_Expiration=1,IF($A112&lt;VLOOKUP(R$5,NFI,5,0),1,0)*Data_NFI_t[[#This Row],[Jerry Can]],0)</f>
        <v>0</v>
      </c>
      <c r="AD112" s="143">
        <f>IF(NFI_Expiration=1,IF($A112&lt;VLOOKUP(S$5,NFI,5,0),1,0)*Data_NFI_t[[#This Row],[Plastic Mat]],0)*IF(Data_NFI_t[[#This Row],[Distribution Date]]&gt;"01-06-2015",1,2.5)</f>
        <v>0</v>
      </c>
      <c r="AE112" s="143" t="str">
        <f ca="1">IFERROR(OFFSET(Camp_List[P_Code],MATCH(Data_NFI_t[[#This Row],[Camp Name]],Camp_List[Camp Name],0)-1,0,1,1),"")</f>
        <v>MMR012CMP098</v>
      </c>
      <c r="AF112" s="572" t="str">
        <f ca="1">IFERROR(OFFSET(Camp_List[Status],MATCH(Data_NFI_t[[#This Row],[Camp Name]],Camp_List[Camp Name],0)-1,0,1,1),"")</f>
        <v>Open</v>
      </c>
    </row>
    <row r="113" spans="1:32" s="100" customFormat="1" ht="15" customHeight="1">
      <c r="A113" s="254">
        <f t="shared" si="1"/>
        <v>29.433333333333334</v>
      </c>
      <c r="B113" s="254">
        <f>YEAR(Data_NFI_t[[#This Row],[Distribution Date]])</f>
        <v>2013</v>
      </c>
      <c r="C113" s="585">
        <v>41639</v>
      </c>
      <c r="D113" s="547" t="s">
        <v>287</v>
      </c>
      <c r="E113" s="546" t="s">
        <v>287</v>
      </c>
      <c r="F113" s="547" t="s">
        <v>7</v>
      </c>
      <c r="G113" s="31" t="s">
        <v>19</v>
      </c>
      <c r="H113" s="31" t="s">
        <v>652</v>
      </c>
      <c r="I113" s="31"/>
      <c r="J113" s="60"/>
      <c r="K113" s="60"/>
      <c r="L113" s="60">
        <v>800</v>
      </c>
      <c r="M113" s="60"/>
      <c r="N113" s="60"/>
      <c r="O113" s="60"/>
      <c r="P113" s="60"/>
      <c r="Q113" s="60"/>
      <c r="R113" s="570"/>
      <c r="S113" s="60"/>
      <c r="T113" s="143">
        <f>IF(NFI_Expiration=1,IF($A113&lt;VLOOKUP(I$5,NFI,5,0),1,0)*Data_NFI_t[[#This Row],[Hygiene Kit]],0)</f>
        <v>0</v>
      </c>
      <c r="U113" s="143">
        <f>IF(NFI_Expiration=1,IF($A113&lt;VLOOKUP(J$5,NFI,5,0),1,0)*Data_NFI_t[[#This Row],[NFI Core Kit]],0)</f>
        <v>0</v>
      </c>
      <c r="V113" s="124">
        <f>IF(NFI_Expiration=1,IF($A113&lt;VLOOKUP(K$5,NFI,5,0),1,0)*Data_NFI_t[[#This Row],[Sanitary Kit]],0)</f>
        <v>0</v>
      </c>
      <c r="W113" s="124">
        <f>IF(NFI_Expiration=1,IF($A113&lt;VLOOKUP(L$5,NFI,5,0),1,0)*Data_NFI_t[[#This Row],[Mosquito net]],0)</f>
        <v>0</v>
      </c>
      <c r="X113" s="124">
        <f>IF(NFI_Expiration=1,IF($A113&lt;VLOOKUP(M$5,NFI,5,0),1,0)*Data_NFI_t[[#This Row],[Tarpaulin]],0)</f>
        <v>0</v>
      </c>
      <c r="Y113" s="124">
        <f>IF(NFI_Expiration=1,IF($A113&lt;VLOOKUP(N$5,NFI,5,0),1,0)*Data_NFI_t[[#This Row],[Blanket]],0)</f>
        <v>0</v>
      </c>
      <c r="Z113" s="124">
        <f>IF(NFI_Expiration=1,IF($A113&lt;VLOOKUP(O$5,NFI,5,0),1,0)*Data_NFI_t[[#This Row],[Kitchen Set]],0)</f>
        <v>0</v>
      </c>
      <c r="AA113" s="124">
        <f>IF(NFI_Expiration=1,IF($A113&lt;VLOOKUP(P$5,NFI,5,0),1,0)*Data_NFI_t[[#This Row],[Complementary Kit]],0)</f>
        <v>0</v>
      </c>
      <c r="AB113" s="124">
        <f>IF(NFI_Expiration=1,IF($A113&lt;VLOOKUP(Q$5,NFI,5,0),1,0)*Data_NFI_t[[#This Row],[Plastic Bucket]],0)</f>
        <v>0</v>
      </c>
      <c r="AC113" s="124">
        <f>IF(NFI_Expiration=1,IF($A113&lt;VLOOKUP(R$5,NFI,5,0),1,0)*Data_NFI_t[[#This Row],[Jerry Can]],0)</f>
        <v>0</v>
      </c>
      <c r="AD113" s="143">
        <f>IF(NFI_Expiration=1,IF($A113&lt;VLOOKUP(S$5,NFI,5,0),1,0)*Data_NFI_t[[#This Row],[Plastic Mat]],0)*IF(Data_NFI_t[[#This Row],[Distribution Date]]&gt;"01-06-2015",1,2.5)</f>
        <v>0</v>
      </c>
      <c r="AE113" s="143" t="str">
        <f ca="1">IFERROR(OFFSET(Camp_List[P_Code],MATCH(Data_NFI_t[[#This Row],[Camp Name]],Camp_List[Camp Name],0)-1,0,1,1),"")</f>
        <v>MMR012CMP098</v>
      </c>
      <c r="AF113" s="572" t="str">
        <f ca="1">IFERROR(OFFSET(Camp_List[Status],MATCH(Data_NFI_t[[#This Row],[Camp Name]],Camp_List[Camp Name],0)-1,0,1,1),"")</f>
        <v>Open</v>
      </c>
    </row>
    <row r="114" spans="1:32" s="100" customFormat="1" ht="15" customHeight="1">
      <c r="A114" s="254">
        <f t="shared" si="1"/>
        <v>29.433333333333334</v>
      </c>
      <c r="B114" s="254">
        <f>YEAR(Data_NFI_t[[#This Row],[Distribution Date]])</f>
        <v>2013</v>
      </c>
      <c r="C114" s="585">
        <v>41639</v>
      </c>
      <c r="D114" s="547" t="s">
        <v>287</v>
      </c>
      <c r="E114" s="546" t="s">
        <v>287</v>
      </c>
      <c r="F114" s="547" t="s">
        <v>7</v>
      </c>
      <c r="G114" s="31" t="s">
        <v>19</v>
      </c>
      <c r="H114" s="31" t="s">
        <v>652</v>
      </c>
      <c r="I114" s="31"/>
      <c r="J114" s="60"/>
      <c r="K114" s="60"/>
      <c r="L114" s="60"/>
      <c r="M114" s="60"/>
      <c r="N114" s="60">
        <v>800</v>
      </c>
      <c r="O114" s="60">
        <v>400</v>
      </c>
      <c r="P114" s="60"/>
      <c r="Q114" s="60">
        <v>400</v>
      </c>
      <c r="R114" s="570"/>
      <c r="S114" s="60">
        <v>800</v>
      </c>
      <c r="T114" s="143">
        <f>IF(NFI_Expiration=1,IF($A114&lt;VLOOKUP(I$5,NFI,5,0),1,0)*Data_NFI_t[[#This Row],[Hygiene Kit]],0)</f>
        <v>0</v>
      </c>
      <c r="U114" s="143">
        <f>IF(NFI_Expiration=1,IF($A114&lt;VLOOKUP(J$5,NFI,5,0),1,0)*Data_NFI_t[[#This Row],[NFI Core Kit]],0)</f>
        <v>0</v>
      </c>
      <c r="V114" s="124">
        <f>IF(NFI_Expiration=1,IF($A114&lt;VLOOKUP(K$5,NFI,5,0),1,0)*Data_NFI_t[[#This Row],[Sanitary Kit]],0)</f>
        <v>0</v>
      </c>
      <c r="W114" s="124">
        <f>IF(NFI_Expiration=1,IF($A114&lt;VLOOKUP(L$5,NFI,5,0),1,0)*Data_NFI_t[[#This Row],[Mosquito net]],0)</f>
        <v>0</v>
      </c>
      <c r="X114" s="124">
        <f>IF(NFI_Expiration=1,IF($A114&lt;VLOOKUP(M$5,NFI,5,0),1,0)*Data_NFI_t[[#This Row],[Tarpaulin]],0)</f>
        <v>0</v>
      </c>
      <c r="Y114" s="124">
        <f>IF(NFI_Expiration=1,IF($A114&lt;VLOOKUP(N$5,NFI,5,0),1,0)*Data_NFI_t[[#This Row],[Blanket]],0)</f>
        <v>0</v>
      </c>
      <c r="Z114" s="124">
        <f>IF(NFI_Expiration=1,IF($A114&lt;VLOOKUP(O$5,NFI,5,0),1,0)*Data_NFI_t[[#This Row],[Kitchen Set]],0)</f>
        <v>0</v>
      </c>
      <c r="AA114" s="124">
        <f>IF(NFI_Expiration=1,IF($A114&lt;VLOOKUP(P$5,NFI,5,0),1,0)*Data_NFI_t[[#This Row],[Complementary Kit]],0)</f>
        <v>0</v>
      </c>
      <c r="AB114" s="124">
        <f>IF(NFI_Expiration=1,IF($A114&lt;VLOOKUP(Q$5,NFI,5,0),1,0)*Data_NFI_t[[#This Row],[Plastic Bucket]],0)</f>
        <v>0</v>
      </c>
      <c r="AC114" s="124">
        <f>IF(NFI_Expiration=1,IF($A114&lt;VLOOKUP(R$5,NFI,5,0),1,0)*Data_NFI_t[[#This Row],[Jerry Can]],0)</f>
        <v>0</v>
      </c>
      <c r="AD114" s="143">
        <f>IF(NFI_Expiration=1,IF($A114&lt;VLOOKUP(S$5,NFI,5,0),1,0)*Data_NFI_t[[#This Row],[Plastic Mat]],0)*IF(Data_NFI_t[[#This Row],[Distribution Date]]&gt;"01-06-2015",1,2.5)</f>
        <v>0</v>
      </c>
      <c r="AE114" s="143" t="str">
        <f ca="1">IFERROR(OFFSET(Camp_List[P_Code],MATCH(Data_NFI_t[[#This Row],[Camp Name]],Camp_List[Camp Name],0)-1,0,1,1),"")</f>
        <v>MMR012CMP098</v>
      </c>
      <c r="AF114" s="572" t="str">
        <f ca="1">IFERROR(OFFSET(Camp_List[Status],MATCH(Data_NFI_t[[#This Row],[Camp Name]],Camp_List[Camp Name],0)-1,0,1,1),"")</f>
        <v>Open</v>
      </c>
    </row>
    <row r="115" spans="1:32" s="100" customFormat="1" ht="15" customHeight="1">
      <c r="A115" s="254">
        <f t="shared" si="1"/>
        <v>29.433333333333334</v>
      </c>
      <c r="B115" s="254">
        <f>YEAR(Data_NFI_t[[#This Row],[Distribution Date]])</f>
        <v>2013</v>
      </c>
      <c r="C115" s="585">
        <v>41639</v>
      </c>
      <c r="D115" s="547" t="s">
        <v>287</v>
      </c>
      <c r="E115" s="546" t="s">
        <v>287</v>
      </c>
      <c r="F115" s="547" t="s">
        <v>7</v>
      </c>
      <c r="G115" s="31" t="s">
        <v>19</v>
      </c>
      <c r="H115" s="31" t="s">
        <v>652</v>
      </c>
      <c r="I115" s="31"/>
      <c r="J115" s="60"/>
      <c r="K115" s="60"/>
      <c r="L115" s="60"/>
      <c r="M115" s="60">
        <v>309</v>
      </c>
      <c r="N115" s="60"/>
      <c r="O115" s="60"/>
      <c r="P115" s="60"/>
      <c r="Q115" s="60"/>
      <c r="R115" s="570"/>
      <c r="S115" s="60"/>
      <c r="T115" s="143">
        <f>IF(NFI_Expiration=1,IF($A115&lt;VLOOKUP(I$5,NFI,5,0),1,0)*Data_NFI_t[[#This Row],[Hygiene Kit]],0)</f>
        <v>0</v>
      </c>
      <c r="U115" s="143">
        <f>IF(NFI_Expiration=1,IF($A115&lt;VLOOKUP(J$5,NFI,5,0),1,0)*Data_NFI_t[[#This Row],[NFI Core Kit]],0)</f>
        <v>0</v>
      </c>
      <c r="V115" s="124">
        <f>IF(NFI_Expiration=1,IF($A115&lt;VLOOKUP(K$5,NFI,5,0),1,0)*Data_NFI_t[[#This Row],[Sanitary Kit]],0)</f>
        <v>0</v>
      </c>
      <c r="W115" s="124">
        <f>IF(NFI_Expiration=1,IF($A115&lt;VLOOKUP(L$5,NFI,5,0),1,0)*Data_NFI_t[[#This Row],[Mosquito net]],0)</f>
        <v>0</v>
      </c>
      <c r="X115" s="124">
        <f>IF(NFI_Expiration=1,IF($A115&lt;VLOOKUP(M$5,NFI,5,0),1,0)*Data_NFI_t[[#This Row],[Tarpaulin]],0)</f>
        <v>0</v>
      </c>
      <c r="Y115" s="124">
        <f>IF(NFI_Expiration=1,IF($A115&lt;VLOOKUP(N$5,NFI,5,0),1,0)*Data_NFI_t[[#This Row],[Blanket]],0)</f>
        <v>0</v>
      </c>
      <c r="Z115" s="124">
        <f>IF(NFI_Expiration=1,IF($A115&lt;VLOOKUP(O$5,NFI,5,0),1,0)*Data_NFI_t[[#This Row],[Kitchen Set]],0)</f>
        <v>0</v>
      </c>
      <c r="AA115" s="124">
        <f>IF(NFI_Expiration=1,IF($A115&lt;VLOOKUP(P$5,NFI,5,0),1,0)*Data_NFI_t[[#This Row],[Complementary Kit]],0)</f>
        <v>0</v>
      </c>
      <c r="AB115" s="124">
        <f>IF(NFI_Expiration=1,IF($A115&lt;VLOOKUP(Q$5,NFI,5,0),1,0)*Data_NFI_t[[#This Row],[Plastic Bucket]],0)</f>
        <v>0</v>
      </c>
      <c r="AC115" s="124">
        <f>IF(NFI_Expiration=1,IF($A115&lt;VLOOKUP(R$5,NFI,5,0),1,0)*Data_NFI_t[[#This Row],[Jerry Can]],0)</f>
        <v>0</v>
      </c>
      <c r="AD115" s="143">
        <f>IF(NFI_Expiration=1,IF($A115&lt;VLOOKUP(S$5,NFI,5,0),1,0)*Data_NFI_t[[#This Row],[Plastic Mat]],0)*IF(Data_NFI_t[[#This Row],[Distribution Date]]&gt;"01-06-2015",1,2.5)</f>
        <v>0</v>
      </c>
      <c r="AE115" s="143" t="str">
        <f ca="1">IFERROR(OFFSET(Camp_List[P_Code],MATCH(Data_NFI_t[[#This Row],[Camp Name]],Camp_List[Camp Name],0)-1,0,1,1),"")</f>
        <v>MMR012CMP098</v>
      </c>
      <c r="AF115" s="572" t="str">
        <f ca="1">IFERROR(OFFSET(Camp_List[Status],MATCH(Data_NFI_t[[#This Row],[Camp Name]],Camp_List[Camp Name],0)-1,0,1,1),"")</f>
        <v>Open</v>
      </c>
    </row>
    <row r="116" spans="1:32" s="100" customFormat="1" ht="15" customHeight="1">
      <c r="A116" s="254">
        <f t="shared" si="1"/>
        <v>30.033333333333335</v>
      </c>
      <c r="B116" s="254">
        <f>YEAR(Data_NFI_t[[#This Row],[Distribution Date]])</f>
        <v>2013</v>
      </c>
      <c r="C116" s="585">
        <v>41621</v>
      </c>
      <c r="D116" s="547" t="s">
        <v>287</v>
      </c>
      <c r="E116" s="546" t="s">
        <v>287</v>
      </c>
      <c r="F116" s="547" t="s">
        <v>7</v>
      </c>
      <c r="G116" s="31" t="s">
        <v>14</v>
      </c>
      <c r="H116" s="31" t="s">
        <v>41</v>
      </c>
      <c r="I116" s="31"/>
      <c r="J116" s="60"/>
      <c r="K116" s="60"/>
      <c r="L116" s="60">
        <v>1966</v>
      </c>
      <c r="M116" s="60"/>
      <c r="N116" s="60">
        <v>1966</v>
      </c>
      <c r="O116" s="60">
        <v>983</v>
      </c>
      <c r="P116" s="60">
        <v>983</v>
      </c>
      <c r="Q116" s="60">
        <v>983</v>
      </c>
      <c r="R116" s="570"/>
      <c r="S116" s="60">
        <v>1966</v>
      </c>
      <c r="T116" s="143">
        <f>IF(NFI_Expiration=1,IF($A116&lt;VLOOKUP(I$5,NFI,5,0),1,0)*Data_NFI_t[[#This Row],[Hygiene Kit]],0)</f>
        <v>0</v>
      </c>
      <c r="U116" s="143">
        <f>IF(NFI_Expiration=1,IF($A116&lt;VLOOKUP(J$5,NFI,5,0),1,0)*Data_NFI_t[[#This Row],[NFI Core Kit]],0)</f>
        <v>0</v>
      </c>
      <c r="V116" s="124">
        <f>IF(NFI_Expiration=1,IF($A116&lt;VLOOKUP(K$5,NFI,5,0),1,0)*Data_NFI_t[[#This Row],[Sanitary Kit]],0)</f>
        <v>0</v>
      </c>
      <c r="W116" s="124">
        <f>IF(NFI_Expiration=1,IF($A116&lt;VLOOKUP(L$5,NFI,5,0),1,0)*Data_NFI_t[[#This Row],[Mosquito net]],0)</f>
        <v>0</v>
      </c>
      <c r="X116" s="124">
        <f>IF(NFI_Expiration=1,IF($A116&lt;VLOOKUP(M$5,NFI,5,0),1,0)*Data_NFI_t[[#This Row],[Tarpaulin]],0)</f>
        <v>0</v>
      </c>
      <c r="Y116" s="124">
        <f>IF(NFI_Expiration=1,IF($A116&lt;VLOOKUP(N$5,NFI,5,0),1,0)*Data_NFI_t[[#This Row],[Blanket]],0)</f>
        <v>0</v>
      </c>
      <c r="Z116" s="124">
        <f>IF(NFI_Expiration=1,IF($A116&lt;VLOOKUP(O$5,NFI,5,0),1,0)*Data_NFI_t[[#This Row],[Kitchen Set]],0)</f>
        <v>0</v>
      </c>
      <c r="AA116" s="124">
        <f>IF(NFI_Expiration=1,IF($A116&lt;VLOOKUP(P$5,NFI,5,0),1,0)*Data_NFI_t[[#This Row],[Complementary Kit]],0)</f>
        <v>0</v>
      </c>
      <c r="AB116" s="124">
        <f>IF(NFI_Expiration=1,IF($A116&lt;VLOOKUP(Q$5,NFI,5,0),1,0)*Data_NFI_t[[#This Row],[Plastic Bucket]],0)</f>
        <v>0</v>
      </c>
      <c r="AC116" s="124">
        <f>IF(NFI_Expiration=1,IF($A116&lt;VLOOKUP(R$5,NFI,5,0),1,0)*Data_NFI_t[[#This Row],[Jerry Can]],0)</f>
        <v>0</v>
      </c>
      <c r="AD116" s="143">
        <f>IF(NFI_Expiration=1,IF($A116&lt;VLOOKUP(S$5,NFI,5,0),1,0)*Data_NFI_t[[#This Row],[Plastic Mat]],0)*IF(Data_NFI_t[[#This Row],[Distribution Date]]&gt;"01-06-2015",1,2.5)</f>
        <v>0</v>
      </c>
      <c r="AE116" s="143" t="str">
        <f ca="1">IFERROR(OFFSET(Camp_List[P_Code],MATCH(Data_NFI_t[[#This Row],[Camp Name]],Camp_List[Camp Name],0)-1,0,1,1),"")</f>
        <v>MMR012CMP017</v>
      </c>
      <c r="AF116" s="572" t="str">
        <f ca="1">IFERROR(OFFSET(Camp_List[Status],MATCH(Data_NFI_t[[#This Row],[Camp Name]],Camp_List[Camp Name],0)-1,0,1,1),"")</f>
        <v>Open</v>
      </c>
    </row>
    <row r="117" spans="1:32" s="100" customFormat="1" ht="15" customHeight="1">
      <c r="A117" s="254">
        <f t="shared" si="1"/>
        <v>30.033333333333335</v>
      </c>
      <c r="B117" s="254">
        <f>YEAR(Data_NFI_t[[#This Row],[Distribution Date]])</f>
        <v>2013</v>
      </c>
      <c r="C117" s="585">
        <v>41621</v>
      </c>
      <c r="D117" s="547" t="s">
        <v>287</v>
      </c>
      <c r="E117" s="546" t="s">
        <v>287</v>
      </c>
      <c r="F117" s="547" t="s">
        <v>7</v>
      </c>
      <c r="G117" s="31" t="s">
        <v>14</v>
      </c>
      <c r="H117" s="31" t="s">
        <v>43</v>
      </c>
      <c r="I117" s="31"/>
      <c r="J117" s="60"/>
      <c r="K117" s="60"/>
      <c r="L117" s="60">
        <v>807</v>
      </c>
      <c r="M117" s="60">
        <v>203</v>
      </c>
      <c r="N117" s="60"/>
      <c r="O117" s="60"/>
      <c r="P117" s="60">
        <v>807</v>
      </c>
      <c r="Q117" s="60"/>
      <c r="R117" s="570"/>
      <c r="S117" s="60"/>
      <c r="T117" s="143">
        <f>IF(NFI_Expiration=1,IF($A117&lt;VLOOKUP(I$5,NFI,5,0),1,0)*Data_NFI_t[[#This Row],[Hygiene Kit]],0)</f>
        <v>0</v>
      </c>
      <c r="U117" s="143">
        <f>IF(NFI_Expiration=1,IF($A117&lt;VLOOKUP(J$5,NFI,5,0),1,0)*Data_NFI_t[[#This Row],[NFI Core Kit]],0)</f>
        <v>0</v>
      </c>
      <c r="V117" s="124">
        <f>IF(NFI_Expiration=1,IF($A117&lt;VLOOKUP(K$5,NFI,5,0),1,0)*Data_NFI_t[[#This Row],[Sanitary Kit]],0)</f>
        <v>0</v>
      </c>
      <c r="W117" s="124">
        <f>IF(NFI_Expiration=1,IF($A117&lt;VLOOKUP(L$5,NFI,5,0),1,0)*Data_NFI_t[[#This Row],[Mosquito net]],0)</f>
        <v>0</v>
      </c>
      <c r="X117" s="124">
        <f>IF(NFI_Expiration=1,IF($A117&lt;VLOOKUP(M$5,NFI,5,0),1,0)*Data_NFI_t[[#This Row],[Tarpaulin]],0)</f>
        <v>0</v>
      </c>
      <c r="Y117" s="124">
        <f>IF(NFI_Expiration=1,IF($A117&lt;VLOOKUP(N$5,NFI,5,0),1,0)*Data_NFI_t[[#This Row],[Blanket]],0)</f>
        <v>0</v>
      </c>
      <c r="Z117" s="124">
        <f>IF(NFI_Expiration=1,IF($A117&lt;VLOOKUP(O$5,NFI,5,0),1,0)*Data_NFI_t[[#This Row],[Kitchen Set]],0)</f>
        <v>0</v>
      </c>
      <c r="AA117" s="124">
        <f>IF(NFI_Expiration=1,IF($A117&lt;VLOOKUP(P$5,NFI,5,0),1,0)*Data_NFI_t[[#This Row],[Complementary Kit]],0)</f>
        <v>0</v>
      </c>
      <c r="AB117" s="124">
        <f>IF(NFI_Expiration=1,IF($A117&lt;VLOOKUP(Q$5,NFI,5,0),1,0)*Data_NFI_t[[#This Row],[Plastic Bucket]],0)</f>
        <v>0</v>
      </c>
      <c r="AC117" s="124">
        <f>IF(NFI_Expiration=1,IF($A117&lt;VLOOKUP(R$5,NFI,5,0),1,0)*Data_NFI_t[[#This Row],[Jerry Can]],0)</f>
        <v>0</v>
      </c>
      <c r="AD117" s="143">
        <f>IF(NFI_Expiration=1,IF($A117&lt;VLOOKUP(S$5,NFI,5,0),1,0)*Data_NFI_t[[#This Row],[Plastic Mat]],0)*IF(Data_NFI_t[[#This Row],[Distribution Date]]&gt;"01-06-2015",1,2.5)</f>
        <v>0</v>
      </c>
      <c r="AE117" s="143" t="str">
        <f ca="1">IFERROR(OFFSET(Camp_List[P_Code],MATCH(Data_NFI_t[[#This Row],[Camp Name]],Camp_List[Camp Name],0)-1,0,1,1),"")</f>
        <v>MMR012CMP019</v>
      </c>
      <c r="AF117" s="572" t="str">
        <f ca="1">IFERROR(OFFSET(Camp_List[Status],MATCH(Data_NFI_t[[#This Row],[Camp Name]],Camp_List[Camp Name],0)-1,0,1,1),"")</f>
        <v>Open</v>
      </c>
    </row>
    <row r="118" spans="1:32" s="100" customFormat="1" ht="15" customHeight="1">
      <c r="A118" s="254">
        <f t="shared" si="1"/>
        <v>30.066666666666666</v>
      </c>
      <c r="B118" s="254">
        <f>YEAR(Data_NFI_t[[#This Row],[Distribution Date]])</f>
        <v>2013</v>
      </c>
      <c r="C118" s="585">
        <v>41620</v>
      </c>
      <c r="D118" s="547" t="s">
        <v>730</v>
      </c>
      <c r="E118" s="546" t="s">
        <v>730</v>
      </c>
      <c r="F118" s="547" t="s">
        <v>7</v>
      </c>
      <c r="G118" s="31" t="s">
        <v>900</v>
      </c>
      <c r="H118" s="31" t="s">
        <v>38</v>
      </c>
      <c r="I118" s="31">
        <v>743</v>
      </c>
      <c r="J118" s="60"/>
      <c r="K118" s="60"/>
      <c r="L118" s="60">
        <v>743</v>
      </c>
      <c r="M118" s="60"/>
      <c r="N118" s="60">
        <v>743</v>
      </c>
      <c r="O118" s="60"/>
      <c r="P118" s="60"/>
      <c r="Q118" s="60">
        <v>743</v>
      </c>
      <c r="R118" s="570"/>
      <c r="S118" s="60"/>
      <c r="T118" s="143">
        <f>IF(NFI_Expiration=1,IF($A118&lt;VLOOKUP(I$5,NFI,5,0),1,0)*Data_NFI_t[[#This Row],[Hygiene Kit]],0)</f>
        <v>0</v>
      </c>
      <c r="U118" s="143">
        <f>IF(NFI_Expiration=1,IF($A118&lt;VLOOKUP(J$5,NFI,5,0),1,0)*Data_NFI_t[[#This Row],[NFI Core Kit]],0)</f>
        <v>0</v>
      </c>
      <c r="V118" s="124">
        <f>IF(NFI_Expiration=1,IF($A118&lt;VLOOKUP(K$5,NFI,5,0),1,0)*Data_NFI_t[[#This Row],[Sanitary Kit]],0)</f>
        <v>0</v>
      </c>
      <c r="W118" s="124">
        <f>IF(NFI_Expiration=1,IF($A118&lt;VLOOKUP(L$5,NFI,5,0),1,0)*Data_NFI_t[[#This Row],[Mosquito net]],0)</f>
        <v>0</v>
      </c>
      <c r="X118" s="124">
        <f>IF(NFI_Expiration=1,IF($A118&lt;VLOOKUP(M$5,NFI,5,0),1,0)*Data_NFI_t[[#This Row],[Tarpaulin]],0)</f>
        <v>0</v>
      </c>
      <c r="Y118" s="124">
        <f>IF(NFI_Expiration=1,IF($A118&lt;VLOOKUP(N$5,NFI,5,0),1,0)*Data_NFI_t[[#This Row],[Blanket]],0)</f>
        <v>0</v>
      </c>
      <c r="Z118" s="124">
        <f>IF(NFI_Expiration=1,IF($A118&lt;VLOOKUP(O$5,NFI,5,0),1,0)*Data_NFI_t[[#This Row],[Kitchen Set]],0)</f>
        <v>0</v>
      </c>
      <c r="AA118" s="124">
        <f>IF(NFI_Expiration=1,IF($A118&lt;VLOOKUP(P$5,NFI,5,0),1,0)*Data_NFI_t[[#This Row],[Complementary Kit]],0)</f>
        <v>0</v>
      </c>
      <c r="AB118" s="124">
        <f>IF(NFI_Expiration=1,IF($A118&lt;VLOOKUP(Q$5,NFI,5,0),1,0)*Data_NFI_t[[#This Row],[Plastic Bucket]],0)</f>
        <v>0</v>
      </c>
      <c r="AC118" s="124">
        <f>IF(NFI_Expiration=1,IF($A118&lt;VLOOKUP(R$5,NFI,5,0),1,0)*Data_NFI_t[[#This Row],[Jerry Can]],0)</f>
        <v>0</v>
      </c>
      <c r="AD118" s="143">
        <f>IF(NFI_Expiration=1,IF($A118&lt;VLOOKUP(S$5,NFI,5,0),1,0)*Data_NFI_t[[#This Row],[Plastic Mat]],0)*IF(Data_NFI_t[[#This Row],[Distribution Date]]&gt;"01-06-2015",1,2.5)</f>
        <v>0</v>
      </c>
      <c r="AE118" s="143" t="str">
        <f ca="1">IFERROR(OFFSET(Camp_List[P_Code],MATCH(Data_NFI_t[[#This Row],[Camp Name]],Camp_List[Camp Name],0)-1,0,1,1),"")</f>
        <v>MMR012CMP014</v>
      </c>
      <c r="AF118" s="572" t="str">
        <f ca="1">IFERROR(OFFSET(Camp_List[Status],MATCH(Data_NFI_t[[#This Row],[Camp Name]],Camp_List[Camp Name],0)-1,0,1,1),"")</f>
        <v>Open</v>
      </c>
    </row>
    <row r="119" spans="1:32" s="100" customFormat="1" ht="15" customHeight="1">
      <c r="A119" s="254">
        <f t="shared" si="1"/>
        <v>30.3</v>
      </c>
      <c r="B119" s="254">
        <f>YEAR(Data_NFI_t[[#This Row],[Distribution Date]])</f>
        <v>2013</v>
      </c>
      <c r="C119" s="585">
        <v>41613</v>
      </c>
      <c r="D119" s="547" t="s">
        <v>287</v>
      </c>
      <c r="E119" s="546" t="s">
        <v>287</v>
      </c>
      <c r="F119" s="547" t="s">
        <v>7</v>
      </c>
      <c r="G119" s="31" t="s">
        <v>19</v>
      </c>
      <c r="H119" s="31" t="s">
        <v>653</v>
      </c>
      <c r="I119" s="31"/>
      <c r="J119" s="60"/>
      <c r="K119" s="60"/>
      <c r="L119" s="60">
        <v>2400</v>
      </c>
      <c r="M119" s="60"/>
      <c r="N119" s="60">
        <v>2400</v>
      </c>
      <c r="O119" s="60">
        <v>1200</v>
      </c>
      <c r="P119" s="60"/>
      <c r="Q119" s="60">
        <v>1200</v>
      </c>
      <c r="R119" s="570"/>
      <c r="S119" s="60">
        <v>6000</v>
      </c>
      <c r="T119" s="143">
        <f>IF(NFI_Expiration=1,IF($A119&lt;VLOOKUP(I$5,NFI,5,0),1,0)*Data_NFI_t[[#This Row],[Hygiene Kit]],0)</f>
        <v>0</v>
      </c>
      <c r="U119" s="143">
        <f>IF(NFI_Expiration=1,IF($A119&lt;VLOOKUP(J$5,NFI,5,0),1,0)*Data_NFI_t[[#This Row],[NFI Core Kit]],0)</f>
        <v>0</v>
      </c>
      <c r="V119" s="124">
        <f>IF(NFI_Expiration=1,IF($A119&lt;VLOOKUP(K$5,NFI,5,0),1,0)*Data_NFI_t[[#This Row],[Sanitary Kit]],0)</f>
        <v>0</v>
      </c>
      <c r="W119" s="124">
        <f>IF(NFI_Expiration=1,IF($A119&lt;VLOOKUP(L$5,NFI,5,0),1,0)*Data_NFI_t[[#This Row],[Mosquito net]],0)</f>
        <v>0</v>
      </c>
      <c r="X119" s="124">
        <f>IF(NFI_Expiration=1,IF($A119&lt;VLOOKUP(M$5,NFI,5,0),1,0)*Data_NFI_t[[#This Row],[Tarpaulin]],0)</f>
        <v>0</v>
      </c>
      <c r="Y119" s="124">
        <f>IF(NFI_Expiration=1,IF($A119&lt;VLOOKUP(N$5,NFI,5,0),1,0)*Data_NFI_t[[#This Row],[Blanket]],0)</f>
        <v>0</v>
      </c>
      <c r="Z119" s="124">
        <f>IF(NFI_Expiration=1,IF($A119&lt;VLOOKUP(O$5,NFI,5,0),1,0)*Data_NFI_t[[#This Row],[Kitchen Set]],0)</f>
        <v>0</v>
      </c>
      <c r="AA119" s="124">
        <f>IF(NFI_Expiration=1,IF($A119&lt;VLOOKUP(P$5,NFI,5,0),1,0)*Data_NFI_t[[#This Row],[Complementary Kit]],0)</f>
        <v>0</v>
      </c>
      <c r="AB119" s="124">
        <f>IF(NFI_Expiration=1,IF($A119&lt;VLOOKUP(Q$5,NFI,5,0),1,0)*Data_NFI_t[[#This Row],[Plastic Bucket]],0)</f>
        <v>0</v>
      </c>
      <c r="AC119" s="124">
        <f>IF(NFI_Expiration=1,IF($A119&lt;VLOOKUP(R$5,NFI,5,0),1,0)*Data_NFI_t[[#This Row],[Jerry Can]],0)</f>
        <v>0</v>
      </c>
      <c r="AD119" s="143">
        <f>IF(NFI_Expiration=1,IF($A119&lt;VLOOKUP(S$5,NFI,5,0),1,0)*Data_NFI_t[[#This Row],[Plastic Mat]],0)*IF(Data_NFI_t[[#This Row],[Distribution Date]]&gt;"01-06-2015",1,2.5)</f>
        <v>0</v>
      </c>
      <c r="AE119" s="143" t="str">
        <f ca="1">IFERROR(OFFSET(Camp_List[P_Code],MATCH(Data_NFI_t[[#This Row],[Camp Name]],Camp_List[Camp Name],0)-1,0,1,1),"")</f>
        <v>MMR012CMP115</v>
      </c>
      <c r="AF119" s="572" t="str">
        <f ca="1">IFERROR(OFFSET(Camp_List[Status],MATCH(Data_NFI_t[[#This Row],[Camp Name]],Camp_List[Camp Name],0)-1,0,1,1),"")</f>
        <v>Open</v>
      </c>
    </row>
    <row r="120" spans="1:32" s="100" customFormat="1" ht="15" customHeight="1">
      <c r="A120" s="254">
        <f t="shared" si="1"/>
        <v>30.3</v>
      </c>
      <c r="B120" s="254">
        <f>YEAR(Data_NFI_t[[#This Row],[Distribution Date]])</f>
        <v>2013</v>
      </c>
      <c r="C120" s="585">
        <v>41613</v>
      </c>
      <c r="D120" s="547" t="s">
        <v>287</v>
      </c>
      <c r="E120" s="546" t="s">
        <v>287</v>
      </c>
      <c r="F120" s="547" t="s">
        <v>7</v>
      </c>
      <c r="G120" s="31" t="s">
        <v>19</v>
      </c>
      <c r="H120" s="31" t="s">
        <v>653</v>
      </c>
      <c r="I120" s="31"/>
      <c r="J120" s="60"/>
      <c r="K120" s="60"/>
      <c r="L120" s="60"/>
      <c r="M120" s="60">
        <v>33</v>
      </c>
      <c r="N120" s="60"/>
      <c r="O120" s="60"/>
      <c r="P120" s="60"/>
      <c r="Q120" s="60"/>
      <c r="R120" s="570"/>
      <c r="S120" s="60"/>
      <c r="T120" s="143">
        <f>IF(NFI_Expiration=1,IF($A120&lt;VLOOKUP(I$5,NFI,5,0),1,0)*Data_NFI_t[[#This Row],[Hygiene Kit]],0)</f>
        <v>0</v>
      </c>
      <c r="U120" s="143">
        <f>IF(NFI_Expiration=1,IF($A120&lt;VLOOKUP(J$5,NFI,5,0),1,0)*Data_NFI_t[[#This Row],[NFI Core Kit]],0)</f>
        <v>0</v>
      </c>
      <c r="V120" s="124">
        <f>IF(NFI_Expiration=1,IF($A120&lt;VLOOKUP(K$5,NFI,5,0),1,0)*Data_NFI_t[[#This Row],[Sanitary Kit]],0)</f>
        <v>0</v>
      </c>
      <c r="W120" s="124">
        <f>IF(NFI_Expiration=1,IF($A120&lt;VLOOKUP(L$5,NFI,5,0),1,0)*Data_NFI_t[[#This Row],[Mosquito net]],0)</f>
        <v>0</v>
      </c>
      <c r="X120" s="124">
        <f>IF(NFI_Expiration=1,IF($A120&lt;VLOOKUP(M$5,NFI,5,0),1,0)*Data_NFI_t[[#This Row],[Tarpaulin]],0)</f>
        <v>0</v>
      </c>
      <c r="Y120" s="124">
        <f>IF(NFI_Expiration=1,IF($A120&lt;VLOOKUP(N$5,NFI,5,0),1,0)*Data_NFI_t[[#This Row],[Blanket]],0)</f>
        <v>0</v>
      </c>
      <c r="Z120" s="124">
        <f>IF(NFI_Expiration=1,IF($A120&lt;VLOOKUP(O$5,NFI,5,0),1,0)*Data_NFI_t[[#This Row],[Kitchen Set]],0)</f>
        <v>0</v>
      </c>
      <c r="AA120" s="124">
        <f>IF(NFI_Expiration=1,IF($A120&lt;VLOOKUP(P$5,NFI,5,0),1,0)*Data_NFI_t[[#This Row],[Complementary Kit]],0)</f>
        <v>0</v>
      </c>
      <c r="AB120" s="124">
        <f>IF(NFI_Expiration=1,IF($A120&lt;VLOOKUP(Q$5,NFI,5,0),1,0)*Data_NFI_t[[#This Row],[Plastic Bucket]],0)</f>
        <v>0</v>
      </c>
      <c r="AC120" s="124">
        <f>IF(NFI_Expiration=1,IF($A120&lt;VLOOKUP(R$5,NFI,5,0),1,0)*Data_NFI_t[[#This Row],[Jerry Can]],0)</f>
        <v>0</v>
      </c>
      <c r="AD120" s="143">
        <f>IF(NFI_Expiration=1,IF($A120&lt;VLOOKUP(S$5,NFI,5,0),1,0)*Data_NFI_t[[#This Row],[Plastic Mat]],0)*IF(Data_NFI_t[[#This Row],[Distribution Date]]&gt;"01-06-2015",1,2.5)</f>
        <v>0</v>
      </c>
      <c r="AE120" s="143" t="str">
        <f ca="1">IFERROR(OFFSET(Camp_List[P_Code],MATCH(Data_NFI_t[[#This Row],[Camp Name]],Camp_List[Camp Name],0)-1,0,1,1),"")</f>
        <v>MMR012CMP115</v>
      </c>
      <c r="AF120" s="572" t="str">
        <f ca="1">IFERROR(OFFSET(Camp_List[Status],MATCH(Data_NFI_t[[#This Row],[Camp Name]],Camp_List[Camp Name],0)-1,0,1,1),"")</f>
        <v>Open</v>
      </c>
    </row>
    <row r="121" spans="1:32" s="100" customFormat="1" ht="15" customHeight="1">
      <c r="A121" s="254">
        <f t="shared" si="1"/>
        <v>30.833333333333332</v>
      </c>
      <c r="B121" s="254">
        <f>YEAR(Data_NFI_t[[#This Row],[Distribution Date]])</f>
        <v>2013</v>
      </c>
      <c r="C121" s="585">
        <v>41597</v>
      </c>
      <c r="D121" s="547" t="s">
        <v>642</v>
      </c>
      <c r="E121" s="546" t="s">
        <v>642</v>
      </c>
      <c r="F121" s="547" t="s">
        <v>7</v>
      </c>
      <c r="G121" s="31" t="s">
        <v>19</v>
      </c>
      <c r="H121" s="31" t="s">
        <v>654</v>
      </c>
      <c r="I121" s="31"/>
      <c r="J121" s="60">
        <v>731</v>
      </c>
      <c r="K121" s="60"/>
      <c r="L121" s="60"/>
      <c r="M121" s="60"/>
      <c r="N121" s="60"/>
      <c r="O121" s="60"/>
      <c r="P121" s="60"/>
      <c r="Q121" s="60"/>
      <c r="R121" s="570"/>
      <c r="S121" s="60"/>
      <c r="T121" s="143">
        <f>IF(NFI_Expiration=1,IF($A121&lt;VLOOKUP(I$5,NFI,5,0),1,0)*Data_NFI_t[[#This Row],[Hygiene Kit]],0)</f>
        <v>0</v>
      </c>
      <c r="U121" s="143">
        <f>IF(NFI_Expiration=1,IF($A121&lt;VLOOKUP(J$5,NFI,5,0),1,0)*Data_NFI_t[[#This Row],[NFI Core Kit]],0)</f>
        <v>0</v>
      </c>
      <c r="V121" s="124">
        <f>IF(NFI_Expiration=1,IF($A121&lt;VLOOKUP(K$5,NFI,5,0),1,0)*Data_NFI_t[[#This Row],[Sanitary Kit]],0)</f>
        <v>0</v>
      </c>
      <c r="W121" s="124">
        <f>IF(NFI_Expiration=1,IF($A121&lt;VLOOKUP(L$5,NFI,5,0),1,0)*Data_NFI_t[[#This Row],[Mosquito net]],0)</f>
        <v>0</v>
      </c>
      <c r="X121" s="124">
        <f>IF(NFI_Expiration=1,IF($A121&lt;VLOOKUP(M$5,NFI,5,0),1,0)*Data_NFI_t[[#This Row],[Tarpaulin]],0)</f>
        <v>0</v>
      </c>
      <c r="Y121" s="124">
        <f>IF(NFI_Expiration=1,IF($A121&lt;VLOOKUP(N$5,NFI,5,0),1,0)*Data_NFI_t[[#This Row],[Blanket]],0)</f>
        <v>0</v>
      </c>
      <c r="Z121" s="124">
        <f>IF(NFI_Expiration=1,IF($A121&lt;VLOOKUP(O$5,NFI,5,0),1,0)*Data_NFI_t[[#This Row],[Kitchen Set]],0)</f>
        <v>0</v>
      </c>
      <c r="AA121" s="124">
        <f>IF(NFI_Expiration=1,IF($A121&lt;VLOOKUP(P$5,NFI,5,0),1,0)*Data_NFI_t[[#This Row],[Complementary Kit]],0)</f>
        <v>0</v>
      </c>
      <c r="AB121" s="124">
        <f>IF(NFI_Expiration=1,IF($A121&lt;VLOOKUP(Q$5,NFI,5,0),1,0)*Data_NFI_t[[#This Row],[Plastic Bucket]],0)</f>
        <v>0</v>
      </c>
      <c r="AC121" s="124">
        <f>IF(NFI_Expiration=1,IF($A121&lt;VLOOKUP(R$5,NFI,5,0),1,0)*Data_NFI_t[[#This Row],[Jerry Can]],0)</f>
        <v>0</v>
      </c>
      <c r="AD121" s="143">
        <f>IF(NFI_Expiration=1,IF($A121&lt;VLOOKUP(S$5,NFI,5,0),1,0)*Data_NFI_t[[#This Row],[Plastic Mat]],0)*IF(Data_NFI_t[[#This Row],[Distribution Date]]&gt;"01-06-2015",1,2.5)</f>
        <v>0</v>
      </c>
      <c r="AE121" s="143" t="str">
        <f ca="1">IFERROR(OFFSET(Camp_List[P_Code],MATCH(Data_NFI_t[[#This Row],[Camp Name]],Camp_List[Camp Name],0)-1,0,1,1),"")</f>
        <v>MMR012CMP116</v>
      </c>
      <c r="AF121" s="572" t="str">
        <f ca="1">IFERROR(OFFSET(Camp_List[Status],MATCH(Data_NFI_t[[#This Row],[Camp Name]],Camp_List[Camp Name],0)-1,0,1,1),"")</f>
        <v>Open</v>
      </c>
    </row>
    <row r="122" spans="1:32" s="100" customFormat="1" ht="15" customHeight="1">
      <c r="A122" s="254">
        <f t="shared" si="1"/>
        <v>31</v>
      </c>
      <c r="B122" s="254">
        <f>YEAR(Data_NFI_t[[#This Row],[Distribution Date]])</f>
        <v>2013</v>
      </c>
      <c r="C122" s="585">
        <v>41592</v>
      </c>
      <c r="D122" s="547" t="s">
        <v>642</v>
      </c>
      <c r="E122" s="546" t="s">
        <v>642</v>
      </c>
      <c r="F122" s="547" t="s">
        <v>7</v>
      </c>
      <c r="G122" s="31" t="s">
        <v>19</v>
      </c>
      <c r="H122" s="31" t="s">
        <v>654</v>
      </c>
      <c r="I122" s="31"/>
      <c r="J122" s="60">
        <v>264</v>
      </c>
      <c r="K122" s="60"/>
      <c r="L122" s="60"/>
      <c r="M122" s="60"/>
      <c r="N122" s="60"/>
      <c r="O122" s="60"/>
      <c r="P122" s="60"/>
      <c r="Q122" s="60"/>
      <c r="R122" s="570"/>
      <c r="S122" s="60"/>
      <c r="T122" s="143">
        <f>IF(NFI_Expiration=1,IF($A122&lt;VLOOKUP(I$5,NFI,5,0),1,0)*Data_NFI_t[[#This Row],[Hygiene Kit]],0)</f>
        <v>0</v>
      </c>
      <c r="U122" s="143">
        <f>IF(NFI_Expiration=1,IF($A122&lt;VLOOKUP(J$5,NFI,5,0),1,0)*Data_NFI_t[[#This Row],[NFI Core Kit]],0)</f>
        <v>0</v>
      </c>
      <c r="V122" s="124">
        <f>IF(NFI_Expiration=1,IF($A122&lt;VLOOKUP(K$5,NFI,5,0),1,0)*Data_NFI_t[[#This Row],[Sanitary Kit]],0)</f>
        <v>0</v>
      </c>
      <c r="W122" s="124">
        <f>IF(NFI_Expiration=1,IF($A122&lt;VLOOKUP(L$5,NFI,5,0),1,0)*Data_NFI_t[[#This Row],[Mosquito net]],0)</f>
        <v>0</v>
      </c>
      <c r="X122" s="124">
        <f>IF(NFI_Expiration=1,IF($A122&lt;VLOOKUP(M$5,NFI,5,0),1,0)*Data_NFI_t[[#This Row],[Tarpaulin]],0)</f>
        <v>0</v>
      </c>
      <c r="Y122" s="124">
        <f>IF(NFI_Expiration=1,IF($A122&lt;VLOOKUP(N$5,NFI,5,0),1,0)*Data_NFI_t[[#This Row],[Blanket]],0)</f>
        <v>0</v>
      </c>
      <c r="Z122" s="124">
        <f>IF(NFI_Expiration=1,IF($A122&lt;VLOOKUP(O$5,NFI,5,0),1,0)*Data_NFI_t[[#This Row],[Kitchen Set]],0)</f>
        <v>0</v>
      </c>
      <c r="AA122" s="124">
        <f>IF(NFI_Expiration=1,IF($A122&lt;VLOOKUP(P$5,NFI,5,0),1,0)*Data_NFI_t[[#This Row],[Complementary Kit]],0)</f>
        <v>0</v>
      </c>
      <c r="AB122" s="124">
        <f>IF(NFI_Expiration=1,IF($A122&lt;VLOOKUP(Q$5,NFI,5,0),1,0)*Data_NFI_t[[#This Row],[Plastic Bucket]],0)</f>
        <v>0</v>
      </c>
      <c r="AC122" s="124">
        <f>IF(NFI_Expiration=1,IF($A122&lt;VLOOKUP(R$5,NFI,5,0),1,0)*Data_NFI_t[[#This Row],[Jerry Can]],0)</f>
        <v>0</v>
      </c>
      <c r="AD122" s="143">
        <f>IF(NFI_Expiration=1,IF($A122&lt;VLOOKUP(S$5,NFI,5,0),1,0)*Data_NFI_t[[#This Row],[Plastic Mat]],0)*IF(Data_NFI_t[[#This Row],[Distribution Date]]&gt;"01-06-2015",1,2.5)</f>
        <v>0</v>
      </c>
      <c r="AE122" s="143" t="str">
        <f ca="1">IFERROR(OFFSET(Camp_List[P_Code],MATCH(Data_NFI_t[[#This Row],[Camp Name]],Camp_List[Camp Name],0)-1,0,1,1),"")</f>
        <v>MMR012CMP116</v>
      </c>
      <c r="AF122" s="572" t="str">
        <f ca="1">IFERROR(OFFSET(Camp_List[Status],MATCH(Data_NFI_t[[#This Row],[Camp Name]],Camp_List[Camp Name],0)-1,0,1,1),"")</f>
        <v>Open</v>
      </c>
    </row>
    <row r="123" spans="1:32" s="100" customFormat="1" ht="15" customHeight="1">
      <c r="A123" s="254">
        <f t="shared" si="1"/>
        <v>31.033333333333335</v>
      </c>
      <c r="B123" s="254">
        <f>YEAR(Data_NFI_t[[#This Row],[Distribution Date]])</f>
        <v>2013</v>
      </c>
      <c r="C123" s="585">
        <v>41591</v>
      </c>
      <c r="D123" s="547" t="s">
        <v>287</v>
      </c>
      <c r="E123" s="546" t="s">
        <v>287</v>
      </c>
      <c r="F123" s="547" t="s">
        <v>7</v>
      </c>
      <c r="G123" s="31" t="s">
        <v>15</v>
      </c>
      <c r="H123" s="31" t="s">
        <v>44</v>
      </c>
      <c r="I123" s="31">
        <v>48</v>
      </c>
      <c r="J123" s="60"/>
      <c r="K123" s="60"/>
      <c r="L123" s="60"/>
      <c r="M123" s="60"/>
      <c r="N123" s="60"/>
      <c r="O123" s="60"/>
      <c r="P123" s="60"/>
      <c r="Q123" s="60"/>
      <c r="R123" s="570"/>
      <c r="S123" s="60"/>
      <c r="T123" s="143">
        <f>IF(NFI_Expiration=1,IF($A123&lt;VLOOKUP(I$5,NFI,5,0),1,0)*Data_NFI_t[[#This Row],[Hygiene Kit]],0)</f>
        <v>0</v>
      </c>
      <c r="U123" s="143">
        <f>IF(NFI_Expiration=1,IF($A123&lt;VLOOKUP(J$5,NFI,5,0),1,0)*Data_NFI_t[[#This Row],[NFI Core Kit]],0)</f>
        <v>0</v>
      </c>
      <c r="V123" s="124">
        <f>IF(NFI_Expiration=1,IF($A123&lt;VLOOKUP(K$5,NFI,5,0),1,0)*Data_NFI_t[[#This Row],[Sanitary Kit]],0)</f>
        <v>0</v>
      </c>
      <c r="W123" s="124">
        <f>IF(NFI_Expiration=1,IF($A123&lt;VLOOKUP(L$5,NFI,5,0),1,0)*Data_NFI_t[[#This Row],[Mosquito net]],0)</f>
        <v>0</v>
      </c>
      <c r="X123" s="124">
        <f>IF(NFI_Expiration=1,IF($A123&lt;VLOOKUP(M$5,NFI,5,0),1,0)*Data_NFI_t[[#This Row],[Tarpaulin]],0)</f>
        <v>0</v>
      </c>
      <c r="Y123" s="124">
        <f>IF(NFI_Expiration=1,IF($A123&lt;VLOOKUP(N$5,NFI,5,0),1,0)*Data_NFI_t[[#This Row],[Blanket]],0)</f>
        <v>0</v>
      </c>
      <c r="Z123" s="124">
        <f>IF(NFI_Expiration=1,IF($A123&lt;VLOOKUP(O$5,NFI,5,0),1,0)*Data_NFI_t[[#This Row],[Kitchen Set]],0)</f>
        <v>0</v>
      </c>
      <c r="AA123" s="124">
        <f>IF(NFI_Expiration=1,IF($A123&lt;VLOOKUP(P$5,NFI,5,0),1,0)*Data_NFI_t[[#This Row],[Complementary Kit]],0)</f>
        <v>0</v>
      </c>
      <c r="AB123" s="124">
        <f>IF(NFI_Expiration=1,IF($A123&lt;VLOOKUP(Q$5,NFI,5,0),1,0)*Data_NFI_t[[#This Row],[Plastic Bucket]],0)</f>
        <v>0</v>
      </c>
      <c r="AC123" s="124">
        <f>IF(NFI_Expiration=1,IF($A123&lt;VLOOKUP(R$5,NFI,5,0),1,0)*Data_NFI_t[[#This Row],[Jerry Can]],0)</f>
        <v>0</v>
      </c>
      <c r="AD123" s="143">
        <f>IF(NFI_Expiration=1,IF($A123&lt;VLOOKUP(S$5,NFI,5,0),1,0)*Data_NFI_t[[#This Row],[Plastic Mat]],0)*IF(Data_NFI_t[[#This Row],[Distribution Date]]&gt;"01-06-2015",1,2.5)</f>
        <v>0</v>
      </c>
      <c r="AE123" s="143" t="str">
        <f ca="1">IFERROR(OFFSET(Camp_List[P_Code],MATCH(Data_NFI_t[[#This Row],[Camp Name]],Camp_List[Camp Name],0)-1,0,1,1),"")</f>
        <v>MMR012CMP020</v>
      </c>
      <c r="AF123" s="572" t="str">
        <f ca="1">IFERROR(OFFSET(Camp_List[Status],MATCH(Data_NFI_t[[#This Row],[Camp Name]],Camp_List[Camp Name],0)-1,0,1,1),"")</f>
        <v>Returned in Individual Housing</v>
      </c>
    </row>
    <row r="124" spans="1:32" s="100" customFormat="1" ht="15" customHeight="1">
      <c r="A124" s="254">
        <f t="shared" si="1"/>
        <v>31.033333333333335</v>
      </c>
      <c r="B124" s="254">
        <f>YEAR(Data_NFI_t[[#This Row],[Distribution Date]])</f>
        <v>2013</v>
      </c>
      <c r="C124" s="585">
        <v>41591</v>
      </c>
      <c r="D124" s="547" t="s">
        <v>287</v>
      </c>
      <c r="E124" s="546" t="s">
        <v>287</v>
      </c>
      <c r="F124" s="547" t="s">
        <v>7</v>
      </c>
      <c r="G124" s="31" t="s">
        <v>15</v>
      </c>
      <c r="H124" s="31" t="s">
        <v>47</v>
      </c>
      <c r="I124" s="31">
        <v>187</v>
      </c>
      <c r="J124" s="60"/>
      <c r="K124" s="60"/>
      <c r="L124" s="60"/>
      <c r="M124" s="60"/>
      <c r="N124" s="60"/>
      <c r="O124" s="60"/>
      <c r="P124" s="60"/>
      <c r="Q124" s="60"/>
      <c r="R124" s="570"/>
      <c r="S124" s="60"/>
      <c r="T124" s="143">
        <f>IF(NFI_Expiration=1,IF($A124&lt;VLOOKUP(I$5,NFI,5,0),1,0)*Data_NFI_t[[#This Row],[Hygiene Kit]],0)</f>
        <v>0</v>
      </c>
      <c r="U124" s="143">
        <f>IF(NFI_Expiration=1,IF($A124&lt;VLOOKUP(J$5,NFI,5,0),1,0)*Data_NFI_t[[#This Row],[NFI Core Kit]],0)</f>
        <v>0</v>
      </c>
      <c r="V124" s="124">
        <f>IF(NFI_Expiration=1,IF($A124&lt;VLOOKUP(K$5,NFI,5,0),1,0)*Data_NFI_t[[#This Row],[Sanitary Kit]],0)</f>
        <v>0</v>
      </c>
      <c r="W124" s="124">
        <f>IF(NFI_Expiration=1,IF($A124&lt;VLOOKUP(L$5,NFI,5,0),1,0)*Data_NFI_t[[#This Row],[Mosquito net]],0)</f>
        <v>0</v>
      </c>
      <c r="X124" s="124">
        <f>IF(NFI_Expiration=1,IF($A124&lt;VLOOKUP(M$5,NFI,5,0),1,0)*Data_NFI_t[[#This Row],[Tarpaulin]],0)</f>
        <v>0</v>
      </c>
      <c r="Y124" s="124">
        <f>IF(NFI_Expiration=1,IF($A124&lt;VLOOKUP(N$5,NFI,5,0),1,0)*Data_NFI_t[[#This Row],[Blanket]],0)</f>
        <v>0</v>
      </c>
      <c r="Z124" s="124">
        <f>IF(NFI_Expiration=1,IF($A124&lt;VLOOKUP(O$5,NFI,5,0),1,0)*Data_NFI_t[[#This Row],[Kitchen Set]],0)</f>
        <v>0</v>
      </c>
      <c r="AA124" s="124">
        <f>IF(NFI_Expiration=1,IF($A124&lt;VLOOKUP(P$5,NFI,5,0),1,0)*Data_NFI_t[[#This Row],[Complementary Kit]],0)</f>
        <v>0</v>
      </c>
      <c r="AB124" s="124">
        <f>IF(NFI_Expiration=1,IF($A124&lt;VLOOKUP(Q$5,NFI,5,0),1,0)*Data_NFI_t[[#This Row],[Plastic Bucket]],0)</f>
        <v>0</v>
      </c>
      <c r="AC124" s="124">
        <f>IF(NFI_Expiration=1,IF($A124&lt;VLOOKUP(R$5,NFI,5,0),1,0)*Data_NFI_t[[#This Row],[Jerry Can]],0)</f>
        <v>0</v>
      </c>
      <c r="AD124" s="143">
        <f>IF(NFI_Expiration=1,IF($A124&lt;VLOOKUP(S$5,NFI,5,0),1,0)*Data_NFI_t[[#This Row],[Plastic Mat]],0)*IF(Data_NFI_t[[#This Row],[Distribution Date]]&gt;"01-06-2015",1,2.5)</f>
        <v>0</v>
      </c>
      <c r="AE124" s="143" t="str">
        <f ca="1">IFERROR(OFFSET(Camp_List[P_Code],MATCH(Data_NFI_t[[#This Row],[Camp Name]],Camp_List[Camp Name],0)-1,0,1,1),"")</f>
        <v>MMR012CMP023</v>
      </c>
      <c r="AF124" s="572" t="str">
        <f ca="1">IFERROR(OFFSET(Camp_List[Status],MATCH(Data_NFI_t[[#This Row],[Camp Name]],Camp_List[Camp Name],0)-1,0,1,1),"")</f>
        <v>Open</v>
      </c>
    </row>
    <row r="125" spans="1:32" s="100" customFormat="1" ht="15" customHeight="1">
      <c r="A125" s="254">
        <f t="shared" si="1"/>
        <v>31.033333333333335</v>
      </c>
      <c r="B125" s="254">
        <f>YEAR(Data_NFI_t[[#This Row],[Distribution Date]])</f>
        <v>2013</v>
      </c>
      <c r="C125" s="585">
        <v>41591</v>
      </c>
      <c r="D125" s="547" t="s">
        <v>642</v>
      </c>
      <c r="E125" s="546" t="s">
        <v>642</v>
      </c>
      <c r="F125" s="547" t="s">
        <v>7</v>
      </c>
      <c r="G125" s="31" t="s">
        <v>19</v>
      </c>
      <c r="H125" s="31" t="s">
        <v>654</v>
      </c>
      <c r="I125" s="31"/>
      <c r="J125" s="60">
        <v>200</v>
      </c>
      <c r="K125" s="60"/>
      <c r="L125" s="60"/>
      <c r="M125" s="60"/>
      <c r="N125" s="60"/>
      <c r="O125" s="60"/>
      <c r="P125" s="60"/>
      <c r="Q125" s="60"/>
      <c r="R125" s="570"/>
      <c r="S125" s="60"/>
      <c r="T125" s="143">
        <f>IF(NFI_Expiration=1,IF($A125&lt;VLOOKUP(I$5,NFI,5,0),1,0)*Data_NFI_t[[#This Row],[Hygiene Kit]],0)</f>
        <v>0</v>
      </c>
      <c r="U125" s="143">
        <f>IF(NFI_Expiration=1,IF($A125&lt;VLOOKUP(J$5,NFI,5,0),1,0)*Data_NFI_t[[#This Row],[NFI Core Kit]],0)</f>
        <v>0</v>
      </c>
      <c r="V125" s="124">
        <f>IF(NFI_Expiration=1,IF($A125&lt;VLOOKUP(K$5,NFI,5,0),1,0)*Data_NFI_t[[#This Row],[Sanitary Kit]],0)</f>
        <v>0</v>
      </c>
      <c r="W125" s="124">
        <f>IF(NFI_Expiration=1,IF($A125&lt;VLOOKUP(L$5,NFI,5,0),1,0)*Data_NFI_t[[#This Row],[Mosquito net]],0)</f>
        <v>0</v>
      </c>
      <c r="X125" s="124">
        <f>IF(NFI_Expiration=1,IF($A125&lt;VLOOKUP(M$5,NFI,5,0),1,0)*Data_NFI_t[[#This Row],[Tarpaulin]],0)</f>
        <v>0</v>
      </c>
      <c r="Y125" s="124">
        <f>IF(NFI_Expiration=1,IF($A125&lt;VLOOKUP(N$5,NFI,5,0),1,0)*Data_NFI_t[[#This Row],[Blanket]],0)</f>
        <v>0</v>
      </c>
      <c r="Z125" s="124">
        <f>IF(NFI_Expiration=1,IF($A125&lt;VLOOKUP(O$5,NFI,5,0),1,0)*Data_NFI_t[[#This Row],[Kitchen Set]],0)</f>
        <v>0</v>
      </c>
      <c r="AA125" s="124">
        <f>IF(NFI_Expiration=1,IF($A125&lt;VLOOKUP(P$5,NFI,5,0),1,0)*Data_NFI_t[[#This Row],[Complementary Kit]],0)</f>
        <v>0</v>
      </c>
      <c r="AB125" s="124">
        <f>IF(NFI_Expiration=1,IF($A125&lt;VLOOKUP(Q$5,NFI,5,0),1,0)*Data_NFI_t[[#This Row],[Plastic Bucket]],0)</f>
        <v>0</v>
      </c>
      <c r="AC125" s="124">
        <f>IF(NFI_Expiration=1,IF($A125&lt;VLOOKUP(R$5,NFI,5,0),1,0)*Data_NFI_t[[#This Row],[Jerry Can]],0)</f>
        <v>0</v>
      </c>
      <c r="AD125" s="143">
        <f>IF(NFI_Expiration=1,IF($A125&lt;VLOOKUP(S$5,NFI,5,0),1,0)*Data_NFI_t[[#This Row],[Plastic Mat]],0)*IF(Data_NFI_t[[#This Row],[Distribution Date]]&gt;"01-06-2015",1,2.5)</f>
        <v>0</v>
      </c>
      <c r="AE125" s="143" t="str">
        <f ca="1">IFERROR(OFFSET(Camp_List[P_Code],MATCH(Data_NFI_t[[#This Row],[Camp Name]],Camp_List[Camp Name],0)-1,0,1,1),"")</f>
        <v>MMR012CMP116</v>
      </c>
      <c r="AF125" s="572" t="str">
        <f ca="1">IFERROR(OFFSET(Camp_List[Status],MATCH(Data_NFI_t[[#This Row],[Camp Name]],Camp_List[Camp Name],0)-1,0,1,1),"")</f>
        <v>Open</v>
      </c>
    </row>
    <row r="126" spans="1:32" s="100" customFormat="1" ht="15" customHeight="1">
      <c r="A126" s="254">
        <f t="shared" si="1"/>
        <v>31.033333333333335</v>
      </c>
      <c r="B126" s="254">
        <f>YEAR(Data_NFI_t[[#This Row],[Distribution Date]])</f>
        <v>2013</v>
      </c>
      <c r="C126" s="585">
        <v>41591</v>
      </c>
      <c r="D126" s="547" t="s">
        <v>642</v>
      </c>
      <c r="E126" s="546" t="s">
        <v>642</v>
      </c>
      <c r="F126" s="547" t="s">
        <v>7</v>
      </c>
      <c r="G126" s="31" t="s">
        <v>19</v>
      </c>
      <c r="H126" s="31" t="s">
        <v>654</v>
      </c>
      <c r="I126" s="31"/>
      <c r="J126" s="60">
        <v>103</v>
      </c>
      <c r="K126" s="60"/>
      <c r="L126" s="60"/>
      <c r="M126" s="60"/>
      <c r="N126" s="60"/>
      <c r="O126" s="60"/>
      <c r="P126" s="60"/>
      <c r="Q126" s="60"/>
      <c r="R126" s="570"/>
      <c r="S126" s="60"/>
      <c r="T126" s="143">
        <f>IF(NFI_Expiration=1,IF($A126&lt;VLOOKUP(I$5,NFI,5,0),1,0)*Data_NFI_t[[#This Row],[Hygiene Kit]],0)</f>
        <v>0</v>
      </c>
      <c r="U126" s="143">
        <f>IF(NFI_Expiration=1,IF($A126&lt;VLOOKUP(J$5,NFI,5,0),1,0)*Data_NFI_t[[#This Row],[NFI Core Kit]],0)</f>
        <v>0</v>
      </c>
      <c r="V126" s="124">
        <f>IF(NFI_Expiration=1,IF($A126&lt;VLOOKUP(K$5,NFI,5,0),1,0)*Data_NFI_t[[#This Row],[Sanitary Kit]],0)</f>
        <v>0</v>
      </c>
      <c r="W126" s="124">
        <f>IF(NFI_Expiration=1,IF($A126&lt;VLOOKUP(L$5,NFI,5,0),1,0)*Data_NFI_t[[#This Row],[Mosquito net]],0)</f>
        <v>0</v>
      </c>
      <c r="X126" s="124">
        <f>IF(NFI_Expiration=1,IF($A126&lt;VLOOKUP(M$5,NFI,5,0),1,0)*Data_NFI_t[[#This Row],[Tarpaulin]],0)</f>
        <v>0</v>
      </c>
      <c r="Y126" s="124">
        <f>IF(NFI_Expiration=1,IF($A126&lt;VLOOKUP(N$5,NFI,5,0),1,0)*Data_NFI_t[[#This Row],[Blanket]],0)</f>
        <v>0</v>
      </c>
      <c r="Z126" s="124">
        <f>IF(NFI_Expiration=1,IF($A126&lt;VLOOKUP(O$5,NFI,5,0),1,0)*Data_NFI_t[[#This Row],[Kitchen Set]],0)</f>
        <v>0</v>
      </c>
      <c r="AA126" s="124">
        <f>IF(NFI_Expiration=1,IF($A126&lt;VLOOKUP(P$5,NFI,5,0),1,0)*Data_NFI_t[[#This Row],[Complementary Kit]],0)</f>
        <v>0</v>
      </c>
      <c r="AB126" s="124">
        <f>IF(NFI_Expiration=1,IF($A126&lt;VLOOKUP(Q$5,NFI,5,0),1,0)*Data_NFI_t[[#This Row],[Plastic Bucket]],0)</f>
        <v>0</v>
      </c>
      <c r="AC126" s="124">
        <f>IF(NFI_Expiration=1,IF($A126&lt;VLOOKUP(R$5,NFI,5,0),1,0)*Data_NFI_t[[#This Row],[Jerry Can]],0)</f>
        <v>0</v>
      </c>
      <c r="AD126" s="143">
        <f>IF(NFI_Expiration=1,IF($A126&lt;VLOOKUP(S$5,NFI,5,0),1,0)*Data_NFI_t[[#This Row],[Plastic Mat]],0)*IF(Data_NFI_t[[#This Row],[Distribution Date]]&gt;"01-06-2015",1,2.5)</f>
        <v>0</v>
      </c>
      <c r="AE126" s="143" t="str">
        <f ca="1">IFERROR(OFFSET(Camp_List[P_Code],MATCH(Data_NFI_t[[#This Row],[Camp Name]],Camp_List[Camp Name],0)-1,0,1,1),"")</f>
        <v>MMR012CMP116</v>
      </c>
      <c r="AF126" s="572" t="str">
        <f ca="1">IFERROR(OFFSET(Camp_List[Status],MATCH(Data_NFI_t[[#This Row],[Camp Name]],Camp_List[Camp Name],0)-1,0,1,1),"")</f>
        <v>Open</v>
      </c>
    </row>
    <row r="127" spans="1:32" s="100" customFormat="1" ht="15" customHeight="1">
      <c r="A127" s="254">
        <f t="shared" si="1"/>
        <v>31.033333333333335</v>
      </c>
      <c r="B127" s="254">
        <f>YEAR(Data_NFI_t[[#This Row],[Distribution Date]])</f>
        <v>2013</v>
      </c>
      <c r="C127" s="585">
        <v>41591</v>
      </c>
      <c r="D127" s="547" t="s">
        <v>287</v>
      </c>
      <c r="E127" s="546" t="s">
        <v>287</v>
      </c>
      <c r="F127" s="547" t="s">
        <v>7</v>
      </c>
      <c r="G127" s="31" t="s">
        <v>15</v>
      </c>
      <c r="H127" s="31" t="s">
        <v>53</v>
      </c>
      <c r="I127" s="31">
        <v>340</v>
      </c>
      <c r="J127" s="60"/>
      <c r="K127" s="60"/>
      <c r="L127" s="60"/>
      <c r="M127" s="60"/>
      <c r="N127" s="60"/>
      <c r="O127" s="60"/>
      <c r="P127" s="60"/>
      <c r="Q127" s="60"/>
      <c r="R127" s="570"/>
      <c r="S127" s="60"/>
      <c r="T127" s="143">
        <f>IF(NFI_Expiration=1,IF($A127&lt;VLOOKUP(I$5,NFI,5,0),1,0)*Data_NFI_t[[#This Row],[Hygiene Kit]],0)</f>
        <v>0</v>
      </c>
      <c r="U127" s="143">
        <f>IF(NFI_Expiration=1,IF($A127&lt;VLOOKUP(J$5,NFI,5,0),1,0)*Data_NFI_t[[#This Row],[NFI Core Kit]],0)</f>
        <v>0</v>
      </c>
      <c r="V127" s="124">
        <f>IF(NFI_Expiration=1,IF($A127&lt;VLOOKUP(K$5,NFI,5,0),1,0)*Data_NFI_t[[#This Row],[Sanitary Kit]],0)</f>
        <v>0</v>
      </c>
      <c r="W127" s="124">
        <f>IF(NFI_Expiration=1,IF($A127&lt;VLOOKUP(L$5,NFI,5,0),1,0)*Data_NFI_t[[#This Row],[Mosquito net]],0)</f>
        <v>0</v>
      </c>
      <c r="X127" s="124">
        <f>IF(NFI_Expiration=1,IF($A127&lt;VLOOKUP(M$5,NFI,5,0),1,0)*Data_NFI_t[[#This Row],[Tarpaulin]],0)</f>
        <v>0</v>
      </c>
      <c r="Y127" s="124">
        <f>IF(NFI_Expiration=1,IF($A127&lt;VLOOKUP(N$5,NFI,5,0),1,0)*Data_NFI_t[[#This Row],[Blanket]],0)</f>
        <v>0</v>
      </c>
      <c r="Z127" s="124">
        <f>IF(NFI_Expiration=1,IF($A127&lt;VLOOKUP(O$5,NFI,5,0),1,0)*Data_NFI_t[[#This Row],[Kitchen Set]],0)</f>
        <v>0</v>
      </c>
      <c r="AA127" s="124">
        <f>IF(NFI_Expiration=1,IF($A127&lt;VLOOKUP(P$5,NFI,5,0),1,0)*Data_NFI_t[[#This Row],[Complementary Kit]],0)</f>
        <v>0</v>
      </c>
      <c r="AB127" s="124">
        <f>IF(NFI_Expiration=1,IF($A127&lt;VLOOKUP(Q$5,NFI,5,0),1,0)*Data_NFI_t[[#This Row],[Plastic Bucket]],0)</f>
        <v>0</v>
      </c>
      <c r="AC127" s="124">
        <f>IF(NFI_Expiration=1,IF($A127&lt;VLOOKUP(R$5,NFI,5,0),1,0)*Data_NFI_t[[#This Row],[Jerry Can]],0)</f>
        <v>0</v>
      </c>
      <c r="AD127" s="143">
        <f>IF(NFI_Expiration=1,IF($A127&lt;VLOOKUP(S$5,NFI,5,0),1,0)*Data_NFI_t[[#This Row],[Plastic Mat]],0)*IF(Data_NFI_t[[#This Row],[Distribution Date]]&gt;"01-06-2015",1,2.5)</f>
        <v>0</v>
      </c>
      <c r="AE127" s="143" t="str">
        <f ca="1">IFERROR(OFFSET(Camp_List[P_Code],MATCH(Data_NFI_t[[#This Row],[Camp Name]],Camp_List[Camp Name],0)-1,0,1,1),"")</f>
        <v>MMR012CMP029</v>
      </c>
      <c r="AF127" s="572" t="str">
        <f ca="1">IFERROR(OFFSET(Camp_List[Status],MATCH(Data_NFI_t[[#This Row],[Camp Name]],Camp_List[Camp Name],0)-1,0,1,1),"")</f>
        <v>Returned in Individual Housing</v>
      </c>
    </row>
    <row r="128" spans="1:32" s="100" customFormat="1" ht="15" customHeight="1">
      <c r="A128" s="254">
        <f t="shared" si="1"/>
        <v>31.066666666666666</v>
      </c>
      <c r="B128" s="254">
        <f>YEAR(Data_NFI_t[[#This Row],[Distribution Date]])</f>
        <v>2013</v>
      </c>
      <c r="C128" s="585">
        <v>41590</v>
      </c>
      <c r="D128" s="547" t="s">
        <v>287</v>
      </c>
      <c r="E128" s="546" t="s">
        <v>287</v>
      </c>
      <c r="F128" s="547" t="s">
        <v>7</v>
      </c>
      <c r="G128" s="31" t="s">
        <v>15</v>
      </c>
      <c r="H128" s="31" t="s">
        <v>49</v>
      </c>
      <c r="I128" s="31">
        <v>36</v>
      </c>
      <c r="J128" s="60"/>
      <c r="K128" s="60"/>
      <c r="L128" s="60">
        <v>28</v>
      </c>
      <c r="M128" s="60">
        <v>83</v>
      </c>
      <c r="N128" s="60">
        <v>28</v>
      </c>
      <c r="O128" s="60">
        <v>14</v>
      </c>
      <c r="P128" s="60">
        <v>14</v>
      </c>
      <c r="Q128" s="60">
        <v>14</v>
      </c>
      <c r="R128" s="570"/>
      <c r="S128" s="60">
        <v>28</v>
      </c>
      <c r="T128" s="143">
        <f>IF(NFI_Expiration=1,IF($A128&lt;VLOOKUP(I$5,NFI,5,0),1,0)*Data_NFI_t[[#This Row],[Hygiene Kit]],0)</f>
        <v>0</v>
      </c>
      <c r="U128" s="143">
        <f>IF(NFI_Expiration=1,IF($A128&lt;VLOOKUP(J$5,NFI,5,0),1,0)*Data_NFI_t[[#This Row],[NFI Core Kit]],0)</f>
        <v>0</v>
      </c>
      <c r="V128" s="124">
        <f>IF(NFI_Expiration=1,IF($A128&lt;VLOOKUP(K$5,NFI,5,0),1,0)*Data_NFI_t[[#This Row],[Sanitary Kit]],0)</f>
        <v>0</v>
      </c>
      <c r="W128" s="124">
        <f>IF(NFI_Expiration=1,IF($A128&lt;VLOOKUP(L$5,NFI,5,0),1,0)*Data_NFI_t[[#This Row],[Mosquito net]],0)</f>
        <v>0</v>
      </c>
      <c r="X128" s="124">
        <f>IF(NFI_Expiration=1,IF($A128&lt;VLOOKUP(M$5,NFI,5,0),1,0)*Data_NFI_t[[#This Row],[Tarpaulin]],0)</f>
        <v>0</v>
      </c>
      <c r="Y128" s="124">
        <f>IF(NFI_Expiration=1,IF($A128&lt;VLOOKUP(N$5,NFI,5,0),1,0)*Data_NFI_t[[#This Row],[Blanket]],0)</f>
        <v>0</v>
      </c>
      <c r="Z128" s="124">
        <f>IF(NFI_Expiration=1,IF($A128&lt;VLOOKUP(O$5,NFI,5,0),1,0)*Data_NFI_t[[#This Row],[Kitchen Set]],0)</f>
        <v>0</v>
      </c>
      <c r="AA128" s="124">
        <f>IF(NFI_Expiration=1,IF($A128&lt;VLOOKUP(P$5,NFI,5,0),1,0)*Data_NFI_t[[#This Row],[Complementary Kit]],0)</f>
        <v>0</v>
      </c>
      <c r="AB128" s="124">
        <f>IF(NFI_Expiration=1,IF($A128&lt;VLOOKUP(Q$5,NFI,5,0),1,0)*Data_NFI_t[[#This Row],[Plastic Bucket]],0)</f>
        <v>0</v>
      </c>
      <c r="AC128" s="124">
        <f>IF(NFI_Expiration=1,IF($A128&lt;VLOOKUP(R$5,NFI,5,0),1,0)*Data_NFI_t[[#This Row],[Jerry Can]],0)</f>
        <v>0</v>
      </c>
      <c r="AD128" s="143">
        <f>IF(NFI_Expiration=1,IF($A128&lt;VLOOKUP(S$5,NFI,5,0),1,0)*Data_NFI_t[[#This Row],[Plastic Mat]],0)*IF(Data_NFI_t[[#This Row],[Distribution Date]]&gt;"01-06-2015",1,2.5)</f>
        <v>0</v>
      </c>
      <c r="AE128" s="143" t="str">
        <f ca="1">IFERROR(OFFSET(Camp_List[P_Code],MATCH(Data_NFI_t[[#This Row],[Camp Name]],Camp_List[Camp Name],0)-1,0,1,1),"")</f>
        <v>MMR012CMP025</v>
      </c>
      <c r="AF128" s="572" t="str">
        <f ca="1">IFERROR(OFFSET(Camp_List[Status],MATCH(Data_NFI_t[[#This Row],[Camp Name]],Camp_List[Camp Name],0)-1,0,1,1),"")</f>
        <v>Returned in Individual Housing</v>
      </c>
    </row>
    <row r="129" spans="1:32" s="100" customFormat="1" ht="15" customHeight="1">
      <c r="A129" s="254">
        <f t="shared" si="1"/>
        <v>31.066666666666666</v>
      </c>
      <c r="B129" s="254">
        <f>YEAR(Data_NFI_t[[#This Row],[Distribution Date]])</f>
        <v>2013</v>
      </c>
      <c r="C129" s="585">
        <v>41590</v>
      </c>
      <c r="D129" s="547" t="s">
        <v>642</v>
      </c>
      <c r="E129" s="546" t="s">
        <v>642</v>
      </c>
      <c r="F129" s="547" t="s">
        <v>7</v>
      </c>
      <c r="G129" s="31" t="s">
        <v>19</v>
      </c>
      <c r="H129" s="31" t="s">
        <v>61</v>
      </c>
      <c r="I129" s="31"/>
      <c r="J129" s="60">
        <v>395</v>
      </c>
      <c r="K129" s="60"/>
      <c r="L129" s="60"/>
      <c r="M129" s="60"/>
      <c r="N129" s="60"/>
      <c r="O129" s="60"/>
      <c r="P129" s="60"/>
      <c r="Q129" s="60"/>
      <c r="R129" s="570"/>
      <c r="S129" s="60"/>
      <c r="T129" s="143">
        <f>IF(NFI_Expiration=1,IF($A129&lt;VLOOKUP(I$5,NFI,5,0),1,0)*Data_NFI_t[[#This Row],[Hygiene Kit]],0)</f>
        <v>0</v>
      </c>
      <c r="U129" s="143">
        <f>IF(NFI_Expiration=1,IF($A129&lt;VLOOKUP(J$5,NFI,5,0),1,0)*Data_NFI_t[[#This Row],[NFI Core Kit]],0)</f>
        <v>0</v>
      </c>
      <c r="V129" s="124">
        <f>IF(NFI_Expiration=1,IF($A129&lt;VLOOKUP(K$5,NFI,5,0),1,0)*Data_NFI_t[[#This Row],[Sanitary Kit]],0)</f>
        <v>0</v>
      </c>
      <c r="W129" s="124">
        <f>IF(NFI_Expiration=1,IF($A129&lt;VLOOKUP(L$5,NFI,5,0),1,0)*Data_NFI_t[[#This Row],[Mosquito net]],0)</f>
        <v>0</v>
      </c>
      <c r="X129" s="124">
        <f>IF(NFI_Expiration=1,IF($A129&lt;VLOOKUP(M$5,NFI,5,0),1,0)*Data_NFI_t[[#This Row],[Tarpaulin]],0)</f>
        <v>0</v>
      </c>
      <c r="Y129" s="124">
        <f>IF(NFI_Expiration=1,IF($A129&lt;VLOOKUP(N$5,NFI,5,0),1,0)*Data_NFI_t[[#This Row],[Blanket]],0)</f>
        <v>0</v>
      </c>
      <c r="Z129" s="124">
        <f>IF(NFI_Expiration=1,IF($A129&lt;VLOOKUP(O$5,NFI,5,0),1,0)*Data_NFI_t[[#This Row],[Kitchen Set]],0)</f>
        <v>0</v>
      </c>
      <c r="AA129" s="124">
        <f>IF(NFI_Expiration=1,IF($A129&lt;VLOOKUP(P$5,NFI,5,0),1,0)*Data_NFI_t[[#This Row],[Complementary Kit]],0)</f>
        <v>0</v>
      </c>
      <c r="AB129" s="124">
        <f>IF(NFI_Expiration=1,IF($A129&lt;VLOOKUP(Q$5,NFI,5,0),1,0)*Data_NFI_t[[#This Row],[Plastic Bucket]],0)</f>
        <v>0</v>
      </c>
      <c r="AC129" s="124">
        <f>IF(NFI_Expiration=1,IF($A129&lt;VLOOKUP(R$5,NFI,5,0),1,0)*Data_NFI_t[[#This Row],[Jerry Can]],0)</f>
        <v>0</v>
      </c>
      <c r="AD129" s="143">
        <f>IF(NFI_Expiration=1,IF($A129&lt;VLOOKUP(S$5,NFI,5,0),1,0)*Data_NFI_t[[#This Row],[Plastic Mat]],0)*IF(Data_NFI_t[[#This Row],[Distribution Date]]&gt;"01-06-2015",1,2.5)</f>
        <v>0</v>
      </c>
      <c r="AE129" s="143" t="str">
        <f ca="1">IFERROR(OFFSET(Camp_List[P_Code],MATCH(Data_NFI_t[[#This Row],[Camp Name]],Camp_List[Camp Name],0)-1,0,1,1),"")</f>
        <v>MMR012CMP039</v>
      </c>
      <c r="AF129" s="572" t="str">
        <f ca="1">IFERROR(OFFSET(Camp_List[Status],MATCH(Data_NFI_t[[#This Row],[Camp Name]],Camp_List[Camp Name],0)-1,0,1,1),"")</f>
        <v>Open</v>
      </c>
    </row>
    <row r="130" spans="1:32" s="100" customFormat="1" ht="15" customHeight="1">
      <c r="A130" s="254">
        <f t="shared" si="1"/>
        <v>31.066666666666666</v>
      </c>
      <c r="B130" s="254">
        <f>YEAR(Data_NFI_t[[#This Row],[Distribution Date]])</f>
        <v>2013</v>
      </c>
      <c r="C130" s="585">
        <v>41590</v>
      </c>
      <c r="D130" s="547" t="s">
        <v>287</v>
      </c>
      <c r="E130" s="546" t="s">
        <v>287</v>
      </c>
      <c r="F130" s="547" t="s">
        <v>7</v>
      </c>
      <c r="G130" s="31" t="s">
        <v>15</v>
      </c>
      <c r="H130" s="31" t="s">
        <v>54</v>
      </c>
      <c r="I130" s="31">
        <v>220</v>
      </c>
      <c r="J130" s="60"/>
      <c r="K130" s="60"/>
      <c r="L130" s="60"/>
      <c r="M130" s="60"/>
      <c r="N130" s="60"/>
      <c r="O130" s="60"/>
      <c r="P130" s="60"/>
      <c r="Q130" s="60"/>
      <c r="R130" s="570"/>
      <c r="S130" s="60"/>
      <c r="T130" s="143">
        <f>IF(NFI_Expiration=1,IF($A130&lt;VLOOKUP(I$5,NFI,5,0),1,0)*Data_NFI_t[[#This Row],[Hygiene Kit]],0)</f>
        <v>0</v>
      </c>
      <c r="U130" s="143">
        <f>IF(NFI_Expiration=1,IF($A130&lt;VLOOKUP(J$5,NFI,5,0),1,0)*Data_NFI_t[[#This Row],[NFI Core Kit]],0)</f>
        <v>0</v>
      </c>
      <c r="V130" s="124">
        <f>IF(NFI_Expiration=1,IF($A130&lt;VLOOKUP(K$5,NFI,5,0),1,0)*Data_NFI_t[[#This Row],[Sanitary Kit]],0)</f>
        <v>0</v>
      </c>
      <c r="W130" s="124">
        <f>IF(NFI_Expiration=1,IF($A130&lt;VLOOKUP(L$5,NFI,5,0),1,0)*Data_NFI_t[[#This Row],[Mosquito net]],0)</f>
        <v>0</v>
      </c>
      <c r="X130" s="124">
        <f>IF(NFI_Expiration=1,IF($A130&lt;VLOOKUP(M$5,NFI,5,0),1,0)*Data_NFI_t[[#This Row],[Tarpaulin]],0)</f>
        <v>0</v>
      </c>
      <c r="Y130" s="124">
        <f>IF(NFI_Expiration=1,IF($A130&lt;VLOOKUP(N$5,NFI,5,0),1,0)*Data_NFI_t[[#This Row],[Blanket]],0)</f>
        <v>0</v>
      </c>
      <c r="Z130" s="124">
        <f>IF(NFI_Expiration=1,IF($A130&lt;VLOOKUP(O$5,NFI,5,0),1,0)*Data_NFI_t[[#This Row],[Kitchen Set]],0)</f>
        <v>0</v>
      </c>
      <c r="AA130" s="124">
        <f>IF(NFI_Expiration=1,IF($A130&lt;VLOOKUP(P$5,NFI,5,0),1,0)*Data_NFI_t[[#This Row],[Complementary Kit]],0)</f>
        <v>0</v>
      </c>
      <c r="AB130" s="124">
        <f>IF(NFI_Expiration=1,IF($A130&lt;VLOOKUP(Q$5,NFI,5,0),1,0)*Data_NFI_t[[#This Row],[Plastic Bucket]],0)</f>
        <v>0</v>
      </c>
      <c r="AC130" s="124">
        <f>IF(NFI_Expiration=1,IF($A130&lt;VLOOKUP(R$5,NFI,5,0),1,0)*Data_NFI_t[[#This Row],[Jerry Can]],0)</f>
        <v>0</v>
      </c>
      <c r="AD130" s="143">
        <f>IF(NFI_Expiration=1,IF($A130&lt;VLOOKUP(S$5,NFI,5,0),1,0)*Data_NFI_t[[#This Row],[Plastic Mat]],0)*IF(Data_NFI_t[[#This Row],[Distribution Date]]&gt;"01-06-2015",1,2.5)</f>
        <v>0</v>
      </c>
      <c r="AE130" s="143" t="str">
        <f ca="1">IFERROR(OFFSET(Camp_List[P_Code],MATCH(Data_NFI_t[[#This Row],[Camp Name]],Camp_List[Camp Name],0)-1,0,1,1),"")</f>
        <v>MMR012CMP030</v>
      </c>
      <c r="AF130" s="572" t="str">
        <f ca="1">IFERROR(OFFSET(Camp_List[Status],MATCH(Data_NFI_t[[#This Row],[Camp Name]],Camp_List[Camp Name],0)-1,0,1,1),"")</f>
        <v>Relocated in Individual Housing</v>
      </c>
    </row>
    <row r="131" spans="1:32" s="100" customFormat="1" ht="15" customHeight="1">
      <c r="A131" s="254">
        <f t="shared" si="1"/>
        <v>31.066666666666666</v>
      </c>
      <c r="B131" s="254">
        <f>YEAR(Data_NFI_t[[#This Row],[Distribution Date]])</f>
        <v>2013</v>
      </c>
      <c r="C131" s="585">
        <v>41590</v>
      </c>
      <c r="D131" s="547" t="s">
        <v>287</v>
      </c>
      <c r="E131" s="546" t="s">
        <v>287</v>
      </c>
      <c r="F131" s="547" t="s">
        <v>7</v>
      </c>
      <c r="G131" s="31" t="s">
        <v>15</v>
      </c>
      <c r="H131" s="31" t="s">
        <v>45</v>
      </c>
      <c r="I131" s="31">
        <v>250</v>
      </c>
      <c r="J131" s="60"/>
      <c r="K131" s="60"/>
      <c r="L131" s="60"/>
      <c r="M131" s="60"/>
      <c r="N131" s="60"/>
      <c r="O131" s="60"/>
      <c r="P131" s="60"/>
      <c r="Q131" s="60"/>
      <c r="R131" s="570"/>
      <c r="S131" s="60"/>
      <c r="T131" s="143">
        <f>IF(NFI_Expiration=1,IF($A131&lt;VLOOKUP(I$5,NFI,5,0),1,0)*Data_NFI_t[[#This Row],[Hygiene Kit]],0)</f>
        <v>0</v>
      </c>
      <c r="U131" s="143">
        <f>IF(NFI_Expiration=1,IF($A131&lt;VLOOKUP(J$5,NFI,5,0),1,0)*Data_NFI_t[[#This Row],[NFI Core Kit]],0)</f>
        <v>0</v>
      </c>
      <c r="V131" s="124">
        <f>IF(NFI_Expiration=1,IF($A131&lt;VLOOKUP(K$5,NFI,5,0),1,0)*Data_NFI_t[[#This Row],[Sanitary Kit]],0)</f>
        <v>0</v>
      </c>
      <c r="W131" s="124">
        <f>IF(NFI_Expiration=1,IF($A131&lt;VLOOKUP(L$5,NFI,5,0),1,0)*Data_NFI_t[[#This Row],[Mosquito net]],0)</f>
        <v>0</v>
      </c>
      <c r="X131" s="124">
        <f>IF(NFI_Expiration=1,IF($A131&lt;VLOOKUP(M$5,NFI,5,0),1,0)*Data_NFI_t[[#This Row],[Tarpaulin]],0)</f>
        <v>0</v>
      </c>
      <c r="Y131" s="124">
        <f>IF(NFI_Expiration=1,IF($A131&lt;VLOOKUP(N$5,NFI,5,0),1,0)*Data_NFI_t[[#This Row],[Blanket]],0)</f>
        <v>0</v>
      </c>
      <c r="Z131" s="124">
        <f>IF(NFI_Expiration=1,IF($A131&lt;VLOOKUP(O$5,NFI,5,0),1,0)*Data_NFI_t[[#This Row],[Kitchen Set]],0)</f>
        <v>0</v>
      </c>
      <c r="AA131" s="124">
        <f>IF(NFI_Expiration=1,IF($A131&lt;VLOOKUP(P$5,NFI,5,0),1,0)*Data_NFI_t[[#This Row],[Complementary Kit]],0)</f>
        <v>0</v>
      </c>
      <c r="AB131" s="124">
        <f>IF(NFI_Expiration=1,IF($A131&lt;VLOOKUP(Q$5,NFI,5,0),1,0)*Data_NFI_t[[#This Row],[Plastic Bucket]],0)</f>
        <v>0</v>
      </c>
      <c r="AC131" s="124">
        <f>IF(NFI_Expiration=1,IF($A131&lt;VLOOKUP(R$5,NFI,5,0),1,0)*Data_NFI_t[[#This Row],[Jerry Can]],0)</f>
        <v>0</v>
      </c>
      <c r="AD131" s="143">
        <f>IF(NFI_Expiration=1,IF($A131&lt;VLOOKUP(S$5,NFI,5,0),1,0)*Data_NFI_t[[#This Row],[Plastic Mat]],0)*IF(Data_NFI_t[[#This Row],[Distribution Date]]&gt;"01-06-2015",1,2.5)</f>
        <v>0</v>
      </c>
      <c r="AE131" s="143" t="str">
        <f ca="1">IFERROR(OFFSET(Camp_List[P_Code],MATCH(Data_NFI_t[[#This Row],[Camp Name]],Camp_List[Camp Name],0)-1,0,1,1),"")</f>
        <v>MMR012CMP021</v>
      </c>
      <c r="AF131" s="572" t="str">
        <f ca="1">IFERROR(OFFSET(Camp_List[Status],MATCH(Data_NFI_t[[#This Row],[Camp Name]],Camp_List[Camp Name],0)-1,0,1,1),"")</f>
        <v>Returned in Individual Housing</v>
      </c>
    </row>
    <row r="132" spans="1:32" s="100" customFormat="1" ht="15" customHeight="1">
      <c r="A132" s="254">
        <f t="shared" si="1"/>
        <v>31.466666666666665</v>
      </c>
      <c r="B132" s="254">
        <f>YEAR(Data_NFI_t[[#This Row],[Distribution Date]])</f>
        <v>2013</v>
      </c>
      <c r="C132" s="585">
        <v>41578</v>
      </c>
      <c r="D132" s="547" t="s">
        <v>287</v>
      </c>
      <c r="E132" s="546" t="s">
        <v>287</v>
      </c>
      <c r="F132" s="547" t="s">
        <v>7</v>
      </c>
      <c r="G132" s="31" t="s">
        <v>15</v>
      </c>
      <c r="H132" s="31" t="s">
        <v>51</v>
      </c>
      <c r="I132" s="31">
        <v>280</v>
      </c>
      <c r="J132" s="60"/>
      <c r="K132" s="60"/>
      <c r="L132" s="60"/>
      <c r="M132" s="60"/>
      <c r="N132" s="60"/>
      <c r="O132" s="60"/>
      <c r="P132" s="60"/>
      <c r="Q132" s="60"/>
      <c r="R132" s="570"/>
      <c r="S132" s="60"/>
      <c r="T132" s="143">
        <f>IF(NFI_Expiration=1,IF($A132&lt;VLOOKUP(I$5,NFI,5,0),1,0)*Data_NFI_t[[#This Row],[Hygiene Kit]],0)</f>
        <v>0</v>
      </c>
      <c r="U132" s="143">
        <f>IF(NFI_Expiration=1,IF($A132&lt;VLOOKUP(J$5,NFI,5,0),1,0)*Data_NFI_t[[#This Row],[NFI Core Kit]],0)</f>
        <v>0</v>
      </c>
      <c r="V132" s="124">
        <f>IF(NFI_Expiration=1,IF($A132&lt;VLOOKUP(K$5,NFI,5,0),1,0)*Data_NFI_t[[#This Row],[Sanitary Kit]],0)</f>
        <v>0</v>
      </c>
      <c r="W132" s="124">
        <f>IF(NFI_Expiration=1,IF($A132&lt;VLOOKUP(L$5,NFI,5,0),1,0)*Data_NFI_t[[#This Row],[Mosquito net]],0)</f>
        <v>0</v>
      </c>
      <c r="X132" s="124">
        <f>IF(NFI_Expiration=1,IF($A132&lt;VLOOKUP(M$5,NFI,5,0),1,0)*Data_NFI_t[[#This Row],[Tarpaulin]],0)</f>
        <v>0</v>
      </c>
      <c r="Y132" s="124">
        <f>IF(NFI_Expiration=1,IF($A132&lt;VLOOKUP(N$5,NFI,5,0),1,0)*Data_NFI_t[[#This Row],[Blanket]],0)</f>
        <v>0</v>
      </c>
      <c r="Z132" s="124">
        <f>IF(NFI_Expiration=1,IF($A132&lt;VLOOKUP(O$5,NFI,5,0),1,0)*Data_NFI_t[[#This Row],[Kitchen Set]],0)</f>
        <v>0</v>
      </c>
      <c r="AA132" s="124">
        <f>IF(NFI_Expiration=1,IF($A132&lt;VLOOKUP(P$5,NFI,5,0),1,0)*Data_NFI_t[[#This Row],[Complementary Kit]],0)</f>
        <v>0</v>
      </c>
      <c r="AB132" s="124">
        <f>IF(NFI_Expiration=1,IF($A132&lt;VLOOKUP(Q$5,NFI,5,0),1,0)*Data_NFI_t[[#This Row],[Plastic Bucket]],0)</f>
        <v>0</v>
      </c>
      <c r="AC132" s="124">
        <f>IF(NFI_Expiration=1,IF($A132&lt;VLOOKUP(R$5,NFI,5,0),1,0)*Data_NFI_t[[#This Row],[Jerry Can]],0)</f>
        <v>0</v>
      </c>
      <c r="AD132" s="143">
        <f>IF(NFI_Expiration=1,IF($A132&lt;VLOOKUP(S$5,NFI,5,0),1,0)*Data_NFI_t[[#This Row],[Plastic Mat]],0)*IF(Data_NFI_t[[#This Row],[Distribution Date]]&gt;"01-06-2015",1,2.5)</f>
        <v>0</v>
      </c>
      <c r="AE132" s="143" t="str">
        <f ca="1">IFERROR(OFFSET(Camp_List[P_Code],MATCH(Data_NFI_t[[#This Row],[Camp Name]],Camp_List[Camp Name],0)-1,0,1,1),"")</f>
        <v>MMR012CMP027</v>
      </c>
      <c r="AF132" s="572" t="str">
        <f ca="1">IFERROR(OFFSET(Camp_List[Status],MATCH(Data_NFI_t[[#This Row],[Camp Name]],Camp_List[Camp Name],0)-1,0,1,1),"")</f>
        <v>Returned in Individual Housing</v>
      </c>
    </row>
    <row r="133" spans="1:32" s="100" customFormat="1" ht="15" customHeight="1">
      <c r="A133" s="254">
        <f t="shared" si="1"/>
        <v>31.466666666666665</v>
      </c>
      <c r="B133" s="254">
        <f>YEAR(Data_NFI_t[[#This Row],[Distribution Date]])</f>
        <v>2013</v>
      </c>
      <c r="C133" s="585">
        <v>41578</v>
      </c>
      <c r="D133" s="547" t="s">
        <v>287</v>
      </c>
      <c r="E133" s="546" t="s">
        <v>287</v>
      </c>
      <c r="F133" s="547" t="s">
        <v>7</v>
      </c>
      <c r="G133" s="31" t="s">
        <v>15</v>
      </c>
      <c r="H133" s="31" t="s">
        <v>50</v>
      </c>
      <c r="I133" s="31">
        <v>380</v>
      </c>
      <c r="J133" s="60"/>
      <c r="K133" s="60"/>
      <c r="L133" s="60"/>
      <c r="M133" s="60"/>
      <c r="N133" s="60"/>
      <c r="O133" s="60"/>
      <c r="P133" s="60"/>
      <c r="Q133" s="60"/>
      <c r="R133" s="570"/>
      <c r="S133" s="60"/>
      <c r="T133" s="143">
        <f>IF(NFI_Expiration=1,IF($A133&lt;VLOOKUP(I$5,NFI,5,0),1,0)*Data_NFI_t[[#This Row],[Hygiene Kit]],0)</f>
        <v>0</v>
      </c>
      <c r="U133" s="143">
        <f>IF(NFI_Expiration=1,IF($A133&lt;VLOOKUP(J$5,NFI,5,0),1,0)*Data_NFI_t[[#This Row],[NFI Core Kit]],0)</f>
        <v>0</v>
      </c>
      <c r="V133" s="124">
        <f>IF(NFI_Expiration=1,IF($A133&lt;VLOOKUP(K$5,NFI,5,0),1,0)*Data_NFI_t[[#This Row],[Sanitary Kit]],0)</f>
        <v>0</v>
      </c>
      <c r="W133" s="124">
        <f>IF(NFI_Expiration=1,IF($A133&lt;VLOOKUP(L$5,NFI,5,0),1,0)*Data_NFI_t[[#This Row],[Mosquito net]],0)</f>
        <v>0</v>
      </c>
      <c r="X133" s="124">
        <f>IF(NFI_Expiration=1,IF($A133&lt;VLOOKUP(M$5,NFI,5,0),1,0)*Data_NFI_t[[#This Row],[Tarpaulin]],0)</f>
        <v>0</v>
      </c>
      <c r="Y133" s="124">
        <f>IF(NFI_Expiration=1,IF($A133&lt;VLOOKUP(N$5,NFI,5,0),1,0)*Data_NFI_t[[#This Row],[Blanket]],0)</f>
        <v>0</v>
      </c>
      <c r="Z133" s="124">
        <f>IF(NFI_Expiration=1,IF($A133&lt;VLOOKUP(O$5,NFI,5,0),1,0)*Data_NFI_t[[#This Row],[Kitchen Set]],0)</f>
        <v>0</v>
      </c>
      <c r="AA133" s="124">
        <f>IF(NFI_Expiration=1,IF($A133&lt;VLOOKUP(P$5,NFI,5,0),1,0)*Data_NFI_t[[#This Row],[Complementary Kit]],0)</f>
        <v>0</v>
      </c>
      <c r="AB133" s="124">
        <f>IF(NFI_Expiration=1,IF($A133&lt;VLOOKUP(Q$5,NFI,5,0),1,0)*Data_NFI_t[[#This Row],[Plastic Bucket]],0)</f>
        <v>0</v>
      </c>
      <c r="AC133" s="124">
        <f>IF(NFI_Expiration=1,IF($A133&lt;VLOOKUP(R$5,NFI,5,0),1,0)*Data_NFI_t[[#This Row],[Jerry Can]],0)</f>
        <v>0</v>
      </c>
      <c r="AD133" s="143">
        <f>IF(NFI_Expiration=1,IF($A133&lt;VLOOKUP(S$5,NFI,5,0),1,0)*Data_NFI_t[[#This Row],[Plastic Mat]],0)*IF(Data_NFI_t[[#This Row],[Distribution Date]]&gt;"01-06-2015",1,2.5)</f>
        <v>0</v>
      </c>
      <c r="AE133" s="143" t="str">
        <f ca="1">IFERROR(OFFSET(Camp_List[P_Code],MATCH(Data_NFI_t[[#This Row],[Camp Name]],Camp_List[Camp Name],0)-1,0,1,1),"")</f>
        <v>MMR012CMP026</v>
      </c>
      <c r="AF133" s="572" t="str">
        <f ca="1">IFERROR(OFFSET(Camp_List[Status],MATCH(Data_NFI_t[[#This Row],[Camp Name]],Camp_List[Camp Name],0)-1,0,1,1),"")</f>
        <v>Returned in Individual Housing</v>
      </c>
    </row>
    <row r="134" spans="1:32" s="100" customFormat="1" ht="15" customHeight="1">
      <c r="A134" s="254">
        <f t="shared" si="1"/>
        <v>31.566666666666666</v>
      </c>
      <c r="B134" s="254">
        <f>YEAR(Data_NFI_t[[#This Row],[Distribution Date]])</f>
        <v>2013</v>
      </c>
      <c r="C134" s="585">
        <v>41575</v>
      </c>
      <c r="D134" s="547" t="s">
        <v>287</v>
      </c>
      <c r="E134" s="546" t="s">
        <v>287</v>
      </c>
      <c r="F134" s="547" t="s">
        <v>7</v>
      </c>
      <c r="G134" s="31" t="s">
        <v>15</v>
      </c>
      <c r="H134" s="31" t="s">
        <v>48</v>
      </c>
      <c r="I134" s="31">
        <v>230</v>
      </c>
      <c r="J134" s="60"/>
      <c r="K134" s="60"/>
      <c r="L134" s="60"/>
      <c r="M134" s="60"/>
      <c r="N134" s="60"/>
      <c r="O134" s="60"/>
      <c r="P134" s="60"/>
      <c r="Q134" s="60"/>
      <c r="R134" s="570"/>
      <c r="S134" s="60"/>
      <c r="T134" s="143">
        <f>IF(NFI_Expiration=1,IF($A134&lt;VLOOKUP(I$5,NFI,5,0),1,0)*Data_NFI_t[[#This Row],[Hygiene Kit]],0)</f>
        <v>0</v>
      </c>
      <c r="U134" s="143">
        <f>IF(NFI_Expiration=1,IF($A134&lt;VLOOKUP(J$5,NFI,5,0),1,0)*Data_NFI_t[[#This Row],[NFI Core Kit]],0)</f>
        <v>0</v>
      </c>
      <c r="V134" s="124">
        <f>IF(NFI_Expiration=1,IF($A134&lt;VLOOKUP(K$5,NFI,5,0),1,0)*Data_NFI_t[[#This Row],[Sanitary Kit]],0)</f>
        <v>0</v>
      </c>
      <c r="W134" s="124">
        <f>IF(NFI_Expiration=1,IF($A134&lt;VLOOKUP(L$5,NFI,5,0),1,0)*Data_NFI_t[[#This Row],[Mosquito net]],0)</f>
        <v>0</v>
      </c>
      <c r="X134" s="124">
        <f>IF(NFI_Expiration=1,IF($A134&lt;VLOOKUP(M$5,NFI,5,0),1,0)*Data_NFI_t[[#This Row],[Tarpaulin]],0)</f>
        <v>0</v>
      </c>
      <c r="Y134" s="124">
        <f>IF(NFI_Expiration=1,IF($A134&lt;VLOOKUP(N$5,NFI,5,0),1,0)*Data_NFI_t[[#This Row],[Blanket]],0)</f>
        <v>0</v>
      </c>
      <c r="Z134" s="124">
        <f>IF(NFI_Expiration=1,IF($A134&lt;VLOOKUP(O$5,NFI,5,0),1,0)*Data_NFI_t[[#This Row],[Kitchen Set]],0)</f>
        <v>0</v>
      </c>
      <c r="AA134" s="124">
        <f>IF(NFI_Expiration=1,IF($A134&lt;VLOOKUP(P$5,NFI,5,0),1,0)*Data_NFI_t[[#This Row],[Complementary Kit]],0)</f>
        <v>0</v>
      </c>
      <c r="AB134" s="124">
        <f>IF(NFI_Expiration=1,IF($A134&lt;VLOOKUP(Q$5,NFI,5,0),1,0)*Data_NFI_t[[#This Row],[Plastic Bucket]],0)</f>
        <v>0</v>
      </c>
      <c r="AC134" s="124">
        <f>IF(NFI_Expiration=1,IF($A134&lt;VLOOKUP(R$5,NFI,5,0),1,0)*Data_NFI_t[[#This Row],[Jerry Can]],0)</f>
        <v>0</v>
      </c>
      <c r="AD134" s="143">
        <f>IF(NFI_Expiration=1,IF($A134&lt;VLOOKUP(S$5,NFI,5,0),1,0)*Data_NFI_t[[#This Row],[Plastic Mat]],0)*IF(Data_NFI_t[[#This Row],[Distribution Date]]&gt;"01-06-2015",1,2.5)</f>
        <v>0</v>
      </c>
      <c r="AE134" s="143" t="str">
        <f ca="1">IFERROR(OFFSET(Camp_List[P_Code],MATCH(Data_NFI_t[[#This Row],[Camp Name]],Camp_List[Camp Name],0)-1,0,1,1),"")</f>
        <v>MMR012CMP024</v>
      </c>
      <c r="AF134" s="572" t="str">
        <f ca="1">IFERROR(OFFSET(Camp_List[Status],MATCH(Data_NFI_t[[#This Row],[Camp Name]],Camp_List[Camp Name],0)-1,0,1,1),"")</f>
        <v>Returned in Individual Housing</v>
      </c>
    </row>
    <row r="135" spans="1:32" s="100" customFormat="1" ht="15" customHeight="1">
      <c r="A135" s="254">
        <f t="shared" si="1"/>
        <v>31.566666666666666</v>
      </c>
      <c r="B135" s="254">
        <f>YEAR(Data_NFI_t[[#This Row],[Distribution Date]])</f>
        <v>2013</v>
      </c>
      <c r="C135" s="585">
        <v>41575</v>
      </c>
      <c r="D135" s="547" t="s">
        <v>287</v>
      </c>
      <c r="E135" s="546" t="s">
        <v>287</v>
      </c>
      <c r="F135" s="547" t="s">
        <v>7</v>
      </c>
      <c r="G135" s="31" t="s">
        <v>15</v>
      </c>
      <c r="H135" s="31" t="s">
        <v>52</v>
      </c>
      <c r="I135" s="31">
        <v>300</v>
      </c>
      <c r="J135" s="60"/>
      <c r="K135" s="60"/>
      <c r="L135" s="60"/>
      <c r="M135" s="60"/>
      <c r="N135" s="60"/>
      <c r="O135" s="60"/>
      <c r="P135" s="60"/>
      <c r="Q135" s="60"/>
      <c r="R135" s="570"/>
      <c r="S135" s="60"/>
      <c r="T135" s="143">
        <f>IF(NFI_Expiration=1,IF($A135&lt;VLOOKUP(I$5,NFI,5,0),1,0)*Data_NFI_t[[#This Row],[Hygiene Kit]],0)</f>
        <v>0</v>
      </c>
      <c r="U135" s="143">
        <f>IF(NFI_Expiration=1,IF($A135&lt;VLOOKUP(J$5,NFI,5,0),1,0)*Data_NFI_t[[#This Row],[NFI Core Kit]],0)</f>
        <v>0</v>
      </c>
      <c r="V135" s="124">
        <f>IF(NFI_Expiration=1,IF($A135&lt;VLOOKUP(K$5,NFI,5,0),1,0)*Data_NFI_t[[#This Row],[Sanitary Kit]],0)</f>
        <v>0</v>
      </c>
      <c r="W135" s="124">
        <f>IF(NFI_Expiration=1,IF($A135&lt;VLOOKUP(L$5,NFI,5,0),1,0)*Data_NFI_t[[#This Row],[Mosquito net]],0)</f>
        <v>0</v>
      </c>
      <c r="X135" s="124">
        <f>IF(NFI_Expiration=1,IF($A135&lt;VLOOKUP(M$5,NFI,5,0),1,0)*Data_NFI_t[[#This Row],[Tarpaulin]],0)</f>
        <v>0</v>
      </c>
      <c r="Y135" s="124">
        <f>IF(NFI_Expiration=1,IF($A135&lt;VLOOKUP(N$5,NFI,5,0),1,0)*Data_NFI_t[[#This Row],[Blanket]],0)</f>
        <v>0</v>
      </c>
      <c r="Z135" s="124">
        <f>IF(NFI_Expiration=1,IF($A135&lt;VLOOKUP(O$5,NFI,5,0),1,0)*Data_NFI_t[[#This Row],[Kitchen Set]],0)</f>
        <v>0</v>
      </c>
      <c r="AA135" s="124">
        <f>IF(NFI_Expiration=1,IF($A135&lt;VLOOKUP(P$5,NFI,5,0),1,0)*Data_NFI_t[[#This Row],[Complementary Kit]],0)</f>
        <v>0</v>
      </c>
      <c r="AB135" s="124">
        <f>IF(NFI_Expiration=1,IF($A135&lt;VLOOKUP(Q$5,NFI,5,0),1,0)*Data_NFI_t[[#This Row],[Plastic Bucket]],0)</f>
        <v>0</v>
      </c>
      <c r="AC135" s="124">
        <f>IF(NFI_Expiration=1,IF($A135&lt;VLOOKUP(R$5,NFI,5,0),1,0)*Data_NFI_t[[#This Row],[Jerry Can]],0)</f>
        <v>0</v>
      </c>
      <c r="AD135" s="143">
        <f>IF(NFI_Expiration=1,IF($A135&lt;VLOOKUP(S$5,NFI,5,0),1,0)*Data_NFI_t[[#This Row],[Plastic Mat]],0)*IF(Data_NFI_t[[#This Row],[Distribution Date]]&gt;"01-06-2015",1,2.5)</f>
        <v>0</v>
      </c>
      <c r="AE135" s="143" t="str">
        <f ca="1">IFERROR(OFFSET(Camp_List[P_Code],MATCH(Data_NFI_t[[#This Row],[Camp Name]],Camp_List[Camp Name],0)-1,0,1,1),"")</f>
        <v>MMR012CMP028</v>
      </c>
      <c r="AF135" s="572" t="str">
        <f ca="1">IFERROR(OFFSET(Camp_List[Status],MATCH(Data_NFI_t[[#This Row],[Camp Name]],Camp_List[Camp Name],0)-1,0,1,1),"")</f>
        <v>Returned in Individual Housing</v>
      </c>
    </row>
    <row r="136" spans="1:32" s="100" customFormat="1" ht="15" customHeight="1">
      <c r="A136" s="254">
        <f t="shared" ref="A136:A199" si="2">IF(ISBLANK(C136),"",(Report_Date-C136)/30)</f>
        <v>31.766666666666666</v>
      </c>
      <c r="B136" s="254">
        <f>YEAR(Data_NFI_t[[#This Row],[Distribution Date]])</f>
        <v>2013</v>
      </c>
      <c r="C136" s="585">
        <v>41569</v>
      </c>
      <c r="D136" s="547" t="s">
        <v>287</v>
      </c>
      <c r="E136" s="546" t="s">
        <v>287</v>
      </c>
      <c r="F136" s="547" t="s">
        <v>7</v>
      </c>
      <c r="G136" s="31" t="s">
        <v>19</v>
      </c>
      <c r="H136" s="31" t="s">
        <v>78</v>
      </c>
      <c r="I136" s="31"/>
      <c r="J136" s="60"/>
      <c r="K136" s="60"/>
      <c r="L136" s="60"/>
      <c r="M136" s="60"/>
      <c r="N136" s="60"/>
      <c r="O136" s="60"/>
      <c r="P136" s="60">
        <v>250</v>
      </c>
      <c r="Q136" s="60"/>
      <c r="R136" s="570"/>
      <c r="S136" s="60"/>
      <c r="T136" s="143">
        <f>IF(NFI_Expiration=1,IF($A136&lt;VLOOKUP(I$5,NFI,5,0),1,0)*Data_NFI_t[[#This Row],[Hygiene Kit]],0)</f>
        <v>0</v>
      </c>
      <c r="U136" s="143">
        <f>IF(NFI_Expiration=1,IF($A136&lt;VLOOKUP(J$5,NFI,5,0),1,0)*Data_NFI_t[[#This Row],[NFI Core Kit]],0)</f>
        <v>0</v>
      </c>
      <c r="V136" s="124">
        <f>IF(NFI_Expiration=1,IF($A136&lt;VLOOKUP(K$5,NFI,5,0),1,0)*Data_NFI_t[[#This Row],[Sanitary Kit]],0)</f>
        <v>0</v>
      </c>
      <c r="W136" s="124">
        <f>IF(NFI_Expiration=1,IF($A136&lt;VLOOKUP(L$5,NFI,5,0),1,0)*Data_NFI_t[[#This Row],[Mosquito net]],0)</f>
        <v>0</v>
      </c>
      <c r="X136" s="124">
        <f>IF(NFI_Expiration=1,IF($A136&lt;VLOOKUP(M$5,NFI,5,0),1,0)*Data_NFI_t[[#This Row],[Tarpaulin]],0)</f>
        <v>0</v>
      </c>
      <c r="Y136" s="124">
        <f>IF(NFI_Expiration=1,IF($A136&lt;VLOOKUP(N$5,NFI,5,0),1,0)*Data_NFI_t[[#This Row],[Blanket]],0)</f>
        <v>0</v>
      </c>
      <c r="Z136" s="124">
        <f>IF(NFI_Expiration=1,IF($A136&lt;VLOOKUP(O$5,NFI,5,0),1,0)*Data_NFI_t[[#This Row],[Kitchen Set]],0)</f>
        <v>0</v>
      </c>
      <c r="AA136" s="124">
        <f>IF(NFI_Expiration=1,IF($A136&lt;VLOOKUP(P$5,NFI,5,0),1,0)*Data_NFI_t[[#This Row],[Complementary Kit]],0)</f>
        <v>0</v>
      </c>
      <c r="AB136" s="124">
        <f>IF(NFI_Expiration=1,IF($A136&lt;VLOOKUP(Q$5,NFI,5,0),1,0)*Data_NFI_t[[#This Row],[Plastic Bucket]],0)</f>
        <v>0</v>
      </c>
      <c r="AC136" s="124">
        <f>IF(NFI_Expiration=1,IF($A136&lt;VLOOKUP(R$5,NFI,5,0),1,0)*Data_NFI_t[[#This Row],[Jerry Can]],0)</f>
        <v>0</v>
      </c>
      <c r="AD136" s="143">
        <f>IF(NFI_Expiration=1,IF($A136&lt;VLOOKUP(S$5,NFI,5,0),1,0)*Data_NFI_t[[#This Row],[Plastic Mat]],0)*IF(Data_NFI_t[[#This Row],[Distribution Date]]&gt;"01-06-2015",1,2.5)</f>
        <v>0</v>
      </c>
      <c r="AE136" s="143" t="str">
        <f ca="1">IFERROR(OFFSET(Camp_List[P_Code],MATCH(Data_NFI_t[[#This Row],[Camp Name]],Camp_List[Camp Name],0)-1,0,1,1),"")</f>
        <v>MMR012CMP056</v>
      </c>
      <c r="AF136" s="572" t="str">
        <f ca="1">IFERROR(OFFSET(Camp_List[Status],MATCH(Data_NFI_t[[#This Row],[Camp Name]],Camp_List[Camp Name],0)-1,0,1,1),"")</f>
        <v>Relocated in Individual Housing</v>
      </c>
    </row>
    <row r="137" spans="1:32" s="100" customFormat="1" ht="15" customHeight="1">
      <c r="A137" s="254">
        <f t="shared" si="2"/>
        <v>31.9</v>
      </c>
      <c r="B137" s="254">
        <f>YEAR(Data_NFI_t[[#This Row],[Distribution Date]])</f>
        <v>2013</v>
      </c>
      <c r="C137" s="585">
        <v>41565</v>
      </c>
      <c r="D137" s="547" t="s">
        <v>642</v>
      </c>
      <c r="E137" s="546" t="s">
        <v>642</v>
      </c>
      <c r="F137" s="547" t="s">
        <v>7</v>
      </c>
      <c r="G137" s="31" t="s">
        <v>19</v>
      </c>
      <c r="H137" s="31" t="s">
        <v>654</v>
      </c>
      <c r="I137" s="31"/>
      <c r="J137" s="60">
        <v>948</v>
      </c>
      <c r="K137" s="60"/>
      <c r="L137" s="60"/>
      <c r="M137" s="60"/>
      <c r="N137" s="60"/>
      <c r="O137" s="60"/>
      <c r="P137" s="60"/>
      <c r="Q137" s="60"/>
      <c r="R137" s="570"/>
      <c r="S137" s="60"/>
      <c r="T137" s="143">
        <f>IF(NFI_Expiration=1,IF($A137&lt;VLOOKUP(I$5,NFI,5,0),1,0)*Data_NFI_t[[#This Row],[Hygiene Kit]],0)</f>
        <v>0</v>
      </c>
      <c r="U137" s="143">
        <f>IF(NFI_Expiration=1,IF($A137&lt;VLOOKUP(J$5,NFI,5,0),1,0)*Data_NFI_t[[#This Row],[NFI Core Kit]],0)</f>
        <v>0</v>
      </c>
      <c r="V137" s="124">
        <f>IF(NFI_Expiration=1,IF($A137&lt;VLOOKUP(K$5,NFI,5,0),1,0)*Data_NFI_t[[#This Row],[Sanitary Kit]],0)</f>
        <v>0</v>
      </c>
      <c r="W137" s="124">
        <f>IF(NFI_Expiration=1,IF($A137&lt;VLOOKUP(L$5,NFI,5,0),1,0)*Data_NFI_t[[#This Row],[Mosquito net]],0)</f>
        <v>0</v>
      </c>
      <c r="X137" s="124">
        <f>IF(NFI_Expiration=1,IF($A137&lt;VLOOKUP(M$5,NFI,5,0),1,0)*Data_NFI_t[[#This Row],[Tarpaulin]],0)</f>
        <v>0</v>
      </c>
      <c r="Y137" s="124">
        <f>IF(NFI_Expiration=1,IF($A137&lt;VLOOKUP(N$5,NFI,5,0),1,0)*Data_NFI_t[[#This Row],[Blanket]],0)</f>
        <v>0</v>
      </c>
      <c r="Z137" s="124">
        <f>IF(NFI_Expiration=1,IF($A137&lt;VLOOKUP(O$5,NFI,5,0),1,0)*Data_NFI_t[[#This Row],[Kitchen Set]],0)</f>
        <v>0</v>
      </c>
      <c r="AA137" s="124">
        <f>IF(NFI_Expiration=1,IF($A137&lt;VLOOKUP(P$5,NFI,5,0),1,0)*Data_NFI_t[[#This Row],[Complementary Kit]],0)</f>
        <v>0</v>
      </c>
      <c r="AB137" s="124">
        <f>IF(NFI_Expiration=1,IF($A137&lt;VLOOKUP(Q$5,NFI,5,0),1,0)*Data_NFI_t[[#This Row],[Plastic Bucket]],0)</f>
        <v>0</v>
      </c>
      <c r="AC137" s="124">
        <f>IF(NFI_Expiration=1,IF($A137&lt;VLOOKUP(R$5,NFI,5,0),1,0)*Data_NFI_t[[#This Row],[Jerry Can]],0)</f>
        <v>0</v>
      </c>
      <c r="AD137" s="143">
        <f>IF(NFI_Expiration=1,IF($A137&lt;VLOOKUP(S$5,NFI,5,0),1,0)*Data_NFI_t[[#This Row],[Plastic Mat]],0)*IF(Data_NFI_t[[#This Row],[Distribution Date]]&gt;"01-06-2015",1,2.5)</f>
        <v>0</v>
      </c>
      <c r="AE137" s="143" t="str">
        <f ca="1">IFERROR(OFFSET(Camp_List[P_Code],MATCH(Data_NFI_t[[#This Row],[Camp Name]],Camp_List[Camp Name],0)-1,0,1,1),"")</f>
        <v>MMR012CMP116</v>
      </c>
      <c r="AF137" s="572" t="str">
        <f ca="1">IFERROR(OFFSET(Camp_List[Status],MATCH(Data_NFI_t[[#This Row],[Camp Name]],Camp_List[Camp Name],0)-1,0,1,1),"")</f>
        <v>Open</v>
      </c>
    </row>
    <row r="138" spans="1:32" s="100" customFormat="1" ht="15" customHeight="1">
      <c r="A138" s="254">
        <f t="shared" si="2"/>
        <v>31.933333333333334</v>
      </c>
      <c r="B138" s="254">
        <f>YEAR(Data_NFI_t[[#This Row],[Distribution Date]])</f>
        <v>2013</v>
      </c>
      <c r="C138" s="585">
        <v>41564</v>
      </c>
      <c r="D138" s="547" t="s">
        <v>287</v>
      </c>
      <c r="E138" s="546" t="s">
        <v>287</v>
      </c>
      <c r="F138" s="547" t="s">
        <v>7</v>
      </c>
      <c r="G138" s="31" t="s">
        <v>19</v>
      </c>
      <c r="H138" s="31" t="s">
        <v>657</v>
      </c>
      <c r="I138" s="31"/>
      <c r="J138" s="60"/>
      <c r="K138" s="60"/>
      <c r="L138" s="60"/>
      <c r="M138" s="60"/>
      <c r="N138" s="60"/>
      <c r="O138" s="60"/>
      <c r="P138" s="60">
        <v>631</v>
      </c>
      <c r="Q138" s="60"/>
      <c r="R138" s="570"/>
      <c r="S138" s="60"/>
      <c r="T138" s="143">
        <f>IF(NFI_Expiration=1,IF($A138&lt;VLOOKUP(I$5,NFI,5,0),1,0)*Data_NFI_t[[#This Row],[Hygiene Kit]],0)</f>
        <v>0</v>
      </c>
      <c r="U138" s="143">
        <f>IF(NFI_Expiration=1,IF($A138&lt;VLOOKUP(J$5,NFI,5,0),1,0)*Data_NFI_t[[#This Row],[NFI Core Kit]],0)</f>
        <v>0</v>
      </c>
      <c r="V138" s="124">
        <f>IF(NFI_Expiration=1,IF($A138&lt;VLOOKUP(K$5,NFI,5,0),1,0)*Data_NFI_t[[#This Row],[Sanitary Kit]],0)</f>
        <v>0</v>
      </c>
      <c r="W138" s="124">
        <f>IF(NFI_Expiration=1,IF($A138&lt;VLOOKUP(L$5,NFI,5,0),1,0)*Data_NFI_t[[#This Row],[Mosquito net]],0)</f>
        <v>0</v>
      </c>
      <c r="X138" s="124">
        <f>IF(NFI_Expiration=1,IF($A138&lt;VLOOKUP(M$5,NFI,5,0),1,0)*Data_NFI_t[[#This Row],[Tarpaulin]],0)</f>
        <v>0</v>
      </c>
      <c r="Y138" s="124">
        <f>IF(NFI_Expiration=1,IF($A138&lt;VLOOKUP(N$5,NFI,5,0),1,0)*Data_NFI_t[[#This Row],[Blanket]],0)</f>
        <v>0</v>
      </c>
      <c r="Z138" s="124">
        <f>IF(NFI_Expiration=1,IF($A138&lt;VLOOKUP(O$5,NFI,5,0),1,0)*Data_NFI_t[[#This Row],[Kitchen Set]],0)</f>
        <v>0</v>
      </c>
      <c r="AA138" s="124">
        <f>IF(NFI_Expiration=1,IF($A138&lt;VLOOKUP(P$5,NFI,5,0),1,0)*Data_NFI_t[[#This Row],[Complementary Kit]],0)</f>
        <v>0</v>
      </c>
      <c r="AB138" s="124">
        <f>IF(NFI_Expiration=1,IF($A138&lt;VLOOKUP(Q$5,NFI,5,0),1,0)*Data_NFI_t[[#This Row],[Plastic Bucket]],0)</f>
        <v>0</v>
      </c>
      <c r="AC138" s="124">
        <f>IF(NFI_Expiration=1,IF($A138&lt;VLOOKUP(R$5,NFI,5,0),1,0)*Data_NFI_t[[#This Row],[Jerry Can]],0)</f>
        <v>0</v>
      </c>
      <c r="AD138" s="143">
        <f>IF(NFI_Expiration=1,IF($A138&lt;VLOOKUP(S$5,NFI,5,0),1,0)*Data_NFI_t[[#This Row],[Plastic Mat]],0)*IF(Data_NFI_t[[#This Row],[Distribution Date]]&gt;"01-06-2015",1,2.5)</f>
        <v>0</v>
      </c>
      <c r="AE138" s="143" t="str">
        <f ca="1">IFERROR(OFFSET(Camp_List[P_Code],MATCH(Data_NFI_t[[#This Row],[Camp Name]],Camp_List[Camp Name],0)-1,0,1,1),"")</f>
        <v>MMR012CMP111</v>
      </c>
      <c r="AF138" s="572" t="str">
        <f ca="1">IFERROR(OFFSET(Camp_List[Status],MATCH(Data_NFI_t[[#This Row],[Camp Name]],Camp_List[Camp Name],0)-1,0,1,1),"")</f>
        <v>Relocated in Individual Housing</v>
      </c>
    </row>
    <row r="139" spans="1:32" s="100" customFormat="1" ht="15" customHeight="1">
      <c r="A139" s="254">
        <f t="shared" si="2"/>
        <v>32.866666666666667</v>
      </c>
      <c r="B139" s="254">
        <f>YEAR(Data_NFI_t[[#This Row],[Distribution Date]])</f>
        <v>2013</v>
      </c>
      <c r="C139" s="585">
        <v>41536</v>
      </c>
      <c r="D139" s="547" t="s">
        <v>287</v>
      </c>
      <c r="E139" s="546" t="s">
        <v>287</v>
      </c>
      <c r="F139" s="547" t="s">
        <v>7</v>
      </c>
      <c r="G139" s="31" t="s">
        <v>14</v>
      </c>
      <c r="H139" s="31" t="s">
        <v>39</v>
      </c>
      <c r="I139" s="31"/>
      <c r="J139" s="60"/>
      <c r="K139" s="60"/>
      <c r="L139" s="60">
        <v>42</v>
      </c>
      <c r="M139" s="60"/>
      <c r="N139" s="60">
        <v>42</v>
      </c>
      <c r="O139" s="60">
        <v>21</v>
      </c>
      <c r="P139" s="60">
        <v>21</v>
      </c>
      <c r="Q139" s="60">
        <v>21</v>
      </c>
      <c r="R139" s="570"/>
      <c r="S139" s="60">
        <v>42</v>
      </c>
      <c r="T139" s="143">
        <f>IF(NFI_Expiration=1,IF($A139&lt;VLOOKUP(I$5,NFI,5,0),1,0)*Data_NFI_t[[#This Row],[Hygiene Kit]],0)</f>
        <v>0</v>
      </c>
      <c r="U139" s="143">
        <f>IF(NFI_Expiration=1,IF($A139&lt;VLOOKUP(J$5,NFI,5,0),1,0)*Data_NFI_t[[#This Row],[NFI Core Kit]],0)</f>
        <v>0</v>
      </c>
      <c r="V139" s="124">
        <f>IF(NFI_Expiration=1,IF($A139&lt;VLOOKUP(K$5,NFI,5,0),1,0)*Data_NFI_t[[#This Row],[Sanitary Kit]],0)</f>
        <v>0</v>
      </c>
      <c r="W139" s="124">
        <f>IF(NFI_Expiration=1,IF($A139&lt;VLOOKUP(L$5,NFI,5,0),1,0)*Data_NFI_t[[#This Row],[Mosquito net]],0)</f>
        <v>0</v>
      </c>
      <c r="X139" s="124">
        <f>IF(NFI_Expiration=1,IF($A139&lt;VLOOKUP(M$5,NFI,5,0),1,0)*Data_NFI_t[[#This Row],[Tarpaulin]],0)</f>
        <v>0</v>
      </c>
      <c r="Y139" s="124">
        <f>IF(NFI_Expiration=1,IF($A139&lt;VLOOKUP(N$5,NFI,5,0),1,0)*Data_NFI_t[[#This Row],[Blanket]],0)</f>
        <v>0</v>
      </c>
      <c r="Z139" s="124">
        <f>IF(NFI_Expiration=1,IF($A139&lt;VLOOKUP(O$5,NFI,5,0),1,0)*Data_NFI_t[[#This Row],[Kitchen Set]],0)</f>
        <v>0</v>
      </c>
      <c r="AA139" s="124">
        <f>IF(NFI_Expiration=1,IF($A139&lt;VLOOKUP(P$5,NFI,5,0),1,0)*Data_NFI_t[[#This Row],[Complementary Kit]],0)</f>
        <v>0</v>
      </c>
      <c r="AB139" s="124">
        <f>IF(NFI_Expiration=1,IF($A139&lt;VLOOKUP(Q$5,NFI,5,0),1,0)*Data_NFI_t[[#This Row],[Plastic Bucket]],0)</f>
        <v>0</v>
      </c>
      <c r="AC139" s="124">
        <f>IF(NFI_Expiration=1,IF($A139&lt;VLOOKUP(R$5,NFI,5,0),1,0)*Data_NFI_t[[#This Row],[Jerry Can]],0)</f>
        <v>0</v>
      </c>
      <c r="AD139" s="143">
        <f>IF(NFI_Expiration=1,IF($A139&lt;VLOOKUP(S$5,NFI,5,0),1,0)*Data_NFI_t[[#This Row],[Plastic Mat]],0)*IF(Data_NFI_t[[#This Row],[Distribution Date]]&gt;"01-06-2015",1,2.5)</f>
        <v>0</v>
      </c>
      <c r="AE139" s="143" t="str">
        <f ca="1">IFERROR(OFFSET(Camp_List[P_Code],MATCH(Data_NFI_t[[#This Row],[Camp Name]],Camp_List[Camp Name],0)-1,0,1,1),"")</f>
        <v>MMR012CMP015</v>
      </c>
      <c r="AF139" s="572" t="str">
        <f ca="1">IFERROR(OFFSET(Camp_List[Status],MATCH(Data_NFI_t[[#This Row],[Camp Name]],Camp_List[Camp Name],0)-1,0,1,1),"")</f>
        <v>Relocated in Individual Housing</v>
      </c>
    </row>
    <row r="140" spans="1:32" s="100" customFormat="1" ht="15" customHeight="1">
      <c r="A140" s="254">
        <f t="shared" si="2"/>
        <v>32.9</v>
      </c>
      <c r="B140" s="254">
        <f>YEAR(Data_NFI_t[[#This Row],[Distribution Date]])</f>
        <v>2013</v>
      </c>
      <c r="C140" s="585">
        <v>41535</v>
      </c>
      <c r="D140" s="547" t="s">
        <v>287</v>
      </c>
      <c r="E140" s="546" t="s">
        <v>287</v>
      </c>
      <c r="F140" s="547" t="s">
        <v>7</v>
      </c>
      <c r="G140" s="31" t="s">
        <v>14</v>
      </c>
      <c r="H140" s="31" t="s">
        <v>42</v>
      </c>
      <c r="I140" s="31"/>
      <c r="J140" s="60"/>
      <c r="K140" s="60"/>
      <c r="L140" s="60">
        <v>2658</v>
      </c>
      <c r="M140" s="60">
        <v>940</v>
      </c>
      <c r="N140" s="60">
        <v>1880</v>
      </c>
      <c r="O140" s="60">
        <v>940</v>
      </c>
      <c r="P140" s="60">
        <v>1718</v>
      </c>
      <c r="Q140" s="60">
        <v>940</v>
      </c>
      <c r="R140" s="570"/>
      <c r="S140" s="60">
        <v>1880</v>
      </c>
      <c r="T140" s="143">
        <f>IF(NFI_Expiration=1,IF($A140&lt;VLOOKUP(I$5,NFI,5,0),1,0)*Data_NFI_t[[#This Row],[Hygiene Kit]],0)</f>
        <v>0</v>
      </c>
      <c r="U140" s="143">
        <f>IF(NFI_Expiration=1,IF($A140&lt;VLOOKUP(J$5,NFI,5,0),1,0)*Data_NFI_t[[#This Row],[NFI Core Kit]],0)</f>
        <v>0</v>
      </c>
      <c r="V140" s="124">
        <f>IF(NFI_Expiration=1,IF($A140&lt;VLOOKUP(K$5,NFI,5,0),1,0)*Data_NFI_t[[#This Row],[Sanitary Kit]],0)</f>
        <v>0</v>
      </c>
      <c r="W140" s="124">
        <f>IF(NFI_Expiration=1,IF($A140&lt;VLOOKUP(L$5,NFI,5,0),1,0)*Data_NFI_t[[#This Row],[Mosquito net]],0)</f>
        <v>0</v>
      </c>
      <c r="X140" s="124">
        <f>IF(NFI_Expiration=1,IF($A140&lt;VLOOKUP(M$5,NFI,5,0),1,0)*Data_NFI_t[[#This Row],[Tarpaulin]],0)</f>
        <v>0</v>
      </c>
      <c r="Y140" s="124">
        <f>IF(NFI_Expiration=1,IF($A140&lt;VLOOKUP(N$5,NFI,5,0),1,0)*Data_NFI_t[[#This Row],[Blanket]],0)</f>
        <v>0</v>
      </c>
      <c r="Z140" s="124">
        <f>IF(NFI_Expiration=1,IF($A140&lt;VLOOKUP(O$5,NFI,5,0),1,0)*Data_NFI_t[[#This Row],[Kitchen Set]],0)</f>
        <v>0</v>
      </c>
      <c r="AA140" s="124">
        <f>IF(NFI_Expiration=1,IF($A140&lt;VLOOKUP(P$5,NFI,5,0),1,0)*Data_NFI_t[[#This Row],[Complementary Kit]],0)</f>
        <v>0</v>
      </c>
      <c r="AB140" s="124">
        <f>IF(NFI_Expiration=1,IF($A140&lt;VLOOKUP(Q$5,NFI,5,0),1,0)*Data_NFI_t[[#This Row],[Plastic Bucket]],0)</f>
        <v>0</v>
      </c>
      <c r="AC140" s="124">
        <f>IF(NFI_Expiration=1,IF($A140&lt;VLOOKUP(R$5,NFI,5,0),1,0)*Data_NFI_t[[#This Row],[Jerry Can]],0)</f>
        <v>0</v>
      </c>
      <c r="AD140" s="143">
        <f>IF(NFI_Expiration=1,IF($A140&lt;VLOOKUP(S$5,NFI,5,0),1,0)*Data_NFI_t[[#This Row],[Plastic Mat]],0)*IF(Data_NFI_t[[#This Row],[Distribution Date]]&gt;"01-06-2015",1,2.5)</f>
        <v>0</v>
      </c>
      <c r="AE140" s="143" t="str">
        <f ca="1">IFERROR(OFFSET(Camp_List[P_Code],MATCH(Data_NFI_t[[#This Row],[Camp Name]],Camp_List[Camp Name],0)-1,0,1,1),"")</f>
        <v>MMR012CMP018</v>
      </c>
      <c r="AF140" s="572" t="str">
        <f ca="1">IFERROR(OFFSET(Camp_List[Status],MATCH(Data_NFI_t[[#This Row],[Camp Name]],Camp_List[Camp Name],0)-1,0,1,1),"")</f>
        <v>Open</v>
      </c>
    </row>
    <row r="141" spans="1:32" s="100" customFormat="1" ht="15" customHeight="1">
      <c r="A141" s="254">
        <f t="shared" si="2"/>
        <v>33.1</v>
      </c>
      <c r="B141" s="254">
        <f>YEAR(Data_NFI_t[[#This Row],[Distribution Date]])</f>
        <v>2013</v>
      </c>
      <c r="C141" s="585">
        <v>41529</v>
      </c>
      <c r="D141" s="547" t="s">
        <v>287</v>
      </c>
      <c r="E141" s="546" t="s">
        <v>287</v>
      </c>
      <c r="F141" s="547" t="s">
        <v>7</v>
      </c>
      <c r="G141" s="31" t="s">
        <v>12</v>
      </c>
      <c r="H141" s="31" t="s">
        <v>645</v>
      </c>
      <c r="I141" s="31"/>
      <c r="J141" s="60"/>
      <c r="K141" s="60"/>
      <c r="L141" s="60">
        <v>62</v>
      </c>
      <c r="M141" s="60"/>
      <c r="N141" s="60">
        <v>62</v>
      </c>
      <c r="O141" s="60">
        <v>31</v>
      </c>
      <c r="P141" s="60">
        <v>31</v>
      </c>
      <c r="Q141" s="60">
        <v>31</v>
      </c>
      <c r="R141" s="570"/>
      <c r="S141" s="60">
        <v>62</v>
      </c>
      <c r="T141" s="143">
        <f>IF(NFI_Expiration=1,IF($A141&lt;VLOOKUP(I$5,NFI,5,0),1,0)*Data_NFI_t[[#This Row],[Hygiene Kit]],0)</f>
        <v>0</v>
      </c>
      <c r="U141" s="143">
        <f>IF(NFI_Expiration=1,IF($A141&lt;VLOOKUP(J$5,NFI,5,0),1,0)*Data_NFI_t[[#This Row],[NFI Core Kit]],0)</f>
        <v>0</v>
      </c>
      <c r="V141" s="124">
        <f>IF(NFI_Expiration=1,IF($A141&lt;VLOOKUP(K$5,NFI,5,0),1,0)*Data_NFI_t[[#This Row],[Sanitary Kit]],0)</f>
        <v>0</v>
      </c>
      <c r="W141" s="124">
        <f>IF(NFI_Expiration=1,IF($A141&lt;VLOOKUP(L$5,NFI,5,0),1,0)*Data_NFI_t[[#This Row],[Mosquito net]],0)</f>
        <v>0</v>
      </c>
      <c r="X141" s="124">
        <f>IF(NFI_Expiration=1,IF($A141&lt;VLOOKUP(M$5,NFI,5,0),1,0)*Data_NFI_t[[#This Row],[Tarpaulin]],0)</f>
        <v>0</v>
      </c>
      <c r="Y141" s="124">
        <f>IF(NFI_Expiration=1,IF($A141&lt;VLOOKUP(N$5,NFI,5,0),1,0)*Data_NFI_t[[#This Row],[Blanket]],0)</f>
        <v>0</v>
      </c>
      <c r="Z141" s="124">
        <f>IF(NFI_Expiration=1,IF($A141&lt;VLOOKUP(O$5,NFI,5,0),1,0)*Data_NFI_t[[#This Row],[Kitchen Set]],0)</f>
        <v>0</v>
      </c>
      <c r="AA141" s="124">
        <f>IF(NFI_Expiration=1,IF($A141&lt;VLOOKUP(P$5,NFI,5,0),1,0)*Data_NFI_t[[#This Row],[Complementary Kit]],0)</f>
        <v>0</v>
      </c>
      <c r="AB141" s="124">
        <f>IF(NFI_Expiration=1,IF($A141&lt;VLOOKUP(Q$5,NFI,5,0),1,0)*Data_NFI_t[[#This Row],[Plastic Bucket]],0)</f>
        <v>0</v>
      </c>
      <c r="AC141" s="124">
        <f>IF(NFI_Expiration=1,IF($A141&lt;VLOOKUP(R$5,NFI,5,0),1,0)*Data_NFI_t[[#This Row],[Jerry Can]],0)</f>
        <v>0</v>
      </c>
      <c r="AD141" s="143">
        <f>IF(NFI_Expiration=1,IF($A141&lt;VLOOKUP(S$5,NFI,5,0),1,0)*Data_NFI_t[[#This Row],[Plastic Mat]],0)*IF(Data_NFI_t[[#This Row],[Distribution Date]]&gt;"01-06-2015",1,2.5)</f>
        <v>0</v>
      </c>
      <c r="AE141" s="143" t="str">
        <f ca="1">IFERROR(OFFSET(Camp_List[P_Code],MATCH(Data_NFI_t[[#This Row],[Camp Name]],Camp_List[Camp Name],0)-1,0,1,1),"")</f>
        <v>MMR012CMP117</v>
      </c>
      <c r="AF141" s="572" t="str">
        <f ca="1">IFERROR(OFFSET(Camp_List[Status],MATCH(Data_NFI_t[[#This Row],[Camp Name]],Camp_List[Camp Name],0)-1,0,1,1),"")</f>
        <v>Relocated in Individual Housing</v>
      </c>
    </row>
    <row r="142" spans="1:32" s="100" customFormat="1" ht="15" customHeight="1">
      <c r="A142" s="254">
        <f t="shared" si="2"/>
        <v>33.633333333333333</v>
      </c>
      <c r="B142" s="254">
        <f>YEAR(Data_NFI_t[[#This Row],[Distribution Date]])</f>
        <v>2013</v>
      </c>
      <c r="C142" s="585">
        <v>41513</v>
      </c>
      <c r="D142" s="547" t="s">
        <v>287</v>
      </c>
      <c r="E142" s="546" t="s">
        <v>287</v>
      </c>
      <c r="F142" s="547" t="s">
        <v>7</v>
      </c>
      <c r="G142" s="31" t="s">
        <v>14</v>
      </c>
      <c r="H142" s="31" t="s">
        <v>40</v>
      </c>
      <c r="I142" s="31"/>
      <c r="J142" s="60"/>
      <c r="K142" s="60"/>
      <c r="L142" s="60">
        <v>1652</v>
      </c>
      <c r="M142" s="60">
        <v>99</v>
      </c>
      <c r="N142" s="60">
        <v>1652</v>
      </c>
      <c r="O142" s="60">
        <v>826</v>
      </c>
      <c r="P142" s="60">
        <v>826</v>
      </c>
      <c r="Q142" s="60">
        <v>826</v>
      </c>
      <c r="R142" s="570"/>
      <c r="S142" s="60">
        <v>1652</v>
      </c>
      <c r="T142" s="143">
        <f>IF(NFI_Expiration=1,IF($A142&lt;VLOOKUP(I$5,NFI,5,0),1,0)*Data_NFI_t[[#This Row],[Hygiene Kit]],0)</f>
        <v>0</v>
      </c>
      <c r="U142" s="143">
        <f>IF(NFI_Expiration=1,IF($A142&lt;VLOOKUP(J$5,NFI,5,0),1,0)*Data_NFI_t[[#This Row],[NFI Core Kit]],0)</f>
        <v>0</v>
      </c>
      <c r="V142" s="124">
        <f>IF(NFI_Expiration=1,IF($A142&lt;VLOOKUP(K$5,NFI,5,0),1,0)*Data_NFI_t[[#This Row],[Sanitary Kit]],0)</f>
        <v>0</v>
      </c>
      <c r="W142" s="124">
        <f>IF(NFI_Expiration=1,IF($A142&lt;VLOOKUP(L$5,NFI,5,0),1,0)*Data_NFI_t[[#This Row],[Mosquito net]],0)</f>
        <v>0</v>
      </c>
      <c r="X142" s="124">
        <f>IF(NFI_Expiration=1,IF($A142&lt;VLOOKUP(M$5,NFI,5,0),1,0)*Data_NFI_t[[#This Row],[Tarpaulin]],0)</f>
        <v>0</v>
      </c>
      <c r="Y142" s="124">
        <f>IF(NFI_Expiration=1,IF($A142&lt;VLOOKUP(N$5,NFI,5,0),1,0)*Data_NFI_t[[#This Row],[Blanket]],0)</f>
        <v>0</v>
      </c>
      <c r="Z142" s="124">
        <f>IF(NFI_Expiration=1,IF($A142&lt;VLOOKUP(O$5,NFI,5,0),1,0)*Data_NFI_t[[#This Row],[Kitchen Set]],0)</f>
        <v>0</v>
      </c>
      <c r="AA142" s="124">
        <f>IF(NFI_Expiration=1,IF($A142&lt;VLOOKUP(P$5,NFI,5,0),1,0)*Data_NFI_t[[#This Row],[Complementary Kit]],0)</f>
        <v>0</v>
      </c>
      <c r="AB142" s="124">
        <f>IF(NFI_Expiration=1,IF($A142&lt;VLOOKUP(Q$5,NFI,5,0),1,0)*Data_NFI_t[[#This Row],[Plastic Bucket]],0)</f>
        <v>0</v>
      </c>
      <c r="AC142" s="124">
        <f>IF(NFI_Expiration=1,IF($A142&lt;VLOOKUP(R$5,NFI,5,0),1,0)*Data_NFI_t[[#This Row],[Jerry Can]],0)</f>
        <v>0</v>
      </c>
      <c r="AD142" s="143">
        <f>IF(NFI_Expiration=1,IF($A142&lt;VLOOKUP(S$5,NFI,5,0),1,0)*Data_NFI_t[[#This Row],[Plastic Mat]],0)*IF(Data_NFI_t[[#This Row],[Distribution Date]]&gt;"01-06-2015",1,2.5)</f>
        <v>0</v>
      </c>
      <c r="AE142" s="143" t="str">
        <f ca="1">IFERROR(OFFSET(Camp_List[P_Code],MATCH(Data_NFI_t[[#This Row],[Camp Name]],Camp_List[Camp Name],0)-1,0,1,1),"")</f>
        <v>MMR012CMP016</v>
      </c>
      <c r="AF142" s="572" t="str">
        <f ca="1">IFERROR(OFFSET(Camp_List[Status],MATCH(Data_NFI_t[[#This Row],[Camp Name]],Camp_List[Camp Name],0)-1,0,1,1),"")</f>
        <v>Open</v>
      </c>
    </row>
    <row r="143" spans="1:32" s="100" customFormat="1" ht="15" customHeight="1">
      <c r="A143" s="254">
        <f t="shared" si="2"/>
        <v>34.1</v>
      </c>
      <c r="B143" s="254">
        <f>YEAR(Data_NFI_t[[#This Row],[Distribution Date]])</f>
        <v>2013</v>
      </c>
      <c r="C143" s="585">
        <v>41499</v>
      </c>
      <c r="D143" s="547" t="s">
        <v>287</v>
      </c>
      <c r="E143" s="546" t="s">
        <v>287</v>
      </c>
      <c r="F143" s="547" t="s">
        <v>7</v>
      </c>
      <c r="G143" s="31" t="s">
        <v>14</v>
      </c>
      <c r="H143" s="31" t="s">
        <v>41</v>
      </c>
      <c r="I143" s="31"/>
      <c r="J143" s="60"/>
      <c r="K143" s="60"/>
      <c r="L143" s="60">
        <v>0</v>
      </c>
      <c r="M143" s="60">
        <v>203</v>
      </c>
      <c r="N143" s="60">
        <v>0</v>
      </c>
      <c r="O143" s="60"/>
      <c r="P143" s="60"/>
      <c r="Q143" s="60"/>
      <c r="R143" s="570"/>
      <c r="S143" s="60">
        <v>448</v>
      </c>
      <c r="T143" s="143">
        <f>IF(NFI_Expiration=1,IF($A143&lt;VLOOKUP(I$5,NFI,5,0),1,0)*Data_NFI_t[[#This Row],[Hygiene Kit]],0)</f>
        <v>0</v>
      </c>
      <c r="U143" s="143">
        <f>IF(NFI_Expiration=1,IF($A143&lt;VLOOKUP(J$5,NFI,5,0),1,0)*Data_NFI_t[[#This Row],[NFI Core Kit]],0)</f>
        <v>0</v>
      </c>
      <c r="V143" s="124">
        <f>IF(NFI_Expiration=1,IF($A143&lt;VLOOKUP(K$5,NFI,5,0),1,0)*Data_NFI_t[[#This Row],[Sanitary Kit]],0)</f>
        <v>0</v>
      </c>
      <c r="W143" s="124">
        <f>IF(NFI_Expiration=1,IF($A143&lt;VLOOKUP(L$5,NFI,5,0),1,0)*Data_NFI_t[[#This Row],[Mosquito net]],0)</f>
        <v>0</v>
      </c>
      <c r="X143" s="124">
        <f>IF(NFI_Expiration=1,IF($A143&lt;VLOOKUP(M$5,NFI,5,0),1,0)*Data_NFI_t[[#This Row],[Tarpaulin]],0)</f>
        <v>0</v>
      </c>
      <c r="Y143" s="124">
        <f>IF(NFI_Expiration=1,IF($A143&lt;VLOOKUP(N$5,NFI,5,0),1,0)*Data_NFI_t[[#This Row],[Blanket]],0)</f>
        <v>0</v>
      </c>
      <c r="Z143" s="124">
        <f>IF(NFI_Expiration=1,IF($A143&lt;VLOOKUP(O$5,NFI,5,0),1,0)*Data_NFI_t[[#This Row],[Kitchen Set]],0)</f>
        <v>0</v>
      </c>
      <c r="AA143" s="124">
        <f>IF(NFI_Expiration=1,IF($A143&lt;VLOOKUP(P$5,NFI,5,0),1,0)*Data_NFI_t[[#This Row],[Complementary Kit]],0)</f>
        <v>0</v>
      </c>
      <c r="AB143" s="124">
        <f>IF(NFI_Expiration=1,IF($A143&lt;VLOOKUP(Q$5,NFI,5,0),1,0)*Data_NFI_t[[#This Row],[Plastic Bucket]],0)</f>
        <v>0</v>
      </c>
      <c r="AC143" s="124">
        <f>IF(NFI_Expiration=1,IF($A143&lt;VLOOKUP(R$5,NFI,5,0),1,0)*Data_NFI_t[[#This Row],[Jerry Can]],0)</f>
        <v>0</v>
      </c>
      <c r="AD143" s="143">
        <f>IF(NFI_Expiration=1,IF($A143&lt;VLOOKUP(S$5,NFI,5,0),1,0)*Data_NFI_t[[#This Row],[Plastic Mat]],0)*IF(Data_NFI_t[[#This Row],[Distribution Date]]&gt;"01-06-2015",1,2.5)</f>
        <v>0</v>
      </c>
      <c r="AE143" s="143" t="str">
        <f ca="1">IFERROR(OFFSET(Camp_List[P_Code],MATCH(Data_NFI_t[[#This Row],[Camp Name]],Camp_List[Camp Name],0)-1,0,1,1),"")</f>
        <v>MMR012CMP017</v>
      </c>
      <c r="AF143" s="572" t="str">
        <f ca="1">IFERROR(OFFSET(Camp_List[Status],MATCH(Data_NFI_t[[#This Row],[Camp Name]],Camp_List[Camp Name],0)-1,0,1,1),"")</f>
        <v>Open</v>
      </c>
    </row>
    <row r="144" spans="1:32" s="100" customFormat="1" ht="15" customHeight="1">
      <c r="A144" s="254">
        <f t="shared" si="2"/>
        <v>34.266666666666666</v>
      </c>
      <c r="B144" s="254">
        <f>YEAR(Data_NFI_t[[#This Row],[Distribution Date]])</f>
        <v>2013</v>
      </c>
      <c r="C144" s="585">
        <v>41494</v>
      </c>
      <c r="D144" s="547" t="s">
        <v>287</v>
      </c>
      <c r="E144" s="546" t="s">
        <v>287</v>
      </c>
      <c r="F144" s="547" t="s">
        <v>7</v>
      </c>
      <c r="G144" s="31" t="s">
        <v>900</v>
      </c>
      <c r="H144" s="31" t="s">
        <v>37</v>
      </c>
      <c r="I144" s="31"/>
      <c r="J144" s="60">
        <v>44</v>
      </c>
      <c r="K144" s="60"/>
      <c r="L144" s="60">
        <v>88</v>
      </c>
      <c r="M144" s="60">
        <v>44</v>
      </c>
      <c r="N144" s="60">
        <v>88</v>
      </c>
      <c r="O144" s="60">
        <v>44</v>
      </c>
      <c r="P144" s="60">
        <v>44</v>
      </c>
      <c r="Q144" s="60">
        <v>44</v>
      </c>
      <c r="R144" s="570"/>
      <c r="S144" s="60">
        <v>88</v>
      </c>
      <c r="T144" s="143">
        <f>IF(NFI_Expiration=1,IF($A144&lt;VLOOKUP(I$5,NFI,5,0),1,0)*Data_NFI_t[[#This Row],[Hygiene Kit]],0)</f>
        <v>0</v>
      </c>
      <c r="U144" s="143">
        <f>IF(NFI_Expiration=1,IF($A144&lt;VLOOKUP(J$5,NFI,5,0),1,0)*Data_NFI_t[[#This Row],[NFI Core Kit]],0)</f>
        <v>0</v>
      </c>
      <c r="V144" s="124">
        <f>IF(NFI_Expiration=1,IF($A144&lt;VLOOKUP(K$5,NFI,5,0),1,0)*Data_NFI_t[[#This Row],[Sanitary Kit]],0)</f>
        <v>0</v>
      </c>
      <c r="W144" s="124">
        <f>IF(NFI_Expiration=1,IF($A144&lt;VLOOKUP(L$5,NFI,5,0),1,0)*Data_NFI_t[[#This Row],[Mosquito net]],0)</f>
        <v>0</v>
      </c>
      <c r="X144" s="124">
        <f>IF(NFI_Expiration=1,IF($A144&lt;VLOOKUP(M$5,NFI,5,0),1,0)*Data_NFI_t[[#This Row],[Tarpaulin]],0)</f>
        <v>0</v>
      </c>
      <c r="Y144" s="124">
        <f>IF(NFI_Expiration=1,IF($A144&lt;VLOOKUP(N$5,NFI,5,0),1,0)*Data_NFI_t[[#This Row],[Blanket]],0)</f>
        <v>0</v>
      </c>
      <c r="Z144" s="124">
        <f>IF(NFI_Expiration=1,IF($A144&lt;VLOOKUP(O$5,NFI,5,0),1,0)*Data_NFI_t[[#This Row],[Kitchen Set]],0)</f>
        <v>0</v>
      </c>
      <c r="AA144" s="124">
        <f>IF(NFI_Expiration=1,IF($A144&lt;VLOOKUP(P$5,NFI,5,0),1,0)*Data_NFI_t[[#This Row],[Complementary Kit]],0)</f>
        <v>0</v>
      </c>
      <c r="AB144" s="124">
        <f>IF(NFI_Expiration=1,IF($A144&lt;VLOOKUP(Q$5,NFI,5,0),1,0)*Data_NFI_t[[#This Row],[Plastic Bucket]],0)</f>
        <v>0</v>
      </c>
      <c r="AC144" s="124">
        <f>IF(NFI_Expiration=1,IF($A144&lt;VLOOKUP(R$5,NFI,5,0),1,0)*Data_NFI_t[[#This Row],[Jerry Can]],0)</f>
        <v>0</v>
      </c>
      <c r="AD144" s="143">
        <f>IF(NFI_Expiration=1,IF($A144&lt;VLOOKUP(S$5,NFI,5,0),1,0)*Data_NFI_t[[#This Row],[Plastic Mat]],0)*IF(Data_NFI_t[[#This Row],[Distribution Date]]&gt;"01-06-2015",1,2.5)</f>
        <v>0</v>
      </c>
      <c r="AE144" s="143" t="str">
        <f ca="1">IFERROR(OFFSET(Camp_List[P_Code],MATCH(Data_NFI_t[[#This Row],[Camp Name]],Camp_List[Camp Name],0)-1,0,1,1),"")</f>
        <v>MMR012CMP013</v>
      </c>
      <c r="AF144" s="572" t="str">
        <f ca="1">IFERROR(OFFSET(Camp_List[Status],MATCH(Data_NFI_t[[#This Row],[Camp Name]],Camp_List[Camp Name],0)-1,0,1,1),"")</f>
        <v>Open</v>
      </c>
    </row>
    <row r="145" spans="1:32" s="100" customFormat="1" ht="15" customHeight="1">
      <c r="A145" s="254">
        <f t="shared" si="2"/>
        <v>34.266666666666666</v>
      </c>
      <c r="B145" s="254">
        <f>YEAR(Data_NFI_t[[#This Row],[Distribution Date]])</f>
        <v>2013</v>
      </c>
      <c r="C145" s="585">
        <v>41494</v>
      </c>
      <c r="D145" s="547" t="s">
        <v>287</v>
      </c>
      <c r="E145" s="546" t="s">
        <v>287</v>
      </c>
      <c r="F145" s="547" t="s">
        <v>7</v>
      </c>
      <c r="G145" s="31" t="s">
        <v>900</v>
      </c>
      <c r="H145" s="31" t="s">
        <v>38</v>
      </c>
      <c r="I145" s="31"/>
      <c r="J145" s="60">
        <v>755</v>
      </c>
      <c r="K145" s="60"/>
      <c r="L145" s="60">
        <v>1510</v>
      </c>
      <c r="M145" s="60">
        <v>755</v>
      </c>
      <c r="N145" s="60">
        <v>1510</v>
      </c>
      <c r="O145" s="60">
        <v>755</v>
      </c>
      <c r="P145" s="60">
        <v>755</v>
      </c>
      <c r="Q145" s="60">
        <v>755</v>
      </c>
      <c r="R145" s="570"/>
      <c r="S145" s="60">
        <v>1510</v>
      </c>
      <c r="T145" s="143">
        <f>IF(NFI_Expiration=1,IF($A145&lt;VLOOKUP(I$5,NFI,5,0),1,0)*Data_NFI_t[[#This Row],[Hygiene Kit]],0)</f>
        <v>0</v>
      </c>
      <c r="U145" s="143">
        <f>IF(NFI_Expiration=1,IF($A145&lt;VLOOKUP(J$5,NFI,5,0),1,0)*Data_NFI_t[[#This Row],[NFI Core Kit]],0)</f>
        <v>0</v>
      </c>
      <c r="V145" s="124">
        <f>IF(NFI_Expiration=1,IF($A145&lt;VLOOKUP(K$5,NFI,5,0),1,0)*Data_NFI_t[[#This Row],[Sanitary Kit]],0)</f>
        <v>0</v>
      </c>
      <c r="W145" s="124">
        <f>IF(NFI_Expiration=1,IF($A145&lt;VLOOKUP(L$5,NFI,5,0),1,0)*Data_NFI_t[[#This Row],[Mosquito net]],0)</f>
        <v>0</v>
      </c>
      <c r="X145" s="124">
        <f>IF(NFI_Expiration=1,IF($A145&lt;VLOOKUP(M$5,NFI,5,0),1,0)*Data_NFI_t[[#This Row],[Tarpaulin]],0)</f>
        <v>0</v>
      </c>
      <c r="Y145" s="124">
        <f>IF(NFI_Expiration=1,IF($A145&lt;VLOOKUP(N$5,NFI,5,0),1,0)*Data_NFI_t[[#This Row],[Blanket]],0)</f>
        <v>0</v>
      </c>
      <c r="Z145" s="124">
        <f>IF(NFI_Expiration=1,IF($A145&lt;VLOOKUP(O$5,NFI,5,0),1,0)*Data_NFI_t[[#This Row],[Kitchen Set]],0)</f>
        <v>0</v>
      </c>
      <c r="AA145" s="124">
        <f>IF(NFI_Expiration=1,IF($A145&lt;VLOOKUP(P$5,NFI,5,0),1,0)*Data_NFI_t[[#This Row],[Complementary Kit]],0)</f>
        <v>0</v>
      </c>
      <c r="AB145" s="124">
        <f>IF(NFI_Expiration=1,IF($A145&lt;VLOOKUP(Q$5,NFI,5,0),1,0)*Data_NFI_t[[#This Row],[Plastic Bucket]],0)</f>
        <v>0</v>
      </c>
      <c r="AC145" s="124">
        <f>IF(NFI_Expiration=1,IF($A145&lt;VLOOKUP(R$5,NFI,5,0),1,0)*Data_NFI_t[[#This Row],[Jerry Can]],0)</f>
        <v>0</v>
      </c>
      <c r="AD145" s="143">
        <f>IF(NFI_Expiration=1,IF($A145&lt;VLOOKUP(S$5,NFI,5,0),1,0)*Data_NFI_t[[#This Row],[Plastic Mat]],0)*IF(Data_NFI_t[[#This Row],[Distribution Date]]&gt;"01-06-2015",1,2.5)</f>
        <v>0</v>
      </c>
      <c r="AE145" s="143" t="str">
        <f ca="1">IFERROR(OFFSET(Camp_List[P_Code],MATCH(Data_NFI_t[[#This Row],[Camp Name]],Camp_List[Camp Name],0)-1,0,1,1),"")</f>
        <v>MMR012CMP014</v>
      </c>
      <c r="AF145" s="572" t="str">
        <f ca="1">IFERROR(OFFSET(Camp_List[Status],MATCH(Data_NFI_t[[#This Row],[Camp Name]],Camp_List[Camp Name],0)-1,0,1,1),"")</f>
        <v>Open</v>
      </c>
    </row>
    <row r="146" spans="1:32" s="100" customFormat="1" ht="15" customHeight="1">
      <c r="A146" s="254">
        <f t="shared" si="2"/>
        <v>35.233333333333334</v>
      </c>
      <c r="B146" s="254">
        <f>YEAR(Data_NFI_t[[#This Row],[Distribution Date]])</f>
        <v>2013</v>
      </c>
      <c r="C146" s="585">
        <v>41465</v>
      </c>
      <c r="D146" s="547" t="s">
        <v>287</v>
      </c>
      <c r="E146" s="546" t="s">
        <v>287</v>
      </c>
      <c r="F146" s="547" t="s">
        <v>7</v>
      </c>
      <c r="G146" s="31" t="s">
        <v>11</v>
      </c>
      <c r="H146" s="31" t="s">
        <v>27</v>
      </c>
      <c r="I146" s="31"/>
      <c r="J146" s="60"/>
      <c r="K146" s="60"/>
      <c r="L146" s="60">
        <v>240</v>
      </c>
      <c r="M146" s="60"/>
      <c r="N146" s="60">
        <v>240</v>
      </c>
      <c r="O146" s="60">
        <v>120</v>
      </c>
      <c r="P146" s="60">
        <v>120</v>
      </c>
      <c r="Q146" s="60">
        <v>120</v>
      </c>
      <c r="R146" s="570"/>
      <c r="S146" s="60">
        <v>240</v>
      </c>
      <c r="T146" s="143">
        <f>IF(NFI_Expiration=1,IF($A146&lt;VLOOKUP(I$5,NFI,5,0),1,0)*Data_NFI_t[[#This Row],[Hygiene Kit]],0)</f>
        <v>0</v>
      </c>
      <c r="U146" s="143">
        <f>IF(NFI_Expiration=1,IF($A146&lt;VLOOKUP(J$5,NFI,5,0),1,0)*Data_NFI_t[[#This Row],[NFI Core Kit]],0)</f>
        <v>0</v>
      </c>
      <c r="V146" s="124">
        <f>IF(NFI_Expiration=1,IF($A146&lt;VLOOKUP(K$5,NFI,5,0),1,0)*Data_NFI_t[[#This Row],[Sanitary Kit]],0)</f>
        <v>0</v>
      </c>
      <c r="W146" s="124">
        <f>IF(NFI_Expiration=1,IF($A146&lt;VLOOKUP(L$5,NFI,5,0),1,0)*Data_NFI_t[[#This Row],[Mosquito net]],0)</f>
        <v>0</v>
      </c>
      <c r="X146" s="124">
        <f>IF(NFI_Expiration=1,IF($A146&lt;VLOOKUP(M$5,NFI,5,0),1,0)*Data_NFI_t[[#This Row],[Tarpaulin]],0)</f>
        <v>0</v>
      </c>
      <c r="Y146" s="124">
        <f>IF(NFI_Expiration=1,IF($A146&lt;VLOOKUP(N$5,NFI,5,0),1,0)*Data_NFI_t[[#This Row],[Blanket]],0)</f>
        <v>0</v>
      </c>
      <c r="Z146" s="124">
        <f>IF(NFI_Expiration=1,IF($A146&lt;VLOOKUP(O$5,NFI,5,0),1,0)*Data_NFI_t[[#This Row],[Kitchen Set]],0)</f>
        <v>0</v>
      </c>
      <c r="AA146" s="124">
        <f>IF(NFI_Expiration=1,IF($A146&lt;VLOOKUP(P$5,NFI,5,0),1,0)*Data_NFI_t[[#This Row],[Complementary Kit]],0)</f>
        <v>0</v>
      </c>
      <c r="AB146" s="124">
        <f>IF(NFI_Expiration=1,IF($A146&lt;VLOOKUP(Q$5,NFI,5,0),1,0)*Data_NFI_t[[#This Row],[Plastic Bucket]],0)</f>
        <v>0</v>
      </c>
      <c r="AC146" s="124">
        <f>IF(NFI_Expiration=1,IF($A146&lt;VLOOKUP(R$5,NFI,5,0),1,0)*Data_NFI_t[[#This Row],[Jerry Can]],0)</f>
        <v>0</v>
      </c>
      <c r="AD146" s="143">
        <f>IF(NFI_Expiration=1,IF($A146&lt;VLOOKUP(S$5,NFI,5,0),1,0)*Data_NFI_t[[#This Row],[Plastic Mat]],0)*IF(Data_NFI_t[[#This Row],[Distribution Date]]&gt;"01-06-2015",1,2.5)</f>
        <v>0</v>
      </c>
      <c r="AE146" s="143" t="str">
        <f ca="1">IFERROR(OFFSET(Camp_List[P_Code],MATCH(Data_NFI_t[[#This Row],[Camp Name]],Camp_List[Camp Name],0)-1,0,1,1),"")</f>
        <v>MMR012CMP003</v>
      </c>
      <c r="AF146" s="572" t="str">
        <f ca="1">IFERROR(OFFSET(Camp_List[Status],MATCH(Data_NFI_t[[#This Row],[Camp Name]],Camp_List[Camp Name],0)-1,0,1,1),"")</f>
        <v>Returned in Individual Housing</v>
      </c>
    </row>
    <row r="147" spans="1:32" s="100" customFormat="1" ht="15" customHeight="1">
      <c r="A147" s="254">
        <f t="shared" si="2"/>
        <v>35.233333333333334</v>
      </c>
      <c r="B147" s="254">
        <f>YEAR(Data_NFI_t[[#This Row],[Distribution Date]])</f>
        <v>2013</v>
      </c>
      <c r="C147" s="585">
        <v>41465</v>
      </c>
      <c r="D147" s="547" t="s">
        <v>287</v>
      </c>
      <c r="E147" s="546" t="s">
        <v>287</v>
      </c>
      <c r="F147" s="547" t="s">
        <v>7</v>
      </c>
      <c r="G147" s="31" t="s">
        <v>11</v>
      </c>
      <c r="H147" s="31" t="s">
        <v>26</v>
      </c>
      <c r="I147" s="31"/>
      <c r="J147" s="60"/>
      <c r="K147" s="60"/>
      <c r="L147" s="60">
        <v>428</v>
      </c>
      <c r="M147" s="60"/>
      <c r="N147" s="60">
        <v>428</v>
      </c>
      <c r="O147" s="60">
        <v>214</v>
      </c>
      <c r="P147" s="60">
        <v>214</v>
      </c>
      <c r="Q147" s="60">
        <v>214</v>
      </c>
      <c r="R147" s="570"/>
      <c r="S147" s="60">
        <v>428</v>
      </c>
      <c r="T147" s="143">
        <f>IF(NFI_Expiration=1,IF($A147&lt;VLOOKUP(I$5,NFI,5,0),1,0)*Data_NFI_t[[#This Row],[Hygiene Kit]],0)</f>
        <v>0</v>
      </c>
      <c r="U147" s="143">
        <f>IF(NFI_Expiration=1,IF($A147&lt;VLOOKUP(J$5,NFI,5,0),1,0)*Data_NFI_t[[#This Row],[NFI Core Kit]],0)</f>
        <v>0</v>
      </c>
      <c r="V147" s="124">
        <f>IF(NFI_Expiration=1,IF($A147&lt;VLOOKUP(K$5,NFI,5,0),1,0)*Data_NFI_t[[#This Row],[Sanitary Kit]],0)</f>
        <v>0</v>
      </c>
      <c r="W147" s="124">
        <f>IF(NFI_Expiration=1,IF($A147&lt;VLOOKUP(L$5,NFI,5,0),1,0)*Data_NFI_t[[#This Row],[Mosquito net]],0)</f>
        <v>0</v>
      </c>
      <c r="X147" s="124">
        <f>IF(NFI_Expiration=1,IF($A147&lt;VLOOKUP(M$5,NFI,5,0),1,0)*Data_NFI_t[[#This Row],[Tarpaulin]],0)</f>
        <v>0</v>
      </c>
      <c r="Y147" s="124">
        <f>IF(NFI_Expiration=1,IF($A147&lt;VLOOKUP(N$5,NFI,5,0),1,0)*Data_NFI_t[[#This Row],[Blanket]],0)</f>
        <v>0</v>
      </c>
      <c r="Z147" s="124">
        <f>IF(NFI_Expiration=1,IF($A147&lt;VLOOKUP(O$5,NFI,5,0),1,0)*Data_NFI_t[[#This Row],[Kitchen Set]],0)</f>
        <v>0</v>
      </c>
      <c r="AA147" s="124">
        <f>IF(NFI_Expiration=1,IF($A147&lt;VLOOKUP(P$5,NFI,5,0),1,0)*Data_NFI_t[[#This Row],[Complementary Kit]],0)</f>
        <v>0</v>
      </c>
      <c r="AB147" s="124">
        <f>IF(NFI_Expiration=1,IF($A147&lt;VLOOKUP(Q$5,NFI,5,0),1,0)*Data_NFI_t[[#This Row],[Plastic Bucket]],0)</f>
        <v>0</v>
      </c>
      <c r="AC147" s="124">
        <f>IF(NFI_Expiration=1,IF($A147&lt;VLOOKUP(R$5,NFI,5,0),1,0)*Data_NFI_t[[#This Row],[Jerry Can]],0)</f>
        <v>0</v>
      </c>
      <c r="AD147" s="143">
        <f>IF(NFI_Expiration=1,IF($A147&lt;VLOOKUP(S$5,NFI,5,0),1,0)*Data_NFI_t[[#This Row],[Plastic Mat]],0)*IF(Data_NFI_t[[#This Row],[Distribution Date]]&gt;"01-06-2015",1,2.5)</f>
        <v>0</v>
      </c>
      <c r="AE147" s="143" t="str">
        <f ca="1">IFERROR(OFFSET(Camp_List[P_Code],MATCH(Data_NFI_t[[#This Row],[Camp Name]],Camp_List[Camp Name],0)-1,0,1,1),"")</f>
        <v>MMR012CMP002</v>
      </c>
      <c r="AF147" s="572" t="str">
        <f ca="1">IFERROR(OFFSET(Camp_List[Status],MATCH(Data_NFI_t[[#This Row],[Camp Name]],Camp_List[Camp Name],0)-1,0,1,1),"")</f>
        <v>Returned in Individual Housing</v>
      </c>
    </row>
    <row r="148" spans="1:32" s="100" customFormat="1" ht="15" customHeight="1">
      <c r="A148" s="254">
        <f t="shared" si="2"/>
        <v>35.266666666666666</v>
      </c>
      <c r="B148" s="254">
        <f>YEAR(Data_NFI_t[[#This Row],[Distribution Date]])</f>
        <v>2013</v>
      </c>
      <c r="C148" s="585">
        <v>41464</v>
      </c>
      <c r="D148" s="547" t="s">
        <v>287</v>
      </c>
      <c r="E148" s="546" t="s">
        <v>287</v>
      </c>
      <c r="F148" s="547" t="s">
        <v>7</v>
      </c>
      <c r="G148" s="31" t="s">
        <v>11</v>
      </c>
      <c r="H148" s="31" t="s">
        <v>30</v>
      </c>
      <c r="I148" s="31"/>
      <c r="J148" s="60"/>
      <c r="K148" s="60"/>
      <c r="L148" s="60">
        <v>290</v>
      </c>
      <c r="M148" s="60">
        <v>1312</v>
      </c>
      <c r="N148" s="60">
        <v>290</v>
      </c>
      <c r="O148" s="60">
        <v>145</v>
      </c>
      <c r="P148" s="60">
        <v>145</v>
      </c>
      <c r="Q148" s="60">
        <v>145</v>
      </c>
      <c r="R148" s="570"/>
      <c r="S148" s="60">
        <v>290</v>
      </c>
      <c r="T148" s="143">
        <f>IF(NFI_Expiration=1,IF($A148&lt;VLOOKUP(I$5,NFI,5,0),1,0)*Data_NFI_t[[#This Row],[Hygiene Kit]],0)</f>
        <v>0</v>
      </c>
      <c r="U148" s="143">
        <f>IF(NFI_Expiration=1,IF($A148&lt;VLOOKUP(J$5,NFI,5,0),1,0)*Data_NFI_t[[#This Row],[NFI Core Kit]],0)</f>
        <v>0</v>
      </c>
      <c r="V148" s="124">
        <f>IF(NFI_Expiration=1,IF($A148&lt;VLOOKUP(K$5,NFI,5,0),1,0)*Data_NFI_t[[#This Row],[Sanitary Kit]],0)</f>
        <v>0</v>
      </c>
      <c r="W148" s="124">
        <f>IF(NFI_Expiration=1,IF($A148&lt;VLOOKUP(L$5,NFI,5,0),1,0)*Data_NFI_t[[#This Row],[Mosquito net]],0)</f>
        <v>0</v>
      </c>
      <c r="X148" s="124">
        <f>IF(NFI_Expiration=1,IF($A148&lt;VLOOKUP(M$5,NFI,5,0),1,0)*Data_NFI_t[[#This Row],[Tarpaulin]],0)</f>
        <v>0</v>
      </c>
      <c r="Y148" s="124">
        <f>IF(NFI_Expiration=1,IF($A148&lt;VLOOKUP(N$5,NFI,5,0),1,0)*Data_NFI_t[[#This Row],[Blanket]],0)</f>
        <v>0</v>
      </c>
      <c r="Z148" s="124">
        <f>IF(NFI_Expiration=1,IF($A148&lt;VLOOKUP(O$5,NFI,5,0),1,0)*Data_NFI_t[[#This Row],[Kitchen Set]],0)</f>
        <v>0</v>
      </c>
      <c r="AA148" s="124">
        <f>IF(NFI_Expiration=1,IF($A148&lt;VLOOKUP(P$5,NFI,5,0),1,0)*Data_NFI_t[[#This Row],[Complementary Kit]],0)</f>
        <v>0</v>
      </c>
      <c r="AB148" s="124">
        <f>IF(NFI_Expiration=1,IF($A148&lt;VLOOKUP(Q$5,NFI,5,0),1,0)*Data_NFI_t[[#This Row],[Plastic Bucket]],0)</f>
        <v>0</v>
      </c>
      <c r="AC148" s="124">
        <f>IF(NFI_Expiration=1,IF($A148&lt;VLOOKUP(R$5,NFI,5,0),1,0)*Data_NFI_t[[#This Row],[Jerry Can]],0)</f>
        <v>0</v>
      </c>
      <c r="AD148" s="143">
        <f>IF(NFI_Expiration=1,IF($A148&lt;VLOOKUP(S$5,NFI,5,0),1,0)*Data_NFI_t[[#This Row],[Plastic Mat]],0)*IF(Data_NFI_t[[#This Row],[Distribution Date]]&gt;"01-06-2015",1,2.5)</f>
        <v>0</v>
      </c>
      <c r="AE148" s="143" t="str">
        <f ca="1">IFERROR(OFFSET(Camp_List[P_Code],MATCH(Data_NFI_t[[#This Row],[Camp Name]],Camp_List[Camp Name],0)-1,0,1,1),"")</f>
        <v>MMR012CMP006</v>
      </c>
      <c r="AF148" s="572" t="str">
        <f ca="1">IFERROR(OFFSET(Camp_List[Status],MATCH(Data_NFI_t[[#This Row],[Camp Name]],Camp_List[Camp Name],0)-1,0,1,1),"")</f>
        <v>Returned in Individual Housing</v>
      </c>
    </row>
    <row r="149" spans="1:32" s="100" customFormat="1" ht="15" customHeight="1">
      <c r="A149" s="254">
        <f t="shared" si="2"/>
        <v>35.266666666666666</v>
      </c>
      <c r="B149" s="254">
        <f>YEAR(Data_NFI_t[[#This Row],[Distribution Date]])</f>
        <v>2013</v>
      </c>
      <c r="C149" s="585">
        <v>41464</v>
      </c>
      <c r="D149" s="547" t="s">
        <v>287</v>
      </c>
      <c r="E149" s="546" t="s">
        <v>287</v>
      </c>
      <c r="F149" s="547" t="s">
        <v>7</v>
      </c>
      <c r="G149" s="31" t="s">
        <v>11</v>
      </c>
      <c r="H149" s="31" t="s">
        <v>25</v>
      </c>
      <c r="I149" s="31"/>
      <c r="J149" s="60"/>
      <c r="K149" s="60"/>
      <c r="L149" s="60">
        <v>130</v>
      </c>
      <c r="M149" s="60">
        <v>108</v>
      </c>
      <c r="N149" s="60">
        <v>130</v>
      </c>
      <c r="O149" s="60">
        <v>65</v>
      </c>
      <c r="P149" s="60">
        <v>65</v>
      </c>
      <c r="Q149" s="60">
        <v>65</v>
      </c>
      <c r="R149" s="570"/>
      <c r="S149" s="60">
        <v>130</v>
      </c>
      <c r="T149" s="143">
        <f>IF(NFI_Expiration=1,IF($A149&lt;VLOOKUP(I$5,NFI,5,0),1,0)*Data_NFI_t[[#This Row],[Hygiene Kit]],0)</f>
        <v>0</v>
      </c>
      <c r="U149" s="143">
        <f>IF(NFI_Expiration=1,IF($A149&lt;VLOOKUP(J$5,NFI,5,0),1,0)*Data_NFI_t[[#This Row],[NFI Core Kit]],0)</f>
        <v>0</v>
      </c>
      <c r="V149" s="124">
        <f>IF(NFI_Expiration=1,IF($A149&lt;VLOOKUP(K$5,NFI,5,0),1,0)*Data_NFI_t[[#This Row],[Sanitary Kit]],0)</f>
        <v>0</v>
      </c>
      <c r="W149" s="124">
        <f>IF(NFI_Expiration=1,IF($A149&lt;VLOOKUP(L$5,NFI,5,0),1,0)*Data_NFI_t[[#This Row],[Mosquito net]],0)</f>
        <v>0</v>
      </c>
      <c r="X149" s="124">
        <f>IF(NFI_Expiration=1,IF($A149&lt;VLOOKUP(M$5,NFI,5,0),1,0)*Data_NFI_t[[#This Row],[Tarpaulin]],0)</f>
        <v>0</v>
      </c>
      <c r="Y149" s="124">
        <f>IF(NFI_Expiration=1,IF($A149&lt;VLOOKUP(N$5,NFI,5,0),1,0)*Data_NFI_t[[#This Row],[Blanket]],0)</f>
        <v>0</v>
      </c>
      <c r="Z149" s="124">
        <f>IF(NFI_Expiration=1,IF($A149&lt;VLOOKUP(O$5,NFI,5,0),1,0)*Data_NFI_t[[#This Row],[Kitchen Set]],0)</f>
        <v>0</v>
      </c>
      <c r="AA149" s="124">
        <f>IF(NFI_Expiration=1,IF($A149&lt;VLOOKUP(P$5,NFI,5,0),1,0)*Data_NFI_t[[#This Row],[Complementary Kit]],0)</f>
        <v>0</v>
      </c>
      <c r="AB149" s="124">
        <f>IF(NFI_Expiration=1,IF($A149&lt;VLOOKUP(Q$5,NFI,5,0),1,0)*Data_NFI_t[[#This Row],[Plastic Bucket]],0)</f>
        <v>0</v>
      </c>
      <c r="AC149" s="124">
        <f>IF(NFI_Expiration=1,IF($A149&lt;VLOOKUP(R$5,NFI,5,0),1,0)*Data_NFI_t[[#This Row],[Jerry Can]],0)</f>
        <v>0</v>
      </c>
      <c r="AD149" s="143">
        <f>IF(NFI_Expiration=1,IF($A149&lt;VLOOKUP(S$5,NFI,5,0),1,0)*Data_NFI_t[[#This Row],[Plastic Mat]],0)*IF(Data_NFI_t[[#This Row],[Distribution Date]]&gt;"01-06-2015",1,2.5)</f>
        <v>0</v>
      </c>
      <c r="AE149" s="143" t="str">
        <f ca="1">IFERROR(OFFSET(Camp_List[P_Code],MATCH(Data_NFI_t[[#This Row],[Camp Name]],Camp_List[Camp Name],0)-1,0,1,1),"")</f>
        <v>MMR012CMP001</v>
      </c>
      <c r="AF149" s="572" t="str">
        <f ca="1">IFERROR(OFFSET(Camp_List[Status],MATCH(Data_NFI_t[[#This Row],[Camp Name]],Camp_List[Camp Name],0)-1,0,1,1),"")</f>
        <v>Returned in Individual Housing</v>
      </c>
    </row>
    <row r="150" spans="1:32" s="100" customFormat="1" ht="15" customHeight="1">
      <c r="A150" s="254">
        <f t="shared" si="2"/>
        <v>35.266666666666666</v>
      </c>
      <c r="B150" s="254">
        <f>YEAR(Data_NFI_t[[#This Row],[Distribution Date]])</f>
        <v>2013</v>
      </c>
      <c r="C150" s="585">
        <v>41464</v>
      </c>
      <c r="D150" s="547" t="s">
        <v>287</v>
      </c>
      <c r="E150" s="546" t="s">
        <v>287</v>
      </c>
      <c r="F150" s="547" t="s">
        <v>7</v>
      </c>
      <c r="G150" s="31" t="s">
        <v>11</v>
      </c>
      <c r="H150" s="31" t="s">
        <v>32</v>
      </c>
      <c r="I150" s="31"/>
      <c r="J150" s="60"/>
      <c r="K150" s="60"/>
      <c r="L150" s="60">
        <v>490</v>
      </c>
      <c r="M150" s="60"/>
      <c r="N150" s="60">
        <v>490</v>
      </c>
      <c r="O150" s="60">
        <v>245</v>
      </c>
      <c r="P150" s="60">
        <v>245</v>
      </c>
      <c r="Q150" s="60">
        <v>245</v>
      </c>
      <c r="R150" s="570"/>
      <c r="S150" s="60">
        <v>490</v>
      </c>
      <c r="T150" s="143">
        <f>IF(NFI_Expiration=1,IF($A150&lt;VLOOKUP(I$5,NFI,5,0),1,0)*Data_NFI_t[[#This Row],[Hygiene Kit]],0)</f>
        <v>0</v>
      </c>
      <c r="U150" s="143">
        <f>IF(NFI_Expiration=1,IF($A150&lt;VLOOKUP(J$5,NFI,5,0),1,0)*Data_NFI_t[[#This Row],[NFI Core Kit]],0)</f>
        <v>0</v>
      </c>
      <c r="V150" s="124">
        <f>IF(NFI_Expiration=1,IF($A150&lt;VLOOKUP(K$5,NFI,5,0),1,0)*Data_NFI_t[[#This Row],[Sanitary Kit]],0)</f>
        <v>0</v>
      </c>
      <c r="W150" s="124">
        <f>IF(NFI_Expiration=1,IF($A150&lt;VLOOKUP(L$5,NFI,5,0),1,0)*Data_NFI_t[[#This Row],[Mosquito net]],0)</f>
        <v>0</v>
      </c>
      <c r="X150" s="124">
        <f>IF(NFI_Expiration=1,IF($A150&lt;VLOOKUP(M$5,NFI,5,0),1,0)*Data_NFI_t[[#This Row],[Tarpaulin]],0)</f>
        <v>0</v>
      </c>
      <c r="Y150" s="124">
        <f>IF(NFI_Expiration=1,IF($A150&lt;VLOOKUP(N$5,NFI,5,0),1,0)*Data_NFI_t[[#This Row],[Blanket]],0)</f>
        <v>0</v>
      </c>
      <c r="Z150" s="124">
        <f>IF(NFI_Expiration=1,IF($A150&lt;VLOOKUP(O$5,NFI,5,0),1,0)*Data_NFI_t[[#This Row],[Kitchen Set]],0)</f>
        <v>0</v>
      </c>
      <c r="AA150" s="124">
        <f>IF(NFI_Expiration=1,IF($A150&lt;VLOOKUP(P$5,NFI,5,0),1,0)*Data_NFI_t[[#This Row],[Complementary Kit]],0)</f>
        <v>0</v>
      </c>
      <c r="AB150" s="124">
        <f>IF(NFI_Expiration=1,IF($A150&lt;VLOOKUP(Q$5,NFI,5,0),1,0)*Data_NFI_t[[#This Row],[Plastic Bucket]],0)</f>
        <v>0</v>
      </c>
      <c r="AC150" s="124">
        <f>IF(NFI_Expiration=1,IF($A150&lt;VLOOKUP(R$5,NFI,5,0),1,0)*Data_NFI_t[[#This Row],[Jerry Can]],0)</f>
        <v>0</v>
      </c>
      <c r="AD150" s="143">
        <f>IF(NFI_Expiration=1,IF($A150&lt;VLOOKUP(S$5,NFI,5,0),1,0)*Data_NFI_t[[#This Row],[Plastic Mat]],0)*IF(Data_NFI_t[[#This Row],[Distribution Date]]&gt;"01-06-2015",1,2.5)</f>
        <v>0</v>
      </c>
      <c r="AE150" s="143" t="str">
        <f ca="1">IFERROR(OFFSET(Camp_List[P_Code],MATCH(Data_NFI_t[[#This Row],[Camp Name]],Camp_List[Camp Name],0)-1,0,1,1),"")</f>
        <v>MMR012CMP008</v>
      </c>
      <c r="AF150" s="572" t="str">
        <f ca="1">IFERROR(OFFSET(Camp_List[Status],MATCH(Data_NFI_t[[#This Row],[Camp Name]],Camp_List[Camp Name],0)-1,0,1,1),"")</f>
        <v>Returned in Individual Housing</v>
      </c>
    </row>
    <row r="151" spans="1:32" s="100" customFormat="1" ht="15" customHeight="1">
      <c r="A151" s="254">
        <f t="shared" si="2"/>
        <v>35.266666666666666</v>
      </c>
      <c r="B151" s="254">
        <f>YEAR(Data_NFI_t[[#This Row],[Distribution Date]])</f>
        <v>2013</v>
      </c>
      <c r="C151" s="585">
        <v>41464</v>
      </c>
      <c r="D151" s="547" t="s">
        <v>287</v>
      </c>
      <c r="E151" s="546" t="s">
        <v>287</v>
      </c>
      <c r="F151" s="547" t="s">
        <v>7</v>
      </c>
      <c r="G151" s="31" t="s">
        <v>11</v>
      </c>
      <c r="H151" s="31" t="s">
        <v>31</v>
      </c>
      <c r="I151" s="31"/>
      <c r="J151" s="60">
        <v>33</v>
      </c>
      <c r="K151" s="60"/>
      <c r="L151" s="60">
        <v>66</v>
      </c>
      <c r="M151" s="60">
        <v>33</v>
      </c>
      <c r="N151" s="60">
        <v>66</v>
      </c>
      <c r="O151" s="60">
        <v>33</v>
      </c>
      <c r="P151" s="60">
        <v>33</v>
      </c>
      <c r="Q151" s="60">
        <v>33</v>
      </c>
      <c r="R151" s="570"/>
      <c r="S151" s="60">
        <v>66</v>
      </c>
      <c r="T151" s="143">
        <f>IF(NFI_Expiration=1,IF($A151&lt;VLOOKUP(I$5,NFI,5,0),1,0)*Data_NFI_t[[#This Row],[Hygiene Kit]],0)</f>
        <v>0</v>
      </c>
      <c r="U151" s="143">
        <f>IF(NFI_Expiration=1,IF($A151&lt;VLOOKUP(J$5,NFI,5,0),1,0)*Data_NFI_t[[#This Row],[NFI Core Kit]],0)</f>
        <v>0</v>
      </c>
      <c r="V151" s="124">
        <f>IF(NFI_Expiration=1,IF($A151&lt;VLOOKUP(K$5,NFI,5,0),1,0)*Data_NFI_t[[#This Row],[Sanitary Kit]],0)</f>
        <v>0</v>
      </c>
      <c r="W151" s="124">
        <f>IF(NFI_Expiration=1,IF($A151&lt;VLOOKUP(L$5,NFI,5,0),1,0)*Data_NFI_t[[#This Row],[Mosquito net]],0)</f>
        <v>0</v>
      </c>
      <c r="X151" s="124">
        <f>IF(NFI_Expiration=1,IF($A151&lt;VLOOKUP(M$5,NFI,5,0),1,0)*Data_NFI_t[[#This Row],[Tarpaulin]],0)</f>
        <v>0</v>
      </c>
      <c r="Y151" s="124">
        <f>IF(NFI_Expiration=1,IF($A151&lt;VLOOKUP(N$5,NFI,5,0),1,0)*Data_NFI_t[[#This Row],[Blanket]],0)</f>
        <v>0</v>
      </c>
      <c r="Z151" s="124">
        <f>IF(NFI_Expiration=1,IF($A151&lt;VLOOKUP(O$5,NFI,5,0),1,0)*Data_NFI_t[[#This Row],[Kitchen Set]],0)</f>
        <v>0</v>
      </c>
      <c r="AA151" s="124">
        <f>IF(NFI_Expiration=1,IF($A151&lt;VLOOKUP(P$5,NFI,5,0),1,0)*Data_NFI_t[[#This Row],[Complementary Kit]],0)</f>
        <v>0</v>
      </c>
      <c r="AB151" s="124">
        <f>IF(NFI_Expiration=1,IF($A151&lt;VLOOKUP(Q$5,NFI,5,0),1,0)*Data_NFI_t[[#This Row],[Plastic Bucket]],0)</f>
        <v>0</v>
      </c>
      <c r="AC151" s="124">
        <f>IF(NFI_Expiration=1,IF($A151&lt;VLOOKUP(R$5,NFI,5,0),1,0)*Data_NFI_t[[#This Row],[Jerry Can]],0)</f>
        <v>0</v>
      </c>
      <c r="AD151" s="143">
        <f>IF(NFI_Expiration=1,IF($A151&lt;VLOOKUP(S$5,NFI,5,0),1,0)*Data_NFI_t[[#This Row],[Plastic Mat]],0)*IF(Data_NFI_t[[#This Row],[Distribution Date]]&gt;"01-06-2015",1,2.5)</f>
        <v>0</v>
      </c>
      <c r="AE151" s="143" t="str">
        <f ca="1">IFERROR(OFFSET(Camp_List[P_Code],MATCH(Data_NFI_t[[#This Row],[Camp Name]],Camp_List[Camp Name],0)-1,0,1,1),"")</f>
        <v>MMR012CMP007</v>
      </c>
      <c r="AF151" s="572" t="str">
        <f ca="1">IFERROR(OFFSET(Camp_List[Status],MATCH(Data_NFI_t[[#This Row],[Camp Name]],Camp_List[Camp Name],0)-1,0,1,1),"")</f>
        <v>Close</v>
      </c>
    </row>
    <row r="152" spans="1:32" s="100" customFormat="1" ht="15" customHeight="1">
      <c r="A152" s="254">
        <f t="shared" si="2"/>
        <v>35.266666666666666</v>
      </c>
      <c r="B152" s="254">
        <f>YEAR(Data_NFI_t[[#This Row],[Distribution Date]])</f>
        <v>2013</v>
      </c>
      <c r="C152" s="585">
        <v>41464</v>
      </c>
      <c r="D152" s="547" t="s">
        <v>287</v>
      </c>
      <c r="E152" s="546" t="s">
        <v>287</v>
      </c>
      <c r="F152" s="547" t="s">
        <v>7</v>
      </c>
      <c r="G152" s="31" t="s">
        <v>11</v>
      </c>
      <c r="H152" s="31" t="s">
        <v>31</v>
      </c>
      <c r="I152" s="31"/>
      <c r="J152" s="60"/>
      <c r="K152" s="60"/>
      <c r="L152" s="60"/>
      <c r="M152" s="60"/>
      <c r="N152" s="60"/>
      <c r="O152" s="60"/>
      <c r="P152" s="60"/>
      <c r="Q152" s="60"/>
      <c r="R152" s="570"/>
      <c r="S152" s="60"/>
      <c r="T152" s="143">
        <f>IF(NFI_Expiration=1,IF($A152&lt;VLOOKUP(I$5,NFI,5,0),1,0)*Data_NFI_t[[#This Row],[Hygiene Kit]],0)</f>
        <v>0</v>
      </c>
      <c r="U152" s="143">
        <f>IF(NFI_Expiration=1,IF($A152&lt;VLOOKUP(J$5,NFI,5,0),1,0)*Data_NFI_t[[#This Row],[NFI Core Kit]],0)</f>
        <v>0</v>
      </c>
      <c r="V152" s="124">
        <f>IF(NFI_Expiration=1,IF($A152&lt;VLOOKUP(K$5,NFI,5,0),1,0)*Data_NFI_t[[#This Row],[Sanitary Kit]],0)</f>
        <v>0</v>
      </c>
      <c r="W152" s="124">
        <f>IF(NFI_Expiration=1,IF($A152&lt;VLOOKUP(L$5,NFI,5,0),1,0)*Data_NFI_t[[#This Row],[Mosquito net]],0)</f>
        <v>0</v>
      </c>
      <c r="X152" s="124">
        <f>IF(NFI_Expiration=1,IF($A152&lt;VLOOKUP(M$5,NFI,5,0),1,0)*Data_NFI_t[[#This Row],[Tarpaulin]],0)</f>
        <v>0</v>
      </c>
      <c r="Y152" s="124">
        <f>IF(NFI_Expiration=1,IF($A152&lt;VLOOKUP(N$5,NFI,5,0),1,0)*Data_NFI_t[[#This Row],[Blanket]],0)</f>
        <v>0</v>
      </c>
      <c r="Z152" s="124">
        <f>IF(NFI_Expiration=1,IF($A152&lt;VLOOKUP(O$5,NFI,5,0),1,0)*Data_NFI_t[[#This Row],[Kitchen Set]],0)</f>
        <v>0</v>
      </c>
      <c r="AA152" s="124">
        <f>IF(NFI_Expiration=1,IF($A152&lt;VLOOKUP(P$5,NFI,5,0),1,0)*Data_NFI_t[[#This Row],[Complementary Kit]],0)</f>
        <v>0</v>
      </c>
      <c r="AB152" s="124">
        <f>IF(NFI_Expiration=1,IF($A152&lt;VLOOKUP(Q$5,NFI,5,0),1,0)*Data_NFI_t[[#This Row],[Plastic Bucket]],0)</f>
        <v>0</v>
      </c>
      <c r="AC152" s="124">
        <f>IF(NFI_Expiration=1,IF($A152&lt;VLOOKUP(R$5,NFI,5,0),1,0)*Data_NFI_t[[#This Row],[Jerry Can]],0)</f>
        <v>0</v>
      </c>
      <c r="AD152" s="143">
        <f>IF(NFI_Expiration=1,IF($A152&lt;VLOOKUP(S$5,NFI,5,0),1,0)*Data_NFI_t[[#This Row],[Plastic Mat]],0)*IF(Data_NFI_t[[#This Row],[Distribution Date]]&gt;"01-06-2015",1,2.5)</f>
        <v>0</v>
      </c>
      <c r="AE152" s="143" t="str">
        <f ca="1">IFERROR(OFFSET(Camp_List[P_Code],MATCH(Data_NFI_t[[#This Row],[Camp Name]],Camp_List[Camp Name],0)-1,0,1,1),"")</f>
        <v>MMR012CMP007</v>
      </c>
      <c r="AF152" s="572" t="str">
        <f ca="1">IFERROR(OFFSET(Camp_List[Status],MATCH(Data_NFI_t[[#This Row],[Camp Name]],Camp_List[Camp Name],0)-1,0,1,1),"")</f>
        <v>Close</v>
      </c>
    </row>
    <row r="153" spans="1:32" s="100" customFormat="1" ht="15" customHeight="1">
      <c r="A153" s="254">
        <f t="shared" si="2"/>
        <v>35.366666666666667</v>
      </c>
      <c r="B153" s="254">
        <f>YEAR(Data_NFI_t[[#This Row],[Distribution Date]])</f>
        <v>2013</v>
      </c>
      <c r="C153" s="585">
        <v>41461</v>
      </c>
      <c r="D153" s="547" t="s">
        <v>287</v>
      </c>
      <c r="E153" s="546" t="s">
        <v>287</v>
      </c>
      <c r="F153" s="547" t="s">
        <v>7</v>
      </c>
      <c r="G153" s="31" t="s">
        <v>12</v>
      </c>
      <c r="H153" s="31" t="s">
        <v>33</v>
      </c>
      <c r="I153" s="31"/>
      <c r="J153" s="60"/>
      <c r="K153" s="60"/>
      <c r="L153" s="60">
        <v>600</v>
      </c>
      <c r="M153" s="60">
        <v>5</v>
      </c>
      <c r="N153" s="60">
        <v>600</v>
      </c>
      <c r="O153" s="60">
        <v>300</v>
      </c>
      <c r="P153" s="60">
        <v>300</v>
      </c>
      <c r="Q153" s="60">
        <v>300</v>
      </c>
      <c r="R153" s="570"/>
      <c r="S153" s="60">
        <v>600</v>
      </c>
      <c r="T153" s="143">
        <f>IF(NFI_Expiration=1,IF($A153&lt;VLOOKUP(I$5,NFI,5,0),1,0)*Data_NFI_t[[#This Row],[Hygiene Kit]],0)</f>
        <v>0</v>
      </c>
      <c r="U153" s="143">
        <f>IF(NFI_Expiration=1,IF($A153&lt;VLOOKUP(J$5,NFI,5,0),1,0)*Data_NFI_t[[#This Row],[NFI Core Kit]],0)</f>
        <v>0</v>
      </c>
      <c r="V153" s="124">
        <f>IF(NFI_Expiration=1,IF($A153&lt;VLOOKUP(K$5,NFI,5,0),1,0)*Data_NFI_t[[#This Row],[Sanitary Kit]],0)</f>
        <v>0</v>
      </c>
      <c r="W153" s="124">
        <f>IF(NFI_Expiration=1,IF($A153&lt;VLOOKUP(L$5,NFI,5,0),1,0)*Data_NFI_t[[#This Row],[Mosquito net]],0)</f>
        <v>0</v>
      </c>
      <c r="X153" s="124">
        <f>IF(NFI_Expiration=1,IF($A153&lt;VLOOKUP(M$5,NFI,5,0),1,0)*Data_NFI_t[[#This Row],[Tarpaulin]],0)</f>
        <v>0</v>
      </c>
      <c r="Y153" s="124">
        <f>IF(NFI_Expiration=1,IF($A153&lt;VLOOKUP(N$5,NFI,5,0),1,0)*Data_NFI_t[[#This Row],[Blanket]],0)</f>
        <v>0</v>
      </c>
      <c r="Z153" s="124">
        <f>IF(NFI_Expiration=1,IF($A153&lt;VLOOKUP(O$5,NFI,5,0),1,0)*Data_NFI_t[[#This Row],[Kitchen Set]],0)</f>
        <v>0</v>
      </c>
      <c r="AA153" s="124">
        <f>IF(NFI_Expiration=1,IF($A153&lt;VLOOKUP(P$5,NFI,5,0),1,0)*Data_NFI_t[[#This Row],[Complementary Kit]],0)</f>
        <v>0</v>
      </c>
      <c r="AB153" s="124">
        <f>IF(NFI_Expiration=1,IF($A153&lt;VLOOKUP(Q$5,NFI,5,0),1,0)*Data_NFI_t[[#This Row],[Plastic Bucket]],0)</f>
        <v>0</v>
      </c>
      <c r="AC153" s="124">
        <f>IF(NFI_Expiration=1,IF($A153&lt;VLOOKUP(R$5,NFI,5,0),1,0)*Data_NFI_t[[#This Row],[Jerry Can]],0)</f>
        <v>0</v>
      </c>
      <c r="AD153" s="143">
        <f>IF(NFI_Expiration=1,IF($A153&lt;VLOOKUP(S$5,NFI,5,0),1,0)*Data_NFI_t[[#This Row],[Plastic Mat]],0)*IF(Data_NFI_t[[#This Row],[Distribution Date]]&gt;"01-06-2015",1,2.5)</f>
        <v>0</v>
      </c>
      <c r="AE153" s="143" t="str">
        <f ca="1">IFERROR(OFFSET(Camp_List[P_Code],MATCH(Data_NFI_t[[#This Row],[Camp Name]],Camp_List[Camp Name],0)-1,0,1,1),"")</f>
        <v>MMR012CMP009</v>
      </c>
      <c r="AF153" s="572" t="str">
        <f ca="1">IFERROR(OFFSET(Camp_List[Status],MATCH(Data_NFI_t[[#This Row],[Camp Name]],Camp_List[Camp Name],0)-1,0,1,1),"")</f>
        <v>Returned in Individual Housing</v>
      </c>
    </row>
    <row r="154" spans="1:32" s="100" customFormat="1" ht="15" customHeight="1">
      <c r="A154" s="254">
        <f t="shared" si="2"/>
        <v>35.366666666666667</v>
      </c>
      <c r="B154" s="254">
        <f>YEAR(Data_NFI_t[[#This Row],[Distribution Date]])</f>
        <v>2013</v>
      </c>
      <c r="C154" s="585">
        <v>41461</v>
      </c>
      <c r="D154" s="547" t="s">
        <v>287</v>
      </c>
      <c r="E154" s="546" t="s">
        <v>287</v>
      </c>
      <c r="F154" s="547" t="s">
        <v>7</v>
      </c>
      <c r="G154" s="31" t="s">
        <v>11</v>
      </c>
      <c r="H154" s="31" t="s">
        <v>29</v>
      </c>
      <c r="I154" s="31"/>
      <c r="J154" s="60"/>
      <c r="K154" s="60"/>
      <c r="L154" s="60">
        <v>458</v>
      </c>
      <c r="M154" s="60"/>
      <c r="N154" s="60">
        <v>458</v>
      </c>
      <c r="O154" s="60">
        <v>229</v>
      </c>
      <c r="P154" s="60">
        <v>229</v>
      </c>
      <c r="Q154" s="60">
        <v>229</v>
      </c>
      <c r="R154" s="570"/>
      <c r="S154" s="60">
        <v>458</v>
      </c>
      <c r="T154" s="143">
        <f>IF(NFI_Expiration=1,IF($A154&lt;VLOOKUP(I$5,NFI,5,0),1,0)*Data_NFI_t[[#This Row],[Hygiene Kit]],0)</f>
        <v>0</v>
      </c>
      <c r="U154" s="143">
        <f>IF(NFI_Expiration=1,IF($A154&lt;VLOOKUP(J$5,NFI,5,0),1,0)*Data_NFI_t[[#This Row],[NFI Core Kit]],0)</f>
        <v>0</v>
      </c>
      <c r="V154" s="124">
        <f>IF(NFI_Expiration=1,IF($A154&lt;VLOOKUP(K$5,NFI,5,0),1,0)*Data_NFI_t[[#This Row],[Sanitary Kit]],0)</f>
        <v>0</v>
      </c>
      <c r="W154" s="124">
        <f>IF(NFI_Expiration=1,IF($A154&lt;VLOOKUP(L$5,NFI,5,0),1,0)*Data_NFI_t[[#This Row],[Mosquito net]],0)</f>
        <v>0</v>
      </c>
      <c r="X154" s="124">
        <f>IF(NFI_Expiration=1,IF($A154&lt;VLOOKUP(M$5,NFI,5,0),1,0)*Data_NFI_t[[#This Row],[Tarpaulin]],0)</f>
        <v>0</v>
      </c>
      <c r="Y154" s="124">
        <f>IF(NFI_Expiration=1,IF($A154&lt;VLOOKUP(N$5,NFI,5,0),1,0)*Data_NFI_t[[#This Row],[Blanket]],0)</f>
        <v>0</v>
      </c>
      <c r="Z154" s="124">
        <f>IF(NFI_Expiration=1,IF($A154&lt;VLOOKUP(O$5,NFI,5,0),1,0)*Data_NFI_t[[#This Row],[Kitchen Set]],0)</f>
        <v>0</v>
      </c>
      <c r="AA154" s="124">
        <f>IF(NFI_Expiration=1,IF($A154&lt;VLOOKUP(P$5,NFI,5,0),1,0)*Data_NFI_t[[#This Row],[Complementary Kit]],0)</f>
        <v>0</v>
      </c>
      <c r="AB154" s="124">
        <f>IF(NFI_Expiration=1,IF($A154&lt;VLOOKUP(Q$5,NFI,5,0),1,0)*Data_NFI_t[[#This Row],[Plastic Bucket]],0)</f>
        <v>0</v>
      </c>
      <c r="AC154" s="124">
        <f>IF(NFI_Expiration=1,IF($A154&lt;VLOOKUP(R$5,NFI,5,0),1,0)*Data_NFI_t[[#This Row],[Jerry Can]],0)</f>
        <v>0</v>
      </c>
      <c r="AD154" s="143">
        <f>IF(NFI_Expiration=1,IF($A154&lt;VLOOKUP(S$5,NFI,5,0),1,0)*Data_NFI_t[[#This Row],[Plastic Mat]],0)*IF(Data_NFI_t[[#This Row],[Distribution Date]]&gt;"01-06-2015",1,2.5)</f>
        <v>0</v>
      </c>
      <c r="AE154" s="143" t="str">
        <f ca="1">IFERROR(OFFSET(Camp_List[P_Code],MATCH(Data_NFI_t[[#This Row],[Camp Name]],Camp_List[Camp Name],0)-1,0,1,1),"")</f>
        <v>MMR012CMP005</v>
      </c>
      <c r="AF154" s="572" t="str">
        <f ca="1">IFERROR(OFFSET(Camp_List[Status],MATCH(Data_NFI_t[[#This Row],[Camp Name]],Camp_List[Camp Name],0)-1,0,1,1),"")</f>
        <v>Returned in Individual Housing</v>
      </c>
    </row>
    <row r="155" spans="1:32" s="100" customFormat="1" ht="15" customHeight="1">
      <c r="A155" s="254">
        <f t="shared" si="2"/>
        <v>35.366666666666667</v>
      </c>
      <c r="B155" s="254">
        <f>YEAR(Data_NFI_t[[#This Row],[Distribution Date]])</f>
        <v>2013</v>
      </c>
      <c r="C155" s="585">
        <v>41461</v>
      </c>
      <c r="D155" s="547" t="s">
        <v>287</v>
      </c>
      <c r="E155" s="546" t="s">
        <v>287</v>
      </c>
      <c r="F155" s="547" t="s">
        <v>7</v>
      </c>
      <c r="G155" s="31" t="s">
        <v>12</v>
      </c>
      <c r="H155" s="31" t="s">
        <v>34</v>
      </c>
      <c r="I155" s="31"/>
      <c r="J155" s="60"/>
      <c r="K155" s="60"/>
      <c r="L155" s="60">
        <v>730</v>
      </c>
      <c r="M155" s="60"/>
      <c r="N155" s="60">
        <v>730</v>
      </c>
      <c r="O155" s="60">
        <v>365</v>
      </c>
      <c r="P155" s="60">
        <v>365</v>
      </c>
      <c r="Q155" s="60">
        <v>365</v>
      </c>
      <c r="R155" s="570"/>
      <c r="S155" s="60">
        <v>730</v>
      </c>
      <c r="T155" s="143">
        <f>IF(NFI_Expiration=1,IF($A155&lt;VLOOKUP(I$5,NFI,5,0),1,0)*Data_NFI_t[[#This Row],[Hygiene Kit]],0)</f>
        <v>0</v>
      </c>
      <c r="U155" s="143">
        <f>IF(NFI_Expiration=1,IF($A155&lt;VLOOKUP(J$5,NFI,5,0),1,0)*Data_NFI_t[[#This Row],[NFI Core Kit]],0)</f>
        <v>0</v>
      </c>
      <c r="V155" s="124">
        <f>IF(NFI_Expiration=1,IF($A155&lt;VLOOKUP(K$5,NFI,5,0),1,0)*Data_NFI_t[[#This Row],[Sanitary Kit]],0)</f>
        <v>0</v>
      </c>
      <c r="W155" s="124">
        <f>IF(NFI_Expiration=1,IF($A155&lt;VLOOKUP(L$5,NFI,5,0),1,0)*Data_NFI_t[[#This Row],[Mosquito net]],0)</f>
        <v>0</v>
      </c>
      <c r="X155" s="124">
        <f>IF(NFI_Expiration=1,IF($A155&lt;VLOOKUP(M$5,NFI,5,0),1,0)*Data_NFI_t[[#This Row],[Tarpaulin]],0)</f>
        <v>0</v>
      </c>
      <c r="Y155" s="124">
        <f>IF(NFI_Expiration=1,IF($A155&lt;VLOOKUP(N$5,NFI,5,0),1,0)*Data_NFI_t[[#This Row],[Blanket]],0)</f>
        <v>0</v>
      </c>
      <c r="Z155" s="124">
        <f>IF(NFI_Expiration=1,IF($A155&lt;VLOOKUP(O$5,NFI,5,0),1,0)*Data_NFI_t[[#This Row],[Kitchen Set]],0)</f>
        <v>0</v>
      </c>
      <c r="AA155" s="124">
        <f>IF(NFI_Expiration=1,IF($A155&lt;VLOOKUP(P$5,NFI,5,0),1,0)*Data_NFI_t[[#This Row],[Complementary Kit]],0)</f>
        <v>0</v>
      </c>
      <c r="AB155" s="124">
        <f>IF(NFI_Expiration=1,IF($A155&lt;VLOOKUP(Q$5,NFI,5,0),1,0)*Data_NFI_t[[#This Row],[Plastic Bucket]],0)</f>
        <v>0</v>
      </c>
      <c r="AC155" s="124">
        <f>IF(NFI_Expiration=1,IF($A155&lt;VLOOKUP(R$5,NFI,5,0),1,0)*Data_NFI_t[[#This Row],[Jerry Can]],0)</f>
        <v>0</v>
      </c>
      <c r="AD155" s="143">
        <f>IF(NFI_Expiration=1,IF($A155&lt;VLOOKUP(S$5,NFI,5,0),1,0)*Data_NFI_t[[#This Row],[Plastic Mat]],0)*IF(Data_NFI_t[[#This Row],[Distribution Date]]&gt;"01-06-2015",1,2.5)</f>
        <v>0</v>
      </c>
      <c r="AE155" s="143" t="str">
        <f ca="1">IFERROR(OFFSET(Camp_List[P_Code],MATCH(Data_NFI_t[[#This Row],[Camp Name]],Camp_List[Camp Name],0)-1,0,1,1),"")</f>
        <v>MMR012CMP010</v>
      </c>
      <c r="AF155" s="572" t="str">
        <f ca="1">IFERROR(OFFSET(Camp_List[Status],MATCH(Data_NFI_t[[#This Row],[Camp Name]],Camp_List[Camp Name],0)-1,0,1,1),"")</f>
        <v>Returned in Individual Housing</v>
      </c>
    </row>
    <row r="156" spans="1:32" s="100" customFormat="1" ht="15" customHeight="1">
      <c r="A156" s="254">
        <f t="shared" si="2"/>
        <v>35.533333333333331</v>
      </c>
      <c r="B156" s="254">
        <f>YEAR(Data_NFI_t[[#This Row],[Distribution Date]])</f>
        <v>2013</v>
      </c>
      <c r="C156" s="585">
        <v>41456</v>
      </c>
      <c r="D156" s="547" t="s">
        <v>287</v>
      </c>
      <c r="E156" s="546" t="s">
        <v>287</v>
      </c>
      <c r="F156" s="547" t="s">
        <v>7</v>
      </c>
      <c r="G156" s="31" t="s">
        <v>15</v>
      </c>
      <c r="H156" s="31" t="s">
        <v>48</v>
      </c>
      <c r="I156" s="31"/>
      <c r="J156" s="60"/>
      <c r="K156" s="60"/>
      <c r="L156" s="60">
        <v>224</v>
      </c>
      <c r="M156" s="60">
        <v>400</v>
      </c>
      <c r="N156" s="60">
        <v>224</v>
      </c>
      <c r="O156" s="60">
        <v>112</v>
      </c>
      <c r="P156" s="60">
        <v>112</v>
      </c>
      <c r="Q156" s="60">
        <v>112</v>
      </c>
      <c r="R156" s="570"/>
      <c r="S156" s="60">
        <v>224</v>
      </c>
      <c r="T156" s="143">
        <f>IF(NFI_Expiration=1,IF($A156&lt;VLOOKUP(I$5,NFI,5,0),1,0)*Data_NFI_t[[#This Row],[Hygiene Kit]],0)</f>
        <v>0</v>
      </c>
      <c r="U156" s="143">
        <f>IF(NFI_Expiration=1,IF($A156&lt;VLOOKUP(J$5,NFI,5,0),1,0)*Data_NFI_t[[#This Row],[NFI Core Kit]],0)</f>
        <v>0</v>
      </c>
      <c r="V156" s="124">
        <f>IF(NFI_Expiration=1,IF($A156&lt;VLOOKUP(K$5,NFI,5,0),1,0)*Data_NFI_t[[#This Row],[Sanitary Kit]],0)</f>
        <v>0</v>
      </c>
      <c r="W156" s="124">
        <f>IF(NFI_Expiration=1,IF($A156&lt;VLOOKUP(L$5,NFI,5,0),1,0)*Data_NFI_t[[#This Row],[Mosquito net]],0)</f>
        <v>0</v>
      </c>
      <c r="X156" s="124">
        <f>IF(NFI_Expiration=1,IF($A156&lt;VLOOKUP(M$5,NFI,5,0),1,0)*Data_NFI_t[[#This Row],[Tarpaulin]],0)</f>
        <v>0</v>
      </c>
      <c r="Y156" s="124">
        <f>IF(NFI_Expiration=1,IF($A156&lt;VLOOKUP(N$5,NFI,5,0),1,0)*Data_NFI_t[[#This Row],[Blanket]],0)</f>
        <v>0</v>
      </c>
      <c r="Z156" s="124">
        <f>IF(NFI_Expiration=1,IF($A156&lt;VLOOKUP(O$5,NFI,5,0),1,0)*Data_NFI_t[[#This Row],[Kitchen Set]],0)</f>
        <v>0</v>
      </c>
      <c r="AA156" s="124">
        <f>IF(NFI_Expiration=1,IF($A156&lt;VLOOKUP(P$5,NFI,5,0),1,0)*Data_NFI_t[[#This Row],[Complementary Kit]],0)</f>
        <v>0</v>
      </c>
      <c r="AB156" s="124">
        <f>IF(NFI_Expiration=1,IF($A156&lt;VLOOKUP(Q$5,NFI,5,0),1,0)*Data_NFI_t[[#This Row],[Plastic Bucket]],0)</f>
        <v>0</v>
      </c>
      <c r="AC156" s="124">
        <f>IF(NFI_Expiration=1,IF($A156&lt;VLOOKUP(R$5,NFI,5,0),1,0)*Data_NFI_t[[#This Row],[Jerry Can]],0)</f>
        <v>0</v>
      </c>
      <c r="AD156" s="143">
        <f>IF(NFI_Expiration=1,IF($A156&lt;VLOOKUP(S$5,NFI,5,0),1,0)*Data_NFI_t[[#This Row],[Plastic Mat]],0)*IF(Data_NFI_t[[#This Row],[Distribution Date]]&gt;"01-06-2015",1,2.5)</f>
        <v>0</v>
      </c>
      <c r="AE156" s="143" t="str">
        <f ca="1">IFERROR(OFFSET(Camp_List[P_Code],MATCH(Data_NFI_t[[#This Row],[Camp Name]],Camp_List[Camp Name],0)-1,0,1,1),"")</f>
        <v>MMR012CMP024</v>
      </c>
      <c r="AF156" s="572" t="str">
        <f ca="1">IFERROR(OFFSET(Camp_List[Status],MATCH(Data_NFI_t[[#This Row],[Camp Name]],Camp_List[Camp Name],0)-1,0,1,1),"")</f>
        <v>Returned in Individual Housing</v>
      </c>
    </row>
    <row r="157" spans="1:32" s="100" customFormat="1" ht="15" customHeight="1">
      <c r="A157" s="254">
        <f t="shared" si="2"/>
        <v>35.533333333333331</v>
      </c>
      <c r="B157" s="254">
        <f>YEAR(Data_NFI_t[[#This Row],[Distribution Date]])</f>
        <v>2013</v>
      </c>
      <c r="C157" s="585">
        <v>41456</v>
      </c>
      <c r="D157" s="547" t="s">
        <v>287</v>
      </c>
      <c r="E157" s="546" t="s">
        <v>287</v>
      </c>
      <c r="F157" s="547" t="s">
        <v>7</v>
      </c>
      <c r="G157" s="31" t="s">
        <v>15</v>
      </c>
      <c r="H157" s="31" t="s">
        <v>51</v>
      </c>
      <c r="I157" s="31"/>
      <c r="J157" s="60"/>
      <c r="K157" s="60"/>
      <c r="L157" s="60">
        <v>232</v>
      </c>
      <c r="M157" s="60">
        <v>220</v>
      </c>
      <c r="N157" s="60">
        <v>232</v>
      </c>
      <c r="O157" s="60">
        <v>116</v>
      </c>
      <c r="P157" s="60">
        <v>116</v>
      </c>
      <c r="Q157" s="60">
        <v>116</v>
      </c>
      <c r="R157" s="570"/>
      <c r="S157" s="60">
        <v>232</v>
      </c>
      <c r="T157" s="143">
        <f>IF(NFI_Expiration=1,IF($A157&lt;VLOOKUP(I$5,NFI,5,0),1,0)*Data_NFI_t[[#This Row],[Hygiene Kit]],0)</f>
        <v>0</v>
      </c>
      <c r="U157" s="143">
        <f>IF(NFI_Expiration=1,IF($A157&lt;VLOOKUP(J$5,NFI,5,0),1,0)*Data_NFI_t[[#This Row],[NFI Core Kit]],0)</f>
        <v>0</v>
      </c>
      <c r="V157" s="124">
        <f>IF(NFI_Expiration=1,IF($A157&lt;VLOOKUP(K$5,NFI,5,0),1,0)*Data_NFI_t[[#This Row],[Sanitary Kit]],0)</f>
        <v>0</v>
      </c>
      <c r="W157" s="124">
        <f>IF(NFI_Expiration=1,IF($A157&lt;VLOOKUP(L$5,NFI,5,0),1,0)*Data_NFI_t[[#This Row],[Mosquito net]],0)</f>
        <v>0</v>
      </c>
      <c r="X157" s="124">
        <f>IF(NFI_Expiration=1,IF($A157&lt;VLOOKUP(M$5,NFI,5,0),1,0)*Data_NFI_t[[#This Row],[Tarpaulin]],0)</f>
        <v>0</v>
      </c>
      <c r="Y157" s="124">
        <f>IF(NFI_Expiration=1,IF($A157&lt;VLOOKUP(N$5,NFI,5,0),1,0)*Data_NFI_t[[#This Row],[Blanket]],0)</f>
        <v>0</v>
      </c>
      <c r="Z157" s="124">
        <f>IF(NFI_Expiration=1,IF($A157&lt;VLOOKUP(O$5,NFI,5,0),1,0)*Data_NFI_t[[#This Row],[Kitchen Set]],0)</f>
        <v>0</v>
      </c>
      <c r="AA157" s="124">
        <f>IF(NFI_Expiration=1,IF($A157&lt;VLOOKUP(P$5,NFI,5,0),1,0)*Data_NFI_t[[#This Row],[Complementary Kit]],0)</f>
        <v>0</v>
      </c>
      <c r="AB157" s="124">
        <f>IF(NFI_Expiration=1,IF($A157&lt;VLOOKUP(Q$5,NFI,5,0),1,0)*Data_NFI_t[[#This Row],[Plastic Bucket]],0)</f>
        <v>0</v>
      </c>
      <c r="AC157" s="124">
        <f>IF(NFI_Expiration=1,IF($A157&lt;VLOOKUP(R$5,NFI,5,0),1,0)*Data_NFI_t[[#This Row],[Jerry Can]],0)</f>
        <v>0</v>
      </c>
      <c r="AD157" s="143">
        <f>IF(NFI_Expiration=1,IF($A157&lt;VLOOKUP(S$5,NFI,5,0),1,0)*Data_NFI_t[[#This Row],[Plastic Mat]],0)*IF(Data_NFI_t[[#This Row],[Distribution Date]]&gt;"01-06-2015",1,2.5)</f>
        <v>0</v>
      </c>
      <c r="AE157" s="143" t="str">
        <f ca="1">IFERROR(OFFSET(Camp_List[P_Code],MATCH(Data_NFI_t[[#This Row],[Camp Name]],Camp_List[Camp Name],0)-1,0,1,1),"")</f>
        <v>MMR012CMP027</v>
      </c>
      <c r="AF157" s="572" t="str">
        <f ca="1">IFERROR(OFFSET(Camp_List[Status],MATCH(Data_NFI_t[[#This Row],[Camp Name]],Camp_List[Camp Name],0)-1,0,1,1),"")</f>
        <v>Returned in Individual Housing</v>
      </c>
    </row>
    <row r="158" spans="1:32" s="100" customFormat="1" ht="15" customHeight="1">
      <c r="A158" s="254">
        <f t="shared" si="2"/>
        <v>35.533333333333331</v>
      </c>
      <c r="B158" s="254">
        <f>YEAR(Data_NFI_t[[#This Row],[Distribution Date]])</f>
        <v>2013</v>
      </c>
      <c r="C158" s="585">
        <v>41456</v>
      </c>
      <c r="D158" s="547" t="s">
        <v>287</v>
      </c>
      <c r="E158" s="546" t="s">
        <v>287</v>
      </c>
      <c r="F158" s="547" t="s">
        <v>7</v>
      </c>
      <c r="G158" s="31" t="s">
        <v>15</v>
      </c>
      <c r="H158" s="31" t="s">
        <v>50</v>
      </c>
      <c r="I158" s="31"/>
      <c r="J158" s="60"/>
      <c r="K158" s="60"/>
      <c r="L158" s="60">
        <v>460</v>
      </c>
      <c r="M158" s="60">
        <v>145</v>
      </c>
      <c r="N158" s="60">
        <v>460</v>
      </c>
      <c r="O158" s="60">
        <v>230</v>
      </c>
      <c r="P158" s="60">
        <v>230</v>
      </c>
      <c r="Q158" s="60">
        <v>230</v>
      </c>
      <c r="R158" s="570"/>
      <c r="S158" s="60">
        <v>460</v>
      </c>
      <c r="T158" s="143">
        <f>IF(NFI_Expiration=1,IF($A158&lt;VLOOKUP(I$5,NFI,5,0),1,0)*Data_NFI_t[[#This Row],[Hygiene Kit]],0)</f>
        <v>0</v>
      </c>
      <c r="U158" s="143">
        <f>IF(NFI_Expiration=1,IF($A158&lt;VLOOKUP(J$5,NFI,5,0),1,0)*Data_NFI_t[[#This Row],[NFI Core Kit]],0)</f>
        <v>0</v>
      </c>
      <c r="V158" s="124">
        <f>IF(NFI_Expiration=1,IF($A158&lt;VLOOKUP(K$5,NFI,5,0),1,0)*Data_NFI_t[[#This Row],[Sanitary Kit]],0)</f>
        <v>0</v>
      </c>
      <c r="W158" s="124">
        <f>IF(NFI_Expiration=1,IF($A158&lt;VLOOKUP(L$5,NFI,5,0),1,0)*Data_NFI_t[[#This Row],[Mosquito net]],0)</f>
        <v>0</v>
      </c>
      <c r="X158" s="124">
        <f>IF(NFI_Expiration=1,IF($A158&lt;VLOOKUP(M$5,NFI,5,0),1,0)*Data_NFI_t[[#This Row],[Tarpaulin]],0)</f>
        <v>0</v>
      </c>
      <c r="Y158" s="124">
        <f>IF(NFI_Expiration=1,IF($A158&lt;VLOOKUP(N$5,NFI,5,0),1,0)*Data_NFI_t[[#This Row],[Blanket]],0)</f>
        <v>0</v>
      </c>
      <c r="Z158" s="124">
        <f>IF(NFI_Expiration=1,IF($A158&lt;VLOOKUP(O$5,NFI,5,0),1,0)*Data_NFI_t[[#This Row],[Kitchen Set]],0)</f>
        <v>0</v>
      </c>
      <c r="AA158" s="124">
        <f>IF(NFI_Expiration=1,IF($A158&lt;VLOOKUP(P$5,NFI,5,0),1,0)*Data_NFI_t[[#This Row],[Complementary Kit]],0)</f>
        <v>0</v>
      </c>
      <c r="AB158" s="124">
        <f>IF(NFI_Expiration=1,IF($A158&lt;VLOOKUP(Q$5,NFI,5,0),1,0)*Data_NFI_t[[#This Row],[Plastic Bucket]],0)</f>
        <v>0</v>
      </c>
      <c r="AC158" s="124">
        <f>IF(NFI_Expiration=1,IF($A158&lt;VLOOKUP(R$5,NFI,5,0),1,0)*Data_NFI_t[[#This Row],[Jerry Can]],0)</f>
        <v>0</v>
      </c>
      <c r="AD158" s="143">
        <f>IF(NFI_Expiration=1,IF($A158&lt;VLOOKUP(S$5,NFI,5,0),1,0)*Data_NFI_t[[#This Row],[Plastic Mat]],0)*IF(Data_NFI_t[[#This Row],[Distribution Date]]&gt;"01-06-2015",1,2.5)</f>
        <v>0</v>
      </c>
      <c r="AE158" s="143" t="str">
        <f ca="1">IFERROR(OFFSET(Camp_List[P_Code],MATCH(Data_NFI_t[[#This Row],[Camp Name]],Camp_List[Camp Name],0)-1,0,1,1),"")</f>
        <v>MMR012CMP026</v>
      </c>
      <c r="AF158" s="572" t="str">
        <f ca="1">IFERROR(OFFSET(Camp_List[Status],MATCH(Data_NFI_t[[#This Row],[Camp Name]],Camp_List[Camp Name],0)-1,0,1,1),"")</f>
        <v>Returned in Individual Housing</v>
      </c>
    </row>
    <row r="159" spans="1:32" s="100" customFormat="1" ht="15" customHeight="1">
      <c r="A159" s="254">
        <f t="shared" si="2"/>
        <v>35.533333333333331</v>
      </c>
      <c r="B159" s="254">
        <f>YEAR(Data_NFI_t[[#This Row],[Distribution Date]])</f>
        <v>2013</v>
      </c>
      <c r="C159" s="585">
        <v>41456</v>
      </c>
      <c r="D159" s="547" t="s">
        <v>287</v>
      </c>
      <c r="E159" s="546" t="s">
        <v>287</v>
      </c>
      <c r="F159" s="547" t="s">
        <v>7</v>
      </c>
      <c r="G159" s="31" t="s">
        <v>15</v>
      </c>
      <c r="H159" s="31" t="s">
        <v>54</v>
      </c>
      <c r="I159" s="31"/>
      <c r="J159" s="60"/>
      <c r="K159" s="60"/>
      <c r="L159" s="60">
        <v>318</v>
      </c>
      <c r="M159" s="60">
        <v>4</v>
      </c>
      <c r="N159" s="60">
        <v>318</v>
      </c>
      <c r="O159" s="60">
        <v>159</v>
      </c>
      <c r="P159" s="60">
        <v>159</v>
      </c>
      <c r="Q159" s="60">
        <v>159</v>
      </c>
      <c r="R159" s="570"/>
      <c r="S159" s="60">
        <v>318</v>
      </c>
      <c r="T159" s="143">
        <f>IF(NFI_Expiration=1,IF($A159&lt;VLOOKUP(I$5,NFI,5,0),1,0)*Data_NFI_t[[#This Row],[Hygiene Kit]],0)</f>
        <v>0</v>
      </c>
      <c r="U159" s="143">
        <f>IF(NFI_Expiration=1,IF($A159&lt;VLOOKUP(J$5,NFI,5,0),1,0)*Data_NFI_t[[#This Row],[NFI Core Kit]],0)</f>
        <v>0</v>
      </c>
      <c r="V159" s="124">
        <f>IF(NFI_Expiration=1,IF($A159&lt;VLOOKUP(K$5,NFI,5,0),1,0)*Data_NFI_t[[#This Row],[Sanitary Kit]],0)</f>
        <v>0</v>
      </c>
      <c r="W159" s="124">
        <f>IF(NFI_Expiration=1,IF($A159&lt;VLOOKUP(L$5,NFI,5,0),1,0)*Data_NFI_t[[#This Row],[Mosquito net]],0)</f>
        <v>0</v>
      </c>
      <c r="X159" s="124">
        <f>IF(NFI_Expiration=1,IF($A159&lt;VLOOKUP(M$5,NFI,5,0),1,0)*Data_NFI_t[[#This Row],[Tarpaulin]],0)</f>
        <v>0</v>
      </c>
      <c r="Y159" s="124">
        <f>IF(NFI_Expiration=1,IF($A159&lt;VLOOKUP(N$5,NFI,5,0),1,0)*Data_NFI_t[[#This Row],[Blanket]],0)</f>
        <v>0</v>
      </c>
      <c r="Z159" s="124">
        <f>IF(NFI_Expiration=1,IF($A159&lt;VLOOKUP(O$5,NFI,5,0),1,0)*Data_NFI_t[[#This Row],[Kitchen Set]],0)</f>
        <v>0</v>
      </c>
      <c r="AA159" s="124">
        <f>IF(NFI_Expiration=1,IF($A159&lt;VLOOKUP(P$5,NFI,5,0),1,0)*Data_NFI_t[[#This Row],[Complementary Kit]],0)</f>
        <v>0</v>
      </c>
      <c r="AB159" s="124">
        <f>IF(NFI_Expiration=1,IF($A159&lt;VLOOKUP(Q$5,NFI,5,0),1,0)*Data_NFI_t[[#This Row],[Plastic Bucket]],0)</f>
        <v>0</v>
      </c>
      <c r="AC159" s="124">
        <f>IF(NFI_Expiration=1,IF($A159&lt;VLOOKUP(R$5,NFI,5,0),1,0)*Data_NFI_t[[#This Row],[Jerry Can]],0)</f>
        <v>0</v>
      </c>
      <c r="AD159" s="143">
        <f>IF(NFI_Expiration=1,IF($A159&lt;VLOOKUP(S$5,NFI,5,0),1,0)*Data_NFI_t[[#This Row],[Plastic Mat]],0)*IF(Data_NFI_t[[#This Row],[Distribution Date]]&gt;"01-06-2015",1,2.5)</f>
        <v>0</v>
      </c>
      <c r="AE159" s="143" t="str">
        <f ca="1">IFERROR(OFFSET(Camp_List[P_Code],MATCH(Data_NFI_t[[#This Row],[Camp Name]],Camp_List[Camp Name],0)-1,0,1,1),"")</f>
        <v>MMR012CMP030</v>
      </c>
      <c r="AF159" s="572" t="str">
        <f ca="1">IFERROR(OFFSET(Camp_List[Status],MATCH(Data_NFI_t[[#This Row],[Camp Name]],Camp_List[Camp Name],0)-1,0,1,1),"")</f>
        <v>Relocated in Individual Housing</v>
      </c>
    </row>
    <row r="160" spans="1:32" s="100" customFormat="1" ht="15" customHeight="1">
      <c r="A160" s="254">
        <f t="shared" si="2"/>
        <v>35.533333333333331</v>
      </c>
      <c r="B160" s="254">
        <f>YEAR(Data_NFI_t[[#This Row],[Distribution Date]])</f>
        <v>2013</v>
      </c>
      <c r="C160" s="585">
        <v>41456</v>
      </c>
      <c r="D160" s="547" t="s">
        <v>526</v>
      </c>
      <c r="E160" s="546" t="s">
        <v>287</v>
      </c>
      <c r="F160" s="547" t="s">
        <v>7</v>
      </c>
      <c r="G160" s="31" t="s">
        <v>15</v>
      </c>
      <c r="H160" s="31" t="s">
        <v>44</v>
      </c>
      <c r="I160" s="31"/>
      <c r="J160" s="60"/>
      <c r="K160" s="60">
        <v>60</v>
      </c>
      <c r="L160" s="60"/>
      <c r="M160" s="60"/>
      <c r="N160" s="60"/>
      <c r="O160" s="60"/>
      <c r="P160" s="60"/>
      <c r="Q160" s="60"/>
      <c r="R160" s="570"/>
      <c r="S160" s="60"/>
      <c r="T160" s="143">
        <f>IF(NFI_Expiration=1,IF($A160&lt;VLOOKUP(I$5,NFI,5,0),1,0)*Data_NFI_t[[#This Row],[Hygiene Kit]],0)</f>
        <v>0</v>
      </c>
      <c r="U160" s="143">
        <f>IF(NFI_Expiration=1,IF($A160&lt;VLOOKUP(J$5,NFI,5,0),1,0)*Data_NFI_t[[#This Row],[NFI Core Kit]],0)</f>
        <v>0</v>
      </c>
      <c r="V160" s="124">
        <f>IF(NFI_Expiration=1,IF($A160&lt;VLOOKUP(K$5,NFI,5,0),1,0)*Data_NFI_t[[#This Row],[Sanitary Kit]],0)</f>
        <v>0</v>
      </c>
      <c r="W160" s="124">
        <f>IF(NFI_Expiration=1,IF($A160&lt;VLOOKUP(L$5,NFI,5,0),1,0)*Data_NFI_t[[#This Row],[Mosquito net]],0)</f>
        <v>0</v>
      </c>
      <c r="X160" s="124">
        <f>IF(NFI_Expiration=1,IF($A160&lt;VLOOKUP(M$5,NFI,5,0),1,0)*Data_NFI_t[[#This Row],[Tarpaulin]],0)</f>
        <v>0</v>
      </c>
      <c r="Y160" s="124">
        <f>IF(NFI_Expiration=1,IF($A160&lt;VLOOKUP(N$5,NFI,5,0),1,0)*Data_NFI_t[[#This Row],[Blanket]],0)</f>
        <v>0</v>
      </c>
      <c r="Z160" s="124">
        <f>IF(NFI_Expiration=1,IF($A160&lt;VLOOKUP(O$5,NFI,5,0),1,0)*Data_NFI_t[[#This Row],[Kitchen Set]],0)</f>
        <v>0</v>
      </c>
      <c r="AA160" s="124">
        <f>IF(NFI_Expiration=1,IF($A160&lt;VLOOKUP(P$5,NFI,5,0),1,0)*Data_NFI_t[[#This Row],[Complementary Kit]],0)</f>
        <v>0</v>
      </c>
      <c r="AB160" s="124">
        <f>IF(NFI_Expiration=1,IF($A160&lt;VLOOKUP(Q$5,NFI,5,0),1,0)*Data_NFI_t[[#This Row],[Plastic Bucket]],0)</f>
        <v>0</v>
      </c>
      <c r="AC160" s="124">
        <f>IF(NFI_Expiration=1,IF($A160&lt;VLOOKUP(R$5,NFI,5,0),1,0)*Data_NFI_t[[#This Row],[Jerry Can]],0)</f>
        <v>0</v>
      </c>
      <c r="AD160" s="143">
        <f>IF(NFI_Expiration=1,IF($A160&lt;VLOOKUP(S$5,NFI,5,0),1,0)*Data_NFI_t[[#This Row],[Plastic Mat]],0)*IF(Data_NFI_t[[#This Row],[Distribution Date]]&gt;"01-06-2015",1,2.5)</f>
        <v>0</v>
      </c>
      <c r="AE160" s="143" t="str">
        <f ca="1">IFERROR(OFFSET(Camp_List[P_Code],MATCH(Data_NFI_t[[#This Row],[Camp Name]],Camp_List[Camp Name],0)-1,0,1,1),"")</f>
        <v>MMR012CMP020</v>
      </c>
      <c r="AF160" s="572" t="str">
        <f ca="1">IFERROR(OFFSET(Camp_List[Status],MATCH(Data_NFI_t[[#This Row],[Camp Name]],Camp_List[Camp Name],0)-1,0,1,1),"")</f>
        <v>Returned in Individual Housing</v>
      </c>
    </row>
    <row r="161" spans="1:32" s="100" customFormat="1" ht="15" customHeight="1">
      <c r="A161" s="254">
        <f t="shared" si="2"/>
        <v>35.533333333333331</v>
      </c>
      <c r="B161" s="254">
        <f>YEAR(Data_NFI_t[[#This Row],[Distribution Date]])</f>
        <v>2013</v>
      </c>
      <c r="C161" s="585">
        <v>41456</v>
      </c>
      <c r="D161" s="547" t="s">
        <v>287</v>
      </c>
      <c r="E161" s="546" t="s">
        <v>287</v>
      </c>
      <c r="F161" s="547" t="s">
        <v>7</v>
      </c>
      <c r="G161" s="31" t="s">
        <v>15</v>
      </c>
      <c r="H161" s="31" t="s">
        <v>44</v>
      </c>
      <c r="I161" s="31"/>
      <c r="J161" s="60"/>
      <c r="K161" s="60"/>
      <c r="L161" s="60">
        <v>166</v>
      </c>
      <c r="M161" s="60">
        <v>81</v>
      </c>
      <c r="N161" s="60">
        <v>166</v>
      </c>
      <c r="O161" s="60">
        <v>83</v>
      </c>
      <c r="P161" s="60">
        <v>83</v>
      </c>
      <c r="Q161" s="60">
        <v>83</v>
      </c>
      <c r="R161" s="570"/>
      <c r="S161" s="60">
        <v>166</v>
      </c>
      <c r="T161" s="143">
        <f>IF(NFI_Expiration=1,IF($A161&lt;VLOOKUP(I$5,NFI,5,0),1,0)*Data_NFI_t[[#This Row],[Hygiene Kit]],0)</f>
        <v>0</v>
      </c>
      <c r="U161" s="143">
        <f>IF(NFI_Expiration=1,IF($A161&lt;VLOOKUP(J$5,NFI,5,0),1,0)*Data_NFI_t[[#This Row],[NFI Core Kit]],0)</f>
        <v>0</v>
      </c>
      <c r="V161" s="124">
        <f>IF(NFI_Expiration=1,IF($A161&lt;VLOOKUP(K$5,NFI,5,0),1,0)*Data_NFI_t[[#This Row],[Sanitary Kit]],0)</f>
        <v>0</v>
      </c>
      <c r="W161" s="124">
        <f>IF(NFI_Expiration=1,IF($A161&lt;VLOOKUP(L$5,NFI,5,0),1,0)*Data_NFI_t[[#This Row],[Mosquito net]],0)</f>
        <v>0</v>
      </c>
      <c r="X161" s="124">
        <f>IF(NFI_Expiration=1,IF($A161&lt;VLOOKUP(M$5,NFI,5,0),1,0)*Data_NFI_t[[#This Row],[Tarpaulin]],0)</f>
        <v>0</v>
      </c>
      <c r="Y161" s="124">
        <f>IF(NFI_Expiration=1,IF($A161&lt;VLOOKUP(N$5,NFI,5,0),1,0)*Data_NFI_t[[#This Row],[Blanket]],0)</f>
        <v>0</v>
      </c>
      <c r="Z161" s="124">
        <f>IF(NFI_Expiration=1,IF($A161&lt;VLOOKUP(O$5,NFI,5,0),1,0)*Data_NFI_t[[#This Row],[Kitchen Set]],0)</f>
        <v>0</v>
      </c>
      <c r="AA161" s="124">
        <f>IF(NFI_Expiration=1,IF($A161&lt;VLOOKUP(P$5,NFI,5,0),1,0)*Data_NFI_t[[#This Row],[Complementary Kit]],0)</f>
        <v>0</v>
      </c>
      <c r="AB161" s="124">
        <f>IF(NFI_Expiration=1,IF($A161&lt;VLOOKUP(Q$5,NFI,5,0),1,0)*Data_NFI_t[[#This Row],[Plastic Bucket]],0)</f>
        <v>0</v>
      </c>
      <c r="AC161" s="124">
        <f>IF(NFI_Expiration=1,IF($A161&lt;VLOOKUP(R$5,NFI,5,0),1,0)*Data_NFI_t[[#This Row],[Jerry Can]],0)</f>
        <v>0</v>
      </c>
      <c r="AD161" s="143">
        <f>IF(NFI_Expiration=1,IF($A161&lt;VLOOKUP(S$5,NFI,5,0),1,0)*Data_NFI_t[[#This Row],[Plastic Mat]],0)*IF(Data_NFI_t[[#This Row],[Distribution Date]]&gt;"01-06-2015",1,2.5)</f>
        <v>0</v>
      </c>
      <c r="AE161" s="143" t="str">
        <f ca="1">IFERROR(OFFSET(Camp_List[P_Code],MATCH(Data_NFI_t[[#This Row],[Camp Name]],Camp_List[Camp Name],0)-1,0,1,1),"")</f>
        <v>MMR012CMP020</v>
      </c>
      <c r="AF161" s="572" t="str">
        <f ca="1">IFERROR(OFFSET(Camp_List[Status],MATCH(Data_NFI_t[[#This Row],[Camp Name]],Camp_List[Camp Name],0)-1,0,1,1),"")</f>
        <v>Returned in Individual Housing</v>
      </c>
    </row>
    <row r="162" spans="1:32" s="100" customFormat="1" ht="15" customHeight="1">
      <c r="A162" s="254">
        <f t="shared" si="2"/>
        <v>35.533333333333331</v>
      </c>
      <c r="B162" s="254">
        <f>YEAR(Data_NFI_t[[#This Row],[Distribution Date]])</f>
        <v>2013</v>
      </c>
      <c r="C162" s="585">
        <v>41456</v>
      </c>
      <c r="D162" s="547" t="s">
        <v>287</v>
      </c>
      <c r="E162" s="546" t="s">
        <v>287</v>
      </c>
      <c r="F162" s="547" t="s">
        <v>7</v>
      </c>
      <c r="G162" s="31" t="s">
        <v>15</v>
      </c>
      <c r="H162" s="31" t="s">
        <v>47</v>
      </c>
      <c r="I162" s="31"/>
      <c r="J162" s="60"/>
      <c r="K162" s="60"/>
      <c r="L162" s="60">
        <v>326</v>
      </c>
      <c r="M162" s="60">
        <v>326</v>
      </c>
      <c r="N162" s="60">
        <v>326</v>
      </c>
      <c r="O162" s="60">
        <v>163</v>
      </c>
      <c r="P162" s="60">
        <v>163</v>
      </c>
      <c r="Q162" s="60">
        <v>163</v>
      </c>
      <c r="R162" s="570"/>
      <c r="S162" s="60">
        <v>326</v>
      </c>
      <c r="T162" s="143">
        <f>IF(NFI_Expiration=1,IF($A162&lt;VLOOKUP(I$5,NFI,5,0),1,0)*Data_NFI_t[[#This Row],[Hygiene Kit]],0)</f>
        <v>0</v>
      </c>
      <c r="U162" s="143">
        <f>IF(NFI_Expiration=1,IF($A162&lt;VLOOKUP(J$5,NFI,5,0),1,0)*Data_NFI_t[[#This Row],[NFI Core Kit]],0)</f>
        <v>0</v>
      </c>
      <c r="V162" s="124">
        <f>IF(NFI_Expiration=1,IF($A162&lt;VLOOKUP(K$5,NFI,5,0),1,0)*Data_NFI_t[[#This Row],[Sanitary Kit]],0)</f>
        <v>0</v>
      </c>
      <c r="W162" s="124">
        <f>IF(NFI_Expiration=1,IF($A162&lt;VLOOKUP(L$5,NFI,5,0),1,0)*Data_NFI_t[[#This Row],[Mosquito net]],0)</f>
        <v>0</v>
      </c>
      <c r="X162" s="124">
        <f>IF(NFI_Expiration=1,IF($A162&lt;VLOOKUP(M$5,NFI,5,0),1,0)*Data_NFI_t[[#This Row],[Tarpaulin]],0)</f>
        <v>0</v>
      </c>
      <c r="Y162" s="124">
        <f>IF(NFI_Expiration=1,IF($A162&lt;VLOOKUP(N$5,NFI,5,0),1,0)*Data_NFI_t[[#This Row],[Blanket]],0)</f>
        <v>0</v>
      </c>
      <c r="Z162" s="124">
        <f>IF(NFI_Expiration=1,IF($A162&lt;VLOOKUP(O$5,NFI,5,0),1,0)*Data_NFI_t[[#This Row],[Kitchen Set]],0)</f>
        <v>0</v>
      </c>
      <c r="AA162" s="124">
        <f>IF(NFI_Expiration=1,IF($A162&lt;VLOOKUP(P$5,NFI,5,0),1,0)*Data_NFI_t[[#This Row],[Complementary Kit]],0)</f>
        <v>0</v>
      </c>
      <c r="AB162" s="124">
        <f>IF(NFI_Expiration=1,IF($A162&lt;VLOOKUP(Q$5,NFI,5,0),1,0)*Data_NFI_t[[#This Row],[Plastic Bucket]],0)</f>
        <v>0</v>
      </c>
      <c r="AC162" s="124">
        <f>IF(NFI_Expiration=1,IF($A162&lt;VLOOKUP(R$5,NFI,5,0),1,0)*Data_NFI_t[[#This Row],[Jerry Can]],0)</f>
        <v>0</v>
      </c>
      <c r="AD162" s="143">
        <f>IF(NFI_Expiration=1,IF($A162&lt;VLOOKUP(S$5,NFI,5,0),1,0)*Data_NFI_t[[#This Row],[Plastic Mat]],0)*IF(Data_NFI_t[[#This Row],[Distribution Date]]&gt;"01-06-2015",1,2.5)</f>
        <v>0</v>
      </c>
      <c r="AE162" s="143" t="str">
        <f ca="1">IFERROR(OFFSET(Camp_List[P_Code],MATCH(Data_NFI_t[[#This Row],[Camp Name]],Camp_List[Camp Name],0)-1,0,1,1),"")</f>
        <v>MMR012CMP023</v>
      </c>
      <c r="AF162" s="572" t="str">
        <f ca="1">IFERROR(OFFSET(Camp_List[Status],MATCH(Data_NFI_t[[#This Row],[Camp Name]],Camp_List[Camp Name],0)-1,0,1,1),"")</f>
        <v>Open</v>
      </c>
    </row>
    <row r="163" spans="1:32" s="100" customFormat="1" ht="15" customHeight="1">
      <c r="A163" s="254">
        <f t="shared" si="2"/>
        <v>35.533333333333331</v>
      </c>
      <c r="B163" s="254">
        <f>YEAR(Data_NFI_t[[#This Row],[Distribution Date]])</f>
        <v>2013</v>
      </c>
      <c r="C163" s="585">
        <v>41456</v>
      </c>
      <c r="D163" s="547" t="s">
        <v>287</v>
      </c>
      <c r="E163" s="546" t="s">
        <v>287</v>
      </c>
      <c r="F163" s="547" t="s">
        <v>7</v>
      </c>
      <c r="G163" s="31" t="s">
        <v>15</v>
      </c>
      <c r="H163" s="31" t="s">
        <v>53</v>
      </c>
      <c r="I163" s="31"/>
      <c r="J163" s="60"/>
      <c r="K163" s="60"/>
      <c r="L163" s="60">
        <v>290</v>
      </c>
      <c r="M163" s="60"/>
      <c r="N163" s="60">
        <v>290</v>
      </c>
      <c r="O163" s="60">
        <v>145</v>
      </c>
      <c r="P163" s="60">
        <v>145</v>
      </c>
      <c r="Q163" s="60">
        <v>145</v>
      </c>
      <c r="R163" s="570"/>
      <c r="S163" s="60">
        <v>290</v>
      </c>
      <c r="T163" s="143">
        <f>IF(NFI_Expiration=1,IF($A163&lt;VLOOKUP(I$5,NFI,5,0),1,0)*Data_NFI_t[[#This Row],[Hygiene Kit]],0)</f>
        <v>0</v>
      </c>
      <c r="U163" s="143">
        <f>IF(NFI_Expiration=1,IF($A163&lt;VLOOKUP(J$5,NFI,5,0),1,0)*Data_NFI_t[[#This Row],[NFI Core Kit]],0)</f>
        <v>0</v>
      </c>
      <c r="V163" s="124">
        <f>IF(NFI_Expiration=1,IF($A163&lt;VLOOKUP(K$5,NFI,5,0),1,0)*Data_NFI_t[[#This Row],[Sanitary Kit]],0)</f>
        <v>0</v>
      </c>
      <c r="W163" s="124">
        <f>IF(NFI_Expiration=1,IF($A163&lt;VLOOKUP(L$5,NFI,5,0),1,0)*Data_NFI_t[[#This Row],[Mosquito net]],0)</f>
        <v>0</v>
      </c>
      <c r="X163" s="124">
        <f>IF(NFI_Expiration=1,IF($A163&lt;VLOOKUP(M$5,NFI,5,0),1,0)*Data_NFI_t[[#This Row],[Tarpaulin]],0)</f>
        <v>0</v>
      </c>
      <c r="Y163" s="124">
        <f>IF(NFI_Expiration=1,IF($A163&lt;VLOOKUP(N$5,NFI,5,0),1,0)*Data_NFI_t[[#This Row],[Blanket]],0)</f>
        <v>0</v>
      </c>
      <c r="Z163" s="124">
        <f>IF(NFI_Expiration=1,IF($A163&lt;VLOOKUP(O$5,NFI,5,0),1,0)*Data_NFI_t[[#This Row],[Kitchen Set]],0)</f>
        <v>0</v>
      </c>
      <c r="AA163" s="124">
        <f>IF(NFI_Expiration=1,IF($A163&lt;VLOOKUP(P$5,NFI,5,0),1,0)*Data_NFI_t[[#This Row],[Complementary Kit]],0)</f>
        <v>0</v>
      </c>
      <c r="AB163" s="124">
        <f>IF(NFI_Expiration=1,IF($A163&lt;VLOOKUP(Q$5,NFI,5,0),1,0)*Data_NFI_t[[#This Row],[Plastic Bucket]],0)</f>
        <v>0</v>
      </c>
      <c r="AC163" s="124">
        <f>IF(NFI_Expiration=1,IF($A163&lt;VLOOKUP(R$5,NFI,5,0),1,0)*Data_NFI_t[[#This Row],[Jerry Can]],0)</f>
        <v>0</v>
      </c>
      <c r="AD163" s="143">
        <f>IF(NFI_Expiration=1,IF($A163&lt;VLOOKUP(S$5,NFI,5,0),1,0)*Data_NFI_t[[#This Row],[Plastic Mat]],0)*IF(Data_NFI_t[[#This Row],[Distribution Date]]&gt;"01-06-2015",1,2.5)</f>
        <v>0</v>
      </c>
      <c r="AE163" s="143" t="str">
        <f ca="1">IFERROR(OFFSET(Camp_List[P_Code],MATCH(Data_NFI_t[[#This Row],[Camp Name]],Camp_List[Camp Name],0)-1,0,1,1),"")</f>
        <v>MMR012CMP029</v>
      </c>
      <c r="AF163" s="572" t="str">
        <f ca="1">IFERROR(OFFSET(Camp_List[Status],MATCH(Data_NFI_t[[#This Row],[Camp Name]],Camp_List[Camp Name],0)-1,0,1,1),"")</f>
        <v>Returned in Individual Housing</v>
      </c>
    </row>
    <row r="164" spans="1:32" s="100" customFormat="1" ht="15" customHeight="1">
      <c r="A164" s="254">
        <f t="shared" si="2"/>
        <v>35.533333333333331</v>
      </c>
      <c r="B164" s="254">
        <f>YEAR(Data_NFI_t[[#This Row],[Distribution Date]])</f>
        <v>2013</v>
      </c>
      <c r="C164" s="585">
        <v>41456</v>
      </c>
      <c r="D164" s="547" t="s">
        <v>287</v>
      </c>
      <c r="E164" s="546" t="s">
        <v>287</v>
      </c>
      <c r="F164" s="547" t="s">
        <v>7</v>
      </c>
      <c r="G164" s="31" t="s">
        <v>15</v>
      </c>
      <c r="H164" s="31" t="s">
        <v>45</v>
      </c>
      <c r="I164" s="31"/>
      <c r="J164" s="60"/>
      <c r="K164" s="60"/>
      <c r="L164" s="60">
        <v>190</v>
      </c>
      <c r="M164" s="60"/>
      <c r="N164" s="60">
        <v>190</v>
      </c>
      <c r="O164" s="60">
        <v>95</v>
      </c>
      <c r="P164" s="60">
        <v>95</v>
      </c>
      <c r="Q164" s="60">
        <v>95</v>
      </c>
      <c r="R164" s="570"/>
      <c r="S164" s="60">
        <v>190</v>
      </c>
      <c r="T164" s="143">
        <f>IF(NFI_Expiration=1,IF($A164&lt;VLOOKUP(I$5,NFI,5,0),1,0)*Data_NFI_t[[#This Row],[Hygiene Kit]],0)</f>
        <v>0</v>
      </c>
      <c r="U164" s="143">
        <f>IF(NFI_Expiration=1,IF($A164&lt;VLOOKUP(J$5,NFI,5,0),1,0)*Data_NFI_t[[#This Row],[NFI Core Kit]],0)</f>
        <v>0</v>
      </c>
      <c r="V164" s="124">
        <f>IF(NFI_Expiration=1,IF($A164&lt;VLOOKUP(K$5,NFI,5,0),1,0)*Data_NFI_t[[#This Row],[Sanitary Kit]],0)</f>
        <v>0</v>
      </c>
      <c r="W164" s="124">
        <f>IF(NFI_Expiration=1,IF($A164&lt;VLOOKUP(L$5,NFI,5,0),1,0)*Data_NFI_t[[#This Row],[Mosquito net]],0)</f>
        <v>0</v>
      </c>
      <c r="X164" s="124">
        <f>IF(NFI_Expiration=1,IF($A164&lt;VLOOKUP(M$5,NFI,5,0),1,0)*Data_NFI_t[[#This Row],[Tarpaulin]],0)</f>
        <v>0</v>
      </c>
      <c r="Y164" s="124">
        <f>IF(NFI_Expiration=1,IF($A164&lt;VLOOKUP(N$5,NFI,5,0),1,0)*Data_NFI_t[[#This Row],[Blanket]],0)</f>
        <v>0</v>
      </c>
      <c r="Z164" s="124">
        <f>IF(NFI_Expiration=1,IF($A164&lt;VLOOKUP(O$5,NFI,5,0),1,0)*Data_NFI_t[[#This Row],[Kitchen Set]],0)</f>
        <v>0</v>
      </c>
      <c r="AA164" s="124">
        <f>IF(NFI_Expiration=1,IF($A164&lt;VLOOKUP(P$5,NFI,5,0),1,0)*Data_NFI_t[[#This Row],[Complementary Kit]],0)</f>
        <v>0</v>
      </c>
      <c r="AB164" s="124">
        <f>IF(NFI_Expiration=1,IF($A164&lt;VLOOKUP(Q$5,NFI,5,0),1,0)*Data_NFI_t[[#This Row],[Plastic Bucket]],0)</f>
        <v>0</v>
      </c>
      <c r="AC164" s="124">
        <f>IF(NFI_Expiration=1,IF($A164&lt;VLOOKUP(R$5,NFI,5,0),1,0)*Data_NFI_t[[#This Row],[Jerry Can]],0)</f>
        <v>0</v>
      </c>
      <c r="AD164" s="143">
        <f>IF(NFI_Expiration=1,IF($A164&lt;VLOOKUP(S$5,NFI,5,0),1,0)*Data_NFI_t[[#This Row],[Plastic Mat]],0)*IF(Data_NFI_t[[#This Row],[Distribution Date]]&gt;"01-06-2015",1,2.5)</f>
        <v>0</v>
      </c>
      <c r="AE164" s="143" t="str">
        <f ca="1">IFERROR(OFFSET(Camp_List[P_Code],MATCH(Data_NFI_t[[#This Row],[Camp Name]],Camp_List[Camp Name],0)-1,0,1,1),"")</f>
        <v>MMR012CMP021</v>
      </c>
      <c r="AF164" s="572" t="str">
        <f ca="1">IFERROR(OFFSET(Camp_List[Status],MATCH(Data_NFI_t[[#This Row],[Camp Name]],Camp_List[Camp Name],0)-1,0,1,1),"")</f>
        <v>Returned in Individual Housing</v>
      </c>
    </row>
    <row r="165" spans="1:32" s="100" customFormat="1" ht="15" customHeight="1">
      <c r="A165" s="254">
        <f t="shared" si="2"/>
        <v>35.533333333333331</v>
      </c>
      <c r="B165" s="254">
        <f>YEAR(Data_NFI_t[[#This Row],[Distribution Date]])</f>
        <v>2013</v>
      </c>
      <c r="C165" s="585">
        <v>41456</v>
      </c>
      <c r="D165" s="547" t="s">
        <v>287</v>
      </c>
      <c r="E165" s="546" t="s">
        <v>287</v>
      </c>
      <c r="F165" s="547" t="s">
        <v>7</v>
      </c>
      <c r="G165" s="31" t="s">
        <v>15</v>
      </c>
      <c r="H165" s="31" t="s">
        <v>52</v>
      </c>
      <c r="I165" s="31"/>
      <c r="J165" s="60"/>
      <c r="K165" s="60"/>
      <c r="L165" s="60">
        <v>216</v>
      </c>
      <c r="M165" s="60"/>
      <c r="N165" s="60">
        <v>216</v>
      </c>
      <c r="O165" s="60">
        <v>108</v>
      </c>
      <c r="P165" s="60">
        <v>108</v>
      </c>
      <c r="Q165" s="60">
        <v>108</v>
      </c>
      <c r="R165" s="570"/>
      <c r="S165" s="60">
        <v>216</v>
      </c>
      <c r="T165" s="143">
        <f>IF(NFI_Expiration=1,IF($A165&lt;VLOOKUP(I$5,NFI,5,0),1,0)*Data_NFI_t[[#This Row],[Hygiene Kit]],0)</f>
        <v>0</v>
      </c>
      <c r="U165" s="143">
        <f>IF(NFI_Expiration=1,IF($A165&lt;VLOOKUP(J$5,NFI,5,0),1,0)*Data_NFI_t[[#This Row],[NFI Core Kit]],0)</f>
        <v>0</v>
      </c>
      <c r="V165" s="124">
        <f>IF(NFI_Expiration=1,IF($A165&lt;VLOOKUP(K$5,NFI,5,0),1,0)*Data_NFI_t[[#This Row],[Sanitary Kit]],0)</f>
        <v>0</v>
      </c>
      <c r="W165" s="124">
        <f>IF(NFI_Expiration=1,IF($A165&lt;VLOOKUP(L$5,NFI,5,0),1,0)*Data_NFI_t[[#This Row],[Mosquito net]],0)</f>
        <v>0</v>
      </c>
      <c r="X165" s="124">
        <f>IF(NFI_Expiration=1,IF($A165&lt;VLOOKUP(M$5,NFI,5,0),1,0)*Data_NFI_t[[#This Row],[Tarpaulin]],0)</f>
        <v>0</v>
      </c>
      <c r="Y165" s="124">
        <f>IF(NFI_Expiration=1,IF($A165&lt;VLOOKUP(N$5,NFI,5,0),1,0)*Data_NFI_t[[#This Row],[Blanket]],0)</f>
        <v>0</v>
      </c>
      <c r="Z165" s="124">
        <f>IF(NFI_Expiration=1,IF($A165&lt;VLOOKUP(O$5,NFI,5,0),1,0)*Data_NFI_t[[#This Row],[Kitchen Set]],0)</f>
        <v>0</v>
      </c>
      <c r="AA165" s="124">
        <f>IF(NFI_Expiration=1,IF($A165&lt;VLOOKUP(P$5,NFI,5,0),1,0)*Data_NFI_t[[#This Row],[Complementary Kit]],0)</f>
        <v>0</v>
      </c>
      <c r="AB165" s="124">
        <f>IF(NFI_Expiration=1,IF($A165&lt;VLOOKUP(Q$5,NFI,5,0),1,0)*Data_NFI_t[[#This Row],[Plastic Bucket]],0)</f>
        <v>0</v>
      </c>
      <c r="AC165" s="124">
        <f>IF(NFI_Expiration=1,IF($A165&lt;VLOOKUP(R$5,NFI,5,0),1,0)*Data_NFI_t[[#This Row],[Jerry Can]],0)</f>
        <v>0</v>
      </c>
      <c r="AD165" s="143">
        <f>IF(NFI_Expiration=1,IF($A165&lt;VLOOKUP(S$5,NFI,5,0),1,0)*Data_NFI_t[[#This Row],[Plastic Mat]],0)*IF(Data_NFI_t[[#This Row],[Distribution Date]]&gt;"01-06-2015",1,2.5)</f>
        <v>0</v>
      </c>
      <c r="AE165" s="143" t="str">
        <f ca="1">IFERROR(OFFSET(Camp_List[P_Code],MATCH(Data_NFI_t[[#This Row],[Camp Name]],Camp_List[Camp Name],0)-1,0,1,1),"")</f>
        <v>MMR012CMP028</v>
      </c>
      <c r="AF165" s="572" t="str">
        <f ca="1">IFERROR(OFFSET(Camp_List[Status],MATCH(Data_NFI_t[[#This Row],[Camp Name]],Camp_List[Camp Name],0)-1,0,1,1),"")</f>
        <v>Returned in Individual Housing</v>
      </c>
    </row>
    <row r="166" spans="1:32" s="100" customFormat="1" ht="15" customHeight="1">
      <c r="A166" s="254">
        <f t="shared" si="2"/>
        <v>35.533333333333331</v>
      </c>
      <c r="B166" s="254">
        <f>YEAR(Data_NFI_t[[#This Row],[Distribution Date]])</f>
        <v>2013</v>
      </c>
      <c r="C166" s="585">
        <v>41456</v>
      </c>
      <c r="D166" s="547" t="s">
        <v>287</v>
      </c>
      <c r="E166" s="546" t="s">
        <v>287</v>
      </c>
      <c r="F166" s="547" t="s">
        <v>7</v>
      </c>
      <c r="G166" s="31" t="s">
        <v>15</v>
      </c>
      <c r="H166" s="31" t="s">
        <v>52</v>
      </c>
      <c r="I166" s="31"/>
      <c r="J166" s="60"/>
      <c r="K166" s="60"/>
      <c r="L166" s="60"/>
      <c r="M166" s="60"/>
      <c r="N166" s="60"/>
      <c r="O166" s="60"/>
      <c r="P166" s="60"/>
      <c r="Q166" s="60"/>
      <c r="R166" s="570"/>
      <c r="S166" s="60"/>
      <c r="T166" s="143">
        <f>IF(NFI_Expiration=1,IF($A166&lt;VLOOKUP(I$5,NFI,5,0),1,0)*Data_NFI_t[[#This Row],[Hygiene Kit]],0)</f>
        <v>0</v>
      </c>
      <c r="U166" s="143">
        <f>IF(NFI_Expiration=1,IF($A166&lt;VLOOKUP(J$5,NFI,5,0),1,0)*Data_NFI_t[[#This Row],[NFI Core Kit]],0)</f>
        <v>0</v>
      </c>
      <c r="V166" s="124">
        <f>IF(NFI_Expiration=1,IF($A166&lt;VLOOKUP(K$5,NFI,5,0),1,0)*Data_NFI_t[[#This Row],[Sanitary Kit]],0)</f>
        <v>0</v>
      </c>
      <c r="W166" s="124">
        <f>IF(NFI_Expiration=1,IF($A166&lt;VLOOKUP(L$5,NFI,5,0),1,0)*Data_NFI_t[[#This Row],[Mosquito net]],0)</f>
        <v>0</v>
      </c>
      <c r="X166" s="124">
        <f>IF(NFI_Expiration=1,IF($A166&lt;VLOOKUP(M$5,NFI,5,0),1,0)*Data_NFI_t[[#This Row],[Tarpaulin]],0)</f>
        <v>0</v>
      </c>
      <c r="Y166" s="124">
        <f>IF(NFI_Expiration=1,IF($A166&lt;VLOOKUP(N$5,NFI,5,0),1,0)*Data_NFI_t[[#This Row],[Blanket]],0)</f>
        <v>0</v>
      </c>
      <c r="Z166" s="124">
        <f>IF(NFI_Expiration=1,IF($A166&lt;VLOOKUP(O$5,NFI,5,0),1,0)*Data_NFI_t[[#This Row],[Kitchen Set]],0)</f>
        <v>0</v>
      </c>
      <c r="AA166" s="124">
        <f>IF(NFI_Expiration=1,IF($A166&lt;VLOOKUP(P$5,NFI,5,0),1,0)*Data_NFI_t[[#This Row],[Complementary Kit]],0)</f>
        <v>0</v>
      </c>
      <c r="AB166" s="124">
        <f>IF(NFI_Expiration=1,IF($A166&lt;VLOOKUP(Q$5,NFI,5,0),1,0)*Data_NFI_t[[#This Row],[Plastic Bucket]],0)</f>
        <v>0</v>
      </c>
      <c r="AC166" s="124">
        <f>IF(NFI_Expiration=1,IF($A166&lt;VLOOKUP(R$5,NFI,5,0),1,0)*Data_NFI_t[[#This Row],[Jerry Can]],0)</f>
        <v>0</v>
      </c>
      <c r="AD166" s="143">
        <f>IF(NFI_Expiration=1,IF($A166&lt;VLOOKUP(S$5,NFI,5,0),1,0)*Data_NFI_t[[#This Row],[Plastic Mat]],0)*IF(Data_NFI_t[[#This Row],[Distribution Date]]&gt;"01-06-2015",1,2.5)</f>
        <v>0</v>
      </c>
      <c r="AE166" s="143" t="str">
        <f ca="1">IFERROR(OFFSET(Camp_List[P_Code],MATCH(Data_NFI_t[[#This Row],[Camp Name]],Camp_List[Camp Name],0)-1,0,1,1),"")</f>
        <v>MMR012CMP028</v>
      </c>
      <c r="AF166" s="572" t="str">
        <f ca="1">IFERROR(OFFSET(Camp_List[Status],MATCH(Data_NFI_t[[#This Row],[Camp Name]],Camp_List[Camp Name],0)-1,0,1,1),"")</f>
        <v>Returned in Individual Housing</v>
      </c>
    </row>
    <row r="167" spans="1:32" s="100" customFormat="1" ht="15" customHeight="1">
      <c r="A167" s="254">
        <f t="shared" si="2"/>
        <v>35.700000000000003</v>
      </c>
      <c r="B167" s="254">
        <f>YEAR(Data_NFI_t[[#This Row],[Distribution Date]])</f>
        <v>2013</v>
      </c>
      <c r="C167" s="585">
        <v>41451</v>
      </c>
      <c r="D167" s="547" t="s">
        <v>288</v>
      </c>
      <c r="E167" s="546" t="s">
        <v>288</v>
      </c>
      <c r="F167" s="547" t="s">
        <v>7</v>
      </c>
      <c r="G167" s="31" t="s">
        <v>19</v>
      </c>
      <c r="H167" s="31" t="s">
        <v>65</v>
      </c>
      <c r="I167" s="31"/>
      <c r="J167" s="60"/>
      <c r="K167" s="60"/>
      <c r="L167" s="60">
        <v>273</v>
      </c>
      <c r="M167" s="60">
        <v>273</v>
      </c>
      <c r="N167" s="60">
        <v>273</v>
      </c>
      <c r="O167" s="60"/>
      <c r="P167" s="60"/>
      <c r="Q167" s="60">
        <v>273</v>
      </c>
      <c r="R167" s="570"/>
      <c r="S167" s="60">
        <v>273</v>
      </c>
      <c r="T167" s="143">
        <f>IF(NFI_Expiration=1,IF($A167&lt;VLOOKUP(I$5,NFI,5,0),1,0)*Data_NFI_t[[#This Row],[Hygiene Kit]],0)</f>
        <v>0</v>
      </c>
      <c r="U167" s="143">
        <f>IF(NFI_Expiration=1,IF($A167&lt;VLOOKUP(J$5,NFI,5,0),1,0)*Data_NFI_t[[#This Row],[NFI Core Kit]],0)</f>
        <v>0</v>
      </c>
      <c r="V167" s="124">
        <f>IF(NFI_Expiration=1,IF($A167&lt;VLOOKUP(K$5,NFI,5,0),1,0)*Data_NFI_t[[#This Row],[Sanitary Kit]],0)</f>
        <v>0</v>
      </c>
      <c r="W167" s="124">
        <f>IF(NFI_Expiration=1,IF($A167&lt;VLOOKUP(L$5,NFI,5,0),1,0)*Data_NFI_t[[#This Row],[Mosquito net]],0)</f>
        <v>0</v>
      </c>
      <c r="X167" s="124">
        <f>IF(NFI_Expiration=1,IF($A167&lt;VLOOKUP(M$5,NFI,5,0),1,0)*Data_NFI_t[[#This Row],[Tarpaulin]],0)</f>
        <v>0</v>
      </c>
      <c r="Y167" s="124">
        <f>IF(NFI_Expiration=1,IF($A167&lt;VLOOKUP(N$5,NFI,5,0),1,0)*Data_NFI_t[[#This Row],[Blanket]],0)</f>
        <v>0</v>
      </c>
      <c r="Z167" s="124">
        <f>IF(NFI_Expiration=1,IF($A167&lt;VLOOKUP(O$5,NFI,5,0),1,0)*Data_NFI_t[[#This Row],[Kitchen Set]],0)</f>
        <v>0</v>
      </c>
      <c r="AA167" s="124">
        <f>IF(NFI_Expiration=1,IF($A167&lt;VLOOKUP(P$5,NFI,5,0),1,0)*Data_NFI_t[[#This Row],[Complementary Kit]],0)</f>
        <v>0</v>
      </c>
      <c r="AB167" s="124">
        <f>IF(NFI_Expiration=1,IF($A167&lt;VLOOKUP(Q$5,NFI,5,0),1,0)*Data_NFI_t[[#This Row],[Plastic Bucket]],0)</f>
        <v>0</v>
      </c>
      <c r="AC167" s="124">
        <f>IF(NFI_Expiration=1,IF($A167&lt;VLOOKUP(R$5,NFI,5,0),1,0)*Data_NFI_t[[#This Row],[Jerry Can]],0)</f>
        <v>0</v>
      </c>
      <c r="AD167" s="143">
        <f>IF(NFI_Expiration=1,IF($A167&lt;VLOOKUP(S$5,NFI,5,0),1,0)*Data_NFI_t[[#This Row],[Plastic Mat]],0)*IF(Data_NFI_t[[#This Row],[Distribution Date]]&gt;"01-06-2015",1,2.5)</f>
        <v>0</v>
      </c>
      <c r="AE167" s="143" t="str">
        <f ca="1">IFERROR(OFFSET(Camp_List[P_Code],MATCH(Data_NFI_t[[#This Row],[Camp Name]],Camp_List[Camp Name],0)-1,0,1,1),"")</f>
        <v>MMR012CMP043</v>
      </c>
      <c r="AF167" s="572" t="str">
        <f ca="1">IFERROR(OFFSET(Camp_List[Status],MATCH(Data_NFI_t[[#This Row],[Camp Name]],Camp_List[Camp Name],0)-1,0,1,1),"")</f>
        <v>Close</v>
      </c>
    </row>
    <row r="168" spans="1:32" s="100" customFormat="1" ht="15" customHeight="1">
      <c r="A168" s="254">
        <f t="shared" si="2"/>
        <v>35.700000000000003</v>
      </c>
      <c r="B168" s="254">
        <f>YEAR(Data_NFI_t[[#This Row],[Distribution Date]])</f>
        <v>2013</v>
      </c>
      <c r="C168" s="585">
        <v>41451</v>
      </c>
      <c r="D168" s="547" t="s">
        <v>288</v>
      </c>
      <c r="E168" s="546" t="s">
        <v>288</v>
      </c>
      <c r="F168" s="547" t="s">
        <v>7</v>
      </c>
      <c r="G168" s="31" t="s">
        <v>19</v>
      </c>
      <c r="H168" s="31" t="s">
        <v>78</v>
      </c>
      <c r="I168" s="31"/>
      <c r="J168" s="60"/>
      <c r="K168" s="60"/>
      <c r="L168" s="60">
        <v>20</v>
      </c>
      <c r="M168" s="60">
        <v>20</v>
      </c>
      <c r="N168" s="60">
        <v>20</v>
      </c>
      <c r="O168" s="60"/>
      <c r="P168" s="60"/>
      <c r="Q168" s="60">
        <v>20</v>
      </c>
      <c r="R168" s="570"/>
      <c r="S168" s="60">
        <v>20</v>
      </c>
      <c r="T168" s="143">
        <f>IF(NFI_Expiration=1,IF($A168&lt;VLOOKUP(I$5,NFI,5,0),1,0)*Data_NFI_t[[#This Row],[Hygiene Kit]],0)</f>
        <v>0</v>
      </c>
      <c r="U168" s="143">
        <f>IF(NFI_Expiration=1,IF($A168&lt;VLOOKUP(J$5,NFI,5,0),1,0)*Data_NFI_t[[#This Row],[NFI Core Kit]],0)</f>
        <v>0</v>
      </c>
      <c r="V168" s="124">
        <f>IF(NFI_Expiration=1,IF($A168&lt;VLOOKUP(K$5,NFI,5,0),1,0)*Data_NFI_t[[#This Row],[Sanitary Kit]],0)</f>
        <v>0</v>
      </c>
      <c r="W168" s="124">
        <f>IF(NFI_Expiration=1,IF($A168&lt;VLOOKUP(L$5,NFI,5,0),1,0)*Data_NFI_t[[#This Row],[Mosquito net]],0)</f>
        <v>0</v>
      </c>
      <c r="X168" s="124">
        <f>IF(NFI_Expiration=1,IF($A168&lt;VLOOKUP(M$5,NFI,5,0),1,0)*Data_NFI_t[[#This Row],[Tarpaulin]],0)</f>
        <v>0</v>
      </c>
      <c r="Y168" s="124">
        <f>IF(NFI_Expiration=1,IF($A168&lt;VLOOKUP(N$5,NFI,5,0),1,0)*Data_NFI_t[[#This Row],[Blanket]],0)</f>
        <v>0</v>
      </c>
      <c r="Z168" s="124">
        <f>IF(NFI_Expiration=1,IF($A168&lt;VLOOKUP(O$5,NFI,5,0),1,0)*Data_NFI_t[[#This Row],[Kitchen Set]],0)</f>
        <v>0</v>
      </c>
      <c r="AA168" s="124">
        <f>IF(NFI_Expiration=1,IF($A168&lt;VLOOKUP(P$5,NFI,5,0),1,0)*Data_NFI_t[[#This Row],[Complementary Kit]],0)</f>
        <v>0</v>
      </c>
      <c r="AB168" s="124">
        <f>IF(NFI_Expiration=1,IF($A168&lt;VLOOKUP(Q$5,NFI,5,0),1,0)*Data_NFI_t[[#This Row],[Plastic Bucket]],0)</f>
        <v>0</v>
      </c>
      <c r="AC168" s="124">
        <f>IF(NFI_Expiration=1,IF($A168&lt;VLOOKUP(R$5,NFI,5,0),1,0)*Data_NFI_t[[#This Row],[Jerry Can]],0)</f>
        <v>0</v>
      </c>
      <c r="AD168" s="143">
        <f>IF(NFI_Expiration=1,IF($A168&lt;VLOOKUP(S$5,NFI,5,0),1,0)*Data_NFI_t[[#This Row],[Plastic Mat]],0)*IF(Data_NFI_t[[#This Row],[Distribution Date]]&gt;"01-06-2015",1,2.5)</f>
        <v>0</v>
      </c>
      <c r="AE168" s="143" t="str">
        <f ca="1">IFERROR(OFFSET(Camp_List[P_Code],MATCH(Data_NFI_t[[#This Row],[Camp Name]],Camp_List[Camp Name],0)-1,0,1,1),"")</f>
        <v>MMR012CMP056</v>
      </c>
      <c r="AF168" s="572" t="str">
        <f ca="1">IFERROR(OFFSET(Camp_List[Status],MATCH(Data_NFI_t[[#This Row],[Camp Name]],Camp_List[Camp Name],0)-1,0,1,1),"")</f>
        <v>Relocated in Individual Housing</v>
      </c>
    </row>
    <row r="169" spans="1:32" s="100" customFormat="1" ht="15" customHeight="1">
      <c r="A169" s="254">
        <f t="shared" si="2"/>
        <v>35.700000000000003</v>
      </c>
      <c r="B169" s="254">
        <f>YEAR(Data_NFI_t[[#This Row],[Distribution Date]])</f>
        <v>2013</v>
      </c>
      <c r="C169" s="585">
        <v>41451</v>
      </c>
      <c r="D169" s="547" t="s">
        <v>288</v>
      </c>
      <c r="E169" s="546" t="s">
        <v>288</v>
      </c>
      <c r="F169" s="547" t="s">
        <v>7</v>
      </c>
      <c r="G169" s="31" t="s">
        <v>19</v>
      </c>
      <c r="H169" s="31" t="s">
        <v>68</v>
      </c>
      <c r="I169" s="31"/>
      <c r="J169" s="60"/>
      <c r="K169" s="60"/>
      <c r="L169" s="60">
        <v>2797</v>
      </c>
      <c r="M169" s="60">
        <v>2797</v>
      </c>
      <c r="N169" s="60">
        <v>2797</v>
      </c>
      <c r="O169" s="60"/>
      <c r="P169" s="60"/>
      <c r="Q169" s="60">
        <v>2797</v>
      </c>
      <c r="R169" s="570"/>
      <c r="S169" s="60">
        <v>2797</v>
      </c>
      <c r="T169" s="143">
        <f>IF(NFI_Expiration=1,IF($A169&lt;VLOOKUP(I$5,NFI,5,0),1,0)*Data_NFI_t[[#This Row],[Hygiene Kit]],0)</f>
        <v>0</v>
      </c>
      <c r="U169" s="143">
        <f>IF(NFI_Expiration=1,IF($A169&lt;VLOOKUP(J$5,NFI,5,0),1,0)*Data_NFI_t[[#This Row],[NFI Core Kit]],0)</f>
        <v>0</v>
      </c>
      <c r="V169" s="124">
        <f>IF(NFI_Expiration=1,IF($A169&lt;VLOOKUP(K$5,NFI,5,0),1,0)*Data_NFI_t[[#This Row],[Sanitary Kit]],0)</f>
        <v>0</v>
      </c>
      <c r="W169" s="124">
        <f>IF(NFI_Expiration=1,IF($A169&lt;VLOOKUP(L$5,NFI,5,0),1,0)*Data_NFI_t[[#This Row],[Mosquito net]],0)</f>
        <v>0</v>
      </c>
      <c r="X169" s="124">
        <f>IF(NFI_Expiration=1,IF($A169&lt;VLOOKUP(M$5,NFI,5,0),1,0)*Data_NFI_t[[#This Row],[Tarpaulin]],0)</f>
        <v>0</v>
      </c>
      <c r="Y169" s="124">
        <f>IF(NFI_Expiration=1,IF($A169&lt;VLOOKUP(N$5,NFI,5,0),1,0)*Data_NFI_t[[#This Row],[Blanket]],0)</f>
        <v>0</v>
      </c>
      <c r="Z169" s="124">
        <f>IF(NFI_Expiration=1,IF($A169&lt;VLOOKUP(O$5,NFI,5,0),1,0)*Data_NFI_t[[#This Row],[Kitchen Set]],0)</f>
        <v>0</v>
      </c>
      <c r="AA169" s="124">
        <f>IF(NFI_Expiration=1,IF($A169&lt;VLOOKUP(P$5,NFI,5,0),1,0)*Data_NFI_t[[#This Row],[Complementary Kit]],0)</f>
        <v>0</v>
      </c>
      <c r="AB169" s="124">
        <f>IF(NFI_Expiration=1,IF($A169&lt;VLOOKUP(Q$5,NFI,5,0),1,0)*Data_NFI_t[[#This Row],[Plastic Bucket]],0)</f>
        <v>0</v>
      </c>
      <c r="AC169" s="124">
        <f>IF(NFI_Expiration=1,IF($A169&lt;VLOOKUP(R$5,NFI,5,0),1,0)*Data_NFI_t[[#This Row],[Jerry Can]],0)</f>
        <v>0</v>
      </c>
      <c r="AD169" s="143">
        <f>IF(NFI_Expiration=1,IF($A169&lt;VLOOKUP(S$5,NFI,5,0),1,0)*Data_NFI_t[[#This Row],[Plastic Mat]],0)*IF(Data_NFI_t[[#This Row],[Distribution Date]]&gt;"01-06-2015",1,2.5)</f>
        <v>0</v>
      </c>
      <c r="AE169" s="143" t="str">
        <f ca="1">IFERROR(OFFSET(Camp_List[P_Code],MATCH(Data_NFI_t[[#This Row],[Camp Name]],Camp_List[Camp Name],0)-1,0,1,1),"")</f>
        <v>MMR012CMP046</v>
      </c>
      <c r="AF169" s="572" t="str">
        <f ca="1">IFERROR(OFFSET(Camp_List[Status],MATCH(Data_NFI_t[[#This Row],[Camp Name]],Camp_List[Camp Name],0)-1,0,1,1),"")</f>
        <v>Open</v>
      </c>
    </row>
    <row r="170" spans="1:32" s="100" customFormat="1" ht="15" customHeight="1">
      <c r="A170" s="254">
        <f t="shared" si="2"/>
        <v>36.633333333333333</v>
      </c>
      <c r="B170" s="254">
        <f>YEAR(Data_NFI_t[[#This Row],[Distribution Date]])</f>
        <v>2013</v>
      </c>
      <c r="C170" s="585">
        <v>41423</v>
      </c>
      <c r="D170" s="547" t="s">
        <v>525</v>
      </c>
      <c r="E170" s="546" t="s">
        <v>525</v>
      </c>
      <c r="F170" s="547" t="s">
        <v>7</v>
      </c>
      <c r="G170" s="31" t="s">
        <v>14</v>
      </c>
      <c r="H170" s="31" t="s">
        <v>40</v>
      </c>
      <c r="I170" s="31">
        <v>773</v>
      </c>
      <c r="J170" s="60"/>
      <c r="K170" s="60"/>
      <c r="L170" s="60"/>
      <c r="M170" s="60"/>
      <c r="N170" s="60"/>
      <c r="O170" s="60"/>
      <c r="P170" s="60"/>
      <c r="Q170" s="60"/>
      <c r="R170" s="570"/>
      <c r="S170" s="60"/>
      <c r="T170" s="143">
        <f>IF(NFI_Expiration=1,IF($A170&lt;VLOOKUP(I$5,NFI,5,0),1,0)*Data_NFI_t[[#This Row],[Hygiene Kit]],0)</f>
        <v>0</v>
      </c>
      <c r="U170" s="143">
        <f>IF(NFI_Expiration=1,IF($A170&lt;VLOOKUP(J$5,NFI,5,0),1,0)*Data_NFI_t[[#This Row],[NFI Core Kit]],0)</f>
        <v>0</v>
      </c>
      <c r="V170" s="124">
        <f>IF(NFI_Expiration=1,IF($A170&lt;VLOOKUP(K$5,NFI,5,0),1,0)*Data_NFI_t[[#This Row],[Sanitary Kit]],0)</f>
        <v>0</v>
      </c>
      <c r="W170" s="124">
        <f>IF(NFI_Expiration=1,IF($A170&lt;VLOOKUP(L$5,NFI,5,0),1,0)*Data_NFI_t[[#This Row],[Mosquito net]],0)</f>
        <v>0</v>
      </c>
      <c r="X170" s="124">
        <f>IF(NFI_Expiration=1,IF($A170&lt;VLOOKUP(M$5,NFI,5,0),1,0)*Data_NFI_t[[#This Row],[Tarpaulin]],0)</f>
        <v>0</v>
      </c>
      <c r="Y170" s="124">
        <f>IF(NFI_Expiration=1,IF($A170&lt;VLOOKUP(N$5,NFI,5,0),1,0)*Data_NFI_t[[#This Row],[Blanket]],0)</f>
        <v>0</v>
      </c>
      <c r="Z170" s="124">
        <f>IF(NFI_Expiration=1,IF($A170&lt;VLOOKUP(O$5,NFI,5,0),1,0)*Data_NFI_t[[#This Row],[Kitchen Set]],0)</f>
        <v>0</v>
      </c>
      <c r="AA170" s="124">
        <f>IF(NFI_Expiration=1,IF($A170&lt;VLOOKUP(P$5,NFI,5,0),1,0)*Data_NFI_t[[#This Row],[Complementary Kit]],0)</f>
        <v>0</v>
      </c>
      <c r="AB170" s="124">
        <f>IF(NFI_Expiration=1,IF($A170&lt;VLOOKUP(Q$5,NFI,5,0),1,0)*Data_NFI_t[[#This Row],[Plastic Bucket]],0)</f>
        <v>0</v>
      </c>
      <c r="AC170" s="124">
        <f>IF(NFI_Expiration=1,IF($A170&lt;VLOOKUP(R$5,NFI,5,0),1,0)*Data_NFI_t[[#This Row],[Jerry Can]],0)</f>
        <v>0</v>
      </c>
      <c r="AD170" s="143">
        <f>IF(NFI_Expiration=1,IF($A170&lt;VLOOKUP(S$5,NFI,5,0),1,0)*Data_NFI_t[[#This Row],[Plastic Mat]],0)*IF(Data_NFI_t[[#This Row],[Distribution Date]]&gt;"01-06-2015",1,2.5)</f>
        <v>0</v>
      </c>
      <c r="AE170" s="143" t="str">
        <f ca="1">IFERROR(OFFSET(Camp_List[P_Code],MATCH(Data_NFI_t[[#This Row],[Camp Name]],Camp_List[Camp Name],0)-1,0,1,1),"")</f>
        <v>MMR012CMP016</v>
      </c>
      <c r="AF170" s="572" t="str">
        <f ca="1">IFERROR(OFFSET(Camp_List[Status],MATCH(Data_NFI_t[[#This Row],[Camp Name]],Camp_List[Camp Name],0)-1,0,1,1),"")</f>
        <v>Open</v>
      </c>
    </row>
    <row r="171" spans="1:32" s="100" customFormat="1" ht="15" customHeight="1">
      <c r="A171" s="254">
        <f t="shared" si="2"/>
        <v>36.633333333333333</v>
      </c>
      <c r="B171" s="254">
        <f>YEAR(Data_NFI_t[[#This Row],[Distribution Date]])</f>
        <v>2013</v>
      </c>
      <c r="C171" s="585">
        <v>41423</v>
      </c>
      <c r="D171" s="547" t="s">
        <v>525</v>
      </c>
      <c r="E171" s="546" t="s">
        <v>525</v>
      </c>
      <c r="F171" s="547" t="s">
        <v>7</v>
      </c>
      <c r="G171" s="31" t="s">
        <v>19</v>
      </c>
      <c r="H171" s="31" t="s">
        <v>73</v>
      </c>
      <c r="I171" s="31">
        <v>502</v>
      </c>
      <c r="J171" s="60"/>
      <c r="K171" s="60"/>
      <c r="L171" s="60"/>
      <c r="M171" s="60"/>
      <c r="N171" s="60"/>
      <c r="O171" s="60"/>
      <c r="P171" s="60"/>
      <c r="Q171" s="60"/>
      <c r="R171" s="570"/>
      <c r="S171" s="60"/>
      <c r="T171" s="143">
        <f>IF(NFI_Expiration=1,IF($A171&lt;VLOOKUP(I$5,NFI,5,0),1,0)*Data_NFI_t[[#This Row],[Hygiene Kit]],0)</f>
        <v>0</v>
      </c>
      <c r="U171" s="143">
        <f>IF(NFI_Expiration=1,IF($A171&lt;VLOOKUP(J$5,NFI,5,0),1,0)*Data_NFI_t[[#This Row],[NFI Core Kit]],0)</f>
        <v>0</v>
      </c>
      <c r="V171" s="124">
        <f>IF(NFI_Expiration=1,IF($A171&lt;VLOOKUP(K$5,NFI,5,0),1,0)*Data_NFI_t[[#This Row],[Sanitary Kit]],0)</f>
        <v>0</v>
      </c>
      <c r="W171" s="124">
        <f>IF(NFI_Expiration=1,IF($A171&lt;VLOOKUP(L$5,NFI,5,0),1,0)*Data_NFI_t[[#This Row],[Mosquito net]],0)</f>
        <v>0</v>
      </c>
      <c r="X171" s="124">
        <f>IF(NFI_Expiration=1,IF($A171&lt;VLOOKUP(M$5,NFI,5,0),1,0)*Data_NFI_t[[#This Row],[Tarpaulin]],0)</f>
        <v>0</v>
      </c>
      <c r="Y171" s="124">
        <f>IF(NFI_Expiration=1,IF($A171&lt;VLOOKUP(N$5,NFI,5,0),1,0)*Data_NFI_t[[#This Row],[Blanket]],0)</f>
        <v>0</v>
      </c>
      <c r="Z171" s="124">
        <f>IF(NFI_Expiration=1,IF($A171&lt;VLOOKUP(O$5,NFI,5,0),1,0)*Data_NFI_t[[#This Row],[Kitchen Set]],0)</f>
        <v>0</v>
      </c>
      <c r="AA171" s="124">
        <f>IF(NFI_Expiration=1,IF($A171&lt;VLOOKUP(P$5,NFI,5,0),1,0)*Data_NFI_t[[#This Row],[Complementary Kit]],0)</f>
        <v>0</v>
      </c>
      <c r="AB171" s="124">
        <f>IF(NFI_Expiration=1,IF($A171&lt;VLOOKUP(Q$5,NFI,5,0),1,0)*Data_NFI_t[[#This Row],[Plastic Bucket]],0)</f>
        <v>0</v>
      </c>
      <c r="AC171" s="124">
        <f>IF(NFI_Expiration=1,IF($A171&lt;VLOOKUP(R$5,NFI,5,0),1,0)*Data_NFI_t[[#This Row],[Jerry Can]],0)</f>
        <v>0</v>
      </c>
      <c r="AD171" s="143">
        <f>IF(NFI_Expiration=1,IF($A171&lt;VLOOKUP(S$5,NFI,5,0),1,0)*Data_NFI_t[[#This Row],[Plastic Mat]],0)*IF(Data_NFI_t[[#This Row],[Distribution Date]]&gt;"01-06-2015",1,2.5)</f>
        <v>0</v>
      </c>
      <c r="AE171" s="143" t="str">
        <f ca="1">IFERROR(OFFSET(Camp_List[P_Code],MATCH(Data_NFI_t[[#This Row],[Camp Name]],Camp_List[Camp Name],0)-1,0,1,1),"")</f>
        <v>MMR012CMP051</v>
      </c>
      <c r="AF171" s="572" t="str">
        <f ca="1">IFERROR(OFFSET(Camp_List[Status],MATCH(Data_NFI_t[[#This Row],[Camp Name]],Camp_List[Camp Name],0)-1,0,1,1),"")</f>
        <v>Close</v>
      </c>
    </row>
    <row r="172" spans="1:32" s="100" customFormat="1" ht="15" customHeight="1">
      <c r="A172" s="254">
        <f t="shared" si="2"/>
        <v>36.633333333333333</v>
      </c>
      <c r="B172" s="254">
        <f>YEAR(Data_NFI_t[[#This Row],[Distribution Date]])</f>
        <v>2013</v>
      </c>
      <c r="C172" s="585">
        <v>41423</v>
      </c>
      <c r="D172" s="547" t="s">
        <v>525</v>
      </c>
      <c r="E172" s="546" t="s">
        <v>525</v>
      </c>
      <c r="F172" s="547" t="s">
        <v>7</v>
      </c>
      <c r="G172" s="31" t="s">
        <v>19</v>
      </c>
      <c r="H172" s="31" t="s">
        <v>71</v>
      </c>
      <c r="I172" s="31">
        <v>203</v>
      </c>
      <c r="J172" s="60"/>
      <c r="K172" s="60"/>
      <c r="L172" s="60"/>
      <c r="M172" s="60"/>
      <c r="N172" s="60"/>
      <c r="O172" s="60"/>
      <c r="P172" s="60"/>
      <c r="Q172" s="60"/>
      <c r="R172" s="570"/>
      <c r="S172" s="60"/>
      <c r="T172" s="143">
        <f>IF(NFI_Expiration=1,IF($A172&lt;VLOOKUP(I$5,NFI,5,0),1,0)*Data_NFI_t[[#This Row],[Hygiene Kit]],0)</f>
        <v>0</v>
      </c>
      <c r="U172" s="143">
        <f>IF(NFI_Expiration=1,IF($A172&lt;VLOOKUP(J$5,NFI,5,0),1,0)*Data_NFI_t[[#This Row],[NFI Core Kit]],0)</f>
        <v>0</v>
      </c>
      <c r="V172" s="124">
        <f>IF(NFI_Expiration=1,IF($A172&lt;VLOOKUP(K$5,NFI,5,0),1,0)*Data_NFI_t[[#This Row],[Sanitary Kit]],0)</f>
        <v>0</v>
      </c>
      <c r="W172" s="124">
        <f>IF(NFI_Expiration=1,IF($A172&lt;VLOOKUP(L$5,NFI,5,0),1,0)*Data_NFI_t[[#This Row],[Mosquito net]],0)</f>
        <v>0</v>
      </c>
      <c r="X172" s="124">
        <f>IF(NFI_Expiration=1,IF($A172&lt;VLOOKUP(M$5,NFI,5,0),1,0)*Data_NFI_t[[#This Row],[Tarpaulin]],0)</f>
        <v>0</v>
      </c>
      <c r="Y172" s="124">
        <f>IF(NFI_Expiration=1,IF($A172&lt;VLOOKUP(N$5,NFI,5,0),1,0)*Data_NFI_t[[#This Row],[Blanket]],0)</f>
        <v>0</v>
      </c>
      <c r="Z172" s="124">
        <f>IF(NFI_Expiration=1,IF($A172&lt;VLOOKUP(O$5,NFI,5,0),1,0)*Data_NFI_t[[#This Row],[Kitchen Set]],0)</f>
        <v>0</v>
      </c>
      <c r="AA172" s="124">
        <f>IF(NFI_Expiration=1,IF($A172&lt;VLOOKUP(P$5,NFI,5,0),1,0)*Data_NFI_t[[#This Row],[Complementary Kit]],0)</f>
        <v>0</v>
      </c>
      <c r="AB172" s="124">
        <f>IF(NFI_Expiration=1,IF($A172&lt;VLOOKUP(Q$5,NFI,5,0),1,0)*Data_NFI_t[[#This Row],[Plastic Bucket]],0)</f>
        <v>0</v>
      </c>
      <c r="AC172" s="124">
        <f>IF(NFI_Expiration=1,IF($A172&lt;VLOOKUP(R$5,NFI,5,0),1,0)*Data_NFI_t[[#This Row],[Jerry Can]],0)</f>
        <v>0</v>
      </c>
      <c r="AD172" s="143">
        <f>IF(NFI_Expiration=1,IF($A172&lt;VLOOKUP(S$5,NFI,5,0),1,0)*Data_NFI_t[[#This Row],[Plastic Mat]],0)*IF(Data_NFI_t[[#This Row],[Distribution Date]]&gt;"01-06-2015",1,2.5)</f>
        <v>0</v>
      </c>
      <c r="AE172" s="143" t="str">
        <f ca="1">IFERROR(OFFSET(Camp_List[P_Code],MATCH(Data_NFI_t[[#This Row],[Camp Name]],Camp_List[Camp Name],0)-1,0,1,1),"")</f>
        <v>MMR012CMP049</v>
      </c>
      <c r="AF172" s="572" t="str">
        <f ca="1">IFERROR(OFFSET(Camp_List[Status],MATCH(Data_NFI_t[[#This Row],[Camp Name]],Camp_List[Camp Name],0)-1,0,1,1),"")</f>
        <v>Close</v>
      </c>
    </row>
    <row r="173" spans="1:32" s="100" customFormat="1" ht="15" customHeight="1">
      <c r="A173" s="254">
        <f t="shared" si="2"/>
        <v>36.633333333333333</v>
      </c>
      <c r="B173" s="254">
        <f>YEAR(Data_NFI_t[[#This Row],[Distribution Date]])</f>
        <v>2013</v>
      </c>
      <c r="C173" s="585">
        <v>41423</v>
      </c>
      <c r="D173" s="547" t="s">
        <v>525</v>
      </c>
      <c r="E173" s="546" t="s">
        <v>525</v>
      </c>
      <c r="F173" s="547" t="s">
        <v>7</v>
      </c>
      <c r="G173" s="31" t="s">
        <v>14</v>
      </c>
      <c r="H173" s="31" t="s">
        <v>41</v>
      </c>
      <c r="I173" s="31">
        <v>173</v>
      </c>
      <c r="J173" s="60"/>
      <c r="K173" s="60"/>
      <c r="L173" s="60"/>
      <c r="M173" s="60"/>
      <c r="N173" s="60"/>
      <c r="O173" s="60"/>
      <c r="P173" s="60"/>
      <c r="Q173" s="60"/>
      <c r="R173" s="570"/>
      <c r="S173" s="60"/>
      <c r="T173" s="143">
        <f>IF(NFI_Expiration=1,IF($A173&lt;VLOOKUP(I$5,NFI,5,0),1,0)*Data_NFI_t[[#This Row],[Hygiene Kit]],0)</f>
        <v>0</v>
      </c>
      <c r="U173" s="143">
        <f>IF(NFI_Expiration=1,IF($A173&lt;VLOOKUP(J$5,NFI,5,0),1,0)*Data_NFI_t[[#This Row],[NFI Core Kit]],0)</f>
        <v>0</v>
      </c>
      <c r="V173" s="124">
        <f>IF(NFI_Expiration=1,IF($A173&lt;VLOOKUP(K$5,NFI,5,0),1,0)*Data_NFI_t[[#This Row],[Sanitary Kit]],0)</f>
        <v>0</v>
      </c>
      <c r="W173" s="124">
        <f>IF(NFI_Expiration=1,IF($A173&lt;VLOOKUP(L$5,NFI,5,0),1,0)*Data_NFI_t[[#This Row],[Mosquito net]],0)</f>
        <v>0</v>
      </c>
      <c r="X173" s="124">
        <f>IF(NFI_Expiration=1,IF($A173&lt;VLOOKUP(M$5,NFI,5,0),1,0)*Data_NFI_t[[#This Row],[Tarpaulin]],0)</f>
        <v>0</v>
      </c>
      <c r="Y173" s="124">
        <f>IF(NFI_Expiration=1,IF($A173&lt;VLOOKUP(N$5,NFI,5,0),1,0)*Data_NFI_t[[#This Row],[Blanket]],0)</f>
        <v>0</v>
      </c>
      <c r="Z173" s="124">
        <f>IF(NFI_Expiration=1,IF($A173&lt;VLOOKUP(O$5,NFI,5,0),1,0)*Data_NFI_t[[#This Row],[Kitchen Set]],0)</f>
        <v>0</v>
      </c>
      <c r="AA173" s="124">
        <f>IF(NFI_Expiration=1,IF($A173&lt;VLOOKUP(P$5,NFI,5,0),1,0)*Data_NFI_t[[#This Row],[Complementary Kit]],0)</f>
        <v>0</v>
      </c>
      <c r="AB173" s="124">
        <f>IF(NFI_Expiration=1,IF($A173&lt;VLOOKUP(Q$5,NFI,5,0),1,0)*Data_NFI_t[[#This Row],[Plastic Bucket]],0)</f>
        <v>0</v>
      </c>
      <c r="AC173" s="124">
        <f>IF(NFI_Expiration=1,IF($A173&lt;VLOOKUP(R$5,NFI,5,0),1,0)*Data_NFI_t[[#This Row],[Jerry Can]],0)</f>
        <v>0</v>
      </c>
      <c r="AD173" s="143">
        <f>IF(NFI_Expiration=1,IF($A173&lt;VLOOKUP(S$5,NFI,5,0),1,0)*Data_NFI_t[[#This Row],[Plastic Mat]],0)*IF(Data_NFI_t[[#This Row],[Distribution Date]]&gt;"01-06-2015",1,2.5)</f>
        <v>0</v>
      </c>
      <c r="AE173" s="143" t="str">
        <f ca="1">IFERROR(OFFSET(Camp_List[P_Code],MATCH(Data_NFI_t[[#This Row],[Camp Name]],Camp_List[Camp Name],0)-1,0,1,1),"")</f>
        <v>MMR012CMP017</v>
      </c>
      <c r="AF173" s="572" t="str">
        <f ca="1">IFERROR(OFFSET(Camp_List[Status],MATCH(Data_NFI_t[[#This Row],[Camp Name]],Camp_List[Camp Name],0)-1,0,1,1),"")</f>
        <v>Open</v>
      </c>
    </row>
    <row r="174" spans="1:32" s="100" customFormat="1" ht="15" customHeight="1">
      <c r="A174" s="254">
        <f t="shared" si="2"/>
        <v>36.633333333333333</v>
      </c>
      <c r="B174" s="254">
        <f>YEAR(Data_NFI_t[[#This Row],[Distribution Date]])</f>
        <v>2013</v>
      </c>
      <c r="C174" s="585">
        <v>41423</v>
      </c>
      <c r="D174" s="547" t="s">
        <v>287</v>
      </c>
      <c r="E174" s="546"/>
      <c r="F174" s="547" t="s">
        <v>7</v>
      </c>
      <c r="G174" s="31" t="s">
        <v>12</v>
      </c>
      <c r="H174" s="31" t="s">
        <v>36</v>
      </c>
      <c r="I174" s="31">
        <v>0</v>
      </c>
      <c r="J174" s="60"/>
      <c r="K174" s="60"/>
      <c r="L174" s="60">
        <v>82</v>
      </c>
      <c r="M174" s="60"/>
      <c r="N174" s="60">
        <v>82</v>
      </c>
      <c r="O174" s="60">
        <v>41</v>
      </c>
      <c r="P174" s="60">
        <v>41</v>
      </c>
      <c r="Q174" s="60">
        <v>10</v>
      </c>
      <c r="R174" s="570"/>
      <c r="S174" s="60">
        <v>20</v>
      </c>
      <c r="T174" s="143">
        <f>IF(NFI_Expiration=1,IF($A174&lt;VLOOKUP(I$5,NFI,5,0),1,0)*Data_NFI_t[[#This Row],[Hygiene Kit]],0)</f>
        <v>0</v>
      </c>
      <c r="U174" s="143">
        <f>IF(NFI_Expiration=1,IF($A174&lt;VLOOKUP(J$5,NFI,5,0),1,0)*Data_NFI_t[[#This Row],[NFI Core Kit]],0)</f>
        <v>0</v>
      </c>
      <c r="V174" s="124">
        <f>IF(NFI_Expiration=1,IF($A174&lt;VLOOKUP(K$5,NFI,5,0),1,0)*Data_NFI_t[[#This Row],[Sanitary Kit]],0)</f>
        <v>0</v>
      </c>
      <c r="W174" s="124">
        <f>IF(NFI_Expiration=1,IF($A174&lt;VLOOKUP(L$5,NFI,5,0),1,0)*Data_NFI_t[[#This Row],[Mosquito net]],0)</f>
        <v>0</v>
      </c>
      <c r="X174" s="124">
        <f>IF(NFI_Expiration=1,IF($A174&lt;VLOOKUP(M$5,NFI,5,0),1,0)*Data_NFI_t[[#This Row],[Tarpaulin]],0)</f>
        <v>0</v>
      </c>
      <c r="Y174" s="124">
        <f>IF(NFI_Expiration=1,IF($A174&lt;VLOOKUP(N$5,NFI,5,0),1,0)*Data_NFI_t[[#This Row],[Blanket]],0)</f>
        <v>0</v>
      </c>
      <c r="Z174" s="124">
        <f>IF(NFI_Expiration=1,IF($A174&lt;VLOOKUP(O$5,NFI,5,0),1,0)*Data_NFI_t[[#This Row],[Kitchen Set]],0)</f>
        <v>0</v>
      </c>
      <c r="AA174" s="124">
        <f>IF(NFI_Expiration=1,IF($A174&lt;VLOOKUP(P$5,NFI,5,0),1,0)*Data_NFI_t[[#This Row],[Complementary Kit]],0)</f>
        <v>0</v>
      </c>
      <c r="AB174" s="124">
        <f>IF(NFI_Expiration=1,IF($A174&lt;VLOOKUP(Q$5,NFI,5,0),1,0)*Data_NFI_t[[#This Row],[Plastic Bucket]],0)</f>
        <v>0</v>
      </c>
      <c r="AC174" s="124">
        <f>IF(NFI_Expiration=1,IF($A174&lt;VLOOKUP(R$5,NFI,5,0),1,0)*Data_NFI_t[[#This Row],[Jerry Can]],0)</f>
        <v>0</v>
      </c>
      <c r="AD174" s="143">
        <f>IF(NFI_Expiration=1,IF($A174&lt;VLOOKUP(S$5,NFI,5,0),1,0)*Data_NFI_t[[#This Row],[Plastic Mat]],0)*IF(Data_NFI_t[[#This Row],[Distribution Date]]&gt;"01-06-2015",1,2.5)</f>
        <v>0</v>
      </c>
      <c r="AE174" s="143" t="str">
        <f ca="1">IFERROR(OFFSET(Camp_List[P_Code],MATCH(Data_NFI_t[[#This Row],[Camp Name]],Camp_List[Camp Name],0)-1,0,1,1),"")</f>
        <v>MMR012CMP012</v>
      </c>
      <c r="AF174" s="572" t="str">
        <f ca="1">IFERROR(OFFSET(Camp_List[Status],MATCH(Data_NFI_t[[#This Row],[Camp Name]],Camp_List[Camp Name],0)-1,0,1,1),"")</f>
        <v>Relocated in Individual Housing</v>
      </c>
    </row>
    <row r="175" spans="1:32" s="100" customFormat="1" ht="15" customHeight="1">
      <c r="A175" s="254">
        <f t="shared" si="2"/>
        <v>36.633333333333333</v>
      </c>
      <c r="B175" s="254">
        <f>YEAR(Data_NFI_t[[#This Row],[Distribution Date]])</f>
        <v>2013</v>
      </c>
      <c r="C175" s="585">
        <v>41423</v>
      </c>
      <c r="D175" s="547" t="s">
        <v>287</v>
      </c>
      <c r="E175" s="546" t="s">
        <v>294</v>
      </c>
      <c r="F175" s="547" t="s">
        <v>7</v>
      </c>
      <c r="G175" s="31" t="s">
        <v>19</v>
      </c>
      <c r="H175" s="31"/>
      <c r="I175" s="31"/>
      <c r="J175" s="60"/>
      <c r="K175" s="60"/>
      <c r="L175" s="60"/>
      <c r="M175" s="60">
        <v>1520</v>
      </c>
      <c r="N175" s="60"/>
      <c r="O175" s="60"/>
      <c r="P175" s="60"/>
      <c r="Q175" s="60"/>
      <c r="R175" s="570"/>
      <c r="S175" s="60"/>
      <c r="T175" s="143">
        <f>IF(NFI_Expiration=1,IF($A175&lt;VLOOKUP(I$5,NFI,5,0),1,0)*Data_NFI_t[[#This Row],[Hygiene Kit]],0)</f>
        <v>0</v>
      </c>
      <c r="U175" s="143">
        <f>IF(NFI_Expiration=1,IF($A175&lt;VLOOKUP(J$5,NFI,5,0),1,0)*Data_NFI_t[[#This Row],[NFI Core Kit]],0)</f>
        <v>0</v>
      </c>
      <c r="V175" s="124">
        <f>IF(NFI_Expiration=1,IF($A175&lt;VLOOKUP(K$5,NFI,5,0),1,0)*Data_NFI_t[[#This Row],[Sanitary Kit]],0)</f>
        <v>0</v>
      </c>
      <c r="W175" s="124">
        <f>IF(NFI_Expiration=1,IF($A175&lt;VLOOKUP(L$5,NFI,5,0),1,0)*Data_NFI_t[[#This Row],[Mosquito net]],0)</f>
        <v>0</v>
      </c>
      <c r="X175" s="124">
        <f>IF(NFI_Expiration=1,IF($A175&lt;VLOOKUP(M$5,NFI,5,0),1,0)*Data_NFI_t[[#This Row],[Tarpaulin]],0)</f>
        <v>0</v>
      </c>
      <c r="Y175" s="124">
        <f>IF(NFI_Expiration=1,IF($A175&lt;VLOOKUP(N$5,NFI,5,0),1,0)*Data_NFI_t[[#This Row],[Blanket]],0)</f>
        <v>0</v>
      </c>
      <c r="Z175" s="124">
        <f>IF(NFI_Expiration=1,IF($A175&lt;VLOOKUP(O$5,NFI,5,0),1,0)*Data_NFI_t[[#This Row],[Kitchen Set]],0)</f>
        <v>0</v>
      </c>
      <c r="AA175" s="124">
        <f>IF(NFI_Expiration=1,IF($A175&lt;VLOOKUP(P$5,NFI,5,0),1,0)*Data_NFI_t[[#This Row],[Complementary Kit]],0)</f>
        <v>0</v>
      </c>
      <c r="AB175" s="124">
        <f>IF(NFI_Expiration=1,IF($A175&lt;VLOOKUP(Q$5,NFI,5,0),1,0)*Data_NFI_t[[#This Row],[Plastic Bucket]],0)</f>
        <v>0</v>
      </c>
      <c r="AC175" s="124">
        <f>IF(NFI_Expiration=1,IF($A175&lt;VLOOKUP(R$5,NFI,5,0),1,0)*Data_NFI_t[[#This Row],[Jerry Can]],0)</f>
        <v>0</v>
      </c>
      <c r="AD175" s="143">
        <f>IF(NFI_Expiration=1,IF($A175&lt;VLOOKUP(S$5,NFI,5,0),1,0)*Data_NFI_t[[#This Row],[Plastic Mat]],0)*IF(Data_NFI_t[[#This Row],[Distribution Date]]&gt;"01-06-2015",1,2.5)</f>
        <v>0</v>
      </c>
      <c r="AE175" s="143" t="str">
        <f ca="1">IFERROR(OFFSET(Camp_List[P_Code],MATCH(Data_NFI_t[[#This Row],[Camp Name]],Camp_List[Camp Name],0)-1,0,1,1),"")</f>
        <v/>
      </c>
      <c r="AF175" s="572" t="str">
        <f ca="1">IFERROR(OFFSET(Camp_List[Status],MATCH(Data_NFI_t[[#This Row],[Camp Name]],Camp_List[Camp Name],0)-1,0,1,1),"")</f>
        <v/>
      </c>
    </row>
    <row r="176" spans="1:32" s="100" customFormat="1" ht="15" customHeight="1">
      <c r="A176" s="254">
        <f t="shared" si="2"/>
        <v>36.666666666666664</v>
      </c>
      <c r="B176" s="254">
        <f>YEAR(Data_NFI_t[[#This Row],[Distribution Date]])</f>
        <v>2013</v>
      </c>
      <c r="C176" s="585">
        <v>41422</v>
      </c>
      <c r="D176" s="547" t="s">
        <v>287</v>
      </c>
      <c r="E176" s="546"/>
      <c r="F176" s="547" t="s">
        <v>7</v>
      </c>
      <c r="G176" s="31" t="s">
        <v>19</v>
      </c>
      <c r="H176" s="31" t="s">
        <v>73</v>
      </c>
      <c r="I176" s="31"/>
      <c r="J176" s="60"/>
      <c r="K176" s="60"/>
      <c r="L176" s="60"/>
      <c r="M176" s="60">
        <v>1315</v>
      </c>
      <c r="N176" s="60"/>
      <c r="O176" s="60"/>
      <c r="P176" s="60"/>
      <c r="Q176" s="60"/>
      <c r="R176" s="570"/>
      <c r="S176" s="60"/>
      <c r="T176" s="143">
        <f>IF(NFI_Expiration=1,IF($A176&lt;VLOOKUP(I$5,NFI,5,0),1,0)*Data_NFI_t[[#This Row],[Hygiene Kit]],0)</f>
        <v>0</v>
      </c>
      <c r="U176" s="143">
        <f>IF(NFI_Expiration=1,IF($A176&lt;VLOOKUP(J$5,NFI,5,0),1,0)*Data_NFI_t[[#This Row],[NFI Core Kit]],0)</f>
        <v>0</v>
      </c>
      <c r="V176" s="124">
        <f>IF(NFI_Expiration=1,IF($A176&lt;VLOOKUP(K$5,NFI,5,0),1,0)*Data_NFI_t[[#This Row],[Sanitary Kit]],0)</f>
        <v>0</v>
      </c>
      <c r="W176" s="124">
        <f>IF(NFI_Expiration=1,IF($A176&lt;VLOOKUP(L$5,NFI,5,0),1,0)*Data_NFI_t[[#This Row],[Mosquito net]],0)</f>
        <v>0</v>
      </c>
      <c r="X176" s="124">
        <f>IF(NFI_Expiration=1,IF($A176&lt;VLOOKUP(M$5,NFI,5,0),1,0)*Data_NFI_t[[#This Row],[Tarpaulin]],0)</f>
        <v>0</v>
      </c>
      <c r="Y176" s="124">
        <f>IF(NFI_Expiration=1,IF($A176&lt;VLOOKUP(N$5,NFI,5,0),1,0)*Data_NFI_t[[#This Row],[Blanket]],0)</f>
        <v>0</v>
      </c>
      <c r="Z176" s="124">
        <f>IF(NFI_Expiration=1,IF($A176&lt;VLOOKUP(O$5,NFI,5,0),1,0)*Data_NFI_t[[#This Row],[Kitchen Set]],0)</f>
        <v>0</v>
      </c>
      <c r="AA176" s="124">
        <f>IF(NFI_Expiration=1,IF($A176&lt;VLOOKUP(P$5,NFI,5,0),1,0)*Data_NFI_t[[#This Row],[Complementary Kit]],0)</f>
        <v>0</v>
      </c>
      <c r="AB176" s="124">
        <f>IF(NFI_Expiration=1,IF($A176&lt;VLOOKUP(Q$5,NFI,5,0),1,0)*Data_NFI_t[[#This Row],[Plastic Bucket]],0)</f>
        <v>0</v>
      </c>
      <c r="AC176" s="124">
        <f>IF(NFI_Expiration=1,IF($A176&lt;VLOOKUP(R$5,NFI,5,0),1,0)*Data_NFI_t[[#This Row],[Jerry Can]],0)</f>
        <v>0</v>
      </c>
      <c r="AD176" s="143">
        <f>IF(NFI_Expiration=1,IF($A176&lt;VLOOKUP(S$5,NFI,5,0),1,0)*Data_NFI_t[[#This Row],[Plastic Mat]],0)*IF(Data_NFI_t[[#This Row],[Distribution Date]]&gt;"01-06-2015",1,2.5)</f>
        <v>0</v>
      </c>
      <c r="AE176" s="143" t="str">
        <f ca="1">IFERROR(OFFSET(Camp_List[P_Code],MATCH(Data_NFI_t[[#This Row],[Camp Name]],Camp_List[Camp Name],0)-1,0,1,1),"")</f>
        <v>MMR012CMP051</v>
      </c>
      <c r="AF176" s="572" t="str">
        <f ca="1">IFERROR(OFFSET(Camp_List[Status],MATCH(Data_NFI_t[[#This Row],[Camp Name]],Camp_List[Camp Name],0)-1,0,1,1),"")</f>
        <v>Close</v>
      </c>
    </row>
    <row r="177" spans="1:32" s="100" customFormat="1" ht="15" customHeight="1">
      <c r="A177" s="254">
        <f t="shared" si="2"/>
        <v>36.666666666666664</v>
      </c>
      <c r="B177" s="254">
        <f>YEAR(Data_NFI_t[[#This Row],[Distribution Date]])</f>
        <v>2013</v>
      </c>
      <c r="C177" s="585">
        <v>41422</v>
      </c>
      <c r="D177" s="547" t="s">
        <v>287</v>
      </c>
      <c r="E177" s="546" t="s">
        <v>287</v>
      </c>
      <c r="F177" s="547" t="s">
        <v>7</v>
      </c>
      <c r="G177" s="31" t="s">
        <v>19</v>
      </c>
      <c r="H177" s="31" t="s">
        <v>76</v>
      </c>
      <c r="I177" s="31"/>
      <c r="J177" s="60"/>
      <c r="K177" s="60"/>
      <c r="L177" s="60"/>
      <c r="M177" s="60">
        <v>358</v>
      </c>
      <c r="N177" s="60"/>
      <c r="O177" s="60"/>
      <c r="P177" s="60"/>
      <c r="Q177" s="60"/>
      <c r="R177" s="570"/>
      <c r="S177" s="60"/>
      <c r="T177" s="143">
        <f>IF(NFI_Expiration=1,IF($A177&lt;VLOOKUP(I$5,NFI,5,0),1,0)*Data_NFI_t[[#This Row],[Hygiene Kit]],0)</f>
        <v>0</v>
      </c>
      <c r="U177" s="143">
        <f>IF(NFI_Expiration=1,IF($A177&lt;VLOOKUP(J$5,NFI,5,0),1,0)*Data_NFI_t[[#This Row],[NFI Core Kit]],0)</f>
        <v>0</v>
      </c>
      <c r="V177" s="124">
        <f>IF(NFI_Expiration=1,IF($A177&lt;VLOOKUP(K$5,NFI,5,0),1,0)*Data_NFI_t[[#This Row],[Sanitary Kit]],0)</f>
        <v>0</v>
      </c>
      <c r="W177" s="124">
        <f>IF(NFI_Expiration=1,IF($A177&lt;VLOOKUP(L$5,NFI,5,0),1,0)*Data_NFI_t[[#This Row],[Mosquito net]],0)</f>
        <v>0</v>
      </c>
      <c r="X177" s="124">
        <f>IF(NFI_Expiration=1,IF($A177&lt;VLOOKUP(M$5,NFI,5,0),1,0)*Data_NFI_t[[#This Row],[Tarpaulin]],0)</f>
        <v>0</v>
      </c>
      <c r="Y177" s="124">
        <f>IF(NFI_Expiration=1,IF($A177&lt;VLOOKUP(N$5,NFI,5,0),1,0)*Data_NFI_t[[#This Row],[Blanket]],0)</f>
        <v>0</v>
      </c>
      <c r="Z177" s="124">
        <f>IF(NFI_Expiration=1,IF($A177&lt;VLOOKUP(O$5,NFI,5,0),1,0)*Data_NFI_t[[#This Row],[Kitchen Set]],0)</f>
        <v>0</v>
      </c>
      <c r="AA177" s="124">
        <f>IF(NFI_Expiration=1,IF($A177&lt;VLOOKUP(P$5,NFI,5,0),1,0)*Data_NFI_t[[#This Row],[Complementary Kit]],0)</f>
        <v>0</v>
      </c>
      <c r="AB177" s="124">
        <f>IF(NFI_Expiration=1,IF($A177&lt;VLOOKUP(Q$5,NFI,5,0),1,0)*Data_NFI_t[[#This Row],[Plastic Bucket]],0)</f>
        <v>0</v>
      </c>
      <c r="AC177" s="124">
        <f>IF(NFI_Expiration=1,IF($A177&lt;VLOOKUP(R$5,NFI,5,0),1,0)*Data_NFI_t[[#This Row],[Jerry Can]],0)</f>
        <v>0</v>
      </c>
      <c r="AD177" s="143">
        <f>IF(NFI_Expiration=1,IF($A177&lt;VLOOKUP(S$5,NFI,5,0),1,0)*Data_NFI_t[[#This Row],[Plastic Mat]],0)*IF(Data_NFI_t[[#This Row],[Distribution Date]]&gt;"01-06-2015",1,2.5)</f>
        <v>0</v>
      </c>
      <c r="AE177" s="143" t="str">
        <f ca="1">IFERROR(OFFSET(Camp_List[P_Code],MATCH(Data_NFI_t[[#This Row],[Camp Name]],Camp_List[Camp Name],0)-1,0,1,1),"")</f>
        <v>MMR012CMP054</v>
      </c>
      <c r="AF177" s="572" t="str">
        <f ca="1">IFERROR(OFFSET(Camp_List[Status],MATCH(Data_NFI_t[[#This Row],[Camp Name]],Camp_List[Camp Name],0)-1,0,1,1),"")</f>
        <v>Close</v>
      </c>
    </row>
    <row r="178" spans="1:32" s="100" customFormat="1" ht="15" customHeight="1">
      <c r="A178" s="254">
        <f t="shared" si="2"/>
        <v>36.700000000000003</v>
      </c>
      <c r="B178" s="254">
        <f>YEAR(Data_NFI_t[[#This Row],[Distribution Date]])</f>
        <v>2013</v>
      </c>
      <c r="C178" s="585">
        <v>41421</v>
      </c>
      <c r="D178" s="547" t="s">
        <v>287</v>
      </c>
      <c r="E178" s="546" t="s">
        <v>287</v>
      </c>
      <c r="F178" s="547" t="s">
        <v>7</v>
      </c>
      <c r="G178" s="31" t="s">
        <v>19</v>
      </c>
      <c r="H178" s="31" t="s">
        <v>71</v>
      </c>
      <c r="I178" s="31"/>
      <c r="J178" s="60"/>
      <c r="K178" s="60"/>
      <c r="L178" s="60"/>
      <c r="M178" s="60">
        <v>246</v>
      </c>
      <c r="N178" s="60"/>
      <c r="O178" s="60"/>
      <c r="P178" s="60"/>
      <c r="Q178" s="60"/>
      <c r="R178" s="570"/>
      <c r="S178" s="60"/>
      <c r="T178" s="143">
        <f>IF(NFI_Expiration=1,IF($A178&lt;VLOOKUP(I$5,NFI,5,0),1,0)*Data_NFI_t[[#This Row],[Hygiene Kit]],0)</f>
        <v>0</v>
      </c>
      <c r="U178" s="143">
        <f>IF(NFI_Expiration=1,IF($A178&lt;VLOOKUP(J$5,NFI,5,0),1,0)*Data_NFI_t[[#This Row],[NFI Core Kit]],0)</f>
        <v>0</v>
      </c>
      <c r="V178" s="124">
        <f>IF(NFI_Expiration=1,IF($A178&lt;VLOOKUP(K$5,NFI,5,0),1,0)*Data_NFI_t[[#This Row],[Sanitary Kit]],0)</f>
        <v>0</v>
      </c>
      <c r="W178" s="124">
        <f>IF(NFI_Expiration=1,IF($A178&lt;VLOOKUP(L$5,NFI,5,0),1,0)*Data_NFI_t[[#This Row],[Mosquito net]],0)</f>
        <v>0</v>
      </c>
      <c r="X178" s="124">
        <f>IF(NFI_Expiration=1,IF($A178&lt;VLOOKUP(M$5,NFI,5,0),1,0)*Data_NFI_t[[#This Row],[Tarpaulin]],0)</f>
        <v>0</v>
      </c>
      <c r="Y178" s="124">
        <f>IF(NFI_Expiration=1,IF($A178&lt;VLOOKUP(N$5,NFI,5,0),1,0)*Data_NFI_t[[#This Row],[Blanket]],0)</f>
        <v>0</v>
      </c>
      <c r="Z178" s="124">
        <f>IF(NFI_Expiration=1,IF($A178&lt;VLOOKUP(O$5,NFI,5,0),1,0)*Data_NFI_t[[#This Row],[Kitchen Set]],0)</f>
        <v>0</v>
      </c>
      <c r="AA178" s="124">
        <f>IF(NFI_Expiration=1,IF($A178&lt;VLOOKUP(P$5,NFI,5,0),1,0)*Data_NFI_t[[#This Row],[Complementary Kit]],0)</f>
        <v>0</v>
      </c>
      <c r="AB178" s="124">
        <f>IF(NFI_Expiration=1,IF($A178&lt;VLOOKUP(Q$5,NFI,5,0),1,0)*Data_NFI_t[[#This Row],[Plastic Bucket]],0)</f>
        <v>0</v>
      </c>
      <c r="AC178" s="124">
        <f>IF(NFI_Expiration=1,IF($A178&lt;VLOOKUP(R$5,NFI,5,0),1,0)*Data_NFI_t[[#This Row],[Jerry Can]],0)</f>
        <v>0</v>
      </c>
      <c r="AD178" s="143">
        <f>IF(NFI_Expiration=1,IF($A178&lt;VLOOKUP(S$5,NFI,5,0),1,0)*Data_NFI_t[[#This Row],[Plastic Mat]],0)*IF(Data_NFI_t[[#This Row],[Distribution Date]]&gt;"01-06-2015",1,2.5)</f>
        <v>0</v>
      </c>
      <c r="AE178" s="143" t="str">
        <f ca="1">IFERROR(OFFSET(Camp_List[P_Code],MATCH(Data_NFI_t[[#This Row],[Camp Name]],Camp_List[Camp Name],0)-1,0,1,1),"")</f>
        <v>MMR012CMP049</v>
      </c>
      <c r="AF178" s="572" t="str">
        <f ca="1">IFERROR(OFFSET(Camp_List[Status],MATCH(Data_NFI_t[[#This Row],[Camp Name]],Camp_List[Camp Name],0)-1,0,1,1),"")</f>
        <v>Close</v>
      </c>
    </row>
    <row r="179" spans="1:32" s="100" customFormat="1" ht="15" customHeight="1">
      <c r="A179" s="254">
        <f t="shared" si="2"/>
        <v>36.700000000000003</v>
      </c>
      <c r="B179" s="254">
        <f>YEAR(Data_NFI_t[[#This Row],[Distribution Date]])</f>
        <v>2013</v>
      </c>
      <c r="C179" s="585">
        <v>41421</v>
      </c>
      <c r="D179" s="547" t="s">
        <v>287</v>
      </c>
      <c r="E179" s="546"/>
      <c r="F179" s="547" t="s">
        <v>7</v>
      </c>
      <c r="G179" s="31" t="s">
        <v>19</v>
      </c>
      <c r="H179" s="31" t="s">
        <v>64</v>
      </c>
      <c r="I179" s="31"/>
      <c r="J179" s="60"/>
      <c r="K179" s="60"/>
      <c r="L179" s="60"/>
      <c r="M179" s="60">
        <v>86</v>
      </c>
      <c r="N179" s="60"/>
      <c r="O179" s="60"/>
      <c r="P179" s="60"/>
      <c r="Q179" s="60"/>
      <c r="R179" s="570"/>
      <c r="S179" s="60"/>
      <c r="T179" s="143">
        <f>IF(NFI_Expiration=1,IF($A179&lt;VLOOKUP(I$5,NFI,5,0),1,0)*Data_NFI_t[[#This Row],[Hygiene Kit]],0)</f>
        <v>0</v>
      </c>
      <c r="U179" s="143">
        <f>IF(NFI_Expiration=1,IF($A179&lt;VLOOKUP(J$5,NFI,5,0),1,0)*Data_NFI_t[[#This Row],[NFI Core Kit]],0)</f>
        <v>0</v>
      </c>
      <c r="V179" s="124">
        <f>IF(NFI_Expiration=1,IF($A179&lt;VLOOKUP(K$5,NFI,5,0),1,0)*Data_NFI_t[[#This Row],[Sanitary Kit]],0)</f>
        <v>0</v>
      </c>
      <c r="W179" s="124">
        <f>IF(NFI_Expiration=1,IF($A179&lt;VLOOKUP(L$5,NFI,5,0),1,0)*Data_NFI_t[[#This Row],[Mosquito net]],0)</f>
        <v>0</v>
      </c>
      <c r="X179" s="124">
        <f>IF(NFI_Expiration=1,IF($A179&lt;VLOOKUP(M$5,NFI,5,0),1,0)*Data_NFI_t[[#This Row],[Tarpaulin]],0)</f>
        <v>0</v>
      </c>
      <c r="Y179" s="124">
        <f>IF(NFI_Expiration=1,IF($A179&lt;VLOOKUP(N$5,NFI,5,0),1,0)*Data_NFI_t[[#This Row],[Blanket]],0)</f>
        <v>0</v>
      </c>
      <c r="Z179" s="124">
        <f>IF(NFI_Expiration=1,IF($A179&lt;VLOOKUP(O$5,NFI,5,0),1,0)*Data_NFI_t[[#This Row],[Kitchen Set]],0)</f>
        <v>0</v>
      </c>
      <c r="AA179" s="124">
        <f>IF(NFI_Expiration=1,IF($A179&lt;VLOOKUP(P$5,NFI,5,0),1,0)*Data_NFI_t[[#This Row],[Complementary Kit]],0)</f>
        <v>0</v>
      </c>
      <c r="AB179" s="124">
        <f>IF(NFI_Expiration=1,IF($A179&lt;VLOOKUP(Q$5,NFI,5,0),1,0)*Data_NFI_t[[#This Row],[Plastic Bucket]],0)</f>
        <v>0</v>
      </c>
      <c r="AC179" s="124">
        <f>IF(NFI_Expiration=1,IF($A179&lt;VLOOKUP(R$5,NFI,5,0),1,0)*Data_NFI_t[[#This Row],[Jerry Can]],0)</f>
        <v>0</v>
      </c>
      <c r="AD179" s="143">
        <f>IF(NFI_Expiration=1,IF($A179&lt;VLOOKUP(S$5,NFI,5,0),1,0)*Data_NFI_t[[#This Row],[Plastic Mat]],0)*IF(Data_NFI_t[[#This Row],[Distribution Date]]&gt;"01-06-2015",1,2.5)</f>
        <v>0</v>
      </c>
      <c r="AE179" s="143" t="str">
        <f ca="1">IFERROR(OFFSET(Camp_List[P_Code],MATCH(Data_NFI_t[[#This Row],[Camp Name]],Camp_List[Camp Name],0)-1,0,1,1),"")</f>
        <v>MMR012CMP042</v>
      </c>
      <c r="AF179" s="572" t="str">
        <f ca="1">IFERROR(OFFSET(Camp_List[Status],MATCH(Data_NFI_t[[#This Row],[Camp Name]],Camp_List[Camp Name],0)-1,0,1,1),"")</f>
        <v>Open</v>
      </c>
    </row>
    <row r="180" spans="1:32" s="100" customFormat="1" ht="15" customHeight="1">
      <c r="A180" s="254">
        <f t="shared" si="2"/>
        <v>36.833333333333336</v>
      </c>
      <c r="B180" s="254">
        <f>YEAR(Data_NFI_t[[#This Row],[Distribution Date]])</f>
        <v>2013</v>
      </c>
      <c r="C180" s="585">
        <v>41417</v>
      </c>
      <c r="D180" s="547" t="s">
        <v>525</v>
      </c>
      <c r="E180" s="546" t="s">
        <v>525</v>
      </c>
      <c r="F180" s="547" t="s">
        <v>7</v>
      </c>
      <c r="G180" s="31" t="s">
        <v>19</v>
      </c>
      <c r="H180" s="31" t="s">
        <v>70</v>
      </c>
      <c r="I180" s="31">
        <v>4795</v>
      </c>
      <c r="J180" s="60"/>
      <c r="K180" s="60"/>
      <c r="L180" s="60"/>
      <c r="M180" s="60"/>
      <c r="N180" s="60"/>
      <c r="O180" s="60"/>
      <c r="P180" s="60"/>
      <c r="Q180" s="60"/>
      <c r="R180" s="570"/>
      <c r="S180" s="60"/>
      <c r="T180" s="143">
        <f>IF(NFI_Expiration=1,IF($A180&lt;VLOOKUP(I$5,NFI,5,0),1,0)*Data_NFI_t[[#This Row],[Hygiene Kit]],0)</f>
        <v>0</v>
      </c>
      <c r="U180" s="143">
        <f>IF(NFI_Expiration=1,IF($A180&lt;VLOOKUP(J$5,NFI,5,0),1,0)*Data_NFI_t[[#This Row],[NFI Core Kit]],0)</f>
        <v>0</v>
      </c>
      <c r="V180" s="124">
        <f>IF(NFI_Expiration=1,IF($A180&lt;VLOOKUP(K$5,NFI,5,0),1,0)*Data_NFI_t[[#This Row],[Sanitary Kit]],0)</f>
        <v>0</v>
      </c>
      <c r="W180" s="124">
        <f>IF(NFI_Expiration=1,IF($A180&lt;VLOOKUP(L$5,NFI,5,0),1,0)*Data_NFI_t[[#This Row],[Mosquito net]],0)</f>
        <v>0</v>
      </c>
      <c r="X180" s="124">
        <f>IF(NFI_Expiration=1,IF($A180&lt;VLOOKUP(M$5,NFI,5,0),1,0)*Data_NFI_t[[#This Row],[Tarpaulin]],0)</f>
        <v>0</v>
      </c>
      <c r="Y180" s="124">
        <f>IF(NFI_Expiration=1,IF($A180&lt;VLOOKUP(N$5,NFI,5,0),1,0)*Data_NFI_t[[#This Row],[Blanket]],0)</f>
        <v>0</v>
      </c>
      <c r="Z180" s="124">
        <f>IF(NFI_Expiration=1,IF($A180&lt;VLOOKUP(O$5,NFI,5,0),1,0)*Data_NFI_t[[#This Row],[Kitchen Set]],0)</f>
        <v>0</v>
      </c>
      <c r="AA180" s="124">
        <f>IF(NFI_Expiration=1,IF($A180&lt;VLOOKUP(P$5,NFI,5,0),1,0)*Data_NFI_t[[#This Row],[Complementary Kit]],0)</f>
        <v>0</v>
      </c>
      <c r="AB180" s="124">
        <f>IF(NFI_Expiration=1,IF($A180&lt;VLOOKUP(Q$5,NFI,5,0),1,0)*Data_NFI_t[[#This Row],[Plastic Bucket]],0)</f>
        <v>0</v>
      </c>
      <c r="AC180" s="124">
        <f>IF(NFI_Expiration=1,IF($A180&lt;VLOOKUP(R$5,NFI,5,0),1,0)*Data_NFI_t[[#This Row],[Jerry Can]],0)</f>
        <v>0</v>
      </c>
      <c r="AD180" s="143">
        <f>IF(NFI_Expiration=1,IF($A180&lt;VLOOKUP(S$5,NFI,5,0),1,0)*Data_NFI_t[[#This Row],[Plastic Mat]],0)*IF(Data_NFI_t[[#This Row],[Distribution Date]]&gt;"01-06-2015",1,2.5)</f>
        <v>0</v>
      </c>
      <c r="AE180" s="143" t="str">
        <f ca="1">IFERROR(OFFSET(Camp_List[P_Code],MATCH(Data_NFI_t[[#This Row],[Camp Name]],Camp_List[Camp Name],0)-1,0,1,1),"")</f>
        <v>MMR012CMP048</v>
      </c>
      <c r="AF180" s="572" t="str">
        <f ca="1">IFERROR(OFFSET(Camp_List[Status],MATCH(Data_NFI_t[[#This Row],[Camp Name]],Camp_List[Camp Name],0)-1,0,1,1),"")</f>
        <v>Open</v>
      </c>
    </row>
    <row r="181" spans="1:32" s="100" customFormat="1" ht="15" customHeight="1">
      <c r="A181" s="254">
        <f t="shared" si="2"/>
        <v>36.866666666666667</v>
      </c>
      <c r="B181" s="254">
        <f>YEAR(Data_NFI_t[[#This Row],[Distribution Date]])</f>
        <v>2013</v>
      </c>
      <c r="C181" s="585">
        <v>41416</v>
      </c>
      <c r="D181" s="547" t="s">
        <v>525</v>
      </c>
      <c r="E181" s="546" t="s">
        <v>525</v>
      </c>
      <c r="F181" s="547" t="s">
        <v>7</v>
      </c>
      <c r="G181" s="31" t="s">
        <v>14</v>
      </c>
      <c r="H181" s="31" t="s">
        <v>42</v>
      </c>
      <c r="I181" s="31">
        <v>903</v>
      </c>
      <c r="J181" s="60"/>
      <c r="K181" s="60"/>
      <c r="L181" s="60"/>
      <c r="M181" s="60"/>
      <c r="N181" s="60"/>
      <c r="O181" s="60"/>
      <c r="P181" s="60"/>
      <c r="Q181" s="60"/>
      <c r="R181" s="570"/>
      <c r="S181" s="60"/>
      <c r="T181" s="143">
        <f>IF(NFI_Expiration=1,IF($A181&lt;VLOOKUP(I$5,NFI,5,0),1,0)*Data_NFI_t[[#This Row],[Hygiene Kit]],0)</f>
        <v>0</v>
      </c>
      <c r="U181" s="143">
        <f>IF(NFI_Expiration=1,IF($A181&lt;VLOOKUP(J$5,NFI,5,0),1,0)*Data_NFI_t[[#This Row],[NFI Core Kit]],0)</f>
        <v>0</v>
      </c>
      <c r="V181" s="124">
        <f>IF(NFI_Expiration=1,IF($A181&lt;VLOOKUP(K$5,NFI,5,0),1,0)*Data_NFI_t[[#This Row],[Sanitary Kit]],0)</f>
        <v>0</v>
      </c>
      <c r="W181" s="124">
        <f>IF(NFI_Expiration=1,IF($A181&lt;VLOOKUP(L$5,NFI,5,0),1,0)*Data_NFI_t[[#This Row],[Mosquito net]],0)</f>
        <v>0</v>
      </c>
      <c r="X181" s="124">
        <f>IF(NFI_Expiration=1,IF($A181&lt;VLOOKUP(M$5,NFI,5,0),1,0)*Data_NFI_t[[#This Row],[Tarpaulin]],0)</f>
        <v>0</v>
      </c>
      <c r="Y181" s="124">
        <f>IF(NFI_Expiration=1,IF($A181&lt;VLOOKUP(N$5,NFI,5,0),1,0)*Data_NFI_t[[#This Row],[Blanket]],0)</f>
        <v>0</v>
      </c>
      <c r="Z181" s="124">
        <f>IF(NFI_Expiration=1,IF($A181&lt;VLOOKUP(O$5,NFI,5,0),1,0)*Data_NFI_t[[#This Row],[Kitchen Set]],0)</f>
        <v>0</v>
      </c>
      <c r="AA181" s="124">
        <f>IF(NFI_Expiration=1,IF($A181&lt;VLOOKUP(P$5,NFI,5,0),1,0)*Data_NFI_t[[#This Row],[Complementary Kit]],0)</f>
        <v>0</v>
      </c>
      <c r="AB181" s="124">
        <f>IF(NFI_Expiration=1,IF($A181&lt;VLOOKUP(Q$5,NFI,5,0),1,0)*Data_NFI_t[[#This Row],[Plastic Bucket]],0)</f>
        <v>0</v>
      </c>
      <c r="AC181" s="124">
        <f>IF(NFI_Expiration=1,IF($A181&lt;VLOOKUP(R$5,NFI,5,0),1,0)*Data_NFI_t[[#This Row],[Jerry Can]],0)</f>
        <v>0</v>
      </c>
      <c r="AD181" s="143">
        <f>IF(NFI_Expiration=1,IF($A181&lt;VLOOKUP(S$5,NFI,5,0),1,0)*Data_NFI_t[[#This Row],[Plastic Mat]],0)*IF(Data_NFI_t[[#This Row],[Distribution Date]]&gt;"01-06-2015",1,2.5)</f>
        <v>0</v>
      </c>
      <c r="AE181" s="143" t="str">
        <f ca="1">IFERROR(OFFSET(Camp_List[P_Code],MATCH(Data_NFI_t[[#This Row],[Camp Name]],Camp_List[Camp Name],0)-1,0,1,1),"")</f>
        <v>MMR012CMP018</v>
      </c>
      <c r="AF181" s="572" t="str">
        <f ca="1">IFERROR(OFFSET(Camp_List[Status],MATCH(Data_NFI_t[[#This Row],[Camp Name]],Camp_List[Camp Name],0)-1,0,1,1),"")</f>
        <v>Open</v>
      </c>
    </row>
    <row r="182" spans="1:32" s="100" customFormat="1" ht="15" customHeight="1">
      <c r="A182" s="254">
        <f t="shared" si="2"/>
        <v>37.6</v>
      </c>
      <c r="B182" s="254">
        <f>YEAR(Data_NFI_t[[#This Row],[Distribution Date]])</f>
        <v>2013</v>
      </c>
      <c r="C182" s="585">
        <v>41394</v>
      </c>
      <c r="D182" s="547" t="s">
        <v>287</v>
      </c>
      <c r="E182" s="546"/>
      <c r="F182" s="547" t="s">
        <v>7</v>
      </c>
      <c r="G182" s="31" t="s">
        <v>14</v>
      </c>
      <c r="H182" s="31"/>
      <c r="I182" s="31"/>
      <c r="J182" s="60"/>
      <c r="K182" s="60"/>
      <c r="L182" s="60"/>
      <c r="M182" s="60"/>
      <c r="N182" s="60">
        <v>1</v>
      </c>
      <c r="O182" s="60"/>
      <c r="P182" s="60"/>
      <c r="Q182" s="60"/>
      <c r="R182" s="570"/>
      <c r="S182" s="60"/>
      <c r="T182" s="143">
        <f>IF(NFI_Expiration=1,IF($A182&lt;VLOOKUP(I$5,NFI,5,0),1,0)*Data_NFI_t[[#This Row],[Hygiene Kit]],0)</f>
        <v>0</v>
      </c>
      <c r="U182" s="143">
        <f>IF(NFI_Expiration=1,IF($A182&lt;VLOOKUP(J$5,NFI,5,0),1,0)*Data_NFI_t[[#This Row],[NFI Core Kit]],0)</f>
        <v>0</v>
      </c>
      <c r="V182" s="124">
        <f>IF(NFI_Expiration=1,IF($A182&lt;VLOOKUP(K$5,NFI,5,0),1,0)*Data_NFI_t[[#This Row],[Sanitary Kit]],0)</f>
        <v>0</v>
      </c>
      <c r="W182" s="124">
        <f>IF(NFI_Expiration=1,IF($A182&lt;VLOOKUP(L$5,NFI,5,0),1,0)*Data_NFI_t[[#This Row],[Mosquito net]],0)</f>
        <v>0</v>
      </c>
      <c r="X182" s="124">
        <f>IF(NFI_Expiration=1,IF($A182&lt;VLOOKUP(M$5,NFI,5,0),1,0)*Data_NFI_t[[#This Row],[Tarpaulin]],0)</f>
        <v>0</v>
      </c>
      <c r="Y182" s="124">
        <f>IF(NFI_Expiration=1,IF($A182&lt;VLOOKUP(N$5,NFI,5,0),1,0)*Data_NFI_t[[#This Row],[Blanket]],0)</f>
        <v>0</v>
      </c>
      <c r="Z182" s="124">
        <f>IF(NFI_Expiration=1,IF($A182&lt;VLOOKUP(O$5,NFI,5,0),1,0)*Data_NFI_t[[#This Row],[Kitchen Set]],0)</f>
        <v>0</v>
      </c>
      <c r="AA182" s="124">
        <f>IF(NFI_Expiration=1,IF($A182&lt;VLOOKUP(P$5,NFI,5,0),1,0)*Data_NFI_t[[#This Row],[Complementary Kit]],0)</f>
        <v>0</v>
      </c>
      <c r="AB182" s="124">
        <f>IF(NFI_Expiration=1,IF($A182&lt;VLOOKUP(Q$5,NFI,5,0),1,0)*Data_NFI_t[[#This Row],[Plastic Bucket]],0)</f>
        <v>0</v>
      </c>
      <c r="AC182" s="124">
        <f>IF(NFI_Expiration=1,IF($A182&lt;VLOOKUP(R$5,NFI,5,0),1,0)*Data_NFI_t[[#This Row],[Jerry Can]],0)</f>
        <v>0</v>
      </c>
      <c r="AD182" s="143">
        <f>IF(NFI_Expiration=1,IF($A182&lt;VLOOKUP(S$5,NFI,5,0),1,0)*Data_NFI_t[[#This Row],[Plastic Mat]],0)*IF(Data_NFI_t[[#This Row],[Distribution Date]]&gt;"01-06-2015",1,2.5)</f>
        <v>0</v>
      </c>
      <c r="AE182" s="143" t="str">
        <f ca="1">IFERROR(OFFSET(Camp_List[P_Code],MATCH(Data_NFI_t[[#This Row],[Camp Name]],Camp_List[Camp Name],0)-1,0,1,1),"")</f>
        <v/>
      </c>
      <c r="AF182" s="572" t="str">
        <f ca="1">IFERROR(OFFSET(Camp_List[Status],MATCH(Data_NFI_t[[#This Row],[Camp Name]],Camp_List[Camp Name],0)-1,0,1,1),"")</f>
        <v/>
      </c>
    </row>
    <row r="183" spans="1:32" s="100" customFormat="1" ht="15" customHeight="1">
      <c r="A183" s="254">
        <f t="shared" si="2"/>
        <v>37.633333333333333</v>
      </c>
      <c r="B183" s="254">
        <f>YEAR(Data_NFI_t[[#This Row],[Distribution Date]])</f>
        <v>2013</v>
      </c>
      <c r="C183" s="585">
        <v>41393</v>
      </c>
      <c r="D183" s="547" t="s">
        <v>287</v>
      </c>
      <c r="E183" s="546"/>
      <c r="F183" s="547" t="s">
        <v>7</v>
      </c>
      <c r="G183" s="31" t="s">
        <v>16</v>
      </c>
      <c r="H183" s="31" t="s">
        <v>55</v>
      </c>
      <c r="I183" s="31">
        <v>0</v>
      </c>
      <c r="J183" s="60">
        <v>64</v>
      </c>
      <c r="K183" s="60"/>
      <c r="L183" s="60">
        <v>128</v>
      </c>
      <c r="M183" s="60">
        <v>64</v>
      </c>
      <c r="N183" s="60">
        <v>128</v>
      </c>
      <c r="O183" s="60">
        <v>64</v>
      </c>
      <c r="P183" s="60">
        <v>64</v>
      </c>
      <c r="Q183" s="60">
        <v>64</v>
      </c>
      <c r="R183" s="570"/>
      <c r="S183" s="60">
        <v>128</v>
      </c>
      <c r="T183" s="143">
        <f>IF(NFI_Expiration=1,IF($A183&lt;VLOOKUP(I$5,NFI,5,0),1,0)*Data_NFI_t[[#This Row],[Hygiene Kit]],0)</f>
        <v>0</v>
      </c>
      <c r="U183" s="143">
        <f>IF(NFI_Expiration=1,IF($A183&lt;VLOOKUP(J$5,NFI,5,0),1,0)*Data_NFI_t[[#This Row],[NFI Core Kit]],0)</f>
        <v>0</v>
      </c>
      <c r="V183" s="124">
        <f>IF(NFI_Expiration=1,IF($A183&lt;VLOOKUP(K$5,NFI,5,0),1,0)*Data_NFI_t[[#This Row],[Sanitary Kit]],0)</f>
        <v>0</v>
      </c>
      <c r="W183" s="124">
        <f>IF(NFI_Expiration=1,IF($A183&lt;VLOOKUP(L$5,NFI,5,0),1,0)*Data_NFI_t[[#This Row],[Mosquito net]],0)</f>
        <v>0</v>
      </c>
      <c r="X183" s="124">
        <f>IF(NFI_Expiration=1,IF($A183&lt;VLOOKUP(M$5,NFI,5,0),1,0)*Data_NFI_t[[#This Row],[Tarpaulin]],0)</f>
        <v>0</v>
      </c>
      <c r="Y183" s="124">
        <f>IF(NFI_Expiration=1,IF($A183&lt;VLOOKUP(N$5,NFI,5,0),1,0)*Data_NFI_t[[#This Row],[Blanket]],0)</f>
        <v>0</v>
      </c>
      <c r="Z183" s="124">
        <f>IF(NFI_Expiration=1,IF($A183&lt;VLOOKUP(O$5,NFI,5,0),1,0)*Data_NFI_t[[#This Row],[Kitchen Set]],0)</f>
        <v>0</v>
      </c>
      <c r="AA183" s="124">
        <f>IF(NFI_Expiration=1,IF($A183&lt;VLOOKUP(P$5,NFI,5,0),1,0)*Data_NFI_t[[#This Row],[Complementary Kit]],0)</f>
        <v>0</v>
      </c>
      <c r="AB183" s="124">
        <f>IF(NFI_Expiration=1,IF($A183&lt;VLOOKUP(Q$5,NFI,5,0),1,0)*Data_NFI_t[[#This Row],[Plastic Bucket]],0)</f>
        <v>0</v>
      </c>
      <c r="AC183" s="124">
        <f>IF(NFI_Expiration=1,IF($A183&lt;VLOOKUP(R$5,NFI,5,0),1,0)*Data_NFI_t[[#This Row],[Jerry Can]],0)</f>
        <v>0</v>
      </c>
      <c r="AD183" s="143">
        <f>IF(NFI_Expiration=1,IF($A183&lt;VLOOKUP(S$5,NFI,5,0),1,0)*Data_NFI_t[[#This Row],[Plastic Mat]],0)*IF(Data_NFI_t[[#This Row],[Distribution Date]]&gt;"01-06-2015",1,2.5)</f>
        <v>0</v>
      </c>
      <c r="AE183" s="143" t="str">
        <f ca="1">IFERROR(OFFSET(Camp_List[P_Code],MATCH(Data_NFI_t[[#This Row],[Camp Name]],Camp_List[Camp Name],0)-1,0,1,1),"")</f>
        <v>MMR012CMP031</v>
      </c>
      <c r="AF183" s="572" t="str">
        <f ca="1">IFERROR(OFFSET(Camp_List[Status],MATCH(Data_NFI_t[[#This Row],[Camp Name]],Camp_List[Camp Name],0)-1,0,1,1),"")</f>
        <v>Returned in Individual Housing</v>
      </c>
    </row>
    <row r="184" spans="1:32" s="100" customFormat="1" ht="15" customHeight="1">
      <c r="A184" s="254">
        <f t="shared" si="2"/>
        <v>37.633333333333333</v>
      </c>
      <c r="B184" s="254">
        <f>YEAR(Data_NFI_t[[#This Row],[Distribution Date]])</f>
        <v>2013</v>
      </c>
      <c r="C184" s="585">
        <v>41393</v>
      </c>
      <c r="D184" s="547" t="s">
        <v>287</v>
      </c>
      <c r="E184" s="546"/>
      <c r="F184" s="547" t="s">
        <v>7</v>
      </c>
      <c r="G184" s="31" t="s">
        <v>16</v>
      </c>
      <c r="H184" s="31" t="s">
        <v>55</v>
      </c>
      <c r="I184" s="31">
        <v>0</v>
      </c>
      <c r="J184" s="60"/>
      <c r="K184" s="60">
        <v>128</v>
      </c>
      <c r="L184" s="60">
        <v>128</v>
      </c>
      <c r="M184" s="60">
        <v>64</v>
      </c>
      <c r="N184" s="60">
        <v>0</v>
      </c>
      <c r="O184" s="60"/>
      <c r="P184" s="60"/>
      <c r="Q184" s="60"/>
      <c r="R184" s="570"/>
      <c r="S184" s="60"/>
      <c r="T184" s="143">
        <f>IF(NFI_Expiration=1,IF($A184&lt;VLOOKUP(I$5,NFI,5,0),1,0)*Data_NFI_t[[#This Row],[Hygiene Kit]],0)</f>
        <v>0</v>
      </c>
      <c r="U184" s="143">
        <f>IF(NFI_Expiration=1,IF($A184&lt;VLOOKUP(J$5,NFI,5,0),1,0)*Data_NFI_t[[#This Row],[NFI Core Kit]],0)</f>
        <v>0</v>
      </c>
      <c r="V184" s="124">
        <f>IF(NFI_Expiration=1,IF($A184&lt;VLOOKUP(K$5,NFI,5,0),1,0)*Data_NFI_t[[#This Row],[Sanitary Kit]],0)</f>
        <v>0</v>
      </c>
      <c r="W184" s="124">
        <f>IF(NFI_Expiration=1,IF($A184&lt;VLOOKUP(L$5,NFI,5,0),1,0)*Data_NFI_t[[#This Row],[Mosquito net]],0)</f>
        <v>0</v>
      </c>
      <c r="X184" s="124">
        <f>IF(NFI_Expiration=1,IF($A184&lt;VLOOKUP(M$5,NFI,5,0),1,0)*Data_NFI_t[[#This Row],[Tarpaulin]],0)</f>
        <v>0</v>
      </c>
      <c r="Y184" s="124">
        <f>IF(NFI_Expiration=1,IF($A184&lt;VLOOKUP(N$5,NFI,5,0),1,0)*Data_NFI_t[[#This Row],[Blanket]],0)</f>
        <v>0</v>
      </c>
      <c r="Z184" s="124">
        <f>IF(NFI_Expiration=1,IF($A184&lt;VLOOKUP(O$5,NFI,5,0),1,0)*Data_NFI_t[[#This Row],[Kitchen Set]],0)</f>
        <v>0</v>
      </c>
      <c r="AA184" s="124">
        <f>IF(NFI_Expiration=1,IF($A184&lt;VLOOKUP(P$5,NFI,5,0),1,0)*Data_NFI_t[[#This Row],[Complementary Kit]],0)</f>
        <v>0</v>
      </c>
      <c r="AB184" s="124">
        <f>IF(NFI_Expiration=1,IF($A184&lt;VLOOKUP(Q$5,NFI,5,0),1,0)*Data_NFI_t[[#This Row],[Plastic Bucket]],0)</f>
        <v>0</v>
      </c>
      <c r="AC184" s="124">
        <f>IF(NFI_Expiration=1,IF($A184&lt;VLOOKUP(R$5,NFI,5,0),1,0)*Data_NFI_t[[#This Row],[Jerry Can]],0)</f>
        <v>0</v>
      </c>
      <c r="AD184" s="143">
        <f>IF(NFI_Expiration=1,IF($A184&lt;VLOOKUP(S$5,NFI,5,0),1,0)*Data_NFI_t[[#This Row],[Plastic Mat]],0)*IF(Data_NFI_t[[#This Row],[Distribution Date]]&gt;"01-06-2015",1,2.5)</f>
        <v>0</v>
      </c>
      <c r="AE184" s="143" t="str">
        <f ca="1">IFERROR(OFFSET(Camp_List[P_Code],MATCH(Data_NFI_t[[#This Row],[Camp Name]],Camp_List[Camp Name],0)-1,0,1,1),"")</f>
        <v>MMR012CMP031</v>
      </c>
      <c r="AF184" s="572" t="str">
        <f ca="1">IFERROR(OFFSET(Camp_List[Status],MATCH(Data_NFI_t[[#This Row],[Camp Name]],Camp_List[Camp Name],0)-1,0,1,1),"")</f>
        <v>Returned in Individual Housing</v>
      </c>
    </row>
    <row r="185" spans="1:32" s="100" customFormat="1" ht="15" customHeight="1">
      <c r="A185" s="254">
        <f t="shared" si="2"/>
        <v>37.733333333333334</v>
      </c>
      <c r="B185" s="254">
        <f>YEAR(Data_NFI_t[[#This Row],[Distribution Date]])</f>
        <v>2013</v>
      </c>
      <c r="C185" s="585">
        <v>41390</v>
      </c>
      <c r="D185" s="547" t="s">
        <v>525</v>
      </c>
      <c r="E185" s="546" t="s">
        <v>525</v>
      </c>
      <c r="F185" s="547" t="s">
        <v>7</v>
      </c>
      <c r="G185" s="31" t="s">
        <v>14</v>
      </c>
      <c r="H185" s="31" t="s">
        <v>42</v>
      </c>
      <c r="I185" s="31">
        <v>1028</v>
      </c>
      <c r="J185" s="60"/>
      <c r="K185" s="60"/>
      <c r="L185" s="60"/>
      <c r="M185" s="60"/>
      <c r="N185" s="60"/>
      <c r="O185" s="60"/>
      <c r="P185" s="60"/>
      <c r="Q185" s="60"/>
      <c r="R185" s="570"/>
      <c r="S185" s="60"/>
      <c r="T185" s="143">
        <f>IF(NFI_Expiration=1,IF($A185&lt;VLOOKUP(I$5,NFI,5,0),1,0)*Data_NFI_t[[#This Row],[Hygiene Kit]],0)</f>
        <v>0</v>
      </c>
      <c r="U185" s="143">
        <f>IF(NFI_Expiration=1,IF($A185&lt;VLOOKUP(J$5,NFI,5,0),1,0)*Data_NFI_t[[#This Row],[NFI Core Kit]],0)</f>
        <v>0</v>
      </c>
      <c r="V185" s="124">
        <f>IF(NFI_Expiration=1,IF($A185&lt;VLOOKUP(K$5,NFI,5,0),1,0)*Data_NFI_t[[#This Row],[Sanitary Kit]],0)</f>
        <v>0</v>
      </c>
      <c r="W185" s="124">
        <f>IF(NFI_Expiration=1,IF($A185&lt;VLOOKUP(L$5,NFI,5,0),1,0)*Data_NFI_t[[#This Row],[Mosquito net]],0)</f>
        <v>0</v>
      </c>
      <c r="X185" s="124">
        <f>IF(NFI_Expiration=1,IF($A185&lt;VLOOKUP(M$5,NFI,5,0),1,0)*Data_NFI_t[[#This Row],[Tarpaulin]],0)</f>
        <v>0</v>
      </c>
      <c r="Y185" s="124">
        <f>IF(NFI_Expiration=1,IF($A185&lt;VLOOKUP(N$5,NFI,5,0),1,0)*Data_NFI_t[[#This Row],[Blanket]],0)</f>
        <v>0</v>
      </c>
      <c r="Z185" s="124">
        <f>IF(NFI_Expiration=1,IF($A185&lt;VLOOKUP(O$5,NFI,5,0),1,0)*Data_NFI_t[[#This Row],[Kitchen Set]],0)</f>
        <v>0</v>
      </c>
      <c r="AA185" s="124">
        <f>IF(NFI_Expiration=1,IF($A185&lt;VLOOKUP(P$5,NFI,5,0),1,0)*Data_NFI_t[[#This Row],[Complementary Kit]],0)</f>
        <v>0</v>
      </c>
      <c r="AB185" s="124">
        <f>IF(NFI_Expiration=1,IF($A185&lt;VLOOKUP(Q$5,NFI,5,0),1,0)*Data_NFI_t[[#This Row],[Plastic Bucket]],0)</f>
        <v>0</v>
      </c>
      <c r="AC185" s="124">
        <f>IF(NFI_Expiration=1,IF($A185&lt;VLOOKUP(R$5,NFI,5,0),1,0)*Data_NFI_t[[#This Row],[Jerry Can]],0)</f>
        <v>0</v>
      </c>
      <c r="AD185" s="143">
        <f>IF(NFI_Expiration=1,IF($A185&lt;VLOOKUP(S$5,NFI,5,0),1,0)*Data_NFI_t[[#This Row],[Plastic Mat]],0)*IF(Data_NFI_t[[#This Row],[Distribution Date]]&gt;"01-06-2015",1,2.5)</f>
        <v>0</v>
      </c>
      <c r="AE185" s="143" t="str">
        <f ca="1">IFERROR(OFFSET(Camp_List[P_Code],MATCH(Data_NFI_t[[#This Row],[Camp Name]],Camp_List[Camp Name],0)-1,0,1,1),"")</f>
        <v>MMR012CMP018</v>
      </c>
      <c r="AF185" s="572" t="str">
        <f ca="1">IFERROR(OFFSET(Camp_List[Status],MATCH(Data_NFI_t[[#This Row],[Camp Name]],Camp_List[Camp Name],0)-1,0,1,1),"")</f>
        <v>Open</v>
      </c>
    </row>
    <row r="186" spans="1:32" s="100" customFormat="1" ht="15" customHeight="1">
      <c r="A186" s="254">
        <f t="shared" si="2"/>
        <v>37.799999999999997</v>
      </c>
      <c r="B186" s="254">
        <f>YEAR(Data_NFI_t[[#This Row],[Distribution Date]])</f>
        <v>2013</v>
      </c>
      <c r="C186" s="585">
        <v>41388</v>
      </c>
      <c r="D186" s="547" t="s">
        <v>525</v>
      </c>
      <c r="E186" s="546" t="s">
        <v>525</v>
      </c>
      <c r="F186" s="547" t="s">
        <v>7</v>
      </c>
      <c r="G186" s="31" t="s">
        <v>14</v>
      </c>
      <c r="H186" s="31" t="s">
        <v>41</v>
      </c>
      <c r="I186" s="31">
        <v>1338</v>
      </c>
      <c r="J186" s="60"/>
      <c r="K186" s="60"/>
      <c r="L186" s="60"/>
      <c r="M186" s="60"/>
      <c r="N186" s="60"/>
      <c r="O186" s="60"/>
      <c r="P186" s="60"/>
      <c r="Q186" s="60"/>
      <c r="R186" s="570"/>
      <c r="S186" s="60"/>
      <c r="T186" s="143">
        <f>IF(NFI_Expiration=1,IF($A186&lt;VLOOKUP(I$5,NFI,5,0),1,0)*Data_NFI_t[[#This Row],[Hygiene Kit]],0)</f>
        <v>0</v>
      </c>
      <c r="U186" s="143">
        <f>IF(NFI_Expiration=1,IF($A186&lt;VLOOKUP(J$5,NFI,5,0),1,0)*Data_NFI_t[[#This Row],[NFI Core Kit]],0)</f>
        <v>0</v>
      </c>
      <c r="V186" s="124">
        <f>IF(NFI_Expiration=1,IF($A186&lt;VLOOKUP(K$5,NFI,5,0),1,0)*Data_NFI_t[[#This Row],[Sanitary Kit]],0)</f>
        <v>0</v>
      </c>
      <c r="W186" s="124">
        <f>IF(NFI_Expiration=1,IF($A186&lt;VLOOKUP(L$5,NFI,5,0),1,0)*Data_NFI_t[[#This Row],[Mosquito net]],0)</f>
        <v>0</v>
      </c>
      <c r="X186" s="124">
        <f>IF(NFI_Expiration=1,IF($A186&lt;VLOOKUP(M$5,NFI,5,0),1,0)*Data_NFI_t[[#This Row],[Tarpaulin]],0)</f>
        <v>0</v>
      </c>
      <c r="Y186" s="124">
        <f>IF(NFI_Expiration=1,IF($A186&lt;VLOOKUP(N$5,NFI,5,0),1,0)*Data_NFI_t[[#This Row],[Blanket]],0)</f>
        <v>0</v>
      </c>
      <c r="Z186" s="124">
        <f>IF(NFI_Expiration=1,IF($A186&lt;VLOOKUP(O$5,NFI,5,0),1,0)*Data_NFI_t[[#This Row],[Kitchen Set]],0)</f>
        <v>0</v>
      </c>
      <c r="AA186" s="124">
        <f>IF(NFI_Expiration=1,IF($A186&lt;VLOOKUP(P$5,NFI,5,0),1,0)*Data_NFI_t[[#This Row],[Complementary Kit]],0)</f>
        <v>0</v>
      </c>
      <c r="AB186" s="124">
        <f>IF(NFI_Expiration=1,IF($A186&lt;VLOOKUP(Q$5,NFI,5,0),1,0)*Data_NFI_t[[#This Row],[Plastic Bucket]],0)</f>
        <v>0</v>
      </c>
      <c r="AC186" s="124">
        <f>IF(NFI_Expiration=1,IF($A186&lt;VLOOKUP(R$5,NFI,5,0),1,0)*Data_NFI_t[[#This Row],[Jerry Can]],0)</f>
        <v>0</v>
      </c>
      <c r="AD186" s="143">
        <f>IF(NFI_Expiration=1,IF($A186&lt;VLOOKUP(S$5,NFI,5,0),1,0)*Data_NFI_t[[#This Row],[Plastic Mat]],0)*IF(Data_NFI_t[[#This Row],[Distribution Date]]&gt;"01-06-2015",1,2.5)</f>
        <v>0</v>
      </c>
      <c r="AE186" s="143" t="str">
        <f ca="1">IFERROR(OFFSET(Camp_List[P_Code],MATCH(Data_NFI_t[[#This Row],[Camp Name]],Camp_List[Camp Name],0)-1,0,1,1),"")</f>
        <v>MMR012CMP017</v>
      </c>
      <c r="AF186" s="572" t="str">
        <f ca="1">IFERROR(OFFSET(Camp_List[Status],MATCH(Data_NFI_t[[#This Row],[Camp Name]],Camp_List[Camp Name],0)-1,0,1,1),"")</f>
        <v>Open</v>
      </c>
    </row>
    <row r="187" spans="1:32" s="100" customFormat="1" ht="15" customHeight="1">
      <c r="A187" s="254">
        <f t="shared" si="2"/>
        <v>38.200000000000003</v>
      </c>
      <c r="B187" s="254">
        <f>YEAR(Data_NFI_t[[#This Row],[Distribution Date]])</f>
        <v>2013</v>
      </c>
      <c r="C187" s="585">
        <v>41376</v>
      </c>
      <c r="D187" s="547" t="s">
        <v>287</v>
      </c>
      <c r="E187" s="546"/>
      <c r="F187" s="547" t="s">
        <v>7</v>
      </c>
      <c r="G187" s="31" t="s">
        <v>19</v>
      </c>
      <c r="H187" s="31" t="s">
        <v>73</v>
      </c>
      <c r="I187" s="31"/>
      <c r="J187" s="60"/>
      <c r="K187" s="60"/>
      <c r="L187" s="60"/>
      <c r="M187" s="60"/>
      <c r="N187" s="60">
        <v>54</v>
      </c>
      <c r="O187" s="60"/>
      <c r="P187" s="60"/>
      <c r="Q187" s="60"/>
      <c r="R187" s="570"/>
      <c r="S187" s="60"/>
      <c r="T187" s="143">
        <f>IF(NFI_Expiration=1,IF($A187&lt;VLOOKUP(I$5,NFI,5,0),1,0)*Data_NFI_t[[#This Row],[Hygiene Kit]],0)</f>
        <v>0</v>
      </c>
      <c r="U187" s="143">
        <f>IF(NFI_Expiration=1,IF($A187&lt;VLOOKUP(J$5,NFI,5,0),1,0)*Data_NFI_t[[#This Row],[NFI Core Kit]],0)</f>
        <v>0</v>
      </c>
      <c r="V187" s="124">
        <f>IF(NFI_Expiration=1,IF($A187&lt;VLOOKUP(K$5,NFI,5,0),1,0)*Data_NFI_t[[#This Row],[Sanitary Kit]],0)</f>
        <v>0</v>
      </c>
      <c r="W187" s="124">
        <f>IF(NFI_Expiration=1,IF($A187&lt;VLOOKUP(L$5,NFI,5,0),1,0)*Data_NFI_t[[#This Row],[Mosquito net]],0)</f>
        <v>0</v>
      </c>
      <c r="X187" s="124">
        <f>IF(NFI_Expiration=1,IF($A187&lt;VLOOKUP(M$5,NFI,5,0),1,0)*Data_NFI_t[[#This Row],[Tarpaulin]],0)</f>
        <v>0</v>
      </c>
      <c r="Y187" s="124">
        <f>IF(NFI_Expiration=1,IF($A187&lt;VLOOKUP(N$5,NFI,5,0),1,0)*Data_NFI_t[[#This Row],[Blanket]],0)</f>
        <v>0</v>
      </c>
      <c r="Z187" s="124">
        <f>IF(NFI_Expiration=1,IF($A187&lt;VLOOKUP(O$5,NFI,5,0),1,0)*Data_NFI_t[[#This Row],[Kitchen Set]],0)</f>
        <v>0</v>
      </c>
      <c r="AA187" s="124">
        <f>IF(NFI_Expiration=1,IF($A187&lt;VLOOKUP(P$5,NFI,5,0),1,0)*Data_NFI_t[[#This Row],[Complementary Kit]],0)</f>
        <v>0</v>
      </c>
      <c r="AB187" s="124">
        <f>IF(NFI_Expiration=1,IF($A187&lt;VLOOKUP(Q$5,NFI,5,0),1,0)*Data_NFI_t[[#This Row],[Plastic Bucket]],0)</f>
        <v>0</v>
      </c>
      <c r="AC187" s="124">
        <f>IF(NFI_Expiration=1,IF($A187&lt;VLOOKUP(R$5,NFI,5,0),1,0)*Data_NFI_t[[#This Row],[Jerry Can]],0)</f>
        <v>0</v>
      </c>
      <c r="AD187" s="143">
        <f>IF(NFI_Expiration=1,IF($A187&lt;VLOOKUP(S$5,NFI,5,0),1,0)*Data_NFI_t[[#This Row],[Plastic Mat]],0)*IF(Data_NFI_t[[#This Row],[Distribution Date]]&gt;"01-06-2015",1,2.5)</f>
        <v>0</v>
      </c>
      <c r="AE187" s="143" t="str">
        <f ca="1">IFERROR(OFFSET(Camp_List[P_Code],MATCH(Data_NFI_t[[#This Row],[Camp Name]],Camp_List[Camp Name],0)-1,0,1,1),"")</f>
        <v>MMR012CMP051</v>
      </c>
      <c r="AF187" s="572" t="str">
        <f ca="1">IFERROR(OFFSET(Camp_List[Status],MATCH(Data_NFI_t[[#This Row],[Camp Name]],Camp_List[Camp Name],0)-1,0,1,1),"")</f>
        <v>Close</v>
      </c>
    </row>
    <row r="188" spans="1:32" s="100" customFormat="1" ht="15" customHeight="1">
      <c r="A188" s="254">
        <f t="shared" si="2"/>
        <v>38.266666666666666</v>
      </c>
      <c r="B188" s="254">
        <f>YEAR(Data_NFI_t[[#This Row],[Distribution Date]])</f>
        <v>2013</v>
      </c>
      <c r="C188" s="585">
        <v>41374</v>
      </c>
      <c r="D188" s="547" t="s">
        <v>287</v>
      </c>
      <c r="E188" s="546"/>
      <c r="F188" s="547" t="s">
        <v>7</v>
      </c>
      <c r="G188" s="31" t="s">
        <v>19</v>
      </c>
      <c r="H188" s="31" t="s">
        <v>73</v>
      </c>
      <c r="I188" s="31"/>
      <c r="J188" s="60"/>
      <c r="K188" s="60"/>
      <c r="L188" s="60"/>
      <c r="M188" s="60"/>
      <c r="N188" s="60">
        <v>90</v>
      </c>
      <c r="O188" s="60"/>
      <c r="P188" s="60"/>
      <c r="Q188" s="60"/>
      <c r="R188" s="570"/>
      <c r="S188" s="60"/>
      <c r="T188" s="143">
        <f>IF(NFI_Expiration=1,IF($A188&lt;VLOOKUP(I$5,NFI,5,0),1,0)*Data_NFI_t[[#This Row],[Hygiene Kit]],0)</f>
        <v>0</v>
      </c>
      <c r="U188" s="143">
        <f>IF(NFI_Expiration=1,IF($A188&lt;VLOOKUP(J$5,NFI,5,0),1,0)*Data_NFI_t[[#This Row],[NFI Core Kit]],0)</f>
        <v>0</v>
      </c>
      <c r="V188" s="124">
        <f>IF(NFI_Expiration=1,IF($A188&lt;VLOOKUP(K$5,NFI,5,0),1,0)*Data_NFI_t[[#This Row],[Sanitary Kit]],0)</f>
        <v>0</v>
      </c>
      <c r="W188" s="124">
        <f>IF(NFI_Expiration=1,IF($A188&lt;VLOOKUP(L$5,NFI,5,0),1,0)*Data_NFI_t[[#This Row],[Mosquito net]],0)</f>
        <v>0</v>
      </c>
      <c r="X188" s="124">
        <f>IF(NFI_Expiration=1,IF($A188&lt;VLOOKUP(M$5,NFI,5,0),1,0)*Data_NFI_t[[#This Row],[Tarpaulin]],0)</f>
        <v>0</v>
      </c>
      <c r="Y188" s="124">
        <f>IF(NFI_Expiration=1,IF($A188&lt;VLOOKUP(N$5,NFI,5,0),1,0)*Data_NFI_t[[#This Row],[Blanket]],0)</f>
        <v>0</v>
      </c>
      <c r="Z188" s="124">
        <f>IF(NFI_Expiration=1,IF($A188&lt;VLOOKUP(O$5,NFI,5,0),1,0)*Data_NFI_t[[#This Row],[Kitchen Set]],0)</f>
        <v>0</v>
      </c>
      <c r="AA188" s="124">
        <f>IF(NFI_Expiration=1,IF($A188&lt;VLOOKUP(P$5,NFI,5,0),1,0)*Data_NFI_t[[#This Row],[Complementary Kit]],0)</f>
        <v>0</v>
      </c>
      <c r="AB188" s="124">
        <f>IF(NFI_Expiration=1,IF($A188&lt;VLOOKUP(Q$5,NFI,5,0),1,0)*Data_NFI_t[[#This Row],[Plastic Bucket]],0)</f>
        <v>0</v>
      </c>
      <c r="AC188" s="124">
        <f>IF(NFI_Expiration=1,IF($A188&lt;VLOOKUP(R$5,NFI,5,0),1,0)*Data_NFI_t[[#This Row],[Jerry Can]],0)</f>
        <v>0</v>
      </c>
      <c r="AD188" s="143">
        <f>IF(NFI_Expiration=1,IF($A188&lt;VLOOKUP(S$5,NFI,5,0),1,0)*Data_NFI_t[[#This Row],[Plastic Mat]],0)*IF(Data_NFI_t[[#This Row],[Distribution Date]]&gt;"01-06-2015",1,2.5)</f>
        <v>0</v>
      </c>
      <c r="AE188" s="143" t="str">
        <f ca="1">IFERROR(OFFSET(Camp_List[P_Code],MATCH(Data_NFI_t[[#This Row],[Camp Name]],Camp_List[Camp Name],0)-1,0,1,1),"")</f>
        <v>MMR012CMP051</v>
      </c>
      <c r="AF188" s="572" t="str">
        <f ca="1">IFERROR(OFFSET(Camp_List[Status],MATCH(Data_NFI_t[[#This Row],[Camp Name]],Camp_List[Camp Name],0)-1,0,1,1),"")</f>
        <v>Close</v>
      </c>
    </row>
    <row r="189" spans="1:32" s="100" customFormat="1" ht="15" customHeight="1">
      <c r="A189" s="254">
        <f t="shared" si="2"/>
        <v>38.299999999999997</v>
      </c>
      <c r="B189" s="254">
        <f>YEAR(Data_NFI_t[[#This Row],[Distribution Date]])</f>
        <v>2013</v>
      </c>
      <c r="C189" s="585">
        <v>41373</v>
      </c>
      <c r="D189" s="547" t="s">
        <v>287</v>
      </c>
      <c r="E189" s="546"/>
      <c r="F189" s="547" t="s">
        <v>7</v>
      </c>
      <c r="G189" s="31" t="s">
        <v>19</v>
      </c>
      <c r="H189" s="31" t="s">
        <v>73</v>
      </c>
      <c r="I189" s="31"/>
      <c r="J189" s="60"/>
      <c r="K189" s="60"/>
      <c r="L189" s="60"/>
      <c r="M189" s="60"/>
      <c r="N189" s="60">
        <v>90</v>
      </c>
      <c r="O189" s="60"/>
      <c r="P189" s="60"/>
      <c r="Q189" s="60"/>
      <c r="R189" s="570"/>
      <c r="S189" s="60"/>
      <c r="T189" s="143">
        <f>IF(NFI_Expiration=1,IF($A189&lt;VLOOKUP(I$5,NFI,5,0),1,0)*Data_NFI_t[[#This Row],[Hygiene Kit]],0)</f>
        <v>0</v>
      </c>
      <c r="U189" s="143">
        <f>IF(NFI_Expiration=1,IF($A189&lt;VLOOKUP(J$5,NFI,5,0),1,0)*Data_NFI_t[[#This Row],[NFI Core Kit]],0)</f>
        <v>0</v>
      </c>
      <c r="V189" s="124">
        <f>IF(NFI_Expiration=1,IF($A189&lt;VLOOKUP(K$5,NFI,5,0),1,0)*Data_NFI_t[[#This Row],[Sanitary Kit]],0)</f>
        <v>0</v>
      </c>
      <c r="W189" s="124">
        <f>IF(NFI_Expiration=1,IF($A189&lt;VLOOKUP(L$5,NFI,5,0),1,0)*Data_NFI_t[[#This Row],[Mosquito net]],0)</f>
        <v>0</v>
      </c>
      <c r="X189" s="124">
        <f>IF(NFI_Expiration=1,IF($A189&lt;VLOOKUP(M$5,NFI,5,0),1,0)*Data_NFI_t[[#This Row],[Tarpaulin]],0)</f>
        <v>0</v>
      </c>
      <c r="Y189" s="124">
        <f>IF(NFI_Expiration=1,IF($A189&lt;VLOOKUP(N$5,NFI,5,0),1,0)*Data_NFI_t[[#This Row],[Blanket]],0)</f>
        <v>0</v>
      </c>
      <c r="Z189" s="124">
        <f>IF(NFI_Expiration=1,IF($A189&lt;VLOOKUP(O$5,NFI,5,0),1,0)*Data_NFI_t[[#This Row],[Kitchen Set]],0)</f>
        <v>0</v>
      </c>
      <c r="AA189" s="124">
        <f>IF(NFI_Expiration=1,IF($A189&lt;VLOOKUP(P$5,NFI,5,0),1,0)*Data_NFI_t[[#This Row],[Complementary Kit]],0)</f>
        <v>0</v>
      </c>
      <c r="AB189" s="124">
        <f>IF(NFI_Expiration=1,IF($A189&lt;VLOOKUP(Q$5,NFI,5,0),1,0)*Data_NFI_t[[#This Row],[Plastic Bucket]],0)</f>
        <v>0</v>
      </c>
      <c r="AC189" s="124">
        <f>IF(NFI_Expiration=1,IF($A189&lt;VLOOKUP(R$5,NFI,5,0),1,0)*Data_NFI_t[[#This Row],[Jerry Can]],0)</f>
        <v>0</v>
      </c>
      <c r="AD189" s="143">
        <f>IF(NFI_Expiration=1,IF($A189&lt;VLOOKUP(S$5,NFI,5,0),1,0)*Data_NFI_t[[#This Row],[Plastic Mat]],0)*IF(Data_NFI_t[[#This Row],[Distribution Date]]&gt;"01-06-2015",1,2.5)</f>
        <v>0</v>
      </c>
      <c r="AE189" s="143" t="str">
        <f ca="1">IFERROR(OFFSET(Camp_List[P_Code],MATCH(Data_NFI_t[[#This Row],[Camp Name]],Camp_List[Camp Name],0)-1,0,1,1),"")</f>
        <v>MMR012CMP051</v>
      </c>
      <c r="AF189" s="572" t="str">
        <f ca="1">IFERROR(OFFSET(Camp_List[Status],MATCH(Data_NFI_t[[#This Row],[Camp Name]],Camp_List[Camp Name],0)-1,0,1,1),"")</f>
        <v>Close</v>
      </c>
    </row>
    <row r="190" spans="1:32" s="100" customFormat="1" ht="15" customHeight="1">
      <c r="A190" s="254">
        <f t="shared" si="2"/>
        <v>38.299999999999997</v>
      </c>
      <c r="B190" s="254">
        <f>YEAR(Data_NFI_t[[#This Row],[Distribution Date]])</f>
        <v>2013</v>
      </c>
      <c r="C190" s="585">
        <v>41373</v>
      </c>
      <c r="D190" s="547" t="s">
        <v>528</v>
      </c>
      <c r="E190" s="546" t="s">
        <v>294</v>
      </c>
      <c r="F190" s="547" t="s">
        <v>7</v>
      </c>
      <c r="G190" s="31" t="s">
        <v>19</v>
      </c>
      <c r="H190" s="31" t="s">
        <v>63</v>
      </c>
      <c r="I190" s="31">
        <v>186</v>
      </c>
      <c r="J190" s="60"/>
      <c r="K190" s="60"/>
      <c r="L190" s="60"/>
      <c r="M190" s="60"/>
      <c r="N190" s="60"/>
      <c r="O190" s="60"/>
      <c r="P190" s="60"/>
      <c r="Q190" s="60"/>
      <c r="R190" s="570"/>
      <c r="S190" s="60"/>
      <c r="T190" s="143">
        <f>IF(NFI_Expiration=1,IF($A190&lt;VLOOKUP(I$5,NFI,5,0),1,0)*Data_NFI_t[[#This Row],[Hygiene Kit]],0)</f>
        <v>0</v>
      </c>
      <c r="U190" s="143">
        <f>IF(NFI_Expiration=1,IF($A190&lt;VLOOKUP(J$5,NFI,5,0),1,0)*Data_NFI_t[[#This Row],[NFI Core Kit]],0)</f>
        <v>0</v>
      </c>
      <c r="V190" s="124">
        <f>IF(NFI_Expiration=1,IF($A190&lt;VLOOKUP(K$5,NFI,5,0),1,0)*Data_NFI_t[[#This Row],[Sanitary Kit]],0)</f>
        <v>0</v>
      </c>
      <c r="W190" s="124">
        <f>IF(NFI_Expiration=1,IF($A190&lt;VLOOKUP(L$5,NFI,5,0),1,0)*Data_NFI_t[[#This Row],[Mosquito net]],0)</f>
        <v>0</v>
      </c>
      <c r="X190" s="124">
        <f>IF(NFI_Expiration=1,IF($A190&lt;VLOOKUP(M$5,NFI,5,0),1,0)*Data_NFI_t[[#This Row],[Tarpaulin]],0)</f>
        <v>0</v>
      </c>
      <c r="Y190" s="124">
        <f>IF(NFI_Expiration=1,IF($A190&lt;VLOOKUP(N$5,NFI,5,0),1,0)*Data_NFI_t[[#This Row],[Blanket]],0)</f>
        <v>0</v>
      </c>
      <c r="Z190" s="124">
        <f>IF(NFI_Expiration=1,IF($A190&lt;VLOOKUP(O$5,NFI,5,0),1,0)*Data_NFI_t[[#This Row],[Kitchen Set]],0)</f>
        <v>0</v>
      </c>
      <c r="AA190" s="124">
        <f>IF(NFI_Expiration=1,IF($A190&lt;VLOOKUP(P$5,NFI,5,0),1,0)*Data_NFI_t[[#This Row],[Complementary Kit]],0)</f>
        <v>0</v>
      </c>
      <c r="AB190" s="124">
        <f>IF(NFI_Expiration=1,IF($A190&lt;VLOOKUP(Q$5,NFI,5,0),1,0)*Data_NFI_t[[#This Row],[Plastic Bucket]],0)</f>
        <v>0</v>
      </c>
      <c r="AC190" s="124">
        <f>IF(NFI_Expiration=1,IF($A190&lt;VLOOKUP(R$5,NFI,5,0),1,0)*Data_NFI_t[[#This Row],[Jerry Can]],0)</f>
        <v>0</v>
      </c>
      <c r="AD190" s="143">
        <f>IF(NFI_Expiration=1,IF($A190&lt;VLOOKUP(S$5,NFI,5,0),1,0)*Data_NFI_t[[#This Row],[Plastic Mat]],0)*IF(Data_NFI_t[[#This Row],[Distribution Date]]&gt;"01-06-2015",1,2.5)</f>
        <v>0</v>
      </c>
      <c r="AE190" s="143" t="str">
        <f ca="1">IFERROR(OFFSET(Camp_List[P_Code],MATCH(Data_NFI_t[[#This Row],[Camp Name]],Camp_List[Camp Name],0)-1,0,1,1),"")</f>
        <v>MMR012CMP041</v>
      </c>
      <c r="AF190" s="572" t="str">
        <f ca="1">IFERROR(OFFSET(Camp_List[Status],MATCH(Data_NFI_t[[#This Row],[Camp Name]],Camp_List[Camp Name],0)-1,0,1,1),"")</f>
        <v>Open</v>
      </c>
    </row>
    <row r="191" spans="1:32" s="100" customFormat="1" ht="15" customHeight="1">
      <c r="A191" s="254">
        <f t="shared" si="2"/>
        <v>38.43333333333333</v>
      </c>
      <c r="B191" s="254">
        <f>YEAR(Data_NFI_t[[#This Row],[Distribution Date]])</f>
        <v>2013</v>
      </c>
      <c r="C191" s="585">
        <v>41369</v>
      </c>
      <c r="D191" s="547" t="s">
        <v>287</v>
      </c>
      <c r="E191" s="546"/>
      <c r="F191" s="547" t="s">
        <v>7</v>
      </c>
      <c r="G191" s="31" t="s">
        <v>19</v>
      </c>
      <c r="H191" s="31" t="s">
        <v>73</v>
      </c>
      <c r="I191" s="31"/>
      <c r="J191" s="60"/>
      <c r="K191" s="60"/>
      <c r="L191" s="60"/>
      <c r="M191" s="60"/>
      <c r="N191" s="60">
        <v>90</v>
      </c>
      <c r="O191" s="60"/>
      <c r="P191" s="60"/>
      <c r="Q191" s="60"/>
      <c r="R191" s="570"/>
      <c r="S191" s="60"/>
      <c r="T191" s="143">
        <f>IF(NFI_Expiration=1,IF($A191&lt;VLOOKUP(I$5,NFI,5,0),1,0)*Data_NFI_t[[#This Row],[Hygiene Kit]],0)</f>
        <v>0</v>
      </c>
      <c r="U191" s="143">
        <f>IF(NFI_Expiration=1,IF($A191&lt;VLOOKUP(J$5,NFI,5,0),1,0)*Data_NFI_t[[#This Row],[NFI Core Kit]],0)</f>
        <v>0</v>
      </c>
      <c r="V191" s="124">
        <f>IF(NFI_Expiration=1,IF($A191&lt;VLOOKUP(K$5,NFI,5,0),1,0)*Data_NFI_t[[#This Row],[Sanitary Kit]],0)</f>
        <v>0</v>
      </c>
      <c r="W191" s="124">
        <f>IF(NFI_Expiration=1,IF($A191&lt;VLOOKUP(L$5,NFI,5,0),1,0)*Data_NFI_t[[#This Row],[Mosquito net]],0)</f>
        <v>0</v>
      </c>
      <c r="X191" s="124">
        <f>IF(NFI_Expiration=1,IF($A191&lt;VLOOKUP(M$5,NFI,5,0),1,0)*Data_NFI_t[[#This Row],[Tarpaulin]],0)</f>
        <v>0</v>
      </c>
      <c r="Y191" s="124">
        <f>IF(NFI_Expiration=1,IF($A191&lt;VLOOKUP(N$5,NFI,5,0),1,0)*Data_NFI_t[[#This Row],[Blanket]],0)</f>
        <v>0</v>
      </c>
      <c r="Z191" s="124">
        <f>IF(NFI_Expiration=1,IF($A191&lt;VLOOKUP(O$5,NFI,5,0),1,0)*Data_NFI_t[[#This Row],[Kitchen Set]],0)</f>
        <v>0</v>
      </c>
      <c r="AA191" s="124">
        <f>IF(NFI_Expiration=1,IF($A191&lt;VLOOKUP(P$5,NFI,5,0),1,0)*Data_NFI_t[[#This Row],[Complementary Kit]],0)</f>
        <v>0</v>
      </c>
      <c r="AB191" s="124">
        <f>IF(NFI_Expiration=1,IF($A191&lt;VLOOKUP(Q$5,NFI,5,0),1,0)*Data_NFI_t[[#This Row],[Plastic Bucket]],0)</f>
        <v>0</v>
      </c>
      <c r="AC191" s="124">
        <f>IF(NFI_Expiration=1,IF($A191&lt;VLOOKUP(R$5,NFI,5,0),1,0)*Data_NFI_t[[#This Row],[Jerry Can]],0)</f>
        <v>0</v>
      </c>
      <c r="AD191" s="143">
        <f>IF(NFI_Expiration=1,IF($A191&lt;VLOOKUP(S$5,NFI,5,0),1,0)*Data_NFI_t[[#This Row],[Plastic Mat]],0)*IF(Data_NFI_t[[#This Row],[Distribution Date]]&gt;"01-06-2015",1,2.5)</f>
        <v>0</v>
      </c>
      <c r="AE191" s="143" t="str">
        <f ca="1">IFERROR(OFFSET(Camp_List[P_Code],MATCH(Data_NFI_t[[#This Row],[Camp Name]],Camp_List[Camp Name],0)-1,0,1,1),"")</f>
        <v>MMR012CMP051</v>
      </c>
      <c r="AF191" s="572" t="str">
        <f ca="1">IFERROR(OFFSET(Camp_List[Status],MATCH(Data_NFI_t[[#This Row],[Camp Name]],Camp_List[Camp Name],0)-1,0,1,1),"")</f>
        <v>Close</v>
      </c>
    </row>
    <row r="192" spans="1:32" s="100" customFormat="1" ht="15" customHeight="1">
      <c r="A192" s="254">
        <f t="shared" si="2"/>
        <v>38.466666666666669</v>
      </c>
      <c r="B192" s="254">
        <f>YEAR(Data_NFI_t[[#This Row],[Distribution Date]])</f>
        <v>2013</v>
      </c>
      <c r="C192" s="585">
        <v>41368</v>
      </c>
      <c r="D192" s="547" t="s">
        <v>287</v>
      </c>
      <c r="E192" s="546"/>
      <c r="F192" s="547" t="s">
        <v>7</v>
      </c>
      <c r="G192" s="31" t="s">
        <v>19</v>
      </c>
      <c r="H192" s="31" t="s">
        <v>73</v>
      </c>
      <c r="I192" s="31"/>
      <c r="J192" s="60"/>
      <c r="K192" s="60"/>
      <c r="L192" s="60"/>
      <c r="M192" s="60"/>
      <c r="N192" s="60">
        <v>45</v>
      </c>
      <c r="O192" s="60"/>
      <c r="P192" s="60"/>
      <c r="Q192" s="60"/>
      <c r="R192" s="570"/>
      <c r="S192" s="60"/>
      <c r="T192" s="143">
        <f>IF(NFI_Expiration=1,IF($A192&lt;VLOOKUP(I$5,NFI,5,0),1,0)*Data_NFI_t[[#This Row],[Hygiene Kit]],0)</f>
        <v>0</v>
      </c>
      <c r="U192" s="143">
        <f>IF(NFI_Expiration=1,IF($A192&lt;VLOOKUP(J$5,NFI,5,0),1,0)*Data_NFI_t[[#This Row],[NFI Core Kit]],0)</f>
        <v>0</v>
      </c>
      <c r="V192" s="124">
        <f>IF(NFI_Expiration=1,IF($A192&lt;VLOOKUP(K$5,NFI,5,0),1,0)*Data_NFI_t[[#This Row],[Sanitary Kit]],0)</f>
        <v>0</v>
      </c>
      <c r="W192" s="124">
        <f>IF(NFI_Expiration=1,IF($A192&lt;VLOOKUP(L$5,NFI,5,0),1,0)*Data_NFI_t[[#This Row],[Mosquito net]],0)</f>
        <v>0</v>
      </c>
      <c r="X192" s="124">
        <f>IF(NFI_Expiration=1,IF($A192&lt;VLOOKUP(M$5,NFI,5,0),1,0)*Data_NFI_t[[#This Row],[Tarpaulin]],0)</f>
        <v>0</v>
      </c>
      <c r="Y192" s="124">
        <f>IF(NFI_Expiration=1,IF($A192&lt;VLOOKUP(N$5,NFI,5,0),1,0)*Data_NFI_t[[#This Row],[Blanket]],0)</f>
        <v>0</v>
      </c>
      <c r="Z192" s="124">
        <f>IF(NFI_Expiration=1,IF($A192&lt;VLOOKUP(O$5,NFI,5,0),1,0)*Data_NFI_t[[#This Row],[Kitchen Set]],0)</f>
        <v>0</v>
      </c>
      <c r="AA192" s="124">
        <f>IF(NFI_Expiration=1,IF($A192&lt;VLOOKUP(P$5,NFI,5,0),1,0)*Data_NFI_t[[#This Row],[Complementary Kit]],0)</f>
        <v>0</v>
      </c>
      <c r="AB192" s="124">
        <f>IF(NFI_Expiration=1,IF($A192&lt;VLOOKUP(Q$5,NFI,5,0),1,0)*Data_NFI_t[[#This Row],[Plastic Bucket]],0)</f>
        <v>0</v>
      </c>
      <c r="AC192" s="124">
        <f>IF(NFI_Expiration=1,IF($A192&lt;VLOOKUP(R$5,NFI,5,0),1,0)*Data_NFI_t[[#This Row],[Jerry Can]],0)</f>
        <v>0</v>
      </c>
      <c r="AD192" s="143">
        <f>IF(NFI_Expiration=1,IF($A192&lt;VLOOKUP(S$5,NFI,5,0),1,0)*Data_NFI_t[[#This Row],[Plastic Mat]],0)*IF(Data_NFI_t[[#This Row],[Distribution Date]]&gt;"01-06-2015",1,2.5)</f>
        <v>0</v>
      </c>
      <c r="AE192" s="143" t="str">
        <f ca="1">IFERROR(OFFSET(Camp_List[P_Code],MATCH(Data_NFI_t[[#This Row],[Camp Name]],Camp_List[Camp Name],0)-1,0,1,1),"")</f>
        <v>MMR012CMP051</v>
      </c>
      <c r="AF192" s="572" t="str">
        <f ca="1">IFERROR(OFFSET(Camp_List[Status],MATCH(Data_NFI_t[[#This Row],[Camp Name]],Camp_List[Camp Name],0)-1,0,1,1),"")</f>
        <v>Close</v>
      </c>
    </row>
    <row r="193" spans="1:32" s="100" customFormat="1" ht="15" customHeight="1">
      <c r="A193" s="254">
        <f t="shared" si="2"/>
        <v>38.5</v>
      </c>
      <c r="B193" s="254">
        <f>YEAR(Data_NFI_t[[#This Row],[Distribution Date]])</f>
        <v>2013</v>
      </c>
      <c r="C193" s="585">
        <v>41367</v>
      </c>
      <c r="D193" s="547" t="s">
        <v>287</v>
      </c>
      <c r="E193" s="546"/>
      <c r="F193" s="547" t="s">
        <v>7</v>
      </c>
      <c r="G193" s="31" t="s">
        <v>19</v>
      </c>
      <c r="H193" s="31" t="s">
        <v>73</v>
      </c>
      <c r="I193" s="31"/>
      <c r="J193" s="60"/>
      <c r="K193" s="60"/>
      <c r="L193" s="60"/>
      <c r="M193" s="60"/>
      <c r="N193" s="60">
        <v>45</v>
      </c>
      <c r="O193" s="60"/>
      <c r="P193" s="60"/>
      <c r="Q193" s="60"/>
      <c r="R193" s="570"/>
      <c r="S193" s="60"/>
      <c r="T193" s="143">
        <f>IF(NFI_Expiration=1,IF($A193&lt;VLOOKUP(I$5,NFI,5,0),1,0)*Data_NFI_t[[#This Row],[Hygiene Kit]],0)</f>
        <v>0</v>
      </c>
      <c r="U193" s="143">
        <f>IF(NFI_Expiration=1,IF($A193&lt;VLOOKUP(J$5,NFI,5,0),1,0)*Data_NFI_t[[#This Row],[NFI Core Kit]],0)</f>
        <v>0</v>
      </c>
      <c r="V193" s="124">
        <f>IF(NFI_Expiration=1,IF($A193&lt;VLOOKUP(K$5,NFI,5,0),1,0)*Data_NFI_t[[#This Row],[Sanitary Kit]],0)</f>
        <v>0</v>
      </c>
      <c r="W193" s="124">
        <f>IF(NFI_Expiration=1,IF($A193&lt;VLOOKUP(L$5,NFI,5,0),1,0)*Data_NFI_t[[#This Row],[Mosquito net]],0)</f>
        <v>0</v>
      </c>
      <c r="X193" s="124">
        <f>IF(NFI_Expiration=1,IF($A193&lt;VLOOKUP(M$5,NFI,5,0),1,0)*Data_NFI_t[[#This Row],[Tarpaulin]],0)</f>
        <v>0</v>
      </c>
      <c r="Y193" s="124">
        <f>IF(NFI_Expiration=1,IF($A193&lt;VLOOKUP(N$5,NFI,5,0),1,0)*Data_NFI_t[[#This Row],[Blanket]],0)</f>
        <v>0</v>
      </c>
      <c r="Z193" s="124">
        <f>IF(NFI_Expiration=1,IF($A193&lt;VLOOKUP(O$5,NFI,5,0),1,0)*Data_NFI_t[[#This Row],[Kitchen Set]],0)</f>
        <v>0</v>
      </c>
      <c r="AA193" s="124">
        <f>IF(NFI_Expiration=1,IF($A193&lt;VLOOKUP(P$5,NFI,5,0),1,0)*Data_NFI_t[[#This Row],[Complementary Kit]],0)</f>
        <v>0</v>
      </c>
      <c r="AB193" s="124">
        <f>IF(NFI_Expiration=1,IF($A193&lt;VLOOKUP(Q$5,NFI,5,0),1,0)*Data_NFI_t[[#This Row],[Plastic Bucket]],0)</f>
        <v>0</v>
      </c>
      <c r="AC193" s="124">
        <f>IF(NFI_Expiration=1,IF($A193&lt;VLOOKUP(R$5,NFI,5,0),1,0)*Data_NFI_t[[#This Row],[Jerry Can]],0)</f>
        <v>0</v>
      </c>
      <c r="AD193" s="143">
        <f>IF(NFI_Expiration=1,IF($A193&lt;VLOOKUP(S$5,NFI,5,0),1,0)*Data_NFI_t[[#This Row],[Plastic Mat]],0)*IF(Data_NFI_t[[#This Row],[Distribution Date]]&gt;"01-06-2015",1,2.5)</f>
        <v>0</v>
      </c>
      <c r="AE193" s="143" t="str">
        <f ca="1">IFERROR(OFFSET(Camp_List[P_Code],MATCH(Data_NFI_t[[#This Row],[Camp Name]],Camp_List[Camp Name],0)-1,0,1,1),"")</f>
        <v>MMR012CMP051</v>
      </c>
      <c r="AF193" s="572" t="str">
        <f ca="1">IFERROR(OFFSET(Camp_List[Status],MATCH(Data_NFI_t[[#This Row],[Camp Name]],Camp_List[Camp Name],0)-1,0,1,1),"")</f>
        <v>Close</v>
      </c>
    </row>
    <row r="194" spans="1:32" s="100" customFormat="1" ht="15" customHeight="1">
      <c r="A194" s="254">
        <f t="shared" si="2"/>
        <v>38.533333333333331</v>
      </c>
      <c r="B194" s="254">
        <f>YEAR(Data_NFI_t[[#This Row],[Distribution Date]])</f>
        <v>2013</v>
      </c>
      <c r="C194" s="585">
        <v>41366</v>
      </c>
      <c r="D194" s="547" t="s">
        <v>525</v>
      </c>
      <c r="E194" s="546" t="s">
        <v>525</v>
      </c>
      <c r="F194" s="547" t="s">
        <v>7</v>
      </c>
      <c r="G194" s="31" t="s">
        <v>19</v>
      </c>
      <c r="H194" s="31" t="s">
        <v>70</v>
      </c>
      <c r="I194" s="31">
        <v>3100</v>
      </c>
      <c r="J194" s="60"/>
      <c r="K194" s="60"/>
      <c r="L194" s="60"/>
      <c r="M194" s="60"/>
      <c r="N194" s="60"/>
      <c r="O194" s="60"/>
      <c r="P194" s="60"/>
      <c r="Q194" s="60"/>
      <c r="R194" s="570"/>
      <c r="S194" s="60"/>
      <c r="T194" s="143">
        <f>IF(NFI_Expiration=1,IF($A194&lt;VLOOKUP(I$5,NFI,5,0),1,0)*Data_NFI_t[[#This Row],[Hygiene Kit]],0)</f>
        <v>0</v>
      </c>
      <c r="U194" s="143">
        <f>IF(NFI_Expiration=1,IF($A194&lt;VLOOKUP(J$5,NFI,5,0),1,0)*Data_NFI_t[[#This Row],[NFI Core Kit]],0)</f>
        <v>0</v>
      </c>
      <c r="V194" s="124">
        <f>IF(NFI_Expiration=1,IF($A194&lt;VLOOKUP(K$5,NFI,5,0),1,0)*Data_NFI_t[[#This Row],[Sanitary Kit]],0)</f>
        <v>0</v>
      </c>
      <c r="W194" s="124">
        <f>IF(NFI_Expiration=1,IF($A194&lt;VLOOKUP(L$5,NFI,5,0),1,0)*Data_NFI_t[[#This Row],[Mosquito net]],0)</f>
        <v>0</v>
      </c>
      <c r="X194" s="124">
        <f>IF(NFI_Expiration=1,IF($A194&lt;VLOOKUP(M$5,NFI,5,0),1,0)*Data_NFI_t[[#This Row],[Tarpaulin]],0)</f>
        <v>0</v>
      </c>
      <c r="Y194" s="124">
        <f>IF(NFI_Expiration=1,IF($A194&lt;VLOOKUP(N$5,NFI,5,0),1,0)*Data_NFI_t[[#This Row],[Blanket]],0)</f>
        <v>0</v>
      </c>
      <c r="Z194" s="124">
        <f>IF(NFI_Expiration=1,IF($A194&lt;VLOOKUP(O$5,NFI,5,0),1,0)*Data_NFI_t[[#This Row],[Kitchen Set]],0)</f>
        <v>0</v>
      </c>
      <c r="AA194" s="124">
        <f>IF(NFI_Expiration=1,IF($A194&lt;VLOOKUP(P$5,NFI,5,0),1,0)*Data_NFI_t[[#This Row],[Complementary Kit]],0)</f>
        <v>0</v>
      </c>
      <c r="AB194" s="124">
        <f>IF(NFI_Expiration=1,IF($A194&lt;VLOOKUP(Q$5,NFI,5,0),1,0)*Data_NFI_t[[#This Row],[Plastic Bucket]],0)</f>
        <v>0</v>
      </c>
      <c r="AC194" s="124">
        <f>IF(NFI_Expiration=1,IF($A194&lt;VLOOKUP(R$5,NFI,5,0),1,0)*Data_NFI_t[[#This Row],[Jerry Can]],0)</f>
        <v>0</v>
      </c>
      <c r="AD194" s="143">
        <f>IF(NFI_Expiration=1,IF($A194&lt;VLOOKUP(S$5,NFI,5,0),1,0)*Data_NFI_t[[#This Row],[Plastic Mat]],0)*IF(Data_NFI_t[[#This Row],[Distribution Date]]&gt;"01-06-2015",1,2.5)</f>
        <v>0</v>
      </c>
      <c r="AE194" s="143" t="str">
        <f ca="1">IFERROR(OFFSET(Camp_List[P_Code],MATCH(Data_NFI_t[[#This Row],[Camp Name]],Camp_List[Camp Name],0)-1,0,1,1),"")</f>
        <v>MMR012CMP048</v>
      </c>
      <c r="AF194" s="572" t="str">
        <f ca="1">IFERROR(OFFSET(Camp_List[Status],MATCH(Data_NFI_t[[#This Row],[Camp Name]],Camp_List[Camp Name],0)-1,0,1,1),"")</f>
        <v>Open</v>
      </c>
    </row>
    <row r="195" spans="1:32" s="100" customFormat="1" ht="15" customHeight="1">
      <c r="A195" s="254">
        <f t="shared" si="2"/>
        <v>39.166666666666664</v>
      </c>
      <c r="B195" s="254">
        <f>YEAR(Data_NFI_t[[#This Row],[Distribution Date]])</f>
        <v>2013</v>
      </c>
      <c r="C195" s="585">
        <v>41347</v>
      </c>
      <c r="D195" s="547" t="s">
        <v>287</v>
      </c>
      <c r="E195" s="546"/>
      <c r="F195" s="547" t="s">
        <v>7</v>
      </c>
      <c r="G195" s="31" t="s">
        <v>16</v>
      </c>
      <c r="H195" s="31" t="s">
        <v>56</v>
      </c>
      <c r="I195" s="31">
        <v>0</v>
      </c>
      <c r="J195" s="60">
        <v>68</v>
      </c>
      <c r="K195" s="60"/>
      <c r="L195" s="60">
        <v>136</v>
      </c>
      <c r="M195" s="60">
        <v>68</v>
      </c>
      <c r="N195" s="60">
        <v>136</v>
      </c>
      <c r="O195" s="60">
        <v>68</v>
      </c>
      <c r="P195" s="60">
        <v>68</v>
      </c>
      <c r="Q195" s="60">
        <v>68</v>
      </c>
      <c r="R195" s="570"/>
      <c r="S195" s="60">
        <v>136</v>
      </c>
      <c r="T195" s="143">
        <f>IF(NFI_Expiration=1,IF($A195&lt;VLOOKUP(I$5,NFI,5,0),1,0)*Data_NFI_t[[#This Row],[Hygiene Kit]],0)</f>
        <v>0</v>
      </c>
      <c r="U195" s="143">
        <f>IF(NFI_Expiration=1,IF($A195&lt;VLOOKUP(J$5,NFI,5,0),1,0)*Data_NFI_t[[#This Row],[NFI Core Kit]],0)</f>
        <v>0</v>
      </c>
      <c r="V195" s="124">
        <f>IF(NFI_Expiration=1,IF($A195&lt;VLOOKUP(K$5,NFI,5,0),1,0)*Data_NFI_t[[#This Row],[Sanitary Kit]],0)</f>
        <v>0</v>
      </c>
      <c r="W195" s="124">
        <f>IF(NFI_Expiration=1,IF($A195&lt;VLOOKUP(L$5,NFI,5,0),1,0)*Data_NFI_t[[#This Row],[Mosquito net]],0)</f>
        <v>0</v>
      </c>
      <c r="X195" s="124">
        <f>IF(NFI_Expiration=1,IF($A195&lt;VLOOKUP(M$5,NFI,5,0),1,0)*Data_NFI_t[[#This Row],[Tarpaulin]],0)</f>
        <v>0</v>
      </c>
      <c r="Y195" s="124">
        <f>IF(NFI_Expiration=1,IF($A195&lt;VLOOKUP(N$5,NFI,5,0),1,0)*Data_NFI_t[[#This Row],[Blanket]],0)</f>
        <v>0</v>
      </c>
      <c r="Z195" s="124">
        <f>IF(NFI_Expiration=1,IF($A195&lt;VLOOKUP(O$5,NFI,5,0),1,0)*Data_NFI_t[[#This Row],[Kitchen Set]],0)</f>
        <v>0</v>
      </c>
      <c r="AA195" s="124">
        <f>IF(NFI_Expiration=1,IF($A195&lt;VLOOKUP(P$5,NFI,5,0),1,0)*Data_NFI_t[[#This Row],[Complementary Kit]],0)</f>
        <v>0</v>
      </c>
      <c r="AB195" s="124">
        <f>IF(NFI_Expiration=1,IF($A195&lt;VLOOKUP(Q$5,NFI,5,0),1,0)*Data_NFI_t[[#This Row],[Plastic Bucket]],0)</f>
        <v>0</v>
      </c>
      <c r="AC195" s="124">
        <f>IF(NFI_Expiration=1,IF($A195&lt;VLOOKUP(R$5,NFI,5,0),1,0)*Data_NFI_t[[#This Row],[Jerry Can]],0)</f>
        <v>0</v>
      </c>
      <c r="AD195" s="143">
        <f>IF(NFI_Expiration=1,IF($A195&lt;VLOOKUP(S$5,NFI,5,0),1,0)*Data_NFI_t[[#This Row],[Plastic Mat]],0)*IF(Data_NFI_t[[#This Row],[Distribution Date]]&gt;"01-06-2015",1,2.5)</f>
        <v>0</v>
      </c>
      <c r="AE195" s="143" t="str">
        <f ca="1">IFERROR(OFFSET(Camp_List[P_Code],MATCH(Data_NFI_t[[#This Row],[Camp Name]],Camp_List[Camp Name],0)-1,0,1,1),"")</f>
        <v>MMR012CMP032</v>
      </c>
      <c r="AF195" s="572" t="str">
        <f ca="1">IFERROR(OFFSET(Camp_List[Status],MATCH(Data_NFI_t[[#This Row],[Camp Name]],Camp_List[Camp Name],0)-1,0,1,1),"")</f>
        <v>Returned in Individual Housing</v>
      </c>
    </row>
    <row r="196" spans="1:32" s="100" customFormat="1" ht="15" customHeight="1">
      <c r="A196" s="254">
        <f t="shared" si="2"/>
        <v>39.166666666666664</v>
      </c>
      <c r="B196" s="254">
        <f>YEAR(Data_NFI_t[[#This Row],[Distribution Date]])</f>
        <v>2013</v>
      </c>
      <c r="C196" s="585">
        <v>41347</v>
      </c>
      <c r="D196" s="547" t="s">
        <v>287</v>
      </c>
      <c r="E196" s="546"/>
      <c r="F196" s="547" t="s">
        <v>7</v>
      </c>
      <c r="G196" s="31" t="s">
        <v>16</v>
      </c>
      <c r="H196" s="31" t="s">
        <v>56</v>
      </c>
      <c r="I196" s="31">
        <v>0</v>
      </c>
      <c r="J196" s="60"/>
      <c r="K196" s="60">
        <v>136</v>
      </c>
      <c r="L196" s="60">
        <v>136</v>
      </c>
      <c r="M196" s="60">
        <v>68</v>
      </c>
      <c r="N196" s="60">
        <v>0</v>
      </c>
      <c r="O196" s="60"/>
      <c r="P196" s="60"/>
      <c r="Q196" s="60"/>
      <c r="R196" s="570"/>
      <c r="S196" s="60"/>
      <c r="T196" s="143">
        <f>IF(NFI_Expiration=1,IF($A196&lt;VLOOKUP(I$5,NFI,5,0),1,0)*Data_NFI_t[[#This Row],[Hygiene Kit]],0)</f>
        <v>0</v>
      </c>
      <c r="U196" s="143">
        <f>IF(NFI_Expiration=1,IF($A196&lt;VLOOKUP(J$5,NFI,5,0),1,0)*Data_NFI_t[[#This Row],[NFI Core Kit]],0)</f>
        <v>0</v>
      </c>
      <c r="V196" s="124">
        <f>IF(NFI_Expiration=1,IF($A196&lt;VLOOKUP(K$5,NFI,5,0),1,0)*Data_NFI_t[[#This Row],[Sanitary Kit]],0)</f>
        <v>0</v>
      </c>
      <c r="W196" s="124">
        <f>IF(NFI_Expiration=1,IF($A196&lt;VLOOKUP(L$5,NFI,5,0),1,0)*Data_NFI_t[[#This Row],[Mosquito net]],0)</f>
        <v>0</v>
      </c>
      <c r="X196" s="124">
        <f>IF(NFI_Expiration=1,IF($A196&lt;VLOOKUP(M$5,NFI,5,0),1,0)*Data_NFI_t[[#This Row],[Tarpaulin]],0)</f>
        <v>0</v>
      </c>
      <c r="Y196" s="124">
        <f>IF(NFI_Expiration=1,IF($A196&lt;VLOOKUP(N$5,NFI,5,0),1,0)*Data_NFI_t[[#This Row],[Blanket]],0)</f>
        <v>0</v>
      </c>
      <c r="Z196" s="124">
        <f>IF(NFI_Expiration=1,IF($A196&lt;VLOOKUP(O$5,NFI,5,0),1,0)*Data_NFI_t[[#This Row],[Kitchen Set]],0)</f>
        <v>0</v>
      </c>
      <c r="AA196" s="124">
        <f>IF(NFI_Expiration=1,IF($A196&lt;VLOOKUP(P$5,NFI,5,0),1,0)*Data_NFI_t[[#This Row],[Complementary Kit]],0)</f>
        <v>0</v>
      </c>
      <c r="AB196" s="124">
        <f>IF(NFI_Expiration=1,IF($A196&lt;VLOOKUP(Q$5,NFI,5,0),1,0)*Data_NFI_t[[#This Row],[Plastic Bucket]],0)</f>
        <v>0</v>
      </c>
      <c r="AC196" s="124">
        <f>IF(NFI_Expiration=1,IF($A196&lt;VLOOKUP(R$5,NFI,5,0),1,0)*Data_NFI_t[[#This Row],[Jerry Can]],0)</f>
        <v>0</v>
      </c>
      <c r="AD196" s="143">
        <f>IF(NFI_Expiration=1,IF($A196&lt;VLOOKUP(S$5,NFI,5,0),1,0)*Data_NFI_t[[#This Row],[Plastic Mat]],0)*IF(Data_NFI_t[[#This Row],[Distribution Date]]&gt;"01-06-2015",1,2.5)</f>
        <v>0</v>
      </c>
      <c r="AE196" s="143" t="str">
        <f ca="1">IFERROR(OFFSET(Camp_List[P_Code],MATCH(Data_NFI_t[[#This Row],[Camp Name]],Camp_List[Camp Name],0)-1,0,1,1),"")</f>
        <v>MMR012CMP032</v>
      </c>
      <c r="AF196" s="572" t="str">
        <f ca="1">IFERROR(OFFSET(Camp_List[Status],MATCH(Data_NFI_t[[#This Row],[Camp Name]],Camp_List[Camp Name],0)-1,0,1,1),"")</f>
        <v>Returned in Individual Housing</v>
      </c>
    </row>
    <row r="197" spans="1:32" s="100" customFormat="1" ht="15" customHeight="1">
      <c r="A197" s="254">
        <f t="shared" si="2"/>
        <v>39.166666666666664</v>
      </c>
      <c r="B197" s="254">
        <f>YEAR(Data_NFI_t[[#This Row],[Distribution Date]])</f>
        <v>2013</v>
      </c>
      <c r="C197" s="585">
        <v>41347</v>
      </c>
      <c r="D197" s="547" t="s">
        <v>287</v>
      </c>
      <c r="E197" s="546"/>
      <c r="F197" s="547" t="s">
        <v>7</v>
      </c>
      <c r="G197" s="31" t="s">
        <v>20</v>
      </c>
      <c r="H197" s="31" t="s">
        <v>106</v>
      </c>
      <c r="I197" s="31">
        <v>0</v>
      </c>
      <c r="J197" s="60">
        <v>79</v>
      </c>
      <c r="K197" s="60"/>
      <c r="L197" s="60">
        <v>158</v>
      </c>
      <c r="M197" s="60">
        <v>79</v>
      </c>
      <c r="N197" s="60">
        <v>158</v>
      </c>
      <c r="O197" s="60">
        <v>79</v>
      </c>
      <c r="P197" s="60">
        <v>79</v>
      </c>
      <c r="Q197" s="60">
        <v>79</v>
      </c>
      <c r="R197" s="570"/>
      <c r="S197" s="60">
        <v>158</v>
      </c>
      <c r="T197" s="143">
        <f>IF(NFI_Expiration=1,IF($A197&lt;VLOOKUP(I$5,NFI,5,0),1,0)*Data_NFI_t[[#This Row],[Hygiene Kit]],0)</f>
        <v>0</v>
      </c>
      <c r="U197" s="143">
        <f>IF(NFI_Expiration=1,IF($A197&lt;VLOOKUP(J$5,NFI,5,0),1,0)*Data_NFI_t[[#This Row],[NFI Core Kit]],0)</f>
        <v>0</v>
      </c>
      <c r="V197" s="124">
        <f>IF(NFI_Expiration=1,IF($A197&lt;VLOOKUP(K$5,NFI,5,0),1,0)*Data_NFI_t[[#This Row],[Sanitary Kit]],0)</f>
        <v>0</v>
      </c>
      <c r="W197" s="124">
        <f>IF(NFI_Expiration=1,IF($A197&lt;VLOOKUP(L$5,NFI,5,0),1,0)*Data_NFI_t[[#This Row],[Mosquito net]],0)</f>
        <v>0</v>
      </c>
      <c r="X197" s="124">
        <f>IF(NFI_Expiration=1,IF($A197&lt;VLOOKUP(M$5,NFI,5,0),1,0)*Data_NFI_t[[#This Row],[Tarpaulin]],0)</f>
        <v>0</v>
      </c>
      <c r="Y197" s="124">
        <f>IF(NFI_Expiration=1,IF($A197&lt;VLOOKUP(N$5,NFI,5,0),1,0)*Data_NFI_t[[#This Row],[Blanket]],0)</f>
        <v>0</v>
      </c>
      <c r="Z197" s="124">
        <f>IF(NFI_Expiration=1,IF($A197&lt;VLOOKUP(O$5,NFI,5,0),1,0)*Data_NFI_t[[#This Row],[Kitchen Set]],0)</f>
        <v>0</v>
      </c>
      <c r="AA197" s="124">
        <f>IF(NFI_Expiration=1,IF($A197&lt;VLOOKUP(P$5,NFI,5,0),1,0)*Data_NFI_t[[#This Row],[Complementary Kit]],0)</f>
        <v>0</v>
      </c>
      <c r="AB197" s="124">
        <f>IF(NFI_Expiration=1,IF($A197&lt;VLOOKUP(Q$5,NFI,5,0),1,0)*Data_NFI_t[[#This Row],[Plastic Bucket]],0)</f>
        <v>0</v>
      </c>
      <c r="AC197" s="124">
        <f>IF(NFI_Expiration=1,IF($A197&lt;VLOOKUP(R$5,NFI,5,0),1,0)*Data_NFI_t[[#This Row],[Jerry Can]],0)</f>
        <v>0</v>
      </c>
      <c r="AD197" s="143">
        <f>IF(NFI_Expiration=1,IF($A197&lt;VLOOKUP(S$5,NFI,5,0),1,0)*Data_NFI_t[[#This Row],[Plastic Mat]],0)*IF(Data_NFI_t[[#This Row],[Distribution Date]]&gt;"01-06-2015",1,2.5)</f>
        <v>0</v>
      </c>
      <c r="AE197" s="143" t="str">
        <f ca="1">IFERROR(OFFSET(Camp_List[P_Code],MATCH(Data_NFI_t[[#This Row],[Camp Name]],Camp_List[Camp Name],0)-1,0,1,1),"")</f>
        <v>MMR012CMP084</v>
      </c>
      <c r="AF197" s="572" t="str">
        <f ca="1">IFERROR(OFFSET(Camp_List[Status],MATCH(Data_NFI_t[[#This Row],[Camp Name]],Camp_List[Camp Name],0)-1,0,1,1),"")</f>
        <v>Open</v>
      </c>
    </row>
    <row r="198" spans="1:32" s="100" customFormat="1" ht="15" customHeight="1">
      <c r="A198" s="254">
        <f t="shared" si="2"/>
        <v>39.166666666666664</v>
      </c>
      <c r="B198" s="254">
        <f>YEAR(Data_NFI_t[[#This Row],[Distribution Date]])</f>
        <v>2013</v>
      </c>
      <c r="C198" s="585">
        <v>41347</v>
      </c>
      <c r="D198" s="547" t="s">
        <v>287</v>
      </c>
      <c r="E198" s="546"/>
      <c r="F198" s="547" t="s">
        <v>7</v>
      </c>
      <c r="G198" s="31" t="s">
        <v>20</v>
      </c>
      <c r="H198" s="31" t="s">
        <v>106</v>
      </c>
      <c r="I198" s="31">
        <v>0</v>
      </c>
      <c r="J198" s="60"/>
      <c r="K198" s="60">
        <v>158</v>
      </c>
      <c r="L198" s="60">
        <v>292</v>
      </c>
      <c r="M198" s="60">
        <v>79</v>
      </c>
      <c r="N198" s="60">
        <v>0</v>
      </c>
      <c r="O198" s="60"/>
      <c r="P198" s="60"/>
      <c r="Q198" s="60"/>
      <c r="R198" s="570"/>
      <c r="S198" s="60"/>
      <c r="T198" s="143">
        <f>IF(NFI_Expiration=1,IF($A198&lt;VLOOKUP(I$5,NFI,5,0),1,0)*Data_NFI_t[[#This Row],[Hygiene Kit]],0)</f>
        <v>0</v>
      </c>
      <c r="U198" s="143">
        <f>IF(NFI_Expiration=1,IF($A198&lt;VLOOKUP(J$5,NFI,5,0),1,0)*Data_NFI_t[[#This Row],[NFI Core Kit]],0)</f>
        <v>0</v>
      </c>
      <c r="V198" s="124">
        <f>IF(NFI_Expiration=1,IF($A198&lt;VLOOKUP(K$5,NFI,5,0),1,0)*Data_NFI_t[[#This Row],[Sanitary Kit]],0)</f>
        <v>0</v>
      </c>
      <c r="W198" s="124">
        <f>IF(NFI_Expiration=1,IF($A198&lt;VLOOKUP(L$5,NFI,5,0),1,0)*Data_NFI_t[[#This Row],[Mosquito net]],0)</f>
        <v>0</v>
      </c>
      <c r="X198" s="124">
        <f>IF(NFI_Expiration=1,IF($A198&lt;VLOOKUP(M$5,NFI,5,0),1,0)*Data_NFI_t[[#This Row],[Tarpaulin]],0)</f>
        <v>0</v>
      </c>
      <c r="Y198" s="124">
        <f>IF(NFI_Expiration=1,IF($A198&lt;VLOOKUP(N$5,NFI,5,0),1,0)*Data_NFI_t[[#This Row],[Blanket]],0)</f>
        <v>0</v>
      </c>
      <c r="Z198" s="124">
        <f>IF(NFI_Expiration=1,IF($A198&lt;VLOOKUP(O$5,NFI,5,0),1,0)*Data_NFI_t[[#This Row],[Kitchen Set]],0)</f>
        <v>0</v>
      </c>
      <c r="AA198" s="124">
        <f>IF(NFI_Expiration=1,IF($A198&lt;VLOOKUP(P$5,NFI,5,0),1,0)*Data_NFI_t[[#This Row],[Complementary Kit]],0)</f>
        <v>0</v>
      </c>
      <c r="AB198" s="124">
        <f>IF(NFI_Expiration=1,IF($A198&lt;VLOOKUP(Q$5,NFI,5,0),1,0)*Data_NFI_t[[#This Row],[Plastic Bucket]],0)</f>
        <v>0</v>
      </c>
      <c r="AC198" s="124">
        <f>IF(NFI_Expiration=1,IF($A198&lt;VLOOKUP(R$5,NFI,5,0),1,0)*Data_NFI_t[[#This Row],[Jerry Can]],0)</f>
        <v>0</v>
      </c>
      <c r="AD198" s="143">
        <f>IF(NFI_Expiration=1,IF($A198&lt;VLOOKUP(S$5,NFI,5,0),1,0)*Data_NFI_t[[#This Row],[Plastic Mat]],0)*IF(Data_NFI_t[[#This Row],[Distribution Date]]&gt;"01-06-2015",1,2.5)</f>
        <v>0</v>
      </c>
      <c r="AE198" s="143" t="str">
        <f ca="1">IFERROR(OFFSET(Camp_List[P_Code],MATCH(Data_NFI_t[[#This Row],[Camp Name]],Camp_List[Camp Name],0)-1,0,1,1),"")</f>
        <v>MMR012CMP084</v>
      </c>
      <c r="AF198" s="572" t="str">
        <f ca="1">IFERROR(OFFSET(Camp_List[Status],MATCH(Data_NFI_t[[#This Row],[Camp Name]],Camp_List[Camp Name],0)-1,0,1,1),"")</f>
        <v>Open</v>
      </c>
    </row>
    <row r="199" spans="1:32" s="100" customFormat="1" ht="15" customHeight="1">
      <c r="A199" s="254">
        <f t="shared" si="2"/>
        <v>39.166666666666664</v>
      </c>
      <c r="B199" s="254">
        <f>YEAR(Data_NFI_t[[#This Row],[Distribution Date]])</f>
        <v>2013</v>
      </c>
      <c r="C199" s="585">
        <v>41347</v>
      </c>
      <c r="D199" s="547" t="s">
        <v>290</v>
      </c>
      <c r="E199" s="546" t="s">
        <v>290</v>
      </c>
      <c r="F199" s="547" t="s">
        <v>7</v>
      </c>
      <c r="G199" s="31" t="s">
        <v>19</v>
      </c>
      <c r="H199" s="31" t="s">
        <v>67</v>
      </c>
      <c r="I199" s="31">
        <v>2907</v>
      </c>
      <c r="J199" s="60"/>
      <c r="K199" s="60"/>
      <c r="L199" s="60"/>
      <c r="M199" s="60"/>
      <c r="N199" s="60"/>
      <c r="O199" s="60"/>
      <c r="P199" s="60"/>
      <c r="Q199" s="60"/>
      <c r="R199" s="570"/>
      <c r="S199" s="60"/>
      <c r="T199" s="143">
        <f>IF(NFI_Expiration=1,IF($A199&lt;VLOOKUP(I$5,NFI,5,0),1,0)*Data_NFI_t[[#This Row],[Hygiene Kit]],0)</f>
        <v>0</v>
      </c>
      <c r="U199" s="143">
        <f>IF(NFI_Expiration=1,IF($A199&lt;VLOOKUP(J$5,NFI,5,0),1,0)*Data_NFI_t[[#This Row],[NFI Core Kit]],0)</f>
        <v>0</v>
      </c>
      <c r="V199" s="124">
        <f>IF(NFI_Expiration=1,IF($A199&lt;VLOOKUP(K$5,NFI,5,0),1,0)*Data_NFI_t[[#This Row],[Sanitary Kit]],0)</f>
        <v>0</v>
      </c>
      <c r="W199" s="124">
        <f>IF(NFI_Expiration=1,IF($A199&lt;VLOOKUP(L$5,NFI,5,0),1,0)*Data_NFI_t[[#This Row],[Mosquito net]],0)</f>
        <v>0</v>
      </c>
      <c r="X199" s="124">
        <f>IF(NFI_Expiration=1,IF($A199&lt;VLOOKUP(M$5,NFI,5,0),1,0)*Data_NFI_t[[#This Row],[Tarpaulin]],0)</f>
        <v>0</v>
      </c>
      <c r="Y199" s="124">
        <f>IF(NFI_Expiration=1,IF($A199&lt;VLOOKUP(N$5,NFI,5,0),1,0)*Data_NFI_t[[#This Row],[Blanket]],0)</f>
        <v>0</v>
      </c>
      <c r="Z199" s="124">
        <f>IF(NFI_Expiration=1,IF($A199&lt;VLOOKUP(O$5,NFI,5,0),1,0)*Data_NFI_t[[#This Row],[Kitchen Set]],0)</f>
        <v>0</v>
      </c>
      <c r="AA199" s="124">
        <f>IF(NFI_Expiration=1,IF($A199&lt;VLOOKUP(P$5,NFI,5,0),1,0)*Data_NFI_t[[#This Row],[Complementary Kit]],0)</f>
        <v>0</v>
      </c>
      <c r="AB199" s="124">
        <f>IF(NFI_Expiration=1,IF($A199&lt;VLOOKUP(Q$5,NFI,5,0),1,0)*Data_NFI_t[[#This Row],[Plastic Bucket]],0)</f>
        <v>0</v>
      </c>
      <c r="AC199" s="124">
        <f>IF(NFI_Expiration=1,IF($A199&lt;VLOOKUP(R$5,NFI,5,0),1,0)*Data_NFI_t[[#This Row],[Jerry Can]],0)</f>
        <v>0</v>
      </c>
      <c r="AD199" s="143">
        <f>IF(NFI_Expiration=1,IF($A199&lt;VLOOKUP(S$5,NFI,5,0),1,0)*Data_NFI_t[[#This Row],[Plastic Mat]],0)*IF(Data_NFI_t[[#This Row],[Distribution Date]]&gt;"01-06-2015",1,2.5)</f>
        <v>0</v>
      </c>
      <c r="AE199" s="143" t="str">
        <f ca="1">IFERROR(OFFSET(Camp_List[P_Code],MATCH(Data_NFI_t[[#This Row],[Camp Name]],Camp_List[Camp Name],0)-1,0,1,1),"")</f>
        <v>MMR012CMP045</v>
      </c>
      <c r="AF199" s="572" t="str">
        <f ca="1">IFERROR(OFFSET(Camp_List[Status],MATCH(Data_NFI_t[[#This Row],[Camp Name]],Camp_List[Camp Name],0)-1,0,1,1),"")</f>
        <v>Open</v>
      </c>
    </row>
    <row r="200" spans="1:32" s="100" customFormat="1" ht="15" customHeight="1">
      <c r="A200" s="254">
        <f t="shared" ref="A200:A263" si="3">IF(ISBLANK(C200),"",(Report_Date-C200)/30)</f>
        <v>39.466666666666669</v>
      </c>
      <c r="B200" s="254">
        <f>YEAR(Data_NFI_t[[#This Row],[Distribution Date]])</f>
        <v>2013</v>
      </c>
      <c r="C200" s="585">
        <v>41338</v>
      </c>
      <c r="D200" s="547" t="s">
        <v>287</v>
      </c>
      <c r="E200" s="546"/>
      <c r="F200" s="547" t="s">
        <v>7</v>
      </c>
      <c r="G200" s="31" t="s">
        <v>20</v>
      </c>
      <c r="H200" s="31" t="s">
        <v>105</v>
      </c>
      <c r="I200" s="31">
        <v>0</v>
      </c>
      <c r="J200" s="60">
        <v>0</v>
      </c>
      <c r="K200" s="60">
        <v>0</v>
      </c>
      <c r="L200" s="60">
        <v>34</v>
      </c>
      <c r="M200" s="60">
        <v>0</v>
      </c>
      <c r="N200" s="60">
        <v>0</v>
      </c>
      <c r="O200" s="60"/>
      <c r="P200" s="60"/>
      <c r="Q200" s="60"/>
      <c r="R200" s="570"/>
      <c r="S200" s="60"/>
      <c r="T200" s="143">
        <f>IF(NFI_Expiration=1,IF($A200&lt;VLOOKUP(I$5,NFI,5,0),1,0)*Data_NFI_t[[#This Row],[Hygiene Kit]],0)</f>
        <v>0</v>
      </c>
      <c r="U200" s="143">
        <f>IF(NFI_Expiration=1,IF($A200&lt;VLOOKUP(J$5,NFI,5,0),1,0)*Data_NFI_t[[#This Row],[NFI Core Kit]],0)</f>
        <v>0</v>
      </c>
      <c r="V200" s="124">
        <f>IF(NFI_Expiration=1,IF($A200&lt;VLOOKUP(K$5,NFI,5,0),1,0)*Data_NFI_t[[#This Row],[Sanitary Kit]],0)</f>
        <v>0</v>
      </c>
      <c r="W200" s="124">
        <f>IF(NFI_Expiration=1,IF($A200&lt;VLOOKUP(L$5,NFI,5,0),1,0)*Data_NFI_t[[#This Row],[Mosquito net]],0)</f>
        <v>0</v>
      </c>
      <c r="X200" s="124">
        <f>IF(NFI_Expiration=1,IF($A200&lt;VLOOKUP(M$5,NFI,5,0),1,0)*Data_NFI_t[[#This Row],[Tarpaulin]],0)</f>
        <v>0</v>
      </c>
      <c r="Y200" s="124">
        <f>IF(NFI_Expiration=1,IF($A200&lt;VLOOKUP(N$5,NFI,5,0),1,0)*Data_NFI_t[[#This Row],[Blanket]],0)</f>
        <v>0</v>
      </c>
      <c r="Z200" s="124">
        <f>IF(NFI_Expiration=1,IF($A200&lt;VLOOKUP(O$5,NFI,5,0),1,0)*Data_NFI_t[[#This Row],[Kitchen Set]],0)</f>
        <v>0</v>
      </c>
      <c r="AA200" s="124">
        <f>IF(NFI_Expiration=1,IF($A200&lt;VLOOKUP(P$5,NFI,5,0),1,0)*Data_NFI_t[[#This Row],[Complementary Kit]],0)</f>
        <v>0</v>
      </c>
      <c r="AB200" s="124">
        <f>IF(NFI_Expiration=1,IF($A200&lt;VLOOKUP(Q$5,NFI,5,0),1,0)*Data_NFI_t[[#This Row],[Plastic Bucket]],0)</f>
        <v>0</v>
      </c>
      <c r="AC200" s="124">
        <f>IF(NFI_Expiration=1,IF($A200&lt;VLOOKUP(R$5,NFI,5,0),1,0)*Data_NFI_t[[#This Row],[Jerry Can]],0)</f>
        <v>0</v>
      </c>
      <c r="AD200" s="143">
        <f>IF(NFI_Expiration=1,IF($A200&lt;VLOOKUP(S$5,NFI,5,0),1,0)*Data_NFI_t[[#This Row],[Plastic Mat]],0)*IF(Data_NFI_t[[#This Row],[Distribution Date]]&gt;"01-06-2015",1,2.5)</f>
        <v>0</v>
      </c>
      <c r="AE200" s="143" t="str">
        <f ca="1">IFERROR(OFFSET(Camp_List[P_Code],MATCH(Data_NFI_t[[#This Row],[Camp Name]],Camp_List[Camp Name],0)-1,0,1,1),"")</f>
        <v/>
      </c>
      <c r="AF200" s="572" t="str">
        <f ca="1">IFERROR(OFFSET(Camp_List[Status],MATCH(Data_NFI_t[[#This Row],[Camp Name]],Camp_List[Camp Name],0)-1,0,1,1),"")</f>
        <v/>
      </c>
    </row>
    <row r="201" spans="1:32" s="100" customFormat="1" ht="15" customHeight="1">
      <c r="A201" s="254">
        <f t="shared" si="3"/>
        <v>39.533333333333331</v>
      </c>
      <c r="B201" s="254">
        <f>YEAR(Data_NFI_t[[#This Row],[Distribution Date]])</f>
        <v>2013</v>
      </c>
      <c r="C201" s="585">
        <v>41336</v>
      </c>
      <c r="D201" s="547" t="s">
        <v>287</v>
      </c>
      <c r="E201" s="546"/>
      <c r="F201" s="547" t="s">
        <v>7</v>
      </c>
      <c r="G201" s="31" t="s">
        <v>11</v>
      </c>
      <c r="H201" s="31" t="s">
        <v>31</v>
      </c>
      <c r="I201" s="31"/>
      <c r="J201" s="60"/>
      <c r="K201" s="60"/>
      <c r="L201" s="60"/>
      <c r="M201" s="60"/>
      <c r="N201" s="60">
        <v>33</v>
      </c>
      <c r="O201" s="60"/>
      <c r="P201" s="60"/>
      <c r="Q201" s="60"/>
      <c r="R201" s="570"/>
      <c r="S201" s="60"/>
      <c r="T201" s="143">
        <f>IF(NFI_Expiration=1,IF($A201&lt;VLOOKUP(I$5,NFI,5,0),1,0)*Data_NFI_t[[#This Row],[Hygiene Kit]],0)</f>
        <v>0</v>
      </c>
      <c r="U201" s="143">
        <f>IF(NFI_Expiration=1,IF($A201&lt;VLOOKUP(J$5,NFI,5,0),1,0)*Data_NFI_t[[#This Row],[NFI Core Kit]],0)</f>
        <v>0</v>
      </c>
      <c r="V201" s="124">
        <f>IF(NFI_Expiration=1,IF($A201&lt;VLOOKUP(K$5,NFI,5,0),1,0)*Data_NFI_t[[#This Row],[Sanitary Kit]],0)</f>
        <v>0</v>
      </c>
      <c r="W201" s="124">
        <f>IF(NFI_Expiration=1,IF($A201&lt;VLOOKUP(L$5,NFI,5,0),1,0)*Data_NFI_t[[#This Row],[Mosquito net]],0)</f>
        <v>0</v>
      </c>
      <c r="X201" s="124">
        <f>IF(NFI_Expiration=1,IF($A201&lt;VLOOKUP(M$5,NFI,5,0),1,0)*Data_NFI_t[[#This Row],[Tarpaulin]],0)</f>
        <v>0</v>
      </c>
      <c r="Y201" s="124">
        <f>IF(NFI_Expiration=1,IF($A201&lt;VLOOKUP(N$5,NFI,5,0),1,0)*Data_NFI_t[[#This Row],[Blanket]],0)</f>
        <v>0</v>
      </c>
      <c r="Z201" s="124">
        <f>IF(NFI_Expiration=1,IF($A201&lt;VLOOKUP(O$5,NFI,5,0),1,0)*Data_NFI_t[[#This Row],[Kitchen Set]],0)</f>
        <v>0</v>
      </c>
      <c r="AA201" s="124">
        <f>IF(NFI_Expiration=1,IF($A201&lt;VLOOKUP(P$5,NFI,5,0),1,0)*Data_NFI_t[[#This Row],[Complementary Kit]],0)</f>
        <v>0</v>
      </c>
      <c r="AB201" s="124">
        <f>IF(NFI_Expiration=1,IF($A201&lt;VLOOKUP(Q$5,NFI,5,0),1,0)*Data_NFI_t[[#This Row],[Plastic Bucket]],0)</f>
        <v>0</v>
      </c>
      <c r="AC201" s="124">
        <f>IF(NFI_Expiration=1,IF($A201&lt;VLOOKUP(R$5,NFI,5,0),1,0)*Data_NFI_t[[#This Row],[Jerry Can]],0)</f>
        <v>0</v>
      </c>
      <c r="AD201" s="143">
        <f>IF(NFI_Expiration=1,IF($A201&lt;VLOOKUP(S$5,NFI,5,0),1,0)*Data_NFI_t[[#This Row],[Plastic Mat]],0)*IF(Data_NFI_t[[#This Row],[Distribution Date]]&gt;"01-06-2015",1,2.5)</f>
        <v>0</v>
      </c>
      <c r="AE201" s="143" t="str">
        <f ca="1">IFERROR(OFFSET(Camp_List[P_Code],MATCH(Data_NFI_t[[#This Row],[Camp Name]],Camp_List[Camp Name],0)-1,0,1,1),"")</f>
        <v>MMR012CMP007</v>
      </c>
      <c r="AF201" s="572" t="str">
        <f ca="1">IFERROR(OFFSET(Camp_List[Status],MATCH(Data_NFI_t[[#This Row],[Camp Name]],Camp_List[Camp Name],0)-1,0,1,1),"")</f>
        <v>Close</v>
      </c>
    </row>
    <row r="202" spans="1:32" s="100" customFormat="1" ht="15" customHeight="1">
      <c r="A202" s="254">
        <f t="shared" si="3"/>
        <v>39.6</v>
      </c>
      <c r="B202" s="254">
        <f>YEAR(Data_NFI_t[[#This Row],[Distribution Date]])</f>
        <v>2013</v>
      </c>
      <c r="C202" s="585">
        <v>41334</v>
      </c>
      <c r="D202" s="547" t="s">
        <v>287</v>
      </c>
      <c r="E202" s="546"/>
      <c r="F202" s="547" t="s">
        <v>7</v>
      </c>
      <c r="G202" s="31" t="s">
        <v>20</v>
      </c>
      <c r="H202" s="31" t="s">
        <v>108</v>
      </c>
      <c r="I202" s="31">
        <v>0</v>
      </c>
      <c r="J202" s="60">
        <v>51</v>
      </c>
      <c r="K202" s="60"/>
      <c r="L202" s="60">
        <v>102</v>
      </c>
      <c r="M202" s="60">
        <v>51</v>
      </c>
      <c r="N202" s="60">
        <v>102</v>
      </c>
      <c r="O202" s="60">
        <v>51</v>
      </c>
      <c r="P202" s="60">
        <v>51</v>
      </c>
      <c r="Q202" s="60">
        <v>51</v>
      </c>
      <c r="R202" s="570"/>
      <c r="S202" s="60">
        <v>102</v>
      </c>
      <c r="T202" s="143">
        <f>IF(NFI_Expiration=1,IF($A202&lt;VLOOKUP(I$5,NFI,5,0),1,0)*Data_NFI_t[[#This Row],[Hygiene Kit]],0)</f>
        <v>0</v>
      </c>
      <c r="U202" s="143">
        <f>IF(NFI_Expiration=1,IF($A202&lt;VLOOKUP(J$5,NFI,5,0),1,0)*Data_NFI_t[[#This Row],[NFI Core Kit]],0)</f>
        <v>0</v>
      </c>
      <c r="V202" s="124">
        <f>IF(NFI_Expiration=1,IF($A202&lt;VLOOKUP(K$5,NFI,5,0),1,0)*Data_NFI_t[[#This Row],[Sanitary Kit]],0)</f>
        <v>0</v>
      </c>
      <c r="W202" s="124">
        <f>IF(NFI_Expiration=1,IF($A202&lt;VLOOKUP(L$5,NFI,5,0),1,0)*Data_NFI_t[[#This Row],[Mosquito net]],0)</f>
        <v>0</v>
      </c>
      <c r="X202" s="124">
        <f>IF(NFI_Expiration=1,IF($A202&lt;VLOOKUP(M$5,NFI,5,0),1,0)*Data_NFI_t[[#This Row],[Tarpaulin]],0)</f>
        <v>0</v>
      </c>
      <c r="Y202" s="124">
        <f>IF(NFI_Expiration=1,IF($A202&lt;VLOOKUP(N$5,NFI,5,0),1,0)*Data_NFI_t[[#This Row],[Blanket]],0)</f>
        <v>0</v>
      </c>
      <c r="Z202" s="124">
        <f>IF(NFI_Expiration=1,IF($A202&lt;VLOOKUP(O$5,NFI,5,0),1,0)*Data_NFI_t[[#This Row],[Kitchen Set]],0)</f>
        <v>0</v>
      </c>
      <c r="AA202" s="124">
        <f>IF(NFI_Expiration=1,IF($A202&lt;VLOOKUP(P$5,NFI,5,0),1,0)*Data_NFI_t[[#This Row],[Complementary Kit]],0)</f>
        <v>0</v>
      </c>
      <c r="AB202" s="124">
        <f>IF(NFI_Expiration=1,IF($A202&lt;VLOOKUP(Q$5,NFI,5,0),1,0)*Data_NFI_t[[#This Row],[Plastic Bucket]],0)</f>
        <v>0</v>
      </c>
      <c r="AC202" s="124">
        <f>IF(NFI_Expiration=1,IF($A202&lt;VLOOKUP(R$5,NFI,5,0),1,0)*Data_NFI_t[[#This Row],[Jerry Can]],0)</f>
        <v>0</v>
      </c>
      <c r="AD202" s="143">
        <f>IF(NFI_Expiration=1,IF($A202&lt;VLOOKUP(S$5,NFI,5,0),1,0)*Data_NFI_t[[#This Row],[Plastic Mat]],0)*IF(Data_NFI_t[[#This Row],[Distribution Date]]&gt;"01-06-2015",1,2.5)</f>
        <v>0</v>
      </c>
      <c r="AE202" s="143" t="str">
        <f ca="1">IFERROR(OFFSET(Camp_List[P_Code],MATCH(Data_NFI_t[[#This Row],[Camp Name]],Camp_List[Camp Name],0)-1,0,1,1),"")</f>
        <v>MMR012CMP086</v>
      </c>
      <c r="AF202" s="572" t="str">
        <f ca="1">IFERROR(OFFSET(Camp_List[Status],MATCH(Data_NFI_t[[#This Row],[Camp Name]],Camp_List[Camp Name],0)-1,0,1,1),"")</f>
        <v>Open</v>
      </c>
    </row>
    <row r="203" spans="1:32" s="100" customFormat="1" ht="15" customHeight="1">
      <c r="A203" s="254">
        <f t="shared" si="3"/>
        <v>39.6</v>
      </c>
      <c r="B203" s="254">
        <f>YEAR(Data_NFI_t[[#This Row],[Distribution Date]])</f>
        <v>2013</v>
      </c>
      <c r="C203" s="585">
        <v>41334</v>
      </c>
      <c r="D203" s="547" t="s">
        <v>287</v>
      </c>
      <c r="E203" s="546"/>
      <c r="F203" s="547" t="s">
        <v>7</v>
      </c>
      <c r="G203" s="31" t="s">
        <v>20</v>
      </c>
      <c r="H203" s="31" t="s">
        <v>108</v>
      </c>
      <c r="I203" s="31">
        <v>0</v>
      </c>
      <c r="J203" s="60"/>
      <c r="K203" s="60">
        <v>102</v>
      </c>
      <c r="L203" s="60">
        <v>156</v>
      </c>
      <c r="M203" s="60">
        <v>51</v>
      </c>
      <c r="N203" s="60">
        <v>0</v>
      </c>
      <c r="O203" s="60"/>
      <c r="P203" s="60"/>
      <c r="Q203" s="60"/>
      <c r="R203" s="570"/>
      <c r="S203" s="60"/>
      <c r="T203" s="143">
        <f>IF(NFI_Expiration=1,IF($A203&lt;VLOOKUP(I$5,NFI,5,0),1,0)*Data_NFI_t[[#This Row],[Hygiene Kit]],0)</f>
        <v>0</v>
      </c>
      <c r="U203" s="143">
        <f>IF(NFI_Expiration=1,IF($A203&lt;VLOOKUP(J$5,NFI,5,0),1,0)*Data_NFI_t[[#This Row],[NFI Core Kit]],0)</f>
        <v>0</v>
      </c>
      <c r="V203" s="124">
        <f>IF(NFI_Expiration=1,IF($A203&lt;VLOOKUP(K$5,NFI,5,0),1,0)*Data_NFI_t[[#This Row],[Sanitary Kit]],0)</f>
        <v>0</v>
      </c>
      <c r="W203" s="124">
        <f>IF(NFI_Expiration=1,IF($A203&lt;VLOOKUP(L$5,NFI,5,0),1,0)*Data_NFI_t[[#This Row],[Mosquito net]],0)</f>
        <v>0</v>
      </c>
      <c r="X203" s="124">
        <f>IF(NFI_Expiration=1,IF($A203&lt;VLOOKUP(M$5,NFI,5,0),1,0)*Data_NFI_t[[#This Row],[Tarpaulin]],0)</f>
        <v>0</v>
      </c>
      <c r="Y203" s="124">
        <f>IF(NFI_Expiration=1,IF($A203&lt;VLOOKUP(N$5,NFI,5,0),1,0)*Data_NFI_t[[#This Row],[Blanket]],0)</f>
        <v>0</v>
      </c>
      <c r="Z203" s="124">
        <f>IF(NFI_Expiration=1,IF($A203&lt;VLOOKUP(O$5,NFI,5,0),1,0)*Data_NFI_t[[#This Row],[Kitchen Set]],0)</f>
        <v>0</v>
      </c>
      <c r="AA203" s="124">
        <f>IF(NFI_Expiration=1,IF($A203&lt;VLOOKUP(P$5,NFI,5,0),1,0)*Data_NFI_t[[#This Row],[Complementary Kit]],0)</f>
        <v>0</v>
      </c>
      <c r="AB203" s="124">
        <f>IF(NFI_Expiration=1,IF($A203&lt;VLOOKUP(Q$5,NFI,5,0),1,0)*Data_NFI_t[[#This Row],[Plastic Bucket]],0)</f>
        <v>0</v>
      </c>
      <c r="AC203" s="124">
        <f>IF(NFI_Expiration=1,IF($A203&lt;VLOOKUP(R$5,NFI,5,0),1,0)*Data_NFI_t[[#This Row],[Jerry Can]],0)</f>
        <v>0</v>
      </c>
      <c r="AD203" s="143">
        <f>IF(NFI_Expiration=1,IF($A203&lt;VLOOKUP(S$5,NFI,5,0),1,0)*Data_NFI_t[[#This Row],[Plastic Mat]],0)*IF(Data_NFI_t[[#This Row],[Distribution Date]]&gt;"01-06-2015",1,2.5)</f>
        <v>0</v>
      </c>
      <c r="AE203" s="143" t="str">
        <f ca="1">IFERROR(OFFSET(Camp_List[P_Code],MATCH(Data_NFI_t[[#This Row],[Camp Name]],Camp_List[Camp Name],0)-1,0,1,1),"")</f>
        <v>MMR012CMP086</v>
      </c>
      <c r="AF203" s="572" t="str">
        <f ca="1">IFERROR(OFFSET(Camp_List[Status],MATCH(Data_NFI_t[[#This Row],[Camp Name]],Camp_List[Camp Name],0)-1,0,1,1),"")</f>
        <v>Open</v>
      </c>
    </row>
    <row r="204" spans="1:32" s="100" customFormat="1" ht="15" customHeight="1">
      <c r="A204" s="254">
        <f t="shared" si="3"/>
        <v>39.666666666666664</v>
      </c>
      <c r="B204" s="254">
        <f>YEAR(Data_NFI_t[[#This Row],[Distribution Date]])</f>
        <v>2013</v>
      </c>
      <c r="C204" s="585">
        <v>41332</v>
      </c>
      <c r="D204" s="547" t="s">
        <v>287</v>
      </c>
      <c r="E204" s="546"/>
      <c r="F204" s="547" t="s">
        <v>7</v>
      </c>
      <c r="G204" s="31" t="s">
        <v>20</v>
      </c>
      <c r="H204" s="31" t="s">
        <v>106</v>
      </c>
      <c r="I204" s="31">
        <v>0</v>
      </c>
      <c r="J204" s="60">
        <v>50</v>
      </c>
      <c r="K204" s="60"/>
      <c r="L204" s="60">
        <v>100</v>
      </c>
      <c r="M204" s="60">
        <v>50</v>
      </c>
      <c r="N204" s="60">
        <v>100</v>
      </c>
      <c r="O204" s="60">
        <v>50</v>
      </c>
      <c r="P204" s="60">
        <v>50</v>
      </c>
      <c r="Q204" s="60">
        <v>50</v>
      </c>
      <c r="R204" s="570"/>
      <c r="S204" s="60">
        <v>100</v>
      </c>
      <c r="T204" s="143">
        <f>IF(NFI_Expiration=1,IF($A204&lt;VLOOKUP(I$5,NFI,5,0),1,0)*Data_NFI_t[[#This Row],[Hygiene Kit]],0)</f>
        <v>0</v>
      </c>
      <c r="U204" s="143">
        <f>IF(NFI_Expiration=1,IF($A204&lt;VLOOKUP(J$5,NFI,5,0),1,0)*Data_NFI_t[[#This Row],[NFI Core Kit]],0)</f>
        <v>0</v>
      </c>
      <c r="V204" s="124">
        <f>IF(NFI_Expiration=1,IF($A204&lt;VLOOKUP(K$5,NFI,5,0),1,0)*Data_NFI_t[[#This Row],[Sanitary Kit]],0)</f>
        <v>0</v>
      </c>
      <c r="W204" s="124">
        <f>IF(NFI_Expiration=1,IF($A204&lt;VLOOKUP(L$5,NFI,5,0),1,0)*Data_NFI_t[[#This Row],[Mosquito net]],0)</f>
        <v>0</v>
      </c>
      <c r="X204" s="124">
        <f>IF(NFI_Expiration=1,IF($A204&lt;VLOOKUP(M$5,NFI,5,0),1,0)*Data_NFI_t[[#This Row],[Tarpaulin]],0)</f>
        <v>0</v>
      </c>
      <c r="Y204" s="124">
        <f>IF(NFI_Expiration=1,IF($A204&lt;VLOOKUP(N$5,NFI,5,0),1,0)*Data_NFI_t[[#This Row],[Blanket]],0)</f>
        <v>0</v>
      </c>
      <c r="Z204" s="124">
        <f>IF(NFI_Expiration=1,IF($A204&lt;VLOOKUP(O$5,NFI,5,0),1,0)*Data_NFI_t[[#This Row],[Kitchen Set]],0)</f>
        <v>0</v>
      </c>
      <c r="AA204" s="124">
        <f>IF(NFI_Expiration=1,IF($A204&lt;VLOOKUP(P$5,NFI,5,0),1,0)*Data_NFI_t[[#This Row],[Complementary Kit]],0)</f>
        <v>0</v>
      </c>
      <c r="AB204" s="124">
        <f>IF(NFI_Expiration=1,IF($A204&lt;VLOOKUP(Q$5,NFI,5,0),1,0)*Data_NFI_t[[#This Row],[Plastic Bucket]],0)</f>
        <v>0</v>
      </c>
      <c r="AC204" s="124">
        <f>IF(NFI_Expiration=1,IF($A204&lt;VLOOKUP(R$5,NFI,5,0),1,0)*Data_NFI_t[[#This Row],[Jerry Can]],0)</f>
        <v>0</v>
      </c>
      <c r="AD204" s="143">
        <f>IF(NFI_Expiration=1,IF($A204&lt;VLOOKUP(S$5,NFI,5,0),1,0)*Data_NFI_t[[#This Row],[Plastic Mat]],0)*IF(Data_NFI_t[[#This Row],[Distribution Date]]&gt;"01-06-2015",1,2.5)</f>
        <v>0</v>
      </c>
      <c r="AE204" s="143" t="str">
        <f ca="1">IFERROR(OFFSET(Camp_List[P_Code],MATCH(Data_NFI_t[[#This Row],[Camp Name]],Camp_List[Camp Name],0)-1,0,1,1),"")</f>
        <v>MMR012CMP084</v>
      </c>
      <c r="AF204" s="572" t="str">
        <f ca="1">IFERROR(OFFSET(Camp_List[Status],MATCH(Data_NFI_t[[#This Row],[Camp Name]],Camp_List[Camp Name],0)-1,0,1,1),"")</f>
        <v>Open</v>
      </c>
    </row>
    <row r="205" spans="1:32" s="100" customFormat="1" ht="15" customHeight="1">
      <c r="A205" s="254">
        <f t="shared" si="3"/>
        <v>39.666666666666664</v>
      </c>
      <c r="B205" s="254">
        <f>YEAR(Data_NFI_t[[#This Row],[Distribution Date]])</f>
        <v>2013</v>
      </c>
      <c r="C205" s="585">
        <v>41332</v>
      </c>
      <c r="D205" s="547" t="s">
        <v>287</v>
      </c>
      <c r="E205" s="546"/>
      <c r="F205" s="547" t="s">
        <v>7</v>
      </c>
      <c r="G205" s="31" t="s">
        <v>20</v>
      </c>
      <c r="H205" s="31" t="s">
        <v>106</v>
      </c>
      <c r="I205" s="31">
        <v>0</v>
      </c>
      <c r="J205" s="60"/>
      <c r="K205" s="60">
        <v>100</v>
      </c>
      <c r="L205" s="60">
        <v>171</v>
      </c>
      <c r="M205" s="60">
        <v>50</v>
      </c>
      <c r="N205" s="60">
        <v>0</v>
      </c>
      <c r="O205" s="60"/>
      <c r="P205" s="60"/>
      <c r="Q205" s="60"/>
      <c r="R205" s="570"/>
      <c r="S205" s="60"/>
      <c r="T205" s="143">
        <f>IF(NFI_Expiration=1,IF($A205&lt;VLOOKUP(I$5,NFI,5,0),1,0)*Data_NFI_t[[#This Row],[Hygiene Kit]],0)</f>
        <v>0</v>
      </c>
      <c r="U205" s="143">
        <f>IF(NFI_Expiration=1,IF($A205&lt;VLOOKUP(J$5,NFI,5,0),1,0)*Data_NFI_t[[#This Row],[NFI Core Kit]],0)</f>
        <v>0</v>
      </c>
      <c r="V205" s="124">
        <f>IF(NFI_Expiration=1,IF($A205&lt;VLOOKUP(K$5,NFI,5,0),1,0)*Data_NFI_t[[#This Row],[Sanitary Kit]],0)</f>
        <v>0</v>
      </c>
      <c r="W205" s="124">
        <f>IF(NFI_Expiration=1,IF($A205&lt;VLOOKUP(L$5,NFI,5,0),1,0)*Data_NFI_t[[#This Row],[Mosquito net]],0)</f>
        <v>0</v>
      </c>
      <c r="X205" s="124">
        <f>IF(NFI_Expiration=1,IF($A205&lt;VLOOKUP(M$5,NFI,5,0),1,0)*Data_NFI_t[[#This Row],[Tarpaulin]],0)</f>
        <v>0</v>
      </c>
      <c r="Y205" s="124">
        <f>IF(NFI_Expiration=1,IF($A205&lt;VLOOKUP(N$5,NFI,5,0),1,0)*Data_NFI_t[[#This Row],[Blanket]],0)</f>
        <v>0</v>
      </c>
      <c r="Z205" s="124">
        <f>IF(NFI_Expiration=1,IF($A205&lt;VLOOKUP(O$5,NFI,5,0),1,0)*Data_NFI_t[[#This Row],[Kitchen Set]],0)</f>
        <v>0</v>
      </c>
      <c r="AA205" s="124">
        <f>IF(NFI_Expiration=1,IF($A205&lt;VLOOKUP(P$5,NFI,5,0),1,0)*Data_NFI_t[[#This Row],[Complementary Kit]],0)</f>
        <v>0</v>
      </c>
      <c r="AB205" s="124">
        <f>IF(NFI_Expiration=1,IF($A205&lt;VLOOKUP(Q$5,NFI,5,0),1,0)*Data_NFI_t[[#This Row],[Plastic Bucket]],0)</f>
        <v>0</v>
      </c>
      <c r="AC205" s="124">
        <f>IF(NFI_Expiration=1,IF($A205&lt;VLOOKUP(R$5,NFI,5,0),1,0)*Data_NFI_t[[#This Row],[Jerry Can]],0)</f>
        <v>0</v>
      </c>
      <c r="AD205" s="143">
        <f>IF(NFI_Expiration=1,IF($A205&lt;VLOOKUP(S$5,NFI,5,0),1,0)*Data_NFI_t[[#This Row],[Plastic Mat]],0)*IF(Data_NFI_t[[#This Row],[Distribution Date]]&gt;"01-06-2015",1,2.5)</f>
        <v>0</v>
      </c>
      <c r="AE205" s="143" t="str">
        <f ca="1">IFERROR(OFFSET(Camp_List[P_Code],MATCH(Data_NFI_t[[#This Row],[Camp Name]],Camp_List[Camp Name],0)-1,0,1,1),"")</f>
        <v>MMR012CMP084</v>
      </c>
      <c r="AF205" s="572" t="str">
        <f ca="1">IFERROR(OFFSET(Camp_List[Status],MATCH(Data_NFI_t[[#This Row],[Camp Name]],Camp_List[Camp Name],0)-1,0,1,1),"")</f>
        <v>Open</v>
      </c>
    </row>
    <row r="206" spans="1:32" s="100" customFormat="1" ht="15" customHeight="1">
      <c r="A206" s="254">
        <f t="shared" si="3"/>
        <v>39.666666666666664</v>
      </c>
      <c r="B206" s="254">
        <f>YEAR(Data_NFI_t[[#This Row],[Distribution Date]])</f>
        <v>2013</v>
      </c>
      <c r="C206" s="585">
        <v>41332</v>
      </c>
      <c r="D206" s="547" t="s">
        <v>288</v>
      </c>
      <c r="E206" s="546"/>
      <c r="F206" s="547" t="s">
        <v>7</v>
      </c>
      <c r="G206" s="31" t="s">
        <v>19</v>
      </c>
      <c r="H206" s="31" t="s">
        <v>65</v>
      </c>
      <c r="I206" s="31">
        <v>0</v>
      </c>
      <c r="J206" s="60">
        <v>800</v>
      </c>
      <c r="K206" s="60"/>
      <c r="L206" s="60">
        <v>1600</v>
      </c>
      <c r="M206" s="60">
        <v>800</v>
      </c>
      <c r="N206" s="60">
        <v>1600</v>
      </c>
      <c r="O206" s="60">
        <v>800</v>
      </c>
      <c r="P206" s="60">
        <v>800</v>
      </c>
      <c r="Q206" s="60">
        <v>800</v>
      </c>
      <c r="R206" s="570"/>
      <c r="S206" s="60">
        <v>1600</v>
      </c>
      <c r="T206" s="143">
        <f>IF(NFI_Expiration=1,IF($A206&lt;VLOOKUP(I$5,NFI,5,0),1,0)*Data_NFI_t[[#This Row],[Hygiene Kit]],0)</f>
        <v>0</v>
      </c>
      <c r="U206" s="143">
        <f>IF(NFI_Expiration=1,IF($A206&lt;VLOOKUP(J$5,NFI,5,0),1,0)*Data_NFI_t[[#This Row],[NFI Core Kit]],0)</f>
        <v>0</v>
      </c>
      <c r="V206" s="124">
        <f>IF(NFI_Expiration=1,IF($A206&lt;VLOOKUP(K$5,NFI,5,0),1,0)*Data_NFI_t[[#This Row],[Sanitary Kit]],0)</f>
        <v>0</v>
      </c>
      <c r="W206" s="124">
        <f>IF(NFI_Expiration=1,IF($A206&lt;VLOOKUP(L$5,NFI,5,0),1,0)*Data_NFI_t[[#This Row],[Mosquito net]],0)</f>
        <v>0</v>
      </c>
      <c r="X206" s="124">
        <f>IF(NFI_Expiration=1,IF($A206&lt;VLOOKUP(M$5,NFI,5,0),1,0)*Data_NFI_t[[#This Row],[Tarpaulin]],0)</f>
        <v>0</v>
      </c>
      <c r="Y206" s="124">
        <f>IF(NFI_Expiration=1,IF($A206&lt;VLOOKUP(N$5,NFI,5,0),1,0)*Data_NFI_t[[#This Row],[Blanket]],0)</f>
        <v>0</v>
      </c>
      <c r="Z206" s="124">
        <f>IF(NFI_Expiration=1,IF($A206&lt;VLOOKUP(O$5,NFI,5,0),1,0)*Data_NFI_t[[#This Row],[Kitchen Set]],0)</f>
        <v>0</v>
      </c>
      <c r="AA206" s="124">
        <f>IF(NFI_Expiration=1,IF($A206&lt;VLOOKUP(P$5,NFI,5,0),1,0)*Data_NFI_t[[#This Row],[Complementary Kit]],0)</f>
        <v>0</v>
      </c>
      <c r="AB206" s="124">
        <f>IF(NFI_Expiration=1,IF($A206&lt;VLOOKUP(Q$5,NFI,5,0),1,0)*Data_NFI_t[[#This Row],[Plastic Bucket]],0)</f>
        <v>0</v>
      </c>
      <c r="AC206" s="124">
        <f>IF(NFI_Expiration=1,IF($A206&lt;VLOOKUP(R$5,NFI,5,0),1,0)*Data_NFI_t[[#This Row],[Jerry Can]],0)</f>
        <v>0</v>
      </c>
      <c r="AD206" s="143">
        <f>IF(NFI_Expiration=1,IF($A206&lt;VLOOKUP(S$5,NFI,5,0),1,0)*Data_NFI_t[[#This Row],[Plastic Mat]],0)*IF(Data_NFI_t[[#This Row],[Distribution Date]]&gt;"01-06-2015",1,2.5)</f>
        <v>0</v>
      </c>
      <c r="AE206" s="143" t="str">
        <f ca="1">IFERROR(OFFSET(Camp_List[P_Code],MATCH(Data_NFI_t[[#This Row],[Camp Name]],Camp_List[Camp Name],0)-1,0,1,1),"")</f>
        <v>MMR012CMP043</v>
      </c>
      <c r="AF206" s="572" t="str">
        <f ca="1">IFERROR(OFFSET(Camp_List[Status],MATCH(Data_NFI_t[[#This Row],[Camp Name]],Camp_List[Camp Name],0)-1,0,1,1),"")</f>
        <v>Close</v>
      </c>
    </row>
    <row r="207" spans="1:32" s="100" customFormat="1" ht="15" customHeight="1">
      <c r="A207" s="254">
        <f t="shared" si="3"/>
        <v>39.666666666666664</v>
      </c>
      <c r="B207" s="254">
        <f>YEAR(Data_NFI_t[[#This Row],[Distribution Date]])</f>
        <v>2013</v>
      </c>
      <c r="C207" s="585">
        <v>41332</v>
      </c>
      <c r="D207" s="547" t="s">
        <v>288</v>
      </c>
      <c r="E207" s="546"/>
      <c r="F207" s="547" t="s">
        <v>7</v>
      </c>
      <c r="G207" s="31" t="s">
        <v>19</v>
      </c>
      <c r="H207" s="31" t="s">
        <v>65</v>
      </c>
      <c r="I207" s="31">
        <v>0</v>
      </c>
      <c r="J207" s="60"/>
      <c r="K207" s="60"/>
      <c r="L207" s="60"/>
      <c r="M207" s="60"/>
      <c r="N207" s="60"/>
      <c r="O207" s="60"/>
      <c r="P207" s="60"/>
      <c r="Q207" s="60"/>
      <c r="R207" s="570"/>
      <c r="S207" s="60"/>
      <c r="T207" s="143">
        <f>IF(NFI_Expiration=1,IF($A207&lt;VLOOKUP(I$5,NFI,5,0),1,0)*Data_NFI_t[[#This Row],[Hygiene Kit]],0)</f>
        <v>0</v>
      </c>
      <c r="U207" s="143">
        <f>IF(NFI_Expiration=1,IF($A207&lt;VLOOKUP(J$5,NFI,5,0),1,0)*Data_NFI_t[[#This Row],[NFI Core Kit]],0)</f>
        <v>0</v>
      </c>
      <c r="V207" s="124">
        <f>IF(NFI_Expiration=1,IF($A207&lt;VLOOKUP(K$5,NFI,5,0),1,0)*Data_NFI_t[[#This Row],[Sanitary Kit]],0)</f>
        <v>0</v>
      </c>
      <c r="W207" s="124">
        <f>IF(NFI_Expiration=1,IF($A207&lt;VLOOKUP(L$5,NFI,5,0),1,0)*Data_NFI_t[[#This Row],[Mosquito net]],0)</f>
        <v>0</v>
      </c>
      <c r="X207" s="124">
        <f>IF(NFI_Expiration=1,IF($A207&lt;VLOOKUP(M$5,NFI,5,0),1,0)*Data_NFI_t[[#This Row],[Tarpaulin]],0)</f>
        <v>0</v>
      </c>
      <c r="Y207" s="124">
        <f>IF(NFI_Expiration=1,IF($A207&lt;VLOOKUP(N$5,NFI,5,0),1,0)*Data_NFI_t[[#This Row],[Blanket]],0)</f>
        <v>0</v>
      </c>
      <c r="Z207" s="124">
        <f>IF(NFI_Expiration=1,IF($A207&lt;VLOOKUP(O$5,NFI,5,0),1,0)*Data_NFI_t[[#This Row],[Kitchen Set]],0)</f>
        <v>0</v>
      </c>
      <c r="AA207" s="124">
        <f>IF(NFI_Expiration=1,IF($A207&lt;VLOOKUP(P$5,NFI,5,0),1,0)*Data_NFI_t[[#This Row],[Complementary Kit]],0)</f>
        <v>0</v>
      </c>
      <c r="AB207" s="124">
        <f>IF(NFI_Expiration=1,IF($A207&lt;VLOOKUP(Q$5,NFI,5,0),1,0)*Data_NFI_t[[#This Row],[Plastic Bucket]],0)</f>
        <v>0</v>
      </c>
      <c r="AC207" s="124">
        <f>IF(NFI_Expiration=1,IF($A207&lt;VLOOKUP(R$5,NFI,5,0),1,0)*Data_NFI_t[[#This Row],[Jerry Can]],0)</f>
        <v>0</v>
      </c>
      <c r="AD207" s="143">
        <f>IF(NFI_Expiration=1,IF($A207&lt;VLOOKUP(S$5,NFI,5,0),1,0)*Data_NFI_t[[#This Row],[Plastic Mat]],0)*IF(Data_NFI_t[[#This Row],[Distribution Date]]&gt;"01-06-2015",1,2.5)</f>
        <v>0</v>
      </c>
      <c r="AE207" s="143" t="str">
        <f ca="1">IFERROR(OFFSET(Camp_List[P_Code],MATCH(Data_NFI_t[[#This Row],[Camp Name]],Camp_List[Camp Name],0)-1,0,1,1),"")</f>
        <v>MMR012CMP043</v>
      </c>
      <c r="AF207" s="572" t="str">
        <f ca="1">IFERROR(OFFSET(Camp_List[Status],MATCH(Data_NFI_t[[#This Row],[Camp Name]],Camp_List[Camp Name],0)-1,0,1,1),"")</f>
        <v>Close</v>
      </c>
    </row>
    <row r="208" spans="1:32" s="100" customFormat="1" ht="15" customHeight="1">
      <c r="A208" s="254">
        <f t="shared" si="3"/>
        <v>39.666666666666664</v>
      </c>
      <c r="B208" s="254">
        <f>YEAR(Data_NFI_t[[#This Row],[Distribution Date]])</f>
        <v>2013</v>
      </c>
      <c r="C208" s="585">
        <v>41332</v>
      </c>
      <c r="D208" s="547" t="s">
        <v>288</v>
      </c>
      <c r="E208" s="546"/>
      <c r="F208" s="547" t="s">
        <v>7</v>
      </c>
      <c r="G208" s="31" t="s">
        <v>19</v>
      </c>
      <c r="H208" s="31" t="s">
        <v>78</v>
      </c>
      <c r="I208" s="31">
        <v>0</v>
      </c>
      <c r="J208" s="60">
        <v>200</v>
      </c>
      <c r="K208" s="60"/>
      <c r="L208" s="60">
        <v>400</v>
      </c>
      <c r="M208" s="60">
        <v>200</v>
      </c>
      <c r="N208" s="60">
        <v>400</v>
      </c>
      <c r="O208" s="60">
        <v>200</v>
      </c>
      <c r="P208" s="60">
        <v>200</v>
      </c>
      <c r="Q208" s="60">
        <v>200</v>
      </c>
      <c r="R208" s="570"/>
      <c r="S208" s="60">
        <v>400</v>
      </c>
      <c r="T208" s="143">
        <f>IF(NFI_Expiration=1,IF($A208&lt;VLOOKUP(I$5,NFI,5,0),1,0)*Data_NFI_t[[#This Row],[Hygiene Kit]],0)</f>
        <v>0</v>
      </c>
      <c r="U208" s="143">
        <f>IF(NFI_Expiration=1,IF($A208&lt;VLOOKUP(J$5,NFI,5,0),1,0)*Data_NFI_t[[#This Row],[NFI Core Kit]],0)</f>
        <v>0</v>
      </c>
      <c r="V208" s="124">
        <f>IF(NFI_Expiration=1,IF($A208&lt;VLOOKUP(K$5,NFI,5,0),1,0)*Data_NFI_t[[#This Row],[Sanitary Kit]],0)</f>
        <v>0</v>
      </c>
      <c r="W208" s="124">
        <f>IF(NFI_Expiration=1,IF($A208&lt;VLOOKUP(L$5,NFI,5,0),1,0)*Data_NFI_t[[#This Row],[Mosquito net]],0)</f>
        <v>0</v>
      </c>
      <c r="X208" s="124">
        <f>IF(NFI_Expiration=1,IF($A208&lt;VLOOKUP(M$5,NFI,5,0),1,0)*Data_NFI_t[[#This Row],[Tarpaulin]],0)</f>
        <v>0</v>
      </c>
      <c r="Y208" s="124">
        <f>IF(NFI_Expiration=1,IF($A208&lt;VLOOKUP(N$5,NFI,5,0),1,0)*Data_NFI_t[[#This Row],[Blanket]],0)</f>
        <v>0</v>
      </c>
      <c r="Z208" s="124">
        <f>IF(NFI_Expiration=1,IF($A208&lt;VLOOKUP(O$5,NFI,5,0),1,0)*Data_NFI_t[[#This Row],[Kitchen Set]],0)</f>
        <v>0</v>
      </c>
      <c r="AA208" s="124">
        <f>IF(NFI_Expiration=1,IF($A208&lt;VLOOKUP(P$5,NFI,5,0),1,0)*Data_NFI_t[[#This Row],[Complementary Kit]],0)</f>
        <v>0</v>
      </c>
      <c r="AB208" s="124">
        <f>IF(NFI_Expiration=1,IF($A208&lt;VLOOKUP(Q$5,NFI,5,0),1,0)*Data_NFI_t[[#This Row],[Plastic Bucket]],0)</f>
        <v>0</v>
      </c>
      <c r="AC208" s="124">
        <f>IF(NFI_Expiration=1,IF($A208&lt;VLOOKUP(R$5,NFI,5,0),1,0)*Data_NFI_t[[#This Row],[Jerry Can]],0)</f>
        <v>0</v>
      </c>
      <c r="AD208" s="143">
        <f>IF(NFI_Expiration=1,IF($A208&lt;VLOOKUP(S$5,NFI,5,0),1,0)*Data_NFI_t[[#This Row],[Plastic Mat]],0)*IF(Data_NFI_t[[#This Row],[Distribution Date]]&gt;"01-06-2015",1,2.5)</f>
        <v>0</v>
      </c>
      <c r="AE208" s="143" t="str">
        <f ca="1">IFERROR(OFFSET(Camp_List[P_Code],MATCH(Data_NFI_t[[#This Row],[Camp Name]],Camp_List[Camp Name],0)-1,0,1,1),"")</f>
        <v>MMR012CMP056</v>
      </c>
      <c r="AF208" s="572" t="str">
        <f ca="1">IFERROR(OFFSET(Camp_List[Status],MATCH(Data_NFI_t[[#This Row],[Camp Name]],Camp_List[Camp Name],0)-1,0,1,1),"")</f>
        <v>Relocated in Individual Housing</v>
      </c>
    </row>
    <row r="209" spans="1:32" s="100" customFormat="1" ht="15" customHeight="1">
      <c r="A209" s="254">
        <f t="shared" si="3"/>
        <v>39.666666666666664</v>
      </c>
      <c r="B209" s="254">
        <f>YEAR(Data_NFI_t[[#This Row],[Distribution Date]])</f>
        <v>2013</v>
      </c>
      <c r="C209" s="585">
        <v>41332</v>
      </c>
      <c r="D209" s="547" t="s">
        <v>288</v>
      </c>
      <c r="E209" s="546"/>
      <c r="F209" s="547" t="s">
        <v>7</v>
      </c>
      <c r="G209" s="31" t="s">
        <v>19</v>
      </c>
      <c r="H209" s="31" t="s">
        <v>78</v>
      </c>
      <c r="I209" s="31">
        <v>0</v>
      </c>
      <c r="J209" s="60"/>
      <c r="K209" s="60"/>
      <c r="L209" s="60"/>
      <c r="M209" s="60"/>
      <c r="N209" s="60"/>
      <c r="O209" s="60"/>
      <c r="P209" s="60"/>
      <c r="Q209" s="60"/>
      <c r="R209" s="570"/>
      <c r="S209" s="60"/>
      <c r="T209" s="143">
        <f>IF(NFI_Expiration=1,IF($A209&lt;VLOOKUP(I$5,NFI,5,0),1,0)*Data_NFI_t[[#This Row],[Hygiene Kit]],0)</f>
        <v>0</v>
      </c>
      <c r="U209" s="143">
        <f>IF(NFI_Expiration=1,IF($A209&lt;VLOOKUP(J$5,NFI,5,0),1,0)*Data_NFI_t[[#This Row],[NFI Core Kit]],0)</f>
        <v>0</v>
      </c>
      <c r="V209" s="124">
        <f>IF(NFI_Expiration=1,IF($A209&lt;VLOOKUP(K$5,NFI,5,0),1,0)*Data_NFI_t[[#This Row],[Sanitary Kit]],0)</f>
        <v>0</v>
      </c>
      <c r="W209" s="124">
        <f>IF(NFI_Expiration=1,IF($A209&lt;VLOOKUP(L$5,NFI,5,0),1,0)*Data_NFI_t[[#This Row],[Mosquito net]],0)</f>
        <v>0</v>
      </c>
      <c r="X209" s="124">
        <f>IF(NFI_Expiration=1,IF($A209&lt;VLOOKUP(M$5,NFI,5,0),1,0)*Data_NFI_t[[#This Row],[Tarpaulin]],0)</f>
        <v>0</v>
      </c>
      <c r="Y209" s="124">
        <f>IF(NFI_Expiration=1,IF($A209&lt;VLOOKUP(N$5,NFI,5,0),1,0)*Data_NFI_t[[#This Row],[Blanket]],0)</f>
        <v>0</v>
      </c>
      <c r="Z209" s="124">
        <f>IF(NFI_Expiration=1,IF($A209&lt;VLOOKUP(O$5,NFI,5,0),1,0)*Data_NFI_t[[#This Row],[Kitchen Set]],0)</f>
        <v>0</v>
      </c>
      <c r="AA209" s="124">
        <f>IF(NFI_Expiration=1,IF($A209&lt;VLOOKUP(P$5,NFI,5,0),1,0)*Data_NFI_t[[#This Row],[Complementary Kit]],0)</f>
        <v>0</v>
      </c>
      <c r="AB209" s="124">
        <f>IF(NFI_Expiration=1,IF($A209&lt;VLOOKUP(Q$5,NFI,5,0),1,0)*Data_NFI_t[[#This Row],[Plastic Bucket]],0)</f>
        <v>0</v>
      </c>
      <c r="AC209" s="124">
        <f>IF(NFI_Expiration=1,IF($A209&lt;VLOOKUP(R$5,NFI,5,0),1,0)*Data_NFI_t[[#This Row],[Jerry Can]],0)</f>
        <v>0</v>
      </c>
      <c r="AD209" s="143">
        <f>IF(NFI_Expiration=1,IF($A209&lt;VLOOKUP(S$5,NFI,5,0),1,0)*Data_NFI_t[[#This Row],[Plastic Mat]],0)*IF(Data_NFI_t[[#This Row],[Distribution Date]]&gt;"01-06-2015",1,2.5)</f>
        <v>0</v>
      </c>
      <c r="AE209" s="143" t="str">
        <f ca="1">IFERROR(OFFSET(Camp_List[P_Code],MATCH(Data_NFI_t[[#This Row],[Camp Name]],Camp_List[Camp Name],0)-1,0,1,1),"")</f>
        <v>MMR012CMP056</v>
      </c>
      <c r="AF209" s="572" t="str">
        <f ca="1">IFERROR(OFFSET(Camp_List[Status],MATCH(Data_NFI_t[[#This Row],[Camp Name]],Camp_List[Camp Name],0)-1,0,1,1),"")</f>
        <v>Relocated in Individual Housing</v>
      </c>
    </row>
    <row r="210" spans="1:32" s="100" customFormat="1" ht="15" customHeight="1">
      <c r="A210" s="254">
        <f t="shared" si="3"/>
        <v>39.833333333333336</v>
      </c>
      <c r="B210" s="254">
        <f>YEAR(Data_NFI_t[[#This Row],[Distribution Date]])</f>
        <v>2013</v>
      </c>
      <c r="C210" s="585">
        <v>41327</v>
      </c>
      <c r="D210" s="547" t="s">
        <v>289</v>
      </c>
      <c r="E210" s="546"/>
      <c r="F210" s="547" t="s">
        <v>7</v>
      </c>
      <c r="G210" s="31" t="s">
        <v>14</v>
      </c>
      <c r="H210" s="31" t="s">
        <v>39</v>
      </c>
      <c r="I210" s="31">
        <v>23</v>
      </c>
      <c r="J210" s="60">
        <v>0</v>
      </c>
      <c r="K210" s="60"/>
      <c r="L210" s="60"/>
      <c r="M210" s="60"/>
      <c r="N210" s="60"/>
      <c r="O210" s="60"/>
      <c r="P210" s="60"/>
      <c r="Q210" s="60"/>
      <c r="R210" s="570"/>
      <c r="S210" s="60"/>
      <c r="T210" s="143">
        <f>IF(NFI_Expiration=1,IF($A210&lt;VLOOKUP(I$5,NFI,5,0),1,0)*Data_NFI_t[[#This Row],[Hygiene Kit]],0)</f>
        <v>0</v>
      </c>
      <c r="U210" s="143">
        <f>IF(NFI_Expiration=1,IF($A210&lt;VLOOKUP(J$5,NFI,5,0),1,0)*Data_NFI_t[[#This Row],[NFI Core Kit]],0)</f>
        <v>0</v>
      </c>
      <c r="V210" s="124">
        <f>IF(NFI_Expiration=1,IF($A210&lt;VLOOKUP(K$5,NFI,5,0),1,0)*Data_NFI_t[[#This Row],[Sanitary Kit]],0)</f>
        <v>0</v>
      </c>
      <c r="W210" s="124">
        <f>IF(NFI_Expiration=1,IF($A210&lt;VLOOKUP(L$5,NFI,5,0),1,0)*Data_NFI_t[[#This Row],[Mosquito net]],0)</f>
        <v>0</v>
      </c>
      <c r="X210" s="124">
        <f>IF(NFI_Expiration=1,IF($A210&lt;VLOOKUP(M$5,NFI,5,0),1,0)*Data_NFI_t[[#This Row],[Tarpaulin]],0)</f>
        <v>0</v>
      </c>
      <c r="Y210" s="124">
        <f>IF(NFI_Expiration=1,IF($A210&lt;VLOOKUP(N$5,NFI,5,0),1,0)*Data_NFI_t[[#This Row],[Blanket]],0)</f>
        <v>0</v>
      </c>
      <c r="Z210" s="124">
        <f>IF(NFI_Expiration=1,IF($A210&lt;VLOOKUP(O$5,NFI,5,0),1,0)*Data_NFI_t[[#This Row],[Kitchen Set]],0)</f>
        <v>0</v>
      </c>
      <c r="AA210" s="124">
        <f>IF(NFI_Expiration=1,IF($A210&lt;VLOOKUP(P$5,NFI,5,0),1,0)*Data_NFI_t[[#This Row],[Complementary Kit]],0)</f>
        <v>0</v>
      </c>
      <c r="AB210" s="124">
        <f>IF(NFI_Expiration=1,IF($A210&lt;VLOOKUP(Q$5,NFI,5,0),1,0)*Data_NFI_t[[#This Row],[Plastic Bucket]],0)</f>
        <v>0</v>
      </c>
      <c r="AC210" s="124">
        <f>IF(NFI_Expiration=1,IF($A210&lt;VLOOKUP(R$5,NFI,5,0),1,0)*Data_NFI_t[[#This Row],[Jerry Can]],0)</f>
        <v>0</v>
      </c>
      <c r="AD210" s="143">
        <f>IF(NFI_Expiration=1,IF($A210&lt;VLOOKUP(S$5,NFI,5,0),1,0)*Data_NFI_t[[#This Row],[Plastic Mat]],0)*IF(Data_NFI_t[[#This Row],[Distribution Date]]&gt;"01-06-2015",1,2.5)</f>
        <v>0</v>
      </c>
      <c r="AE210" s="143" t="str">
        <f ca="1">IFERROR(OFFSET(Camp_List[P_Code],MATCH(Data_NFI_t[[#This Row],[Camp Name]],Camp_List[Camp Name],0)-1,0,1,1),"")</f>
        <v>MMR012CMP015</v>
      </c>
      <c r="AF210" s="572" t="str">
        <f ca="1">IFERROR(OFFSET(Camp_List[Status],MATCH(Data_NFI_t[[#This Row],[Camp Name]],Camp_List[Camp Name],0)-1,0,1,1),"")</f>
        <v>Relocated in Individual Housing</v>
      </c>
    </row>
    <row r="211" spans="1:32" s="100" customFormat="1" ht="15" customHeight="1">
      <c r="A211" s="254">
        <f t="shared" si="3"/>
        <v>39.833333333333336</v>
      </c>
      <c r="B211" s="254">
        <f>YEAR(Data_NFI_t[[#This Row],[Distribution Date]])</f>
        <v>2013</v>
      </c>
      <c r="C211" s="585">
        <v>41327</v>
      </c>
      <c r="D211" s="547" t="s">
        <v>289</v>
      </c>
      <c r="E211" s="546"/>
      <c r="F211" s="547" t="s">
        <v>7</v>
      </c>
      <c r="G211" s="31" t="s">
        <v>14</v>
      </c>
      <c r="H211" s="31" t="s">
        <v>41</v>
      </c>
      <c r="I211" s="31">
        <v>1306</v>
      </c>
      <c r="J211" s="60">
        <v>0</v>
      </c>
      <c r="K211" s="60"/>
      <c r="L211" s="60"/>
      <c r="M211" s="60"/>
      <c r="N211" s="60"/>
      <c r="O211" s="60"/>
      <c r="P211" s="60"/>
      <c r="Q211" s="60"/>
      <c r="R211" s="570"/>
      <c r="S211" s="60"/>
      <c r="T211" s="143">
        <f>IF(NFI_Expiration=1,IF($A211&lt;VLOOKUP(I$5,NFI,5,0),1,0)*Data_NFI_t[[#This Row],[Hygiene Kit]],0)</f>
        <v>0</v>
      </c>
      <c r="U211" s="143">
        <f>IF(NFI_Expiration=1,IF($A211&lt;VLOOKUP(J$5,NFI,5,0),1,0)*Data_NFI_t[[#This Row],[NFI Core Kit]],0)</f>
        <v>0</v>
      </c>
      <c r="V211" s="124">
        <f>IF(NFI_Expiration=1,IF($A211&lt;VLOOKUP(K$5,NFI,5,0),1,0)*Data_NFI_t[[#This Row],[Sanitary Kit]],0)</f>
        <v>0</v>
      </c>
      <c r="W211" s="124">
        <f>IF(NFI_Expiration=1,IF($A211&lt;VLOOKUP(L$5,NFI,5,0),1,0)*Data_NFI_t[[#This Row],[Mosquito net]],0)</f>
        <v>0</v>
      </c>
      <c r="X211" s="124">
        <f>IF(NFI_Expiration=1,IF($A211&lt;VLOOKUP(M$5,NFI,5,0),1,0)*Data_NFI_t[[#This Row],[Tarpaulin]],0)</f>
        <v>0</v>
      </c>
      <c r="Y211" s="124">
        <f>IF(NFI_Expiration=1,IF($A211&lt;VLOOKUP(N$5,NFI,5,0),1,0)*Data_NFI_t[[#This Row],[Blanket]],0)</f>
        <v>0</v>
      </c>
      <c r="Z211" s="124">
        <f>IF(NFI_Expiration=1,IF($A211&lt;VLOOKUP(O$5,NFI,5,0),1,0)*Data_NFI_t[[#This Row],[Kitchen Set]],0)</f>
        <v>0</v>
      </c>
      <c r="AA211" s="124">
        <f>IF(NFI_Expiration=1,IF($A211&lt;VLOOKUP(P$5,NFI,5,0),1,0)*Data_NFI_t[[#This Row],[Complementary Kit]],0)</f>
        <v>0</v>
      </c>
      <c r="AB211" s="124">
        <f>IF(NFI_Expiration=1,IF($A211&lt;VLOOKUP(Q$5,NFI,5,0),1,0)*Data_NFI_t[[#This Row],[Plastic Bucket]],0)</f>
        <v>0</v>
      </c>
      <c r="AC211" s="124">
        <f>IF(NFI_Expiration=1,IF($A211&lt;VLOOKUP(R$5,NFI,5,0),1,0)*Data_NFI_t[[#This Row],[Jerry Can]],0)</f>
        <v>0</v>
      </c>
      <c r="AD211" s="143">
        <f>IF(NFI_Expiration=1,IF($A211&lt;VLOOKUP(S$5,NFI,5,0),1,0)*Data_NFI_t[[#This Row],[Plastic Mat]],0)*IF(Data_NFI_t[[#This Row],[Distribution Date]]&gt;"01-06-2015",1,2.5)</f>
        <v>0</v>
      </c>
      <c r="AE211" s="143" t="str">
        <f ca="1">IFERROR(OFFSET(Camp_List[P_Code],MATCH(Data_NFI_t[[#This Row],[Camp Name]],Camp_List[Camp Name],0)-1,0,1,1),"")</f>
        <v>MMR012CMP017</v>
      </c>
      <c r="AF211" s="572" t="str">
        <f ca="1">IFERROR(OFFSET(Camp_List[Status],MATCH(Data_NFI_t[[#This Row],[Camp Name]],Camp_List[Camp Name],0)-1,0,1,1),"")</f>
        <v>Open</v>
      </c>
    </row>
    <row r="212" spans="1:32" s="100" customFormat="1" ht="15" customHeight="1">
      <c r="A212" s="254">
        <f t="shared" si="3"/>
        <v>39.833333333333336</v>
      </c>
      <c r="B212" s="254">
        <f>YEAR(Data_NFI_t[[#This Row],[Distribution Date]])</f>
        <v>2013</v>
      </c>
      <c r="C212" s="585">
        <v>41327</v>
      </c>
      <c r="D212" s="547" t="s">
        <v>287</v>
      </c>
      <c r="E212" s="546"/>
      <c r="F212" s="547" t="s">
        <v>7</v>
      </c>
      <c r="G212" s="31" t="s">
        <v>20</v>
      </c>
      <c r="H212" s="31" t="s">
        <v>104</v>
      </c>
      <c r="I212" s="31">
        <v>0</v>
      </c>
      <c r="J212" s="60">
        <v>15</v>
      </c>
      <c r="K212" s="60"/>
      <c r="L212" s="60">
        <v>30</v>
      </c>
      <c r="M212" s="60">
        <v>15</v>
      </c>
      <c r="N212" s="60">
        <v>30</v>
      </c>
      <c r="O212" s="60">
        <v>15</v>
      </c>
      <c r="P212" s="60">
        <v>15</v>
      </c>
      <c r="Q212" s="60">
        <v>15</v>
      </c>
      <c r="R212" s="570"/>
      <c r="S212" s="60">
        <v>30</v>
      </c>
      <c r="T212" s="143">
        <f>IF(NFI_Expiration=1,IF($A212&lt;VLOOKUP(I$5,NFI,5,0),1,0)*Data_NFI_t[[#This Row],[Hygiene Kit]],0)</f>
        <v>0</v>
      </c>
      <c r="U212" s="143">
        <f>IF(NFI_Expiration=1,IF($A212&lt;VLOOKUP(J$5,NFI,5,0),1,0)*Data_NFI_t[[#This Row],[NFI Core Kit]],0)</f>
        <v>0</v>
      </c>
      <c r="V212" s="124">
        <f>IF(NFI_Expiration=1,IF($A212&lt;VLOOKUP(K$5,NFI,5,0),1,0)*Data_NFI_t[[#This Row],[Sanitary Kit]],0)</f>
        <v>0</v>
      </c>
      <c r="W212" s="124">
        <f>IF(NFI_Expiration=1,IF($A212&lt;VLOOKUP(L$5,NFI,5,0),1,0)*Data_NFI_t[[#This Row],[Mosquito net]],0)</f>
        <v>0</v>
      </c>
      <c r="X212" s="124">
        <f>IF(NFI_Expiration=1,IF($A212&lt;VLOOKUP(M$5,NFI,5,0),1,0)*Data_NFI_t[[#This Row],[Tarpaulin]],0)</f>
        <v>0</v>
      </c>
      <c r="Y212" s="124">
        <f>IF(NFI_Expiration=1,IF($A212&lt;VLOOKUP(N$5,NFI,5,0),1,0)*Data_NFI_t[[#This Row],[Blanket]],0)</f>
        <v>0</v>
      </c>
      <c r="Z212" s="124">
        <f>IF(NFI_Expiration=1,IF($A212&lt;VLOOKUP(O$5,NFI,5,0),1,0)*Data_NFI_t[[#This Row],[Kitchen Set]],0)</f>
        <v>0</v>
      </c>
      <c r="AA212" s="124">
        <f>IF(NFI_Expiration=1,IF($A212&lt;VLOOKUP(P$5,NFI,5,0),1,0)*Data_NFI_t[[#This Row],[Complementary Kit]],0)</f>
        <v>0</v>
      </c>
      <c r="AB212" s="124">
        <f>IF(NFI_Expiration=1,IF($A212&lt;VLOOKUP(Q$5,NFI,5,0),1,0)*Data_NFI_t[[#This Row],[Plastic Bucket]],0)</f>
        <v>0</v>
      </c>
      <c r="AC212" s="124">
        <f>IF(NFI_Expiration=1,IF($A212&lt;VLOOKUP(R$5,NFI,5,0),1,0)*Data_NFI_t[[#This Row],[Jerry Can]],0)</f>
        <v>0</v>
      </c>
      <c r="AD212" s="143">
        <f>IF(NFI_Expiration=1,IF($A212&lt;VLOOKUP(S$5,NFI,5,0),1,0)*Data_NFI_t[[#This Row],[Plastic Mat]],0)*IF(Data_NFI_t[[#This Row],[Distribution Date]]&gt;"01-06-2015",1,2.5)</f>
        <v>0</v>
      </c>
      <c r="AE212" s="143" t="str">
        <f ca="1">IFERROR(OFFSET(Camp_List[P_Code],MATCH(Data_NFI_t[[#This Row],[Camp Name]],Camp_List[Camp Name],0)-1,0,1,1),"")</f>
        <v>MMR012CMP082</v>
      </c>
      <c r="AF212" s="572" t="str">
        <f ca="1">IFERROR(OFFSET(Camp_List[Status],MATCH(Data_NFI_t[[#This Row],[Camp Name]],Camp_List[Camp Name],0)-1,0,1,1),"")</f>
        <v>Open</v>
      </c>
    </row>
    <row r="213" spans="1:32" s="100" customFormat="1" ht="15" customHeight="1">
      <c r="A213" s="254">
        <f t="shared" si="3"/>
        <v>39.833333333333336</v>
      </c>
      <c r="B213" s="254">
        <f>YEAR(Data_NFI_t[[#This Row],[Distribution Date]])</f>
        <v>2013</v>
      </c>
      <c r="C213" s="585">
        <v>41327</v>
      </c>
      <c r="D213" s="547" t="s">
        <v>287</v>
      </c>
      <c r="E213" s="546"/>
      <c r="F213" s="547" t="s">
        <v>7</v>
      </c>
      <c r="G213" s="31" t="s">
        <v>20</v>
      </c>
      <c r="H213" s="31" t="s">
        <v>104</v>
      </c>
      <c r="I213" s="31">
        <v>0</v>
      </c>
      <c r="J213" s="60"/>
      <c r="K213" s="60">
        <v>30</v>
      </c>
      <c r="L213" s="60">
        <v>52</v>
      </c>
      <c r="M213" s="60">
        <v>15</v>
      </c>
      <c r="N213" s="60">
        <v>0</v>
      </c>
      <c r="O213" s="60"/>
      <c r="P213" s="60"/>
      <c r="Q213" s="60"/>
      <c r="R213" s="570"/>
      <c r="S213" s="60"/>
      <c r="T213" s="143">
        <f>IF(NFI_Expiration=1,IF($A213&lt;VLOOKUP(I$5,NFI,5,0),1,0)*Data_NFI_t[[#This Row],[Hygiene Kit]],0)</f>
        <v>0</v>
      </c>
      <c r="U213" s="143">
        <f>IF(NFI_Expiration=1,IF($A213&lt;VLOOKUP(J$5,NFI,5,0),1,0)*Data_NFI_t[[#This Row],[NFI Core Kit]],0)</f>
        <v>0</v>
      </c>
      <c r="V213" s="124">
        <f>IF(NFI_Expiration=1,IF($A213&lt;VLOOKUP(K$5,NFI,5,0),1,0)*Data_NFI_t[[#This Row],[Sanitary Kit]],0)</f>
        <v>0</v>
      </c>
      <c r="W213" s="124">
        <f>IF(NFI_Expiration=1,IF($A213&lt;VLOOKUP(L$5,NFI,5,0),1,0)*Data_NFI_t[[#This Row],[Mosquito net]],0)</f>
        <v>0</v>
      </c>
      <c r="X213" s="124">
        <f>IF(NFI_Expiration=1,IF($A213&lt;VLOOKUP(M$5,NFI,5,0),1,0)*Data_NFI_t[[#This Row],[Tarpaulin]],0)</f>
        <v>0</v>
      </c>
      <c r="Y213" s="124">
        <f>IF(NFI_Expiration=1,IF($A213&lt;VLOOKUP(N$5,NFI,5,0),1,0)*Data_NFI_t[[#This Row],[Blanket]],0)</f>
        <v>0</v>
      </c>
      <c r="Z213" s="124">
        <f>IF(NFI_Expiration=1,IF($A213&lt;VLOOKUP(O$5,NFI,5,0),1,0)*Data_NFI_t[[#This Row],[Kitchen Set]],0)</f>
        <v>0</v>
      </c>
      <c r="AA213" s="124">
        <f>IF(NFI_Expiration=1,IF($A213&lt;VLOOKUP(P$5,NFI,5,0),1,0)*Data_NFI_t[[#This Row],[Complementary Kit]],0)</f>
        <v>0</v>
      </c>
      <c r="AB213" s="124">
        <f>IF(NFI_Expiration=1,IF($A213&lt;VLOOKUP(Q$5,NFI,5,0),1,0)*Data_NFI_t[[#This Row],[Plastic Bucket]],0)</f>
        <v>0</v>
      </c>
      <c r="AC213" s="124">
        <f>IF(NFI_Expiration=1,IF($A213&lt;VLOOKUP(R$5,NFI,5,0),1,0)*Data_NFI_t[[#This Row],[Jerry Can]],0)</f>
        <v>0</v>
      </c>
      <c r="AD213" s="143">
        <f>IF(NFI_Expiration=1,IF($A213&lt;VLOOKUP(S$5,NFI,5,0),1,0)*Data_NFI_t[[#This Row],[Plastic Mat]],0)*IF(Data_NFI_t[[#This Row],[Distribution Date]]&gt;"01-06-2015",1,2.5)</f>
        <v>0</v>
      </c>
      <c r="AE213" s="143" t="str">
        <f ca="1">IFERROR(OFFSET(Camp_List[P_Code],MATCH(Data_NFI_t[[#This Row],[Camp Name]],Camp_List[Camp Name],0)-1,0,1,1),"")</f>
        <v>MMR012CMP082</v>
      </c>
      <c r="AF213" s="572" t="str">
        <f ca="1">IFERROR(OFFSET(Camp_List[Status],MATCH(Data_NFI_t[[#This Row],[Camp Name]],Camp_List[Camp Name],0)-1,0,1,1),"")</f>
        <v>Open</v>
      </c>
    </row>
    <row r="214" spans="1:32" s="100" customFormat="1" ht="15" customHeight="1">
      <c r="A214" s="254">
        <f t="shared" si="3"/>
        <v>39.866666666666667</v>
      </c>
      <c r="B214" s="254">
        <f>YEAR(Data_NFI_t[[#This Row],[Distribution Date]])</f>
        <v>2013</v>
      </c>
      <c r="C214" s="585">
        <v>41326</v>
      </c>
      <c r="D214" s="547" t="s">
        <v>528</v>
      </c>
      <c r="E214" s="546" t="s">
        <v>294</v>
      </c>
      <c r="F214" s="547" t="s">
        <v>7</v>
      </c>
      <c r="G214" s="31" t="s">
        <v>19</v>
      </c>
      <c r="H214" s="31" t="s">
        <v>68</v>
      </c>
      <c r="I214" s="31">
        <v>1542</v>
      </c>
      <c r="J214" s="60"/>
      <c r="K214" s="60"/>
      <c r="L214" s="60"/>
      <c r="M214" s="60"/>
      <c r="N214" s="60"/>
      <c r="O214" s="60"/>
      <c r="P214" s="60"/>
      <c r="Q214" s="60"/>
      <c r="R214" s="570"/>
      <c r="S214" s="60"/>
      <c r="T214" s="143">
        <f>IF(NFI_Expiration=1,IF($A214&lt;VLOOKUP(I$5,NFI,5,0),1,0)*Data_NFI_t[[#This Row],[Hygiene Kit]],0)</f>
        <v>0</v>
      </c>
      <c r="U214" s="143">
        <f>IF(NFI_Expiration=1,IF($A214&lt;VLOOKUP(J$5,NFI,5,0),1,0)*Data_NFI_t[[#This Row],[NFI Core Kit]],0)</f>
        <v>0</v>
      </c>
      <c r="V214" s="124">
        <f>IF(NFI_Expiration=1,IF($A214&lt;VLOOKUP(K$5,NFI,5,0),1,0)*Data_NFI_t[[#This Row],[Sanitary Kit]],0)</f>
        <v>0</v>
      </c>
      <c r="W214" s="124">
        <f>IF(NFI_Expiration=1,IF($A214&lt;VLOOKUP(L$5,NFI,5,0),1,0)*Data_NFI_t[[#This Row],[Mosquito net]],0)</f>
        <v>0</v>
      </c>
      <c r="X214" s="124">
        <f>IF(NFI_Expiration=1,IF($A214&lt;VLOOKUP(M$5,NFI,5,0),1,0)*Data_NFI_t[[#This Row],[Tarpaulin]],0)</f>
        <v>0</v>
      </c>
      <c r="Y214" s="124">
        <f>IF(NFI_Expiration=1,IF($A214&lt;VLOOKUP(N$5,NFI,5,0),1,0)*Data_NFI_t[[#This Row],[Blanket]],0)</f>
        <v>0</v>
      </c>
      <c r="Z214" s="124">
        <f>IF(NFI_Expiration=1,IF($A214&lt;VLOOKUP(O$5,NFI,5,0),1,0)*Data_NFI_t[[#This Row],[Kitchen Set]],0)</f>
        <v>0</v>
      </c>
      <c r="AA214" s="124">
        <f>IF(NFI_Expiration=1,IF($A214&lt;VLOOKUP(P$5,NFI,5,0),1,0)*Data_NFI_t[[#This Row],[Complementary Kit]],0)</f>
        <v>0</v>
      </c>
      <c r="AB214" s="124">
        <f>IF(NFI_Expiration=1,IF($A214&lt;VLOOKUP(Q$5,NFI,5,0),1,0)*Data_NFI_t[[#This Row],[Plastic Bucket]],0)</f>
        <v>0</v>
      </c>
      <c r="AC214" s="124">
        <f>IF(NFI_Expiration=1,IF($A214&lt;VLOOKUP(R$5,NFI,5,0),1,0)*Data_NFI_t[[#This Row],[Jerry Can]],0)</f>
        <v>0</v>
      </c>
      <c r="AD214" s="143">
        <f>IF(NFI_Expiration=1,IF($A214&lt;VLOOKUP(S$5,NFI,5,0),1,0)*Data_NFI_t[[#This Row],[Plastic Mat]],0)*IF(Data_NFI_t[[#This Row],[Distribution Date]]&gt;"01-06-2015",1,2.5)</f>
        <v>0</v>
      </c>
      <c r="AE214" s="143" t="str">
        <f ca="1">IFERROR(OFFSET(Camp_List[P_Code],MATCH(Data_NFI_t[[#This Row],[Camp Name]],Camp_List[Camp Name],0)-1,0,1,1),"")</f>
        <v>MMR012CMP046</v>
      </c>
      <c r="AF214" s="572" t="str">
        <f ca="1">IFERROR(OFFSET(Camp_List[Status],MATCH(Data_NFI_t[[#This Row],[Camp Name]],Camp_List[Camp Name],0)-1,0,1,1),"")</f>
        <v>Open</v>
      </c>
    </row>
    <row r="215" spans="1:32" s="100" customFormat="1" ht="15" customHeight="1">
      <c r="A215" s="254">
        <f t="shared" si="3"/>
        <v>40.06666666666667</v>
      </c>
      <c r="B215" s="254">
        <f>YEAR(Data_NFI_t[[#This Row],[Distribution Date]])</f>
        <v>2013</v>
      </c>
      <c r="C215" s="585">
        <v>41320</v>
      </c>
      <c r="D215" s="547" t="s">
        <v>289</v>
      </c>
      <c r="E215" s="546"/>
      <c r="F215" s="547" t="s">
        <v>7</v>
      </c>
      <c r="G215" s="31" t="s">
        <v>11</v>
      </c>
      <c r="H215" s="31" t="s">
        <v>30</v>
      </c>
      <c r="I215" s="31">
        <v>90</v>
      </c>
      <c r="J215" s="60"/>
      <c r="K215" s="60"/>
      <c r="L215" s="60"/>
      <c r="M215" s="60"/>
      <c r="N215" s="60"/>
      <c r="O215" s="60"/>
      <c r="P215" s="60"/>
      <c r="Q215" s="60"/>
      <c r="R215" s="570"/>
      <c r="S215" s="60"/>
      <c r="T215" s="143">
        <f>IF(NFI_Expiration=1,IF($A215&lt;VLOOKUP(I$5,NFI,5,0),1,0)*Data_NFI_t[[#This Row],[Hygiene Kit]],0)</f>
        <v>0</v>
      </c>
      <c r="U215" s="143">
        <f>IF(NFI_Expiration=1,IF($A215&lt;VLOOKUP(J$5,NFI,5,0),1,0)*Data_NFI_t[[#This Row],[NFI Core Kit]],0)</f>
        <v>0</v>
      </c>
      <c r="V215" s="124">
        <f>IF(NFI_Expiration=1,IF($A215&lt;VLOOKUP(K$5,NFI,5,0),1,0)*Data_NFI_t[[#This Row],[Sanitary Kit]],0)</f>
        <v>0</v>
      </c>
      <c r="W215" s="124">
        <f>IF(NFI_Expiration=1,IF($A215&lt;VLOOKUP(L$5,NFI,5,0),1,0)*Data_NFI_t[[#This Row],[Mosquito net]],0)</f>
        <v>0</v>
      </c>
      <c r="X215" s="124">
        <f>IF(NFI_Expiration=1,IF($A215&lt;VLOOKUP(M$5,NFI,5,0),1,0)*Data_NFI_t[[#This Row],[Tarpaulin]],0)</f>
        <v>0</v>
      </c>
      <c r="Y215" s="124">
        <f>IF(NFI_Expiration=1,IF($A215&lt;VLOOKUP(N$5,NFI,5,0),1,0)*Data_NFI_t[[#This Row],[Blanket]],0)</f>
        <v>0</v>
      </c>
      <c r="Z215" s="124">
        <f>IF(NFI_Expiration=1,IF($A215&lt;VLOOKUP(O$5,NFI,5,0),1,0)*Data_NFI_t[[#This Row],[Kitchen Set]],0)</f>
        <v>0</v>
      </c>
      <c r="AA215" s="124">
        <f>IF(NFI_Expiration=1,IF($A215&lt;VLOOKUP(P$5,NFI,5,0),1,0)*Data_NFI_t[[#This Row],[Complementary Kit]],0)</f>
        <v>0</v>
      </c>
      <c r="AB215" s="124">
        <f>IF(NFI_Expiration=1,IF($A215&lt;VLOOKUP(Q$5,NFI,5,0),1,0)*Data_NFI_t[[#This Row],[Plastic Bucket]],0)</f>
        <v>0</v>
      </c>
      <c r="AC215" s="124">
        <f>IF(NFI_Expiration=1,IF($A215&lt;VLOOKUP(R$5,NFI,5,0),1,0)*Data_NFI_t[[#This Row],[Jerry Can]],0)</f>
        <v>0</v>
      </c>
      <c r="AD215" s="143">
        <f>IF(NFI_Expiration=1,IF($A215&lt;VLOOKUP(S$5,NFI,5,0),1,0)*Data_NFI_t[[#This Row],[Plastic Mat]],0)*IF(Data_NFI_t[[#This Row],[Distribution Date]]&gt;"01-06-2015",1,2.5)</f>
        <v>0</v>
      </c>
      <c r="AE215" s="143" t="str">
        <f ca="1">IFERROR(OFFSET(Camp_List[P_Code],MATCH(Data_NFI_t[[#This Row],[Camp Name]],Camp_List[Camp Name],0)-1,0,1,1),"")</f>
        <v>MMR012CMP006</v>
      </c>
      <c r="AF215" s="572" t="str">
        <f ca="1">IFERROR(OFFSET(Camp_List[Status],MATCH(Data_NFI_t[[#This Row],[Camp Name]],Camp_List[Camp Name],0)-1,0,1,1),"")</f>
        <v>Returned in Individual Housing</v>
      </c>
    </row>
    <row r="216" spans="1:32" s="100" customFormat="1" ht="15" customHeight="1">
      <c r="A216" s="254">
        <f t="shared" si="3"/>
        <v>40.06666666666667</v>
      </c>
      <c r="B216" s="254">
        <f>YEAR(Data_NFI_t[[#This Row],[Distribution Date]])</f>
        <v>2013</v>
      </c>
      <c r="C216" s="585">
        <v>41320</v>
      </c>
      <c r="D216" s="547" t="s">
        <v>289</v>
      </c>
      <c r="E216" s="546"/>
      <c r="F216" s="547" t="s">
        <v>7</v>
      </c>
      <c r="G216" s="31" t="s">
        <v>12</v>
      </c>
      <c r="H216" s="31" t="s">
        <v>35</v>
      </c>
      <c r="I216" s="31">
        <v>35</v>
      </c>
      <c r="J216" s="60"/>
      <c r="K216" s="60"/>
      <c r="L216" s="60"/>
      <c r="M216" s="60"/>
      <c r="N216" s="60"/>
      <c r="O216" s="60"/>
      <c r="P216" s="60"/>
      <c r="Q216" s="60"/>
      <c r="R216" s="570"/>
      <c r="S216" s="60"/>
      <c r="T216" s="143">
        <f>IF(NFI_Expiration=1,IF($A216&lt;VLOOKUP(I$5,NFI,5,0),1,0)*Data_NFI_t[[#This Row],[Hygiene Kit]],0)</f>
        <v>0</v>
      </c>
      <c r="U216" s="143">
        <f>IF(NFI_Expiration=1,IF($A216&lt;VLOOKUP(J$5,NFI,5,0),1,0)*Data_NFI_t[[#This Row],[NFI Core Kit]],0)</f>
        <v>0</v>
      </c>
      <c r="V216" s="124">
        <f>IF(NFI_Expiration=1,IF($A216&lt;VLOOKUP(K$5,NFI,5,0),1,0)*Data_NFI_t[[#This Row],[Sanitary Kit]],0)</f>
        <v>0</v>
      </c>
      <c r="W216" s="124">
        <f>IF(NFI_Expiration=1,IF($A216&lt;VLOOKUP(L$5,NFI,5,0),1,0)*Data_NFI_t[[#This Row],[Mosquito net]],0)</f>
        <v>0</v>
      </c>
      <c r="X216" s="124">
        <f>IF(NFI_Expiration=1,IF($A216&lt;VLOOKUP(M$5,NFI,5,0),1,0)*Data_NFI_t[[#This Row],[Tarpaulin]],0)</f>
        <v>0</v>
      </c>
      <c r="Y216" s="124">
        <f>IF(NFI_Expiration=1,IF($A216&lt;VLOOKUP(N$5,NFI,5,0),1,0)*Data_NFI_t[[#This Row],[Blanket]],0)</f>
        <v>0</v>
      </c>
      <c r="Z216" s="124">
        <f>IF(NFI_Expiration=1,IF($A216&lt;VLOOKUP(O$5,NFI,5,0),1,0)*Data_NFI_t[[#This Row],[Kitchen Set]],0)</f>
        <v>0</v>
      </c>
      <c r="AA216" s="124">
        <f>IF(NFI_Expiration=1,IF($A216&lt;VLOOKUP(P$5,NFI,5,0),1,0)*Data_NFI_t[[#This Row],[Complementary Kit]],0)</f>
        <v>0</v>
      </c>
      <c r="AB216" s="124">
        <f>IF(NFI_Expiration=1,IF($A216&lt;VLOOKUP(Q$5,NFI,5,0),1,0)*Data_NFI_t[[#This Row],[Plastic Bucket]],0)</f>
        <v>0</v>
      </c>
      <c r="AC216" s="124">
        <f>IF(NFI_Expiration=1,IF($A216&lt;VLOOKUP(R$5,NFI,5,0),1,0)*Data_NFI_t[[#This Row],[Jerry Can]],0)</f>
        <v>0</v>
      </c>
      <c r="AD216" s="143">
        <f>IF(NFI_Expiration=1,IF($A216&lt;VLOOKUP(S$5,NFI,5,0),1,0)*Data_NFI_t[[#This Row],[Plastic Mat]],0)*IF(Data_NFI_t[[#This Row],[Distribution Date]]&gt;"01-06-2015",1,2.5)</f>
        <v>0</v>
      </c>
      <c r="AE216" s="143" t="str">
        <f ca="1">IFERROR(OFFSET(Camp_List[P_Code],MATCH(Data_NFI_t[[#This Row],[Camp Name]],Camp_List[Camp Name],0)-1,0,1,1),"")</f>
        <v>MMR012CMP011</v>
      </c>
      <c r="AF216" s="572" t="str">
        <f ca="1">IFERROR(OFFSET(Camp_List[Status],MATCH(Data_NFI_t[[#This Row],[Camp Name]],Camp_List[Camp Name],0)-1,0,1,1),"")</f>
        <v>Close</v>
      </c>
    </row>
    <row r="217" spans="1:32" s="100" customFormat="1" ht="15" customHeight="1">
      <c r="A217" s="254">
        <f t="shared" si="3"/>
        <v>40.06666666666667</v>
      </c>
      <c r="B217" s="254">
        <f>YEAR(Data_NFI_t[[#This Row],[Distribution Date]])</f>
        <v>2013</v>
      </c>
      <c r="C217" s="585">
        <v>41320</v>
      </c>
      <c r="D217" s="547" t="s">
        <v>289</v>
      </c>
      <c r="E217" s="546"/>
      <c r="F217" s="547" t="s">
        <v>7</v>
      </c>
      <c r="G217" s="31" t="s">
        <v>11</v>
      </c>
      <c r="H217" s="31" t="s">
        <v>28</v>
      </c>
      <c r="I217" s="31">
        <v>230</v>
      </c>
      <c r="J217" s="60"/>
      <c r="K217" s="60"/>
      <c r="L217" s="60"/>
      <c r="M217" s="60"/>
      <c r="N217" s="60"/>
      <c r="O217" s="60"/>
      <c r="P217" s="60"/>
      <c r="Q217" s="60"/>
      <c r="R217" s="570"/>
      <c r="S217" s="60"/>
      <c r="T217" s="143">
        <f>IF(NFI_Expiration=1,IF($A217&lt;VLOOKUP(I$5,NFI,5,0),1,0)*Data_NFI_t[[#This Row],[Hygiene Kit]],0)</f>
        <v>0</v>
      </c>
      <c r="U217" s="143">
        <f>IF(NFI_Expiration=1,IF($A217&lt;VLOOKUP(J$5,NFI,5,0),1,0)*Data_NFI_t[[#This Row],[NFI Core Kit]],0)</f>
        <v>0</v>
      </c>
      <c r="V217" s="124">
        <f>IF(NFI_Expiration=1,IF($A217&lt;VLOOKUP(K$5,NFI,5,0),1,0)*Data_NFI_t[[#This Row],[Sanitary Kit]],0)</f>
        <v>0</v>
      </c>
      <c r="W217" s="124">
        <f>IF(NFI_Expiration=1,IF($A217&lt;VLOOKUP(L$5,NFI,5,0),1,0)*Data_NFI_t[[#This Row],[Mosquito net]],0)</f>
        <v>0</v>
      </c>
      <c r="X217" s="124">
        <f>IF(NFI_Expiration=1,IF($A217&lt;VLOOKUP(M$5,NFI,5,0),1,0)*Data_NFI_t[[#This Row],[Tarpaulin]],0)</f>
        <v>0</v>
      </c>
      <c r="Y217" s="124">
        <f>IF(NFI_Expiration=1,IF($A217&lt;VLOOKUP(N$5,NFI,5,0),1,0)*Data_NFI_t[[#This Row],[Blanket]],0)</f>
        <v>0</v>
      </c>
      <c r="Z217" s="124">
        <f>IF(NFI_Expiration=1,IF($A217&lt;VLOOKUP(O$5,NFI,5,0),1,0)*Data_NFI_t[[#This Row],[Kitchen Set]],0)</f>
        <v>0</v>
      </c>
      <c r="AA217" s="124">
        <f>IF(NFI_Expiration=1,IF($A217&lt;VLOOKUP(P$5,NFI,5,0),1,0)*Data_NFI_t[[#This Row],[Complementary Kit]],0)</f>
        <v>0</v>
      </c>
      <c r="AB217" s="124">
        <f>IF(NFI_Expiration=1,IF($A217&lt;VLOOKUP(Q$5,NFI,5,0),1,0)*Data_NFI_t[[#This Row],[Plastic Bucket]],0)</f>
        <v>0</v>
      </c>
      <c r="AC217" s="124">
        <f>IF(NFI_Expiration=1,IF($A217&lt;VLOOKUP(R$5,NFI,5,0),1,0)*Data_NFI_t[[#This Row],[Jerry Can]],0)</f>
        <v>0</v>
      </c>
      <c r="AD217" s="143">
        <f>IF(NFI_Expiration=1,IF($A217&lt;VLOOKUP(S$5,NFI,5,0),1,0)*Data_NFI_t[[#This Row],[Plastic Mat]],0)*IF(Data_NFI_t[[#This Row],[Distribution Date]]&gt;"01-06-2015",1,2.5)</f>
        <v>0</v>
      </c>
      <c r="AE217" s="143" t="str">
        <f ca="1">IFERROR(OFFSET(Camp_List[P_Code],MATCH(Data_NFI_t[[#This Row],[Camp Name]],Camp_List[Camp Name],0)-1,0,1,1),"")</f>
        <v>MMR012CMP004</v>
      </c>
      <c r="AF217" s="572" t="str">
        <f ca="1">IFERROR(OFFSET(Camp_List[Status],MATCH(Data_NFI_t[[#This Row],[Camp Name]],Camp_List[Camp Name],0)-1,0,1,1),"")</f>
        <v>Close</v>
      </c>
    </row>
    <row r="218" spans="1:32" s="100" customFormat="1" ht="15" customHeight="1">
      <c r="A218" s="254">
        <f t="shared" si="3"/>
        <v>40.06666666666667</v>
      </c>
      <c r="B218" s="254">
        <f>YEAR(Data_NFI_t[[#This Row],[Distribution Date]])</f>
        <v>2013</v>
      </c>
      <c r="C218" s="585">
        <v>41320</v>
      </c>
      <c r="D218" s="547" t="s">
        <v>289</v>
      </c>
      <c r="E218" s="546"/>
      <c r="F218" s="547" t="s">
        <v>7</v>
      </c>
      <c r="G218" s="31" t="s">
        <v>12</v>
      </c>
      <c r="H218" s="31" t="s">
        <v>33</v>
      </c>
      <c r="I218" s="31">
        <v>245</v>
      </c>
      <c r="J218" s="60"/>
      <c r="K218" s="60"/>
      <c r="L218" s="60"/>
      <c r="M218" s="60"/>
      <c r="N218" s="60"/>
      <c r="O218" s="60"/>
      <c r="P218" s="60"/>
      <c r="Q218" s="60"/>
      <c r="R218" s="570"/>
      <c r="S218" s="60"/>
      <c r="T218" s="143">
        <f>IF(NFI_Expiration=1,IF($A218&lt;VLOOKUP(I$5,NFI,5,0),1,0)*Data_NFI_t[[#This Row],[Hygiene Kit]],0)</f>
        <v>0</v>
      </c>
      <c r="U218" s="143">
        <f>IF(NFI_Expiration=1,IF($A218&lt;VLOOKUP(J$5,NFI,5,0),1,0)*Data_NFI_t[[#This Row],[NFI Core Kit]],0)</f>
        <v>0</v>
      </c>
      <c r="V218" s="124">
        <f>IF(NFI_Expiration=1,IF($A218&lt;VLOOKUP(K$5,NFI,5,0),1,0)*Data_NFI_t[[#This Row],[Sanitary Kit]],0)</f>
        <v>0</v>
      </c>
      <c r="W218" s="124">
        <f>IF(NFI_Expiration=1,IF($A218&lt;VLOOKUP(L$5,NFI,5,0),1,0)*Data_NFI_t[[#This Row],[Mosquito net]],0)</f>
        <v>0</v>
      </c>
      <c r="X218" s="124">
        <f>IF(NFI_Expiration=1,IF($A218&lt;VLOOKUP(M$5,NFI,5,0),1,0)*Data_NFI_t[[#This Row],[Tarpaulin]],0)</f>
        <v>0</v>
      </c>
      <c r="Y218" s="124">
        <f>IF(NFI_Expiration=1,IF($A218&lt;VLOOKUP(N$5,NFI,5,0),1,0)*Data_NFI_t[[#This Row],[Blanket]],0)</f>
        <v>0</v>
      </c>
      <c r="Z218" s="124">
        <f>IF(NFI_Expiration=1,IF($A218&lt;VLOOKUP(O$5,NFI,5,0),1,0)*Data_NFI_t[[#This Row],[Kitchen Set]],0)</f>
        <v>0</v>
      </c>
      <c r="AA218" s="124">
        <f>IF(NFI_Expiration=1,IF($A218&lt;VLOOKUP(P$5,NFI,5,0),1,0)*Data_NFI_t[[#This Row],[Complementary Kit]],0)</f>
        <v>0</v>
      </c>
      <c r="AB218" s="124">
        <f>IF(NFI_Expiration=1,IF($A218&lt;VLOOKUP(Q$5,NFI,5,0),1,0)*Data_NFI_t[[#This Row],[Plastic Bucket]],0)</f>
        <v>0</v>
      </c>
      <c r="AC218" s="124">
        <f>IF(NFI_Expiration=1,IF($A218&lt;VLOOKUP(R$5,NFI,5,0),1,0)*Data_NFI_t[[#This Row],[Jerry Can]],0)</f>
        <v>0</v>
      </c>
      <c r="AD218" s="143">
        <f>IF(NFI_Expiration=1,IF($A218&lt;VLOOKUP(S$5,NFI,5,0),1,0)*Data_NFI_t[[#This Row],[Plastic Mat]],0)*IF(Data_NFI_t[[#This Row],[Distribution Date]]&gt;"01-06-2015",1,2.5)</f>
        <v>0</v>
      </c>
      <c r="AE218" s="143" t="str">
        <f ca="1">IFERROR(OFFSET(Camp_List[P_Code],MATCH(Data_NFI_t[[#This Row],[Camp Name]],Camp_List[Camp Name],0)-1,0,1,1),"")</f>
        <v>MMR012CMP009</v>
      </c>
      <c r="AF218" s="572" t="str">
        <f ca="1">IFERROR(OFFSET(Camp_List[Status],MATCH(Data_NFI_t[[#This Row],[Camp Name]],Camp_List[Camp Name],0)-1,0,1,1),"")</f>
        <v>Returned in Individual Housing</v>
      </c>
    </row>
    <row r="219" spans="1:32" s="100" customFormat="1" ht="15" customHeight="1">
      <c r="A219" s="254">
        <f t="shared" si="3"/>
        <v>40.06666666666667</v>
      </c>
      <c r="B219" s="254">
        <f>YEAR(Data_NFI_t[[#This Row],[Distribution Date]])</f>
        <v>2013</v>
      </c>
      <c r="C219" s="585">
        <v>41320</v>
      </c>
      <c r="D219" s="547" t="s">
        <v>289</v>
      </c>
      <c r="E219" s="546"/>
      <c r="F219" s="547" t="s">
        <v>7</v>
      </c>
      <c r="G219" s="31" t="s">
        <v>11</v>
      </c>
      <c r="H219" s="31" t="s">
        <v>25</v>
      </c>
      <c r="I219" s="31">
        <v>20</v>
      </c>
      <c r="J219" s="60"/>
      <c r="K219" s="60"/>
      <c r="L219" s="60"/>
      <c r="M219" s="60"/>
      <c r="N219" s="60"/>
      <c r="O219" s="60"/>
      <c r="P219" s="60"/>
      <c r="Q219" s="60"/>
      <c r="R219" s="570"/>
      <c r="S219" s="60"/>
      <c r="T219" s="143">
        <f>IF(NFI_Expiration=1,IF($A219&lt;VLOOKUP(I$5,NFI,5,0),1,0)*Data_NFI_t[[#This Row],[Hygiene Kit]],0)</f>
        <v>0</v>
      </c>
      <c r="U219" s="143">
        <f>IF(NFI_Expiration=1,IF($A219&lt;VLOOKUP(J$5,NFI,5,0),1,0)*Data_NFI_t[[#This Row],[NFI Core Kit]],0)</f>
        <v>0</v>
      </c>
      <c r="V219" s="124">
        <f>IF(NFI_Expiration=1,IF($A219&lt;VLOOKUP(K$5,NFI,5,0),1,0)*Data_NFI_t[[#This Row],[Sanitary Kit]],0)</f>
        <v>0</v>
      </c>
      <c r="W219" s="124">
        <f>IF(NFI_Expiration=1,IF($A219&lt;VLOOKUP(L$5,NFI,5,0),1,0)*Data_NFI_t[[#This Row],[Mosquito net]],0)</f>
        <v>0</v>
      </c>
      <c r="X219" s="124">
        <f>IF(NFI_Expiration=1,IF($A219&lt;VLOOKUP(M$5,NFI,5,0),1,0)*Data_NFI_t[[#This Row],[Tarpaulin]],0)</f>
        <v>0</v>
      </c>
      <c r="Y219" s="124">
        <f>IF(NFI_Expiration=1,IF($A219&lt;VLOOKUP(N$5,NFI,5,0),1,0)*Data_NFI_t[[#This Row],[Blanket]],0)</f>
        <v>0</v>
      </c>
      <c r="Z219" s="124">
        <f>IF(NFI_Expiration=1,IF($A219&lt;VLOOKUP(O$5,NFI,5,0),1,0)*Data_NFI_t[[#This Row],[Kitchen Set]],0)</f>
        <v>0</v>
      </c>
      <c r="AA219" s="124">
        <f>IF(NFI_Expiration=1,IF($A219&lt;VLOOKUP(P$5,NFI,5,0),1,0)*Data_NFI_t[[#This Row],[Complementary Kit]],0)</f>
        <v>0</v>
      </c>
      <c r="AB219" s="124">
        <f>IF(NFI_Expiration=1,IF($A219&lt;VLOOKUP(Q$5,NFI,5,0),1,0)*Data_NFI_t[[#This Row],[Plastic Bucket]],0)</f>
        <v>0</v>
      </c>
      <c r="AC219" s="124">
        <f>IF(NFI_Expiration=1,IF($A219&lt;VLOOKUP(R$5,NFI,5,0),1,0)*Data_NFI_t[[#This Row],[Jerry Can]],0)</f>
        <v>0</v>
      </c>
      <c r="AD219" s="143">
        <f>IF(NFI_Expiration=1,IF($A219&lt;VLOOKUP(S$5,NFI,5,0),1,0)*Data_NFI_t[[#This Row],[Plastic Mat]],0)*IF(Data_NFI_t[[#This Row],[Distribution Date]]&gt;"01-06-2015",1,2.5)</f>
        <v>0</v>
      </c>
      <c r="AE219" s="143" t="str">
        <f ca="1">IFERROR(OFFSET(Camp_List[P_Code],MATCH(Data_NFI_t[[#This Row],[Camp Name]],Camp_List[Camp Name],0)-1,0,1,1),"")</f>
        <v>MMR012CMP001</v>
      </c>
      <c r="AF219" s="572" t="str">
        <f ca="1">IFERROR(OFFSET(Camp_List[Status],MATCH(Data_NFI_t[[#This Row],[Camp Name]],Camp_List[Camp Name],0)-1,0,1,1),"")</f>
        <v>Returned in Individual Housing</v>
      </c>
    </row>
    <row r="220" spans="1:32" s="100" customFormat="1" ht="15" customHeight="1">
      <c r="A220" s="254">
        <f t="shared" si="3"/>
        <v>40.06666666666667</v>
      </c>
      <c r="B220" s="254">
        <f>YEAR(Data_NFI_t[[#This Row],[Distribution Date]])</f>
        <v>2013</v>
      </c>
      <c r="C220" s="585">
        <v>41320</v>
      </c>
      <c r="D220" s="547" t="s">
        <v>289</v>
      </c>
      <c r="E220" s="546"/>
      <c r="F220" s="547" t="s">
        <v>7</v>
      </c>
      <c r="G220" s="31" t="s">
        <v>11</v>
      </c>
      <c r="H220" s="31" t="s">
        <v>32</v>
      </c>
      <c r="I220" s="31">
        <v>230</v>
      </c>
      <c r="J220" s="60"/>
      <c r="K220" s="60"/>
      <c r="L220" s="60"/>
      <c r="M220" s="60"/>
      <c r="N220" s="60"/>
      <c r="O220" s="60"/>
      <c r="P220" s="60"/>
      <c r="Q220" s="60"/>
      <c r="R220" s="570"/>
      <c r="S220" s="60"/>
      <c r="T220" s="143">
        <f>IF(NFI_Expiration=1,IF($A220&lt;VLOOKUP(I$5,NFI,5,0),1,0)*Data_NFI_t[[#This Row],[Hygiene Kit]],0)</f>
        <v>0</v>
      </c>
      <c r="U220" s="143">
        <f>IF(NFI_Expiration=1,IF($A220&lt;VLOOKUP(J$5,NFI,5,0),1,0)*Data_NFI_t[[#This Row],[NFI Core Kit]],0)</f>
        <v>0</v>
      </c>
      <c r="V220" s="124">
        <f>IF(NFI_Expiration=1,IF($A220&lt;VLOOKUP(K$5,NFI,5,0),1,0)*Data_NFI_t[[#This Row],[Sanitary Kit]],0)</f>
        <v>0</v>
      </c>
      <c r="W220" s="124">
        <f>IF(NFI_Expiration=1,IF($A220&lt;VLOOKUP(L$5,NFI,5,0),1,0)*Data_NFI_t[[#This Row],[Mosquito net]],0)</f>
        <v>0</v>
      </c>
      <c r="X220" s="124">
        <f>IF(NFI_Expiration=1,IF($A220&lt;VLOOKUP(M$5,NFI,5,0),1,0)*Data_NFI_t[[#This Row],[Tarpaulin]],0)</f>
        <v>0</v>
      </c>
      <c r="Y220" s="124">
        <f>IF(NFI_Expiration=1,IF($A220&lt;VLOOKUP(N$5,NFI,5,0),1,0)*Data_NFI_t[[#This Row],[Blanket]],0)</f>
        <v>0</v>
      </c>
      <c r="Z220" s="124">
        <f>IF(NFI_Expiration=1,IF($A220&lt;VLOOKUP(O$5,NFI,5,0),1,0)*Data_NFI_t[[#This Row],[Kitchen Set]],0)</f>
        <v>0</v>
      </c>
      <c r="AA220" s="124">
        <f>IF(NFI_Expiration=1,IF($A220&lt;VLOOKUP(P$5,NFI,5,0),1,0)*Data_NFI_t[[#This Row],[Complementary Kit]],0)</f>
        <v>0</v>
      </c>
      <c r="AB220" s="124">
        <f>IF(NFI_Expiration=1,IF($A220&lt;VLOOKUP(Q$5,NFI,5,0),1,0)*Data_NFI_t[[#This Row],[Plastic Bucket]],0)</f>
        <v>0</v>
      </c>
      <c r="AC220" s="124">
        <f>IF(NFI_Expiration=1,IF($A220&lt;VLOOKUP(R$5,NFI,5,0),1,0)*Data_NFI_t[[#This Row],[Jerry Can]],0)</f>
        <v>0</v>
      </c>
      <c r="AD220" s="143">
        <f>IF(NFI_Expiration=1,IF($A220&lt;VLOOKUP(S$5,NFI,5,0),1,0)*Data_NFI_t[[#This Row],[Plastic Mat]],0)*IF(Data_NFI_t[[#This Row],[Distribution Date]]&gt;"01-06-2015",1,2.5)</f>
        <v>0</v>
      </c>
      <c r="AE220" s="143" t="str">
        <f ca="1">IFERROR(OFFSET(Camp_List[P_Code],MATCH(Data_NFI_t[[#This Row],[Camp Name]],Camp_List[Camp Name],0)-1,0,1,1),"")</f>
        <v>MMR012CMP008</v>
      </c>
      <c r="AF220" s="572" t="str">
        <f ca="1">IFERROR(OFFSET(Camp_List[Status],MATCH(Data_NFI_t[[#This Row],[Camp Name]],Camp_List[Camp Name],0)-1,0,1,1),"")</f>
        <v>Returned in Individual Housing</v>
      </c>
    </row>
    <row r="221" spans="1:32" s="100" customFormat="1" ht="15" customHeight="1">
      <c r="A221" s="254">
        <f t="shared" si="3"/>
        <v>40.06666666666667</v>
      </c>
      <c r="B221" s="254">
        <f>YEAR(Data_NFI_t[[#This Row],[Distribution Date]])</f>
        <v>2013</v>
      </c>
      <c r="C221" s="585">
        <v>41320</v>
      </c>
      <c r="D221" s="547" t="s">
        <v>289</v>
      </c>
      <c r="E221" s="546"/>
      <c r="F221" s="547" t="s">
        <v>7</v>
      </c>
      <c r="G221" s="31" t="s">
        <v>11</v>
      </c>
      <c r="H221" s="31" t="s">
        <v>27</v>
      </c>
      <c r="I221" s="31">
        <v>90</v>
      </c>
      <c r="J221" s="60"/>
      <c r="K221" s="60"/>
      <c r="L221" s="60"/>
      <c r="M221" s="60"/>
      <c r="N221" s="60"/>
      <c r="O221" s="60"/>
      <c r="P221" s="60"/>
      <c r="Q221" s="60"/>
      <c r="R221" s="570"/>
      <c r="S221" s="60"/>
      <c r="T221" s="143">
        <f>IF(NFI_Expiration=1,IF($A221&lt;VLOOKUP(I$5,NFI,5,0),1,0)*Data_NFI_t[[#This Row],[Hygiene Kit]],0)</f>
        <v>0</v>
      </c>
      <c r="U221" s="143">
        <f>IF(NFI_Expiration=1,IF($A221&lt;VLOOKUP(J$5,NFI,5,0),1,0)*Data_NFI_t[[#This Row],[NFI Core Kit]],0)</f>
        <v>0</v>
      </c>
      <c r="V221" s="124">
        <f>IF(NFI_Expiration=1,IF($A221&lt;VLOOKUP(K$5,NFI,5,0),1,0)*Data_NFI_t[[#This Row],[Sanitary Kit]],0)</f>
        <v>0</v>
      </c>
      <c r="W221" s="124">
        <f>IF(NFI_Expiration=1,IF($A221&lt;VLOOKUP(L$5,NFI,5,0),1,0)*Data_NFI_t[[#This Row],[Mosquito net]],0)</f>
        <v>0</v>
      </c>
      <c r="X221" s="124">
        <f>IF(NFI_Expiration=1,IF($A221&lt;VLOOKUP(M$5,NFI,5,0),1,0)*Data_NFI_t[[#This Row],[Tarpaulin]],0)</f>
        <v>0</v>
      </c>
      <c r="Y221" s="124">
        <f>IF(NFI_Expiration=1,IF($A221&lt;VLOOKUP(N$5,NFI,5,0),1,0)*Data_NFI_t[[#This Row],[Blanket]],0)</f>
        <v>0</v>
      </c>
      <c r="Z221" s="124">
        <f>IF(NFI_Expiration=1,IF($A221&lt;VLOOKUP(O$5,NFI,5,0),1,0)*Data_NFI_t[[#This Row],[Kitchen Set]],0)</f>
        <v>0</v>
      </c>
      <c r="AA221" s="124">
        <f>IF(NFI_Expiration=1,IF($A221&lt;VLOOKUP(P$5,NFI,5,0),1,0)*Data_NFI_t[[#This Row],[Complementary Kit]],0)</f>
        <v>0</v>
      </c>
      <c r="AB221" s="124">
        <f>IF(NFI_Expiration=1,IF($A221&lt;VLOOKUP(Q$5,NFI,5,0),1,0)*Data_NFI_t[[#This Row],[Plastic Bucket]],0)</f>
        <v>0</v>
      </c>
      <c r="AC221" s="124">
        <f>IF(NFI_Expiration=1,IF($A221&lt;VLOOKUP(R$5,NFI,5,0),1,0)*Data_NFI_t[[#This Row],[Jerry Can]],0)</f>
        <v>0</v>
      </c>
      <c r="AD221" s="143">
        <f>IF(NFI_Expiration=1,IF($A221&lt;VLOOKUP(S$5,NFI,5,0),1,0)*Data_NFI_t[[#This Row],[Plastic Mat]],0)*IF(Data_NFI_t[[#This Row],[Distribution Date]]&gt;"01-06-2015",1,2.5)</f>
        <v>0</v>
      </c>
      <c r="AE221" s="143" t="str">
        <f ca="1">IFERROR(OFFSET(Camp_List[P_Code],MATCH(Data_NFI_t[[#This Row],[Camp Name]],Camp_List[Camp Name],0)-1,0,1,1),"")</f>
        <v>MMR012CMP003</v>
      </c>
      <c r="AF221" s="572" t="str">
        <f ca="1">IFERROR(OFFSET(Camp_List[Status],MATCH(Data_NFI_t[[#This Row],[Camp Name]],Camp_List[Camp Name],0)-1,0,1,1),"")</f>
        <v>Returned in Individual Housing</v>
      </c>
    </row>
    <row r="222" spans="1:32" s="100" customFormat="1" ht="15" customHeight="1">
      <c r="A222" s="254">
        <f t="shared" si="3"/>
        <v>40.06666666666667</v>
      </c>
      <c r="B222" s="254">
        <f>YEAR(Data_NFI_t[[#This Row],[Distribution Date]])</f>
        <v>2013</v>
      </c>
      <c r="C222" s="585">
        <v>41320</v>
      </c>
      <c r="D222" s="547" t="s">
        <v>289</v>
      </c>
      <c r="E222" s="546"/>
      <c r="F222" s="547" t="s">
        <v>7</v>
      </c>
      <c r="G222" s="31" t="s">
        <v>11</v>
      </c>
      <c r="H222" s="31" t="s">
        <v>26</v>
      </c>
      <c r="I222" s="31">
        <v>205</v>
      </c>
      <c r="J222" s="60"/>
      <c r="K222" s="60"/>
      <c r="L222" s="60"/>
      <c r="M222" s="60"/>
      <c r="N222" s="60"/>
      <c r="O222" s="60"/>
      <c r="P222" s="60"/>
      <c r="Q222" s="60"/>
      <c r="R222" s="570"/>
      <c r="S222" s="60"/>
      <c r="T222" s="143">
        <f>IF(NFI_Expiration=1,IF($A222&lt;VLOOKUP(I$5,NFI,5,0),1,0)*Data_NFI_t[[#This Row],[Hygiene Kit]],0)</f>
        <v>0</v>
      </c>
      <c r="U222" s="143">
        <f>IF(NFI_Expiration=1,IF($A222&lt;VLOOKUP(J$5,NFI,5,0),1,0)*Data_NFI_t[[#This Row],[NFI Core Kit]],0)</f>
        <v>0</v>
      </c>
      <c r="V222" s="124">
        <f>IF(NFI_Expiration=1,IF($A222&lt;VLOOKUP(K$5,NFI,5,0),1,0)*Data_NFI_t[[#This Row],[Sanitary Kit]],0)</f>
        <v>0</v>
      </c>
      <c r="W222" s="124">
        <f>IF(NFI_Expiration=1,IF($A222&lt;VLOOKUP(L$5,NFI,5,0),1,0)*Data_NFI_t[[#This Row],[Mosquito net]],0)</f>
        <v>0</v>
      </c>
      <c r="X222" s="124">
        <f>IF(NFI_Expiration=1,IF($A222&lt;VLOOKUP(M$5,NFI,5,0),1,0)*Data_NFI_t[[#This Row],[Tarpaulin]],0)</f>
        <v>0</v>
      </c>
      <c r="Y222" s="124">
        <f>IF(NFI_Expiration=1,IF($A222&lt;VLOOKUP(N$5,NFI,5,0),1,0)*Data_NFI_t[[#This Row],[Blanket]],0)</f>
        <v>0</v>
      </c>
      <c r="Z222" s="124">
        <f>IF(NFI_Expiration=1,IF($A222&lt;VLOOKUP(O$5,NFI,5,0),1,0)*Data_NFI_t[[#This Row],[Kitchen Set]],0)</f>
        <v>0</v>
      </c>
      <c r="AA222" s="124">
        <f>IF(NFI_Expiration=1,IF($A222&lt;VLOOKUP(P$5,NFI,5,0),1,0)*Data_NFI_t[[#This Row],[Complementary Kit]],0)</f>
        <v>0</v>
      </c>
      <c r="AB222" s="124">
        <f>IF(NFI_Expiration=1,IF($A222&lt;VLOOKUP(Q$5,NFI,5,0),1,0)*Data_NFI_t[[#This Row],[Plastic Bucket]],0)</f>
        <v>0</v>
      </c>
      <c r="AC222" s="124">
        <f>IF(NFI_Expiration=1,IF($A222&lt;VLOOKUP(R$5,NFI,5,0),1,0)*Data_NFI_t[[#This Row],[Jerry Can]],0)</f>
        <v>0</v>
      </c>
      <c r="AD222" s="143">
        <f>IF(NFI_Expiration=1,IF($A222&lt;VLOOKUP(S$5,NFI,5,0),1,0)*Data_NFI_t[[#This Row],[Plastic Mat]],0)*IF(Data_NFI_t[[#This Row],[Distribution Date]]&gt;"01-06-2015",1,2.5)</f>
        <v>0</v>
      </c>
      <c r="AE222" s="143" t="str">
        <f ca="1">IFERROR(OFFSET(Camp_List[P_Code],MATCH(Data_NFI_t[[#This Row],[Camp Name]],Camp_List[Camp Name],0)-1,0,1,1),"")</f>
        <v>MMR012CMP002</v>
      </c>
      <c r="AF222" s="572" t="str">
        <f ca="1">IFERROR(OFFSET(Camp_List[Status],MATCH(Data_NFI_t[[#This Row],[Camp Name]],Camp_List[Camp Name],0)-1,0,1,1),"")</f>
        <v>Returned in Individual Housing</v>
      </c>
    </row>
    <row r="223" spans="1:32" s="100" customFormat="1" ht="15" customHeight="1">
      <c r="A223" s="254">
        <f t="shared" si="3"/>
        <v>40.06666666666667</v>
      </c>
      <c r="B223" s="254">
        <f>YEAR(Data_NFI_t[[#This Row],[Distribution Date]])</f>
        <v>2013</v>
      </c>
      <c r="C223" s="585">
        <v>41320</v>
      </c>
      <c r="D223" s="547" t="s">
        <v>289</v>
      </c>
      <c r="E223" s="546"/>
      <c r="F223" s="547" t="s">
        <v>7</v>
      </c>
      <c r="G223" s="31" t="s">
        <v>11</v>
      </c>
      <c r="H223" s="31" t="s">
        <v>31</v>
      </c>
      <c r="I223" s="31">
        <v>35</v>
      </c>
      <c r="J223" s="60"/>
      <c r="K223" s="60"/>
      <c r="L223" s="60"/>
      <c r="M223" s="60"/>
      <c r="N223" s="60"/>
      <c r="O223" s="60"/>
      <c r="P223" s="60"/>
      <c r="Q223" s="60"/>
      <c r="R223" s="570"/>
      <c r="S223" s="60"/>
      <c r="T223" s="143">
        <f>IF(NFI_Expiration=1,IF($A223&lt;VLOOKUP(I$5,NFI,5,0),1,0)*Data_NFI_t[[#This Row],[Hygiene Kit]],0)</f>
        <v>0</v>
      </c>
      <c r="U223" s="143">
        <f>IF(NFI_Expiration=1,IF($A223&lt;VLOOKUP(J$5,NFI,5,0),1,0)*Data_NFI_t[[#This Row],[NFI Core Kit]],0)</f>
        <v>0</v>
      </c>
      <c r="V223" s="124">
        <f>IF(NFI_Expiration=1,IF($A223&lt;VLOOKUP(K$5,NFI,5,0),1,0)*Data_NFI_t[[#This Row],[Sanitary Kit]],0)</f>
        <v>0</v>
      </c>
      <c r="W223" s="124">
        <f>IF(NFI_Expiration=1,IF($A223&lt;VLOOKUP(L$5,NFI,5,0),1,0)*Data_NFI_t[[#This Row],[Mosquito net]],0)</f>
        <v>0</v>
      </c>
      <c r="X223" s="124">
        <f>IF(NFI_Expiration=1,IF($A223&lt;VLOOKUP(M$5,NFI,5,0),1,0)*Data_NFI_t[[#This Row],[Tarpaulin]],0)</f>
        <v>0</v>
      </c>
      <c r="Y223" s="124">
        <f>IF(NFI_Expiration=1,IF($A223&lt;VLOOKUP(N$5,NFI,5,0),1,0)*Data_NFI_t[[#This Row],[Blanket]],0)</f>
        <v>0</v>
      </c>
      <c r="Z223" s="124">
        <f>IF(NFI_Expiration=1,IF($A223&lt;VLOOKUP(O$5,NFI,5,0),1,0)*Data_NFI_t[[#This Row],[Kitchen Set]],0)</f>
        <v>0</v>
      </c>
      <c r="AA223" s="124">
        <f>IF(NFI_Expiration=1,IF($A223&lt;VLOOKUP(P$5,NFI,5,0),1,0)*Data_NFI_t[[#This Row],[Complementary Kit]],0)</f>
        <v>0</v>
      </c>
      <c r="AB223" s="124">
        <f>IF(NFI_Expiration=1,IF($A223&lt;VLOOKUP(Q$5,NFI,5,0),1,0)*Data_NFI_t[[#This Row],[Plastic Bucket]],0)</f>
        <v>0</v>
      </c>
      <c r="AC223" s="124">
        <f>IF(NFI_Expiration=1,IF($A223&lt;VLOOKUP(R$5,NFI,5,0),1,0)*Data_NFI_t[[#This Row],[Jerry Can]],0)</f>
        <v>0</v>
      </c>
      <c r="AD223" s="143">
        <f>IF(NFI_Expiration=1,IF($A223&lt;VLOOKUP(S$5,NFI,5,0),1,0)*Data_NFI_t[[#This Row],[Plastic Mat]],0)*IF(Data_NFI_t[[#This Row],[Distribution Date]]&gt;"01-06-2015",1,2.5)</f>
        <v>0</v>
      </c>
      <c r="AE223" s="143" t="str">
        <f ca="1">IFERROR(OFFSET(Camp_List[P_Code],MATCH(Data_NFI_t[[#This Row],[Camp Name]],Camp_List[Camp Name],0)-1,0,1,1),"")</f>
        <v>MMR012CMP007</v>
      </c>
      <c r="AF223" s="572" t="str">
        <f ca="1">IFERROR(OFFSET(Camp_List[Status],MATCH(Data_NFI_t[[#This Row],[Camp Name]],Camp_List[Camp Name],0)-1,0,1,1),"")</f>
        <v>Close</v>
      </c>
    </row>
    <row r="224" spans="1:32" s="100" customFormat="1" ht="15" customHeight="1">
      <c r="A224" s="254">
        <f t="shared" si="3"/>
        <v>40.06666666666667</v>
      </c>
      <c r="B224" s="254">
        <f>YEAR(Data_NFI_t[[#This Row],[Distribution Date]])</f>
        <v>2013</v>
      </c>
      <c r="C224" s="585">
        <v>41320</v>
      </c>
      <c r="D224" s="547" t="s">
        <v>289</v>
      </c>
      <c r="E224" s="546"/>
      <c r="F224" s="547" t="s">
        <v>7</v>
      </c>
      <c r="G224" s="31" t="s">
        <v>12</v>
      </c>
      <c r="H224" s="31" t="s">
        <v>34</v>
      </c>
      <c r="I224" s="31">
        <v>360</v>
      </c>
      <c r="J224" s="60"/>
      <c r="K224" s="60"/>
      <c r="L224" s="60"/>
      <c r="M224" s="60"/>
      <c r="N224" s="60"/>
      <c r="O224" s="60"/>
      <c r="P224" s="60"/>
      <c r="Q224" s="60"/>
      <c r="R224" s="570"/>
      <c r="S224" s="60"/>
      <c r="T224" s="143">
        <f>IF(NFI_Expiration=1,IF($A224&lt;VLOOKUP(I$5,NFI,5,0),1,0)*Data_NFI_t[[#This Row],[Hygiene Kit]],0)</f>
        <v>0</v>
      </c>
      <c r="U224" s="143">
        <f>IF(NFI_Expiration=1,IF($A224&lt;VLOOKUP(J$5,NFI,5,0),1,0)*Data_NFI_t[[#This Row],[NFI Core Kit]],0)</f>
        <v>0</v>
      </c>
      <c r="V224" s="124">
        <f>IF(NFI_Expiration=1,IF($A224&lt;VLOOKUP(K$5,NFI,5,0),1,0)*Data_NFI_t[[#This Row],[Sanitary Kit]],0)</f>
        <v>0</v>
      </c>
      <c r="W224" s="124">
        <f>IF(NFI_Expiration=1,IF($A224&lt;VLOOKUP(L$5,NFI,5,0),1,0)*Data_NFI_t[[#This Row],[Mosquito net]],0)</f>
        <v>0</v>
      </c>
      <c r="X224" s="124">
        <f>IF(NFI_Expiration=1,IF($A224&lt;VLOOKUP(M$5,NFI,5,0),1,0)*Data_NFI_t[[#This Row],[Tarpaulin]],0)</f>
        <v>0</v>
      </c>
      <c r="Y224" s="124">
        <f>IF(NFI_Expiration=1,IF($A224&lt;VLOOKUP(N$5,NFI,5,0),1,0)*Data_NFI_t[[#This Row],[Blanket]],0)</f>
        <v>0</v>
      </c>
      <c r="Z224" s="124">
        <f>IF(NFI_Expiration=1,IF($A224&lt;VLOOKUP(O$5,NFI,5,0),1,0)*Data_NFI_t[[#This Row],[Kitchen Set]],0)</f>
        <v>0</v>
      </c>
      <c r="AA224" s="124">
        <f>IF(NFI_Expiration=1,IF($A224&lt;VLOOKUP(P$5,NFI,5,0),1,0)*Data_NFI_t[[#This Row],[Complementary Kit]],0)</f>
        <v>0</v>
      </c>
      <c r="AB224" s="124">
        <f>IF(NFI_Expiration=1,IF($A224&lt;VLOOKUP(Q$5,NFI,5,0),1,0)*Data_NFI_t[[#This Row],[Plastic Bucket]],0)</f>
        <v>0</v>
      </c>
      <c r="AC224" s="124">
        <f>IF(NFI_Expiration=1,IF($A224&lt;VLOOKUP(R$5,NFI,5,0),1,0)*Data_NFI_t[[#This Row],[Jerry Can]],0)</f>
        <v>0</v>
      </c>
      <c r="AD224" s="143">
        <f>IF(NFI_Expiration=1,IF($A224&lt;VLOOKUP(S$5,NFI,5,0),1,0)*Data_NFI_t[[#This Row],[Plastic Mat]],0)*IF(Data_NFI_t[[#This Row],[Distribution Date]]&gt;"01-06-2015",1,2.5)</f>
        <v>0</v>
      </c>
      <c r="AE224" s="143" t="str">
        <f ca="1">IFERROR(OFFSET(Camp_List[P_Code],MATCH(Data_NFI_t[[#This Row],[Camp Name]],Camp_List[Camp Name],0)-1,0,1,1),"")</f>
        <v>MMR012CMP010</v>
      </c>
      <c r="AF224" s="572" t="str">
        <f ca="1">IFERROR(OFFSET(Camp_List[Status],MATCH(Data_NFI_t[[#This Row],[Camp Name]],Camp_List[Camp Name],0)-1,0,1,1),"")</f>
        <v>Returned in Individual Housing</v>
      </c>
    </row>
    <row r="225" spans="1:32" s="100" customFormat="1" ht="15" customHeight="1">
      <c r="A225" s="254">
        <f t="shared" si="3"/>
        <v>40.1</v>
      </c>
      <c r="B225" s="254">
        <f>YEAR(Data_NFI_t[[#This Row],[Distribution Date]])</f>
        <v>2013</v>
      </c>
      <c r="C225" s="585">
        <v>41319</v>
      </c>
      <c r="D225" s="547" t="s">
        <v>287</v>
      </c>
      <c r="E225" s="546"/>
      <c r="F225" s="547" t="s">
        <v>7</v>
      </c>
      <c r="G225" s="31" t="s">
        <v>20</v>
      </c>
      <c r="H225" s="31" t="s">
        <v>107</v>
      </c>
      <c r="I225" s="31"/>
      <c r="J225" s="60">
        <v>20</v>
      </c>
      <c r="K225" s="60"/>
      <c r="L225" s="60">
        <v>40</v>
      </c>
      <c r="M225" s="60">
        <v>20</v>
      </c>
      <c r="N225" s="60">
        <v>40</v>
      </c>
      <c r="O225" s="60">
        <v>20</v>
      </c>
      <c r="P225" s="60">
        <v>20</v>
      </c>
      <c r="Q225" s="60">
        <v>20</v>
      </c>
      <c r="R225" s="570"/>
      <c r="S225" s="60">
        <v>40</v>
      </c>
      <c r="T225" s="143">
        <f>IF(NFI_Expiration=1,IF($A225&lt;VLOOKUP(I$5,NFI,5,0),1,0)*Data_NFI_t[[#This Row],[Hygiene Kit]],0)</f>
        <v>0</v>
      </c>
      <c r="U225" s="143">
        <f>IF(NFI_Expiration=1,IF($A225&lt;VLOOKUP(J$5,NFI,5,0),1,0)*Data_NFI_t[[#This Row],[NFI Core Kit]],0)</f>
        <v>0</v>
      </c>
      <c r="V225" s="124">
        <f>IF(NFI_Expiration=1,IF($A225&lt;VLOOKUP(K$5,NFI,5,0),1,0)*Data_NFI_t[[#This Row],[Sanitary Kit]],0)</f>
        <v>0</v>
      </c>
      <c r="W225" s="124">
        <f>IF(NFI_Expiration=1,IF($A225&lt;VLOOKUP(L$5,NFI,5,0),1,0)*Data_NFI_t[[#This Row],[Mosquito net]],0)</f>
        <v>0</v>
      </c>
      <c r="X225" s="124">
        <f>IF(NFI_Expiration=1,IF($A225&lt;VLOOKUP(M$5,NFI,5,0),1,0)*Data_NFI_t[[#This Row],[Tarpaulin]],0)</f>
        <v>0</v>
      </c>
      <c r="Y225" s="124">
        <f>IF(NFI_Expiration=1,IF($A225&lt;VLOOKUP(N$5,NFI,5,0),1,0)*Data_NFI_t[[#This Row],[Blanket]],0)</f>
        <v>0</v>
      </c>
      <c r="Z225" s="124">
        <f>IF(NFI_Expiration=1,IF($A225&lt;VLOOKUP(O$5,NFI,5,0),1,0)*Data_NFI_t[[#This Row],[Kitchen Set]],0)</f>
        <v>0</v>
      </c>
      <c r="AA225" s="124">
        <f>IF(NFI_Expiration=1,IF($A225&lt;VLOOKUP(P$5,NFI,5,0),1,0)*Data_NFI_t[[#This Row],[Complementary Kit]],0)</f>
        <v>0</v>
      </c>
      <c r="AB225" s="124">
        <f>IF(NFI_Expiration=1,IF($A225&lt;VLOOKUP(Q$5,NFI,5,0),1,0)*Data_NFI_t[[#This Row],[Plastic Bucket]],0)</f>
        <v>0</v>
      </c>
      <c r="AC225" s="124">
        <f>IF(NFI_Expiration=1,IF($A225&lt;VLOOKUP(R$5,NFI,5,0),1,0)*Data_NFI_t[[#This Row],[Jerry Can]],0)</f>
        <v>0</v>
      </c>
      <c r="AD225" s="143">
        <f>IF(NFI_Expiration=1,IF($A225&lt;VLOOKUP(S$5,NFI,5,0),1,0)*Data_NFI_t[[#This Row],[Plastic Mat]],0)*IF(Data_NFI_t[[#This Row],[Distribution Date]]&gt;"01-06-2015",1,2.5)</f>
        <v>0</v>
      </c>
      <c r="AE225" s="143" t="str">
        <f ca="1">IFERROR(OFFSET(Camp_List[P_Code],MATCH(Data_NFI_t[[#This Row],[Camp Name]],Camp_List[Camp Name],0)-1,0,1,1),"")</f>
        <v>MMR012CMP085</v>
      </c>
      <c r="AF225" s="572" t="str">
        <f ca="1">IFERROR(OFFSET(Camp_List[Status],MATCH(Data_NFI_t[[#This Row],[Camp Name]],Camp_List[Camp Name],0)-1,0,1,1),"")</f>
        <v>Open</v>
      </c>
    </row>
    <row r="226" spans="1:32" s="100" customFormat="1" ht="15" customHeight="1">
      <c r="A226" s="254">
        <f t="shared" si="3"/>
        <v>40.1</v>
      </c>
      <c r="B226" s="254">
        <f>YEAR(Data_NFI_t[[#This Row],[Distribution Date]])</f>
        <v>2013</v>
      </c>
      <c r="C226" s="585">
        <v>41319</v>
      </c>
      <c r="D226" s="547" t="s">
        <v>287</v>
      </c>
      <c r="E226" s="546"/>
      <c r="F226" s="547" t="s">
        <v>7</v>
      </c>
      <c r="G226" s="31" t="s">
        <v>20</v>
      </c>
      <c r="H226" s="31" t="s">
        <v>107</v>
      </c>
      <c r="I226" s="31"/>
      <c r="J226" s="60"/>
      <c r="K226" s="60">
        <v>40</v>
      </c>
      <c r="L226" s="60">
        <v>81</v>
      </c>
      <c r="M226" s="60">
        <v>20</v>
      </c>
      <c r="N226" s="60"/>
      <c r="O226" s="60"/>
      <c r="P226" s="60"/>
      <c r="Q226" s="60"/>
      <c r="R226" s="570"/>
      <c r="S226" s="60"/>
      <c r="T226" s="143">
        <f>IF(NFI_Expiration=1,IF($A226&lt;VLOOKUP(I$5,NFI,5,0),1,0)*Data_NFI_t[[#This Row],[Hygiene Kit]],0)</f>
        <v>0</v>
      </c>
      <c r="U226" s="143">
        <f>IF(NFI_Expiration=1,IF($A226&lt;VLOOKUP(J$5,NFI,5,0),1,0)*Data_NFI_t[[#This Row],[NFI Core Kit]],0)</f>
        <v>0</v>
      </c>
      <c r="V226" s="124">
        <f>IF(NFI_Expiration=1,IF($A226&lt;VLOOKUP(K$5,NFI,5,0),1,0)*Data_NFI_t[[#This Row],[Sanitary Kit]],0)</f>
        <v>0</v>
      </c>
      <c r="W226" s="124">
        <f>IF(NFI_Expiration=1,IF($A226&lt;VLOOKUP(L$5,NFI,5,0),1,0)*Data_NFI_t[[#This Row],[Mosquito net]],0)</f>
        <v>0</v>
      </c>
      <c r="X226" s="124">
        <f>IF(NFI_Expiration=1,IF($A226&lt;VLOOKUP(M$5,NFI,5,0),1,0)*Data_NFI_t[[#This Row],[Tarpaulin]],0)</f>
        <v>0</v>
      </c>
      <c r="Y226" s="124">
        <f>IF(NFI_Expiration=1,IF($A226&lt;VLOOKUP(N$5,NFI,5,0),1,0)*Data_NFI_t[[#This Row],[Blanket]],0)</f>
        <v>0</v>
      </c>
      <c r="Z226" s="124">
        <f>IF(NFI_Expiration=1,IF($A226&lt;VLOOKUP(O$5,NFI,5,0),1,0)*Data_NFI_t[[#This Row],[Kitchen Set]],0)</f>
        <v>0</v>
      </c>
      <c r="AA226" s="124">
        <f>IF(NFI_Expiration=1,IF($A226&lt;VLOOKUP(P$5,NFI,5,0),1,0)*Data_NFI_t[[#This Row],[Complementary Kit]],0)</f>
        <v>0</v>
      </c>
      <c r="AB226" s="124">
        <f>IF(NFI_Expiration=1,IF($A226&lt;VLOOKUP(Q$5,NFI,5,0),1,0)*Data_NFI_t[[#This Row],[Plastic Bucket]],0)</f>
        <v>0</v>
      </c>
      <c r="AC226" s="124">
        <f>IF(NFI_Expiration=1,IF($A226&lt;VLOOKUP(R$5,NFI,5,0),1,0)*Data_NFI_t[[#This Row],[Jerry Can]],0)</f>
        <v>0</v>
      </c>
      <c r="AD226" s="143">
        <f>IF(NFI_Expiration=1,IF($A226&lt;VLOOKUP(S$5,NFI,5,0),1,0)*Data_NFI_t[[#This Row],[Plastic Mat]],0)*IF(Data_NFI_t[[#This Row],[Distribution Date]]&gt;"01-06-2015",1,2.5)</f>
        <v>0</v>
      </c>
      <c r="AE226" s="143" t="str">
        <f ca="1">IFERROR(OFFSET(Camp_List[P_Code],MATCH(Data_NFI_t[[#This Row],[Camp Name]],Camp_List[Camp Name],0)-1,0,1,1),"")</f>
        <v>MMR012CMP085</v>
      </c>
      <c r="AF226" s="572" t="str">
        <f ca="1">IFERROR(OFFSET(Camp_List[Status],MATCH(Data_NFI_t[[#This Row],[Camp Name]],Camp_List[Camp Name],0)-1,0,1,1),"")</f>
        <v>Open</v>
      </c>
    </row>
    <row r="227" spans="1:32" s="100" customFormat="1" ht="15" customHeight="1">
      <c r="A227" s="254">
        <f t="shared" si="3"/>
        <v>40.299999999999997</v>
      </c>
      <c r="B227" s="254">
        <f>YEAR(Data_NFI_t[[#This Row],[Distribution Date]])</f>
        <v>2013</v>
      </c>
      <c r="C227" s="585">
        <v>41313</v>
      </c>
      <c r="D227" s="547" t="s">
        <v>289</v>
      </c>
      <c r="E227" s="546"/>
      <c r="F227" s="547" t="s">
        <v>7</v>
      </c>
      <c r="G227" s="31" t="s">
        <v>17</v>
      </c>
      <c r="H227" s="31" t="s">
        <v>483</v>
      </c>
      <c r="I227" s="31">
        <v>71</v>
      </c>
      <c r="J227" s="60"/>
      <c r="K227" s="60"/>
      <c r="L227" s="60"/>
      <c r="M227" s="60"/>
      <c r="N227" s="60"/>
      <c r="O227" s="60"/>
      <c r="P227" s="60"/>
      <c r="Q227" s="60"/>
      <c r="R227" s="570"/>
      <c r="S227" s="60"/>
      <c r="T227" s="143">
        <f>IF(NFI_Expiration=1,IF($A227&lt;VLOOKUP(I$5,NFI,5,0),1,0)*Data_NFI_t[[#This Row],[Hygiene Kit]],0)</f>
        <v>0</v>
      </c>
      <c r="U227" s="143">
        <f>IF(NFI_Expiration=1,IF($A227&lt;VLOOKUP(J$5,NFI,5,0),1,0)*Data_NFI_t[[#This Row],[NFI Core Kit]],0)</f>
        <v>0</v>
      </c>
      <c r="V227" s="124">
        <f>IF(NFI_Expiration=1,IF($A227&lt;VLOOKUP(K$5,NFI,5,0),1,0)*Data_NFI_t[[#This Row],[Sanitary Kit]],0)</f>
        <v>0</v>
      </c>
      <c r="W227" s="124">
        <f>IF(NFI_Expiration=1,IF($A227&lt;VLOOKUP(L$5,NFI,5,0),1,0)*Data_NFI_t[[#This Row],[Mosquito net]],0)</f>
        <v>0</v>
      </c>
      <c r="X227" s="124">
        <f>IF(NFI_Expiration=1,IF($A227&lt;VLOOKUP(M$5,NFI,5,0),1,0)*Data_NFI_t[[#This Row],[Tarpaulin]],0)</f>
        <v>0</v>
      </c>
      <c r="Y227" s="124">
        <f>IF(NFI_Expiration=1,IF($A227&lt;VLOOKUP(N$5,NFI,5,0),1,0)*Data_NFI_t[[#This Row],[Blanket]],0)</f>
        <v>0</v>
      </c>
      <c r="Z227" s="124">
        <f>IF(NFI_Expiration=1,IF($A227&lt;VLOOKUP(O$5,NFI,5,0),1,0)*Data_NFI_t[[#This Row],[Kitchen Set]],0)</f>
        <v>0</v>
      </c>
      <c r="AA227" s="124">
        <f>IF(NFI_Expiration=1,IF($A227&lt;VLOOKUP(P$5,NFI,5,0),1,0)*Data_NFI_t[[#This Row],[Complementary Kit]],0)</f>
        <v>0</v>
      </c>
      <c r="AB227" s="124">
        <f>IF(NFI_Expiration=1,IF($A227&lt;VLOOKUP(Q$5,NFI,5,0),1,0)*Data_NFI_t[[#This Row],[Plastic Bucket]],0)</f>
        <v>0</v>
      </c>
      <c r="AC227" s="124">
        <f>IF(NFI_Expiration=1,IF($A227&lt;VLOOKUP(R$5,NFI,5,0),1,0)*Data_NFI_t[[#This Row],[Jerry Can]],0)</f>
        <v>0</v>
      </c>
      <c r="AD227" s="143">
        <f>IF(NFI_Expiration=1,IF($A227&lt;VLOOKUP(S$5,NFI,5,0),1,0)*Data_NFI_t[[#This Row],[Plastic Mat]],0)*IF(Data_NFI_t[[#This Row],[Distribution Date]]&gt;"01-06-2015",1,2.5)</f>
        <v>0</v>
      </c>
      <c r="AE227" s="143" t="str">
        <f ca="1">IFERROR(OFFSET(Camp_List[P_Code],MATCH(Data_NFI_t[[#This Row],[Camp Name]],Camp_List[Camp Name],0)-1,0,1,1),"")</f>
        <v>MMR012CMP036</v>
      </c>
      <c r="AF227" s="572" t="str">
        <f ca="1">IFERROR(OFFSET(Camp_List[Status],MATCH(Data_NFI_t[[#This Row],[Camp Name]],Camp_List[Camp Name],0)-1,0,1,1),"")</f>
        <v>Open</v>
      </c>
    </row>
    <row r="228" spans="1:32" s="100" customFormat="1" ht="15" customHeight="1">
      <c r="A228" s="254">
        <f t="shared" si="3"/>
        <v>40.299999999999997</v>
      </c>
      <c r="B228" s="254">
        <f>YEAR(Data_NFI_t[[#This Row],[Distribution Date]])</f>
        <v>2013</v>
      </c>
      <c r="C228" s="585">
        <v>41313</v>
      </c>
      <c r="D228" s="547" t="s">
        <v>289</v>
      </c>
      <c r="E228" s="546"/>
      <c r="F228" s="547" t="s">
        <v>7</v>
      </c>
      <c r="G228" s="31" t="s">
        <v>900</v>
      </c>
      <c r="H228" s="31" t="s">
        <v>37</v>
      </c>
      <c r="I228" s="31">
        <v>45</v>
      </c>
      <c r="J228" s="60"/>
      <c r="K228" s="60"/>
      <c r="L228" s="60"/>
      <c r="M228" s="60"/>
      <c r="N228" s="60"/>
      <c r="O228" s="60"/>
      <c r="P228" s="60"/>
      <c r="Q228" s="60"/>
      <c r="R228" s="570"/>
      <c r="S228" s="60"/>
      <c r="T228" s="143">
        <f>IF(NFI_Expiration=1,IF($A228&lt;VLOOKUP(I$5,NFI,5,0),1,0)*Data_NFI_t[[#This Row],[Hygiene Kit]],0)</f>
        <v>0</v>
      </c>
      <c r="U228" s="143">
        <f>IF(NFI_Expiration=1,IF($A228&lt;VLOOKUP(J$5,NFI,5,0),1,0)*Data_NFI_t[[#This Row],[NFI Core Kit]],0)</f>
        <v>0</v>
      </c>
      <c r="V228" s="124">
        <f>IF(NFI_Expiration=1,IF($A228&lt;VLOOKUP(K$5,NFI,5,0),1,0)*Data_NFI_t[[#This Row],[Sanitary Kit]],0)</f>
        <v>0</v>
      </c>
      <c r="W228" s="124">
        <f>IF(NFI_Expiration=1,IF($A228&lt;VLOOKUP(L$5,NFI,5,0),1,0)*Data_NFI_t[[#This Row],[Mosquito net]],0)</f>
        <v>0</v>
      </c>
      <c r="X228" s="124">
        <f>IF(NFI_Expiration=1,IF($A228&lt;VLOOKUP(M$5,NFI,5,0),1,0)*Data_NFI_t[[#This Row],[Tarpaulin]],0)</f>
        <v>0</v>
      </c>
      <c r="Y228" s="124">
        <f>IF(NFI_Expiration=1,IF($A228&lt;VLOOKUP(N$5,NFI,5,0),1,0)*Data_NFI_t[[#This Row],[Blanket]],0)</f>
        <v>0</v>
      </c>
      <c r="Z228" s="124">
        <f>IF(NFI_Expiration=1,IF($A228&lt;VLOOKUP(O$5,NFI,5,0),1,0)*Data_NFI_t[[#This Row],[Kitchen Set]],0)</f>
        <v>0</v>
      </c>
      <c r="AA228" s="124">
        <f>IF(NFI_Expiration=1,IF($A228&lt;VLOOKUP(P$5,NFI,5,0),1,0)*Data_NFI_t[[#This Row],[Complementary Kit]],0)</f>
        <v>0</v>
      </c>
      <c r="AB228" s="124">
        <f>IF(NFI_Expiration=1,IF($A228&lt;VLOOKUP(Q$5,NFI,5,0),1,0)*Data_NFI_t[[#This Row],[Plastic Bucket]],0)</f>
        <v>0</v>
      </c>
      <c r="AC228" s="124">
        <f>IF(NFI_Expiration=1,IF($A228&lt;VLOOKUP(R$5,NFI,5,0),1,0)*Data_NFI_t[[#This Row],[Jerry Can]],0)</f>
        <v>0</v>
      </c>
      <c r="AD228" s="143">
        <f>IF(NFI_Expiration=1,IF($A228&lt;VLOOKUP(S$5,NFI,5,0),1,0)*Data_NFI_t[[#This Row],[Plastic Mat]],0)*IF(Data_NFI_t[[#This Row],[Distribution Date]]&gt;"01-06-2015",1,2.5)</f>
        <v>0</v>
      </c>
      <c r="AE228" s="143" t="str">
        <f ca="1">IFERROR(OFFSET(Camp_List[P_Code],MATCH(Data_NFI_t[[#This Row],[Camp Name]],Camp_List[Camp Name],0)-1,0,1,1),"")</f>
        <v>MMR012CMP013</v>
      </c>
      <c r="AF228" s="572" t="str">
        <f ca="1">IFERROR(OFFSET(Camp_List[Status],MATCH(Data_NFI_t[[#This Row],[Camp Name]],Camp_List[Camp Name],0)-1,0,1,1),"")</f>
        <v>Open</v>
      </c>
    </row>
    <row r="229" spans="1:32" s="100" customFormat="1" ht="15" customHeight="1">
      <c r="A229" s="254">
        <f t="shared" si="3"/>
        <v>40.299999999999997</v>
      </c>
      <c r="B229" s="254">
        <f>YEAR(Data_NFI_t[[#This Row],[Distribution Date]])</f>
        <v>2013</v>
      </c>
      <c r="C229" s="585">
        <v>41313</v>
      </c>
      <c r="D229" s="547" t="s">
        <v>289</v>
      </c>
      <c r="E229" s="546"/>
      <c r="F229" s="547" t="s">
        <v>7</v>
      </c>
      <c r="G229" s="31" t="s">
        <v>17</v>
      </c>
      <c r="H229" s="31" t="s">
        <v>58</v>
      </c>
      <c r="I229" s="31">
        <v>418</v>
      </c>
      <c r="J229" s="60"/>
      <c r="K229" s="60"/>
      <c r="L229" s="60"/>
      <c r="M229" s="60"/>
      <c r="N229" s="60"/>
      <c r="O229" s="60"/>
      <c r="P229" s="60"/>
      <c r="Q229" s="60"/>
      <c r="R229" s="570"/>
      <c r="S229" s="60"/>
      <c r="T229" s="143">
        <f>IF(NFI_Expiration=1,IF($A229&lt;VLOOKUP(I$5,NFI,5,0),1,0)*Data_NFI_t[[#This Row],[Hygiene Kit]],0)</f>
        <v>0</v>
      </c>
      <c r="U229" s="143">
        <f>IF(NFI_Expiration=1,IF($A229&lt;VLOOKUP(J$5,NFI,5,0),1,0)*Data_NFI_t[[#This Row],[NFI Core Kit]],0)</f>
        <v>0</v>
      </c>
      <c r="V229" s="124">
        <f>IF(NFI_Expiration=1,IF($A229&lt;VLOOKUP(K$5,NFI,5,0),1,0)*Data_NFI_t[[#This Row],[Sanitary Kit]],0)</f>
        <v>0</v>
      </c>
      <c r="W229" s="124">
        <f>IF(NFI_Expiration=1,IF($A229&lt;VLOOKUP(L$5,NFI,5,0),1,0)*Data_NFI_t[[#This Row],[Mosquito net]],0)</f>
        <v>0</v>
      </c>
      <c r="X229" s="124">
        <f>IF(NFI_Expiration=1,IF($A229&lt;VLOOKUP(M$5,NFI,5,0),1,0)*Data_NFI_t[[#This Row],[Tarpaulin]],0)</f>
        <v>0</v>
      </c>
      <c r="Y229" s="124">
        <f>IF(NFI_Expiration=1,IF($A229&lt;VLOOKUP(N$5,NFI,5,0),1,0)*Data_NFI_t[[#This Row],[Blanket]],0)</f>
        <v>0</v>
      </c>
      <c r="Z229" s="124">
        <f>IF(NFI_Expiration=1,IF($A229&lt;VLOOKUP(O$5,NFI,5,0),1,0)*Data_NFI_t[[#This Row],[Kitchen Set]],0)</f>
        <v>0</v>
      </c>
      <c r="AA229" s="124">
        <f>IF(NFI_Expiration=1,IF($A229&lt;VLOOKUP(P$5,NFI,5,0),1,0)*Data_NFI_t[[#This Row],[Complementary Kit]],0)</f>
        <v>0</v>
      </c>
      <c r="AB229" s="124">
        <f>IF(NFI_Expiration=1,IF($A229&lt;VLOOKUP(Q$5,NFI,5,0),1,0)*Data_NFI_t[[#This Row],[Plastic Bucket]],0)</f>
        <v>0</v>
      </c>
      <c r="AC229" s="124">
        <f>IF(NFI_Expiration=1,IF($A229&lt;VLOOKUP(R$5,NFI,5,0),1,0)*Data_NFI_t[[#This Row],[Jerry Can]],0)</f>
        <v>0</v>
      </c>
      <c r="AD229" s="143">
        <f>IF(NFI_Expiration=1,IF($A229&lt;VLOOKUP(S$5,NFI,5,0),1,0)*Data_NFI_t[[#This Row],[Plastic Mat]],0)*IF(Data_NFI_t[[#This Row],[Distribution Date]]&gt;"01-06-2015",1,2.5)</f>
        <v>0</v>
      </c>
      <c r="AE229" s="143" t="str">
        <f ca="1">IFERROR(OFFSET(Camp_List[P_Code],MATCH(Data_NFI_t[[#This Row],[Camp Name]],Camp_List[Camp Name],0)-1,0,1,1),"")</f>
        <v>MMR012CMP035</v>
      </c>
      <c r="AF229" s="572" t="str">
        <f ca="1">IFERROR(OFFSET(Camp_List[Status],MATCH(Data_NFI_t[[#This Row],[Camp Name]],Camp_List[Camp Name],0)-1,0,1,1),"")</f>
        <v>Open</v>
      </c>
    </row>
    <row r="230" spans="1:32" s="100" customFormat="1" ht="15" customHeight="1">
      <c r="A230" s="254">
        <f t="shared" si="3"/>
        <v>40.299999999999997</v>
      </c>
      <c r="B230" s="254">
        <f>YEAR(Data_NFI_t[[#This Row],[Distribution Date]])</f>
        <v>2013</v>
      </c>
      <c r="C230" s="585">
        <v>41313</v>
      </c>
      <c r="D230" s="547" t="s">
        <v>289</v>
      </c>
      <c r="E230" s="546"/>
      <c r="F230" s="547" t="s">
        <v>7</v>
      </c>
      <c r="G230" s="31" t="s">
        <v>18</v>
      </c>
      <c r="H230" s="31" t="s">
        <v>60</v>
      </c>
      <c r="I230" s="31">
        <v>24</v>
      </c>
      <c r="J230" s="60"/>
      <c r="K230" s="60"/>
      <c r="L230" s="60"/>
      <c r="M230" s="60"/>
      <c r="N230" s="60"/>
      <c r="O230" s="60"/>
      <c r="P230" s="60"/>
      <c r="Q230" s="60"/>
      <c r="R230" s="570"/>
      <c r="S230" s="60"/>
      <c r="T230" s="143">
        <f>IF(NFI_Expiration=1,IF($A230&lt;VLOOKUP(I$5,NFI,5,0),1,0)*Data_NFI_t[[#This Row],[Hygiene Kit]],0)</f>
        <v>0</v>
      </c>
      <c r="U230" s="143">
        <f>IF(NFI_Expiration=1,IF($A230&lt;VLOOKUP(J$5,NFI,5,0),1,0)*Data_NFI_t[[#This Row],[NFI Core Kit]],0)</f>
        <v>0</v>
      </c>
      <c r="V230" s="124">
        <f>IF(NFI_Expiration=1,IF($A230&lt;VLOOKUP(K$5,NFI,5,0),1,0)*Data_NFI_t[[#This Row],[Sanitary Kit]],0)</f>
        <v>0</v>
      </c>
      <c r="W230" s="124">
        <f>IF(NFI_Expiration=1,IF($A230&lt;VLOOKUP(L$5,NFI,5,0),1,0)*Data_NFI_t[[#This Row],[Mosquito net]],0)</f>
        <v>0</v>
      </c>
      <c r="X230" s="124">
        <f>IF(NFI_Expiration=1,IF($A230&lt;VLOOKUP(M$5,NFI,5,0),1,0)*Data_NFI_t[[#This Row],[Tarpaulin]],0)</f>
        <v>0</v>
      </c>
      <c r="Y230" s="124">
        <f>IF(NFI_Expiration=1,IF($A230&lt;VLOOKUP(N$5,NFI,5,0),1,0)*Data_NFI_t[[#This Row],[Blanket]],0)</f>
        <v>0</v>
      </c>
      <c r="Z230" s="124">
        <f>IF(NFI_Expiration=1,IF($A230&lt;VLOOKUP(O$5,NFI,5,0),1,0)*Data_NFI_t[[#This Row],[Kitchen Set]],0)</f>
        <v>0</v>
      </c>
      <c r="AA230" s="124">
        <f>IF(NFI_Expiration=1,IF($A230&lt;VLOOKUP(P$5,NFI,5,0),1,0)*Data_NFI_t[[#This Row],[Complementary Kit]],0)</f>
        <v>0</v>
      </c>
      <c r="AB230" s="124">
        <f>IF(NFI_Expiration=1,IF($A230&lt;VLOOKUP(Q$5,NFI,5,0),1,0)*Data_NFI_t[[#This Row],[Plastic Bucket]],0)</f>
        <v>0</v>
      </c>
      <c r="AC230" s="124">
        <f>IF(NFI_Expiration=1,IF($A230&lt;VLOOKUP(R$5,NFI,5,0),1,0)*Data_NFI_t[[#This Row],[Jerry Can]],0)</f>
        <v>0</v>
      </c>
      <c r="AD230" s="143">
        <f>IF(NFI_Expiration=1,IF($A230&lt;VLOOKUP(S$5,NFI,5,0),1,0)*Data_NFI_t[[#This Row],[Plastic Mat]],0)*IF(Data_NFI_t[[#This Row],[Distribution Date]]&gt;"01-06-2015",1,2.5)</f>
        <v>0</v>
      </c>
      <c r="AE230" s="143" t="str">
        <f ca="1">IFERROR(OFFSET(Camp_List[P_Code],MATCH(Data_NFI_t[[#This Row],[Camp Name]],Camp_List[Camp Name],0)-1,0,1,1),"")</f>
        <v>MMR012CMP038</v>
      </c>
      <c r="AF230" s="572" t="str">
        <f ca="1">IFERROR(OFFSET(Camp_List[Status],MATCH(Data_NFI_t[[#This Row],[Camp Name]],Camp_List[Camp Name],0)-1,0,1,1),"")</f>
        <v>Open</v>
      </c>
    </row>
    <row r="231" spans="1:32" s="100" customFormat="1" ht="15" customHeight="1">
      <c r="A231" s="254">
        <f t="shared" si="3"/>
        <v>40.299999999999997</v>
      </c>
      <c r="B231" s="254">
        <f>YEAR(Data_NFI_t[[#This Row],[Distribution Date]])</f>
        <v>2013</v>
      </c>
      <c r="C231" s="585">
        <v>41313</v>
      </c>
      <c r="D231" s="547" t="s">
        <v>289</v>
      </c>
      <c r="E231" s="546"/>
      <c r="F231" s="547" t="s">
        <v>7</v>
      </c>
      <c r="G231" s="31" t="s">
        <v>18</v>
      </c>
      <c r="H231" s="31" t="s">
        <v>59</v>
      </c>
      <c r="I231" s="31">
        <v>97</v>
      </c>
      <c r="J231" s="60"/>
      <c r="K231" s="60"/>
      <c r="L231" s="60"/>
      <c r="M231" s="60"/>
      <c r="N231" s="60"/>
      <c r="O231" s="60"/>
      <c r="P231" s="60"/>
      <c r="Q231" s="60"/>
      <c r="R231" s="570"/>
      <c r="S231" s="60"/>
      <c r="T231" s="143">
        <f>IF(NFI_Expiration=1,IF($A231&lt;VLOOKUP(I$5,NFI,5,0),1,0)*Data_NFI_t[[#This Row],[Hygiene Kit]],0)</f>
        <v>0</v>
      </c>
      <c r="U231" s="143">
        <f>IF(NFI_Expiration=1,IF($A231&lt;VLOOKUP(J$5,NFI,5,0),1,0)*Data_NFI_t[[#This Row],[NFI Core Kit]],0)</f>
        <v>0</v>
      </c>
      <c r="V231" s="124">
        <f>IF(NFI_Expiration=1,IF($A231&lt;VLOOKUP(K$5,NFI,5,0),1,0)*Data_NFI_t[[#This Row],[Sanitary Kit]],0)</f>
        <v>0</v>
      </c>
      <c r="W231" s="124">
        <f>IF(NFI_Expiration=1,IF($A231&lt;VLOOKUP(L$5,NFI,5,0),1,0)*Data_NFI_t[[#This Row],[Mosquito net]],0)</f>
        <v>0</v>
      </c>
      <c r="X231" s="124">
        <f>IF(NFI_Expiration=1,IF($A231&lt;VLOOKUP(M$5,NFI,5,0),1,0)*Data_NFI_t[[#This Row],[Tarpaulin]],0)</f>
        <v>0</v>
      </c>
      <c r="Y231" s="124">
        <f>IF(NFI_Expiration=1,IF($A231&lt;VLOOKUP(N$5,NFI,5,0),1,0)*Data_NFI_t[[#This Row],[Blanket]],0)</f>
        <v>0</v>
      </c>
      <c r="Z231" s="124">
        <f>IF(NFI_Expiration=1,IF($A231&lt;VLOOKUP(O$5,NFI,5,0),1,0)*Data_NFI_t[[#This Row],[Kitchen Set]],0)</f>
        <v>0</v>
      </c>
      <c r="AA231" s="124">
        <f>IF(NFI_Expiration=1,IF($A231&lt;VLOOKUP(P$5,NFI,5,0),1,0)*Data_NFI_t[[#This Row],[Complementary Kit]],0)</f>
        <v>0</v>
      </c>
      <c r="AB231" s="124">
        <f>IF(NFI_Expiration=1,IF($A231&lt;VLOOKUP(Q$5,NFI,5,0),1,0)*Data_NFI_t[[#This Row],[Plastic Bucket]],0)</f>
        <v>0</v>
      </c>
      <c r="AC231" s="124">
        <f>IF(NFI_Expiration=1,IF($A231&lt;VLOOKUP(R$5,NFI,5,0),1,0)*Data_NFI_t[[#This Row],[Jerry Can]],0)</f>
        <v>0</v>
      </c>
      <c r="AD231" s="143">
        <f>IF(NFI_Expiration=1,IF($A231&lt;VLOOKUP(S$5,NFI,5,0),1,0)*Data_NFI_t[[#This Row],[Plastic Mat]],0)*IF(Data_NFI_t[[#This Row],[Distribution Date]]&gt;"01-06-2015",1,2.5)</f>
        <v>0</v>
      </c>
      <c r="AE231" s="143" t="str">
        <f ca="1">IFERROR(OFFSET(Camp_List[P_Code],MATCH(Data_NFI_t[[#This Row],[Camp Name]],Camp_List[Camp Name],0)-1,0,1,1),"")</f>
        <v>MMR012CMP037</v>
      </c>
      <c r="AF231" s="572" t="str">
        <f ca="1">IFERROR(OFFSET(Camp_List[Status],MATCH(Data_NFI_t[[#This Row],[Camp Name]],Camp_List[Camp Name],0)-1,0,1,1),"")</f>
        <v>Open</v>
      </c>
    </row>
    <row r="232" spans="1:32" s="100" customFormat="1" ht="15" customHeight="1">
      <c r="A232" s="254">
        <f t="shared" si="3"/>
        <v>40.299999999999997</v>
      </c>
      <c r="B232" s="254">
        <f>YEAR(Data_NFI_t[[#This Row],[Distribution Date]])</f>
        <v>2013</v>
      </c>
      <c r="C232" s="585">
        <v>41313</v>
      </c>
      <c r="D232" s="547" t="s">
        <v>289</v>
      </c>
      <c r="E232" s="546"/>
      <c r="F232" s="547" t="s">
        <v>7</v>
      </c>
      <c r="G232" s="31" t="s">
        <v>900</v>
      </c>
      <c r="H232" s="31" t="s">
        <v>38</v>
      </c>
      <c r="I232" s="31">
        <v>705</v>
      </c>
      <c r="J232" s="60"/>
      <c r="K232" s="60"/>
      <c r="L232" s="60"/>
      <c r="M232" s="60"/>
      <c r="N232" s="60"/>
      <c r="O232" s="60"/>
      <c r="P232" s="60"/>
      <c r="Q232" s="60"/>
      <c r="R232" s="570"/>
      <c r="S232" s="60"/>
      <c r="T232" s="143">
        <f>IF(NFI_Expiration=1,IF($A232&lt;VLOOKUP(I$5,NFI,5,0),1,0)*Data_NFI_t[[#This Row],[Hygiene Kit]],0)</f>
        <v>0</v>
      </c>
      <c r="U232" s="143">
        <f>IF(NFI_Expiration=1,IF($A232&lt;VLOOKUP(J$5,NFI,5,0),1,0)*Data_NFI_t[[#This Row],[NFI Core Kit]],0)</f>
        <v>0</v>
      </c>
      <c r="V232" s="124">
        <f>IF(NFI_Expiration=1,IF($A232&lt;VLOOKUP(K$5,NFI,5,0),1,0)*Data_NFI_t[[#This Row],[Sanitary Kit]],0)</f>
        <v>0</v>
      </c>
      <c r="W232" s="124">
        <f>IF(NFI_Expiration=1,IF($A232&lt;VLOOKUP(L$5,NFI,5,0),1,0)*Data_NFI_t[[#This Row],[Mosquito net]],0)</f>
        <v>0</v>
      </c>
      <c r="X232" s="124">
        <f>IF(NFI_Expiration=1,IF($A232&lt;VLOOKUP(M$5,NFI,5,0),1,0)*Data_NFI_t[[#This Row],[Tarpaulin]],0)</f>
        <v>0</v>
      </c>
      <c r="Y232" s="124">
        <f>IF(NFI_Expiration=1,IF($A232&lt;VLOOKUP(N$5,NFI,5,0),1,0)*Data_NFI_t[[#This Row],[Blanket]],0)</f>
        <v>0</v>
      </c>
      <c r="Z232" s="124">
        <f>IF(NFI_Expiration=1,IF($A232&lt;VLOOKUP(O$5,NFI,5,0),1,0)*Data_NFI_t[[#This Row],[Kitchen Set]],0)</f>
        <v>0</v>
      </c>
      <c r="AA232" s="124">
        <f>IF(NFI_Expiration=1,IF($A232&lt;VLOOKUP(P$5,NFI,5,0),1,0)*Data_NFI_t[[#This Row],[Complementary Kit]],0)</f>
        <v>0</v>
      </c>
      <c r="AB232" s="124">
        <f>IF(NFI_Expiration=1,IF($A232&lt;VLOOKUP(Q$5,NFI,5,0),1,0)*Data_NFI_t[[#This Row],[Plastic Bucket]],0)</f>
        <v>0</v>
      </c>
      <c r="AC232" s="124">
        <f>IF(NFI_Expiration=1,IF($A232&lt;VLOOKUP(R$5,NFI,5,0),1,0)*Data_NFI_t[[#This Row],[Jerry Can]],0)</f>
        <v>0</v>
      </c>
      <c r="AD232" s="143">
        <f>IF(NFI_Expiration=1,IF($A232&lt;VLOOKUP(S$5,NFI,5,0),1,0)*Data_NFI_t[[#This Row],[Plastic Mat]],0)*IF(Data_NFI_t[[#This Row],[Distribution Date]]&gt;"01-06-2015",1,2.5)</f>
        <v>0</v>
      </c>
      <c r="AE232" s="143" t="str">
        <f ca="1">IFERROR(OFFSET(Camp_List[P_Code],MATCH(Data_NFI_t[[#This Row],[Camp Name]],Camp_List[Camp Name],0)-1,0,1,1),"")</f>
        <v>MMR012CMP014</v>
      </c>
      <c r="AF232" s="572" t="str">
        <f ca="1">IFERROR(OFFSET(Camp_List[Status],MATCH(Data_NFI_t[[#This Row],[Camp Name]],Camp_List[Camp Name],0)-1,0,1,1),"")</f>
        <v>Open</v>
      </c>
    </row>
    <row r="233" spans="1:32" s="100" customFormat="1" ht="15" customHeight="1">
      <c r="A233" s="254">
        <f t="shared" si="3"/>
        <v>40.533333333333331</v>
      </c>
      <c r="B233" s="254">
        <f>YEAR(Data_NFI_t[[#This Row],[Distribution Date]])</f>
        <v>2013</v>
      </c>
      <c r="C233" s="585">
        <v>41306</v>
      </c>
      <c r="D233" s="547" t="s">
        <v>525</v>
      </c>
      <c r="E233" s="546" t="s">
        <v>525</v>
      </c>
      <c r="F233" s="547" t="s">
        <v>7</v>
      </c>
      <c r="G233" s="31" t="s">
        <v>14</v>
      </c>
      <c r="H233" s="31" t="s">
        <v>40</v>
      </c>
      <c r="I233" s="31">
        <v>803</v>
      </c>
      <c r="J233" s="60"/>
      <c r="K233" s="60"/>
      <c r="L233" s="60"/>
      <c r="M233" s="60"/>
      <c r="N233" s="60"/>
      <c r="O233" s="60"/>
      <c r="P233" s="60"/>
      <c r="Q233" s="60"/>
      <c r="R233" s="570"/>
      <c r="S233" s="60"/>
      <c r="T233" s="143">
        <f>IF(NFI_Expiration=1,IF($A233&lt;VLOOKUP(I$5,NFI,5,0),1,0)*Data_NFI_t[[#This Row],[Hygiene Kit]],0)</f>
        <v>0</v>
      </c>
      <c r="U233" s="143">
        <f>IF(NFI_Expiration=1,IF($A233&lt;VLOOKUP(J$5,NFI,5,0),1,0)*Data_NFI_t[[#This Row],[NFI Core Kit]],0)</f>
        <v>0</v>
      </c>
      <c r="V233" s="124">
        <f>IF(NFI_Expiration=1,IF($A233&lt;VLOOKUP(K$5,NFI,5,0),1,0)*Data_NFI_t[[#This Row],[Sanitary Kit]],0)</f>
        <v>0</v>
      </c>
      <c r="W233" s="124">
        <f>IF(NFI_Expiration=1,IF($A233&lt;VLOOKUP(L$5,NFI,5,0),1,0)*Data_NFI_t[[#This Row],[Mosquito net]],0)</f>
        <v>0</v>
      </c>
      <c r="X233" s="124">
        <f>IF(NFI_Expiration=1,IF($A233&lt;VLOOKUP(M$5,NFI,5,0),1,0)*Data_NFI_t[[#This Row],[Tarpaulin]],0)</f>
        <v>0</v>
      </c>
      <c r="Y233" s="124">
        <f>IF(NFI_Expiration=1,IF($A233&lt;VLOOKUP(N$5,NFI,5,0),1,0)*Data_NFI_t[[#This Row],[Blanket]],0)</f>
        <v>0</v>
      </c>
      <c r="Z233" s="124">
        <f>IF(NFI_Expiration=1,IF($A233&lt;VLOOKUP(O$5,NFI,5,0),1,0)*Data_NFI_t[[#This Row],[Kitchen Set]],0)</f>
        <v>0</v>
      </c>
      <c r="AA233" s="124">
        <f>IF(NFI_Expiration=1,IF($A233&lt;VLOOKUP(P$5,NFI,5,0),1,0)*Data_NFI_t[[#This Row],[Complementary Kit]],0)</f>
        <v>0</v>
      </c>
      <c r="AB233" s="124">
        <f>IF(NFI_Expiration=1,IF($A233&lt;VLOOKUP(Q$5,NFI,5,0),1,0)*Data_NFI_t[[#This Row],[Plastic Bucket]],0)</f>
        <v>0</v>
      </c>
      <c r="AC233" s="124">
        <f>IF(NFI_Expiration=1,IF($A233&lt;VLOOKUP(R$5,NFI,5,0),1,0)*Data_NFI_t[[#This Row],[Jerry Can]],0)</f>
        <v>0</v>
      </c>
      <c r="AD233" s="143">
        <f>IF(NFI_Expiration=1,IF($A233&lt;VLOOKUP(S$5,NFI,5,0),1,0)*Data_NFI_t[[#This Row],[Plastic Mat]],0)*IF(Data_NFI_t[[#This Row],[Distribution Date]]&gt;"01-06-2015",1,2.5)</f>
        <v>0</v>
      </c>
      <c r="AE233" s="143" t="str">
        <f ca="1">IFERROR(OFFSET(Camp_List[P_Code],MATCH(Data_NFI_t[[#This Row],[Camp Name]],Camp_List[Camp Name],0)-1,0,1,1),"")</f>
        <v>MMR012CMP016</v>
      </c>
      <c r="AF233" s="572" t="str">
        <f ca="1">IFERROR(OFFSET(Camp_List[Status],MATCH(Data_NFI_t[[#This Row],[Camp Name]],Camp_List[Camp Name],0)-1,0,1,1),"")</f>
        <v>Open</v>
      </c>
    </row>
    <row r="234" spans="1:32" s="100" customFormat="1" ht="15" customHeight="1">
      <c r="A234" s="254">
        <f t="shared" si="3"/>
        <v>40.533333333333331</v>
      </c>
      <c r="B234" s="254">
        <f>YEAR(Data_NFI_t[[#This Row],[Distribution Date]])</f>
        <v>2013</v>
      </c>
      <c r="C234" s="585">
        <v>41306</v>
      </c>
      <c r="D234" s="547" t="s">
        <v>525</v>
      </c>
      <c r="E234" s="546" t="s">
        <v>525</v>
      </c>
      <c r="F234" s="547" t="s">
        <v>7</v>
      </c>
      <c r="G234" s="31" t="s">
        <v>14</v>
      </c>
      <c r="H234" s="31" t="s">
        <v>42</v>
      </c>
      <c r="I234" s="31">
        <v>858</v>
      </c>
      <c r="J234" s="60"/>
      <c r="K234" s="60"/>
      <c r="L234" s="60"/>
      <c r="M234" s="60"/>
      <c r="N234" s="60"/>
      <c r="O234" s="60"/>
      <c r="P234" s="60"/>
      <c r="Q234" s="60"/>
      <c r="R234" s="570"/>
      <c r="S234" s="60"/>
      <c r="T234" s="143">
        <f>IF(NFI_Expiration=1,IF($A234&lt;VLOOKUP(I$5,NFI,5,0),1,0)*Data_NFI_t[[#This Row],[Hygiene Kit]],0)</f>
        <v>0</v>
      </c>
      <c r="U234" s="143">
        <f>IF(NFI_Expiration=1,IF($A234&lt;VLOOKUP(J$5,NFI,5,0),1,0)*Data_NFI_t[[#This Row],[NFI Core Kit]],0)</f>
        <v>0</v>
      </c>
      <c r="V234" s="124">
        <f>IF(NFI_Expiration=1,IF($A234&lt;VLOOKUP(K$5,NFI,5,0),1,0)*Data_NFI_t[[#This Row],[Sanitary Kit]],0)</f>
        <v>0</v>
      </c>
      <c r="W234" s="124">
        <f>IF(NFI_Expiration=1,IF($A234&lt;VLOOKUP(L$5,NFI,5,0),1,0)*Data_NFI_t[[#This Row],[Mosquito net]],0)</f>
        <v>0</v>
      </c>
      <c r="X234" s="124">
        <f>IF(NFI_Expiration=1,IF($A234&lt;VLOOKUP(M$5,NFI,5,0),1,0)*Data_NFI_t[[#This Row],[Tarpaulin]],0)</f>
        <v>0</v>
      </c>
      <c r="Y234" s="124">
        <f>IF(NFI_Expiration=1,IF($A234&lt;VLOOKUP(N$5,NFI,5,0),1,0)*Data_NFI_t[[#This Row],[Blanket]],0)</f>
        <v>0</v>
      </c>
      <c r="Z234" s="124">
        <f>IF(NFI_Expiration=1,IF($A234&lt;VLOOKUP(O$5,NFI,5,0),1,0)*Data_NFI_t[[#This Row],[Kitchen Set]],0)</f>
        <v>0</v>
      </c>
      <c r="AA234" s="124">
        <f>IF(NFI_Expiration=1,IF($A234&lt;VLOOKUP(P$5,NFI,5,0),1,0)*Data_NFI_t[[#This Row],[Complementary Kit]],0)</f>
        <v>0</v>
      </c>
      <c r="AB234" s="124">
        <f>IF(NFI_Expiration=1,IF($A234&lt;VLOOKUP(Q$5,NFI,5,0),1,0)*Data_NFI_t[[#This Row],[Plastic Bucket]],0)</f>
        <v>0</v>
      </c>
      <c r="AC234" s="124">
        <f>IF(NFI_Expiration=1,IF($A234&lt;VLOOKUP(R$5,NFI,5,0),1,0)*Data_NFI_t[[#This Row],[Jerry Can]],0)</f>
        <v>0</v>
      </c>
      <c r="AD234" s="143">
        <f>IF(NFI_Expiration=1,IF($A234&lt;VLOOKUP(S$5,NFI,5,0),1,0)*Data_NFI_t[[#This Row],[Plastic Mat]],0)*IF(Data_NFI_t[[#This Row],[Distribution Date]]&gt;"01-06-2015",1,2.5)</f>
        <v>0</v>
      </c>
      <c r="AE234" s="143" t="str">
        <f ca="1">IFERROR(OFFSET(Camp_List[P_Code],MATCH(Data_NFI_t[[#This Row],[Camp Name]],Camp_List[Camp Name],0)-1,0,1,1),"")</f>
        <v>MMR012CMP018</v>
      </c>
      <c r="AF234" s="572" t="str">
        <f ca="1">IFERROR(OFFSET(Camp_List[Status],MATCH(Data_NFI_t[[#This Row],[Camp Name]],Camp_List[Camp Name],0)-1,0,1,1),"")</f>
        <v>Open</v>
      </c>
    </row>
    <row r="235" spans="1:32" s="100" customFormat="1" ht="15" customHeight="1">
      <c r="A235" s="254">
        <f t="shared" si="3"/>
        <v>40.6</v>
      </c>
      <c r="B235" s="254">
        <f>YEAR(Data_NFI_t[[#This Row],[Distribution Date]])</f>
        <v>2013</v>
      </c>
      <c r="C235" s="585">
        <v>41304</v>
      </c>
      <c r="D235" s="547" t="s">
        <v>525</v>
      </c>
      <c r="E235" s="546" t="s">
        <v>525</v>
      </c>
      <c r="F235" s="547" t="s">
        <v>7</v>
      </c>
      <c r="G235" s="31" t="s">
        <v>14</v>
      </c>
      <c r="H235" s="31" t="s">
        <v>43</v>
      </c>
      <c r="I235" s="31">
        <v>810</v>
      </c>
      <c r="J235" s="60"/>
      <c r="K235" s="60"/>
      <c r="L235" s="60"/>
      <c r="M235" s="60"/>
      <c r="N235" s="60"/>
      <c r="O235" s="60"/>
      <c r="P235" s="60"/>
      <c r="Q235" s="60"/>
      <c r="R235" s="570"/>
      <c r="S235" s="60"/>
      <c r="T235" s="143">
        <f>IF(NFI_Expiration=1,IF($A235&lt;VLOOKUP(I$5,NFI,5,0),1,0)*Data_NFI_t[[#This Row],[Hygiene Kit]],0)</f>
        <v>0</v>
      </c>
      <c r="U235" s="143">
        <f>IF(NFI_Expiration=1,IF($A235&lt;VLOOKUP(J$5,NFI,5,0),1,0)*Data_NFI_t[[#This Row],[NFI Core Kit]],0)</f>
        <v>0</v>
      </c>
      <c r="V235" s="124">
        <f>IF(NFI_Expiration=1,IF($A235&lt;VLOOKUP(K$5,NFI,5,0),1,0)*Data_NFI_t[[#This Row],[Sanitary Kit]],0)</f>
        <v>0</v>
      </c>
      <c r="W235" s="124">
        <f>IF(NFI_Expiration=1,IF($A235&lt;VLOOKUP(L$5,NFI,5,0),1,0)*Data_NFI_t[[#This Row],[Mosquito net]],0)</f>
        <v>0</v>
      </c>
      <c r="X235" s="124">
        <f>IF(NFI_Expiration=1,IF($A235&lt;VLOOKUP(M$5,NFI,5,0),1,0)*Data_NFI_t[[#This Row],[Tarpaulin]],0)</f>
        <v>0</v>
      </c>
      <c r="Y235" s="124">
        <f>IF(NFI_Expiration=1,IF($A235&lt;VLOOKUP(N$5,NFI,5,0),1,0)*Data_NFI_t[[#This Row],[Blanket]],0)</f>
        <v>0</v>
      </c>
      <c r="Z235" s="124">
        <f>IF(NFI_Expiration=1,IF($A235&lt;VLOOKUP(O$5,NFI,5,0),1,0)*Data_NFI_t[[#This Row],[Kitchen Set]],0)</f>
        <v>0</v>
      </c>
      <c r="AA235" s="124">
        <f>IF(NFI_Expiration=1,IF($A235&lt;VLOOKUP(P$5,NFI,5,0),1,0)*Data_NFI_t[[#This Row],[Complementary Kit]],0)</f>
        <v>0</v>
      </c>
      <c r="AB235" s="124">
        <f>IF(NFI_Expiration=1,IF($A235&lt;VLOOKUP(Q$5,NFI,5,0),1,0)*Data_NFI_t[[#This Row],[Plastic Bucket]],0)</f>
        <v>0</v>
      </c>
      <c r="AC235" s="124">
        <f>IF(NFI_Expiration=1,IF($A235&lt;VLOOKUP(R$5,NFI,5,0),1,0)*Data_NFI_t[[#This Row],[Jerry Can]],0)</f>
        <v>0</v>
      </c>
      <c r="AD235" s="143">
        <f>IF(NFI_Expiration=1,IF($A235&lt;VLOOKUP(S$5,NFI,5,0),1,0)*Data_NFI_t[[#This Row],[Plastic Mat]],0)*IF(Data_NFI_t[[#This Row],[Distribution Date]]&gt;"01-06-2015",1,2.5)</f>
        <v>0</v>
      </c>
      <c r="AE235" s="143" t="str">
        <f ca="1">IFERROR(OFFSET(Camp_List[P_Code],MATCH(Data_NFI_t[[#This Row],[Camp Name]],Camp_List[Camp Name],0)-1,0,1,1),"")</f>
        <v>MMR012CMP019</v>
      </c>
      <c r="AF235" s="572" t="str">
        <f ca="1">IFERROR(OFFSET(Camp_List[Status],MATCH(Data_NFI_t[[#This Row],[Camp Name]],Camp_List[Camp Name],0)-1,0,1,1),"")</f>
        <v>Open</v>
      </c>
    </row>
    <row r="236" spans="1:32" s="100" customFormat="1" ht="15" customHeight="1">
      <c r="A236" s="254">
        <f t="shared" si="3"/>
        <v>40.799999999999997</v>
      </c>
      <c r="B236" s="254">
        <f>YEAR(Data_NFI_t[[#This Row],[Distribution Date]])</f>
        <v>2013</v>
      </c>
      <c r="C236" s="585">
        <v>41298</v>
      </c>
      <c r="D236" s="547" t="s">
        <v>525</v>
      </c>
      <c r="E236" s="546" t="s">
        <v>525</v>
      </c>
      <c r="F236" s="547" t="s">
        <v>7</v>
      </c>
      <c r="G236" s="31" t="s">
        <v>19</v>
      </c>
      <c r="H236" s="31" t="s">
        <v>70</v>
      </c>
      <c r="I236" s="31">
        <v>3100</v>
      </c>
      <c r="J236" s="60"/>
      <c r="K236" s="60"/>
      <c r="L236" s="60"/>
      <c r="M236" s="60"/>
      <c r="N236" s="60"/>
      <c r="O236" s="60"/>
      <c r="P236" s="60"/>
      <c r="Q236" s="60"/>
      <c r="R236" s="570"/>
      <c r="S236" s="60"/>
      <c r="T236" s="143">
        <f>IF(NFI_Expiration=1,IF($A236&lt;VLOOKUP(I$5,NFI,5,0),1,0)*Data_NFI_t[[#This Row],[Hygiene Kit]],0)</f>
        <v>0</v>
      </c>
      <c r="U236" s="143">
        <f>IF(NFI_Expiration=1,IF($A236&lt;VLOOKUP(J$5,NFI,5,0),1,0)*Data_NFI_t[[#This Row],[NFI Core Kit]],0)</f>
        <v>0</v>
      </c>
      <c r="V236" s="124">
        <f>IF(NFI_Expiration=1,IF($A236&lt;VLOOKUP(K$5,NFI,5,0),1,0)*Data_NFI_t[[#This Row],[Sanitary Kit]],0)</f>
        <v>0</v>
      </c>
      <c r="W236" s="124">
        <f>IF(NFI_Expiration=1,IF($A236&lt;VLOOKUP(L$5,NFI,5,0),1,0)*Data_NFI_t[[#This Row],[Mosquito net]],0)</f>
        <v>0</v>
      </c>
      <c r="X236" s="124">
        <f>IF(NFI_Expiration=1,IF($A236&lt;VLOOKUP(M$5,NFI,5,0),1,0)*Data_NFI_t[[#This Row],[Tarpaulin]],0)</f>
        <v>0</v>
      </c>
      <c r="Y236" s="124">
        <f>IF(NFI_Expiration=1,IF($A236&lt;VLOOKUP(N$5,NFI,5,0),1,0)*Data_NFI_t[[#This Row],[Blanket]],0)</f>
        <v>0</v>
      </c>
      <c r="Z236" s="124">
        <f>IF(NFI_Expiration=1,IF($A236&lt;VLOOKUP(O$5,NFI,5,0),1,0)*Data_NFI_t[[#This Row],[Kitchen Set]],0)</f>
        <v>0</v>
      </c>
      <c r="AA236" s="124">
        <f>IF(NFI_Expiration=1,IF($A236&lt;VLOOKUP(P$5,NFI,5,0),1,0)*Data_NFI_t[[#This Row],[Complementary Kit]],0)</f>
        <v>0</v>
      </c>
      <c r="AB236" s="124">
        <f>IF(NFI_Expiration=1,IF($A236&lt;VLOOKUP(Q$5,NFI,5,0),1,0)*Data_NFI_t[[#This Row],[Plastic Bucket]],0)</f>
        <v>0</v>
      </c>
      <c r="AC236" s="124">
        <f>IF(NFI_Expiration=1,IF($A236&lt;VLOOKUP(R$5,NFI,5,0),1,0)*Data_NFI_t[[#This Row],[Jerry Can]],0)</f>
        <v>0</v>
      </c>
      <c r="AD236" s="143">
        <f>IF(NFI_Expiration=1,IF($A236&lt;VLOOKUP(S$5,NFI,5,0),1,0)*Data_NFI_t[[#This Row],[Plastic Mat]],0)*IF(Data_NFI_t[[#This Row],[Distribution Date]]&gt;"01-06-2015",1,2.5)</f>
        <v>0</v>
      </c>
      <c r="AE236" s="143" t="str">
        <f ca="1">IFERROR(OFFSET(Camp_List[P_Code],MATCH(Data_NFI_t[[#This Row],[Camp Name]],Camp_List[Camp Name],0)-1,0,1,1),"")</f>
        <v>MMR012CMP048</v>
      </c>
      <c r="AF236" s="572" t="str">
        <f ca="1">IFERROR(OFFSET(Camp_List[Status],MATCH(Data_NFI_t[[#This Row],[Camp Name]],Camp_List[Camp Name],0)-1,0,1,1),"")</f>
        <v>Open</v>
      </c>
    </row>
    <row r="237" spans="1:32" s="100" customFormat="1" ht="15" customHeight="1">
      <c r="A237" s="254">
        <f t="shared" si="3"/>
        <v>40.9</v>
      </c>
      <c r="B237" s="254">
        <f>YEAR(Data_NFI_t[[#This Row],[Distribution Date]])</f>
        <v>2013</v>
      </c>
      <c r="C237" s="585">
        <v>41295</v>
      </c>
      <c r="D237" s="547" t="s">
        <v>291</v>
      </c>
      <c r="E237" s="546" t="s">
        <v>287</v>
      </c>
      <c r="F237" s="547" t="s">
        <v>7</v>
      </c>
      <c r="G237" s="31" t="s">
        <v>19</v>
      </c>
      <c r="H237" s="31" t="s">
        <v>246</v>
      </c>
      <c r="I237" s="31"/>
      <c r="J237" s="60"/>
      <c r="K237" s="60"/>
      <c r="L237" s="60"/>
      <c r="M237" s="60"/>
      <c r="N237" s="60">
        <v>38</v>
      </c>
      <c r="O237" s="60"/>
      <c r="P237" s="60"/>
      <c r="Q237" s="60"/>
      <c r="R237" s="570"/>
      <c r="S237" s="60"/>
      <c r="T237" s="143">
        <f>IF(NFI_Expiration=1,IF($A237&lt;VLOOKUP(I$5,NFI,5,0),1,0)*Data_NFI_t[[#This Row],[Hygiene Kit]],0)</f>
        <v>0</v>
      </c>
      <c r="U237" s="143">
        <f>IF(NFI_Expiration=1,IF($A237&lt;VLOOKUP(J$5,NFI,5,0),1,0)*Data_NFI_t[[#This Row],[NFI Core Kit]],0)</f>
        <v>0</v>
      </c>
      <c r="V237" s="124">
        <f>IF(NFI_Expiration=1,IF($A237&lt;VLOOKUP(K$5,NFI,5,0),1,0)*Data_NFI_t[[#This Row],[Sanitary Kit]],0)</f>
        <v>0</v>
      </c>
      <c r="W237" s="124">
        <f>IF(NFI_Expiration=1,IF($A237&lt;VLOOKUP(L$5,NFI,5,0),1,0)*Data_NFI_t[[#This Row],[Mosquito net]],0)</f>
        <v>0</v>
      </c>
      <c r="X237" s="124">
        <f>IF(NFI_Expiration=1,IF($A237&lt;VLOOKUP(M$5,NFI,5,0),1,0)*Data_NFI_t[[#This Row],[Tarpaulin]],0)</f>
        <v>0</v>
      </c>
      <c r="Y237" s="124">
        <f>IF(NFI_Expiration=1,IF($A237&lt;VLOOKUP(N$5,NFI,5,0),1,0)*Data_NFI_t[[#This Row],[Blanket]],0)</f>
        <v>0</v>
      </c>
      <c r="Z237" s="124">
        <f>IF(NFI_Expiration=1,IF($A237&lt;VLOOKUP(O$5,NFI,5,0),1,0)*Data_NFI_t[[#This Row],[Kitchen Set]],0)</f>
        <v>0</v>
      </c>
      <c r="AA237" s="124">
        <f>IF(NFI_Expiration=1,IF($A237&lt;VLOOKUP(P$5,NFI,5,0),1,0)*Data_NFI_t[[#This Row],[Complementary Kit]],0)</f>
        <v>0</v>
      </c>
      <c r="AB237" s="124">
        <f>IF(NFI_Expiration=1,IF($A237&lt;VLOOKUP(Q$5,NFI,5,0),1,0)*Data_NFI_t[[#This Row],[Plastic Bucket]],0)</f>
        <v>0</v>
      </c>
      <c r="AC237" s="124">
        <f>IF(NFI_Expiration=1,IF($A237&lt;VLOOKUP(R$5,NFI,5,0),1,0)*Data_NFI_t[[#This Row],[Jerry Can]],0)</f>
        <v>0</v>
      </c>
      <c r="AD237" s="143">
        <f>IF(NFI_Expiration=1,IF($A237&lt;VLOOKUP(S$5,NFI,5,0),1,0)*Data_NFI_t[[#This Row],[Plastic Mat]],0)*IF(Data_NFI_t[[#This Row],[Distribution Date]]&gt;"01-06-2015",1,2.5)</f>
        <v>0</v>
      </c>
      <c r="AE237" s="143" t="str">
        <f ca="1">IFERROR(OFFSET(Camp_List[P_Code],MATCH(Data_NFI_t[[#This Row],[Camp Name]],Camp_List[Camp Name],0)-1,0,1,1),"")</f>
        <v>MMR012CMP090</v>
      </c>
      <c r="AF237" s="572" t="str">
        <f ca="1">IFERROR(OFFSET(Camp_List[Status],MATCH(Data_NFI_t[[#This Row],[Camp Name]],Camp_List[Camp Name],0)-1,0,1,1),"")</f>
        <v>Close</v>
      </c>
    </row>
    <row r="238" spans="1:32" s="100" customFormat="1" ht="15" customHeight="1">
      <c r="A238" s="254">
        <f t="shared" si="3"/>
        <v>41</v>
      </c>
      <c r="B238" s="254">
        <f>YEAR(Data_NFI_t[[#This Row],[Distribution Date]])</f>
        <v>2013</v>
      </c>
      <c r="C238" s="585">
        <v>41292</v>
      </c>
      <c r="D238" s="547" t="s">
        <v>287</v>
      </c>
      <c r="E238" s="546"/>
      <c r="F238" s="547" t="s">
        <v>7</v>
      </c>
      <c r="G238" s="31" t="s">
        <v>20</v>
      </c>
      <c r="H238" s="31" t="s">
        <v>110</v>
      </c>
      <c r="I238" s="31"/>
      <c r="J238" s="60">
        <v>63</v>
      </c>
      <c r="K238" s="60"/>
      <c r="L238" s="60">
        <v>126</v>
      </c>
      <c r="M238" s="60">
        <v>63</v>
      </c>
      <c r="N238" s="60">
        <v>126</v>
      </c>
      <c r="O238" s="60">
        <v>63</v>
      </c>
      <c r="P238" s="60">
        <v>63</v>
      </c>
      <c r="Q238" s="60">
        <v>63</v>
      </c>
      <c r="R238" s="570"/>
      <c r="S238" s="60">
        <v>126</v>
      </c>
      <c r="T238" s="143">
        <f>IF(NFI_Expiration=1,IF($A238&lt;VLOOKUP(I$5,NFI,5,0),1,0)*Data_NFI_t[[#This Row],[Hygiene Kit]],0)</f>
        <v>0</v>
      </c>
      <c r="U238" s="143">
        <f>IF(NFI_Expiration=1,IF($A238&lt;VLOOKUP(J$5,NFI,5,0),1,0)*Data_NFI_t[[#This Row],[NFI Core Kit]],0)</f>
        <v>0</v>
      </c>
      <c r="V238" s="124">
        <f>IF(NFI_Expiration=1,IF($A238&lt;VLOOKUP(K$5,NFI,5,0),1,0)*Data_NFI_t[[#This Row],[Sanitary Kit]],0)</f>
        <v>0</v>
      </c>
      <c r="W238" s="124">
        <f>IF(NFI_Expiration=1,IF($A238&lt;VLOOKUP(L$5,NFI,5,0),1,0)*Data_NFI_t[[#This Row],[Mosquito net]],0)</f>
        <v>0</v>
      </c>
      <c r="X238" s="124">
        <f>IF(NFI_Expiration=1,IF($A238&lt;VLOOKUP(M$5,NFI,5,0),1,0)*Data_NFI_t[[#This Row],[Tarpaulin]],0)</f>
        <v>0</v>
      </c>
      <c r="Y238" s="124">
        <f>IF(NFI_Expiration=1,IF($A238&lt;VLOOKUP(N$5,NFI,5,0),1,0)*Data_NFI_t[[#This Row],[Blanket]],0)</f>
        <v>0</v>
      </c>
      <c r="Z238" s="124">
        <f>IF(NFI_Expiration=1,IF($A238&lt;VLOOKUP(O$5,NFI,5,0),1,0)*Data_NFI_t[[#This Row],[Kitchen Set]],0)</f>
        <v>0</v>
      </c>
      <c r="AA238" s="124">
        <f>IF(NFI_Expiration=1,IF($A238&lt;VLOOKUP(P$5,NFI,5,0),1,0)*Data_NFI_t[[#This Row],[Complementary Kit]],0)</f>
        <v>0</v>
      </c>
      <c r="AB238" s="124">
        <f>IF(NFI_Expiration=1,IF($A238&lt;VLOOKUP(Q$5,NFI,5,0),1,0)*Data_NFI_t[[#This Row],[Plastic Bucket]],0)</f>
        <v>0</v>
      </c>
      <c r="AC238" s="124">
        <f>IF(NFI_Expiration=1,IF($A238&lt;VLOOKUP(R$5,NFI,5,0),1,0)*Data_NFI_t[[#This Row],[Jerry Can]],0)</f>
        <v>0</v>
      </c>
      <c r="AD238" s="143">
        <f>IF(NFI_Expiration=1,IF($A238&lt;VLOOKUP(S$5,NFI,5,0),1,0)*Data_NFI_t[[#This Row],[Plastic Mat]],0)*IF(Data_NFI_t[[#This Row],[Distribution Date]]&gt;"01-06-2015",1,2.5)</f>
        <v>0</v>
      </c>
      <c r="AE238" s="143" t="str">
        <f ca="1">IFERROR(OFFSET(Camp_List[P_Code],MATCH(Data_NFI_t[[#This Row],[Camp Name]],Camp_List[Camp Name],0)-1,0,1,1),"")</f>
        <v>MMR012CMP088</v>
      </c>
      <c r="AF238" s="572" t="str">
        <f ca="1">IFERROR(OFFSET(Camp_List[Status],MATCH(Data_NFI_t[[#This Row],[Camp Name]],Camp_List[Camp Name],0)-1,0,1,1),"")</f>
        <v>Open</v>
      </c>
    </row>
    <row r="239" spans="1:32" s="100" customFormat="1" ht="15" customHeight="1">
      <c r="A239" s="254">
        <f t="shared" si="3"/>
        <v>41</v>
      </c>
      <c r="B239" s="254">
        <f>YEAR(Data_NFI_t[[#This Row],[Distribution Date]])</f>
        <v>2013</v>
      </c>
      <c r="C239" s="585">
        <v>41292</v>
      </c>
      <c r="D239" s="547" t="s">
        <v>287</v>
      </c>
      <c r="E239" s="546"/>
      <c r="F239" s="547" t="s">
        <v>7</v>
      </c>
      <c r="G239" s="31" t="s">
        <v>20</v>
      </c>
      <c r="H239" s="31" t="s">
        <v>110</v>
      </c>
      <c r="I239" s="31"/>
      <c r="J239" s="60"/>
      <c r="K239" s="60">
        <v>63</v>
      </c>
      <c r="L239" s="60">
        <v>126</v>
      </c>
      <c r="M239" s="60">
        <v>63</v>
      </c>
      <c r="N239" s="60">
        <v>0</v>
      </c>
      <c r="O239" s="60"/>
      <c r="P239" s="60"/>
      <c r="Q239" s="60"/>
      <c r="R239" s="570"/>
      <c r="S239" s="60"/>
      <c r="T239" s="143">
        <f>IF(NFI_Expiration=1,IF($A239&lt;VLOOKUP(I$5,NFI,5,0),1,0)*Data_NFI_t[[#This Row],[Hygiene Kit]],0)</f>
        <v>0</v>
      </c>
      <c r="U239" s="143">
        <f>IF(NFI_Expiration=1,IF($A239&lt;VLOOKUP(J$5,NFI,5,0),1,0)*Data_NFI_t[[#This Row],[NFI Core Kit]],0)</f>
        <v>0</v>
      </c>
      <c r="V239" s="124">
        <f>IF(NFI_Expiration=1,IF($A239&lt;VLOOKUP(K$5,NFI,5,0),1,0)*Data_NFI_t[[#This Row],[Sanitary Kit]],0)</f>
        <v>0</v>
      </c>
      <c r="W239" s="124">
        <f>IF(NFI_Expiration=1,IF($A239&lt;VLOOKUP(L$5,NFI,5,0),1,0)*Data_NFI_t[[#This Row],[Mosquito net]],0)</f>
        <v>0</v>
      </c>
      <c r="X239" s="124">
        <f>IF(NFI_Expiration=1,IF($A239&lt;VLOOKUP(M$5,NFI,5,0),1,0)*Data_NFI_t[[#This Row],[Tarpaulin]],0)</f>
        <v>0</v>
      </c>
      <c r="Y239" s="124">
        <f>IF(NFI_Expiration=1,IF($A239&lt;VLOOKUP(N$5,NFI,5,0),1,0)*Data_NFI_t[[#This Row],[Blanket]],0)</f>
        <v>0</v>
      </c>
      <c r="Z239" s="124">
        <f>IF(NFI_Expiration=1,IF($A239&lt;VLOOKUP(O$5,NFI,5,0),1,0)*Data_NFI_t[[#This Row],[Kitchen Set]],0)</f>
        <v>0</v>
      </c>
      <c r="AA239" s="124">
        <f>IF(NFI_Expiration=1,IF($A239&lt;VLOOKUP(P$5,NFI,5,0),1,0)*Data_NFI_t[[#This Row],[Complementary Kit]],0)</f>
        <v>0</v>
      </c>
      <c r="AB239" s="124">
        <f>IF(NFI_Expiration=1,IF($A239&lt;VLOOKUP(Q$5,NFI,5,0),1,0)*Data_NFI_t[[#This Row],[Plastic Bucket]],0)</f>
        <v>0</v>
      </c>
      <c r="AC239" s="124">
        <f>IF(NFI_Expiration=1,IF($A239&lt;VLOOKUP(R$5,NFI,5,0),1,0)*Data_NFI_t[[#This Row],[Jerry Can]],0)</f>
        <v>0</v>
      </c>
      <c r="AD239" s="143">
        <f>IF(NFI_Expiration=1,IF($A239&lt;VLOOKUP(S$5,NFI,5,0),1,0)*Data_NFI_t[[#This Row],[Plastic Mat]],0)*IF(Data_NFI_t[[#This Row],[Distribution Date]]&gt;"01-06-2015",1,2.5)</f>
        <v>0</v>
      </c>
      <c r="AE239" s="143" t="str">
        <f ca="1">IFERROR(OFFSET(Camp_List[P_Code],MATCH(Data_NFI_t[[#This Row],[Camp Name]],Camp_List[Camp Name],0)-1,0,1,1),"")</f>
        <v>MMR012CMP088</v>
      </c>
      <c r="AF239" s="572" t="str">
        <f ca="1">IFERROR(OFFSET(Camp_List[Status],MATCH(Data_NFI_t[[#This Row],[Camp Name]],Camp_List[Camp Name],0)-1,0,1,1),"")</f>
        <v>Open</v>
      </c>
    </row>
    <row r="240" spans="1:32" s="100" customFormat="1" ht="15" customHeight="1">
      <c r="A240" s="254">
        <f t="shared" si="3"/>
        <v>41</v>
      </c>
      <c r="B240" s="254">
        <f>YEAR(Data_NFI_t[[#This Row],[Distribution Date]])</f>
        <v>2013</v>
      </c>
      <c r="C240" s="585">
        <v>41292</v>
      </c>
      <c r="D240" s="547" t="s">
        <v>291</v>
      </c>
      <c r="E240" s="546" t="s">
        <v>287</v>
      </c>
      <c r="F240" s="547" t="s">
        <v>7</v>
      </c>
      <c r="G240" s="31" t="s">
        <v>19</v>
      </c>
      <c r="H240" s="31" t="s">
        <v>246</v>
      </c>
      <c r="I240" s="31"/>
      <c r="J240" s="60"/>
      <c r="K240" s="60"/>
      <c r="L240" s="60"/>
      <c r="M240" s="60"/>
      <c r="N240" s="60">
        <v>50</v>
      </c>
      <c r="O240" s="60"/>
      <c r="P240" s="60"/>
      <c r="Q240" s="60"/>
      <c r="R240" s="570"/>
      <c r="S240" s="60"/>
      <c r="T240" s="143">
        <f>IF(NFI_Expiration=1,IF($A240&lt;VLOOKUP(I$5,NFI,5,0),1,0)*Data_NFI_t[[#This Row],[Hygiene Kit]],0)</f>
        <v>0</v>
      </c>
      <c r="U240" s="143">
        <f>IF(NFI_Expiration=1,IF($A240&lt;VLOOKUP(J$5,NFI,5,0),1,0)*Data_NFI_t[[#This Row],[NFI Core Kit]],0)</f>
        <v>0</v>
      </c>
      <c r="V240" s="124">
        <f>IF(NFI_Expiration=1,IF($A240&lt;VLOOKUP(K$5,NFI,5,0),1,0)*Data_NFI_t[[#This Row],[Sanitary Kit]],0)</f>
        <v>0</v>
      </c>
      <c r="W240" s="124">
        <f>IF(NFI_Expiration=1,IF($A240&lt;VLOOKUP(L$5,NFI,5,0),1,0)*Data_NFI_t[[#This Row],[Mosquito net]],0)</f>
        <v>0</v>
      </c>
      <c r="X240" s="124">
        <f>IF(NFI_Expiration=1,IF($A240&lt;VLOOKUP(M$5,NFI,5,0),1,0)*Data_NFI_t[[#This Row],[Tarpaulin]],0)</f>
        <v>0</v>
      </c>
      <c r="Y240" s="124">
        <f>IF(NFI_Expiration=1,IF($A240&lt;VLOOKUP(N$5,NFI,5,0),1,0)*Data_NFI_t[[#This Row],[Blanket]],0)</f>
        <v>0</v>
      </c>
      <c r="Z240" s="124">
        <f>IF(NFI_Expiration=1,IF($A240&lt;VLOOKUP(O$5,NFI,5,0),1,0)*Data_NFI_t[[#This Row],[Kitchen Set]],0)</f>
        <v>0</v>
      </c>
      <c r="AA240" s="124">
        <f>IF(NFI_Expiration=1,IF($A240&lt;VLOOKUP(P$5,NFI,5,0),1,0)*Data_NFI_t[[#This Row],[Complementary Kit]],0)</f>
        <v>0</v>
      </c>
      <c r="AB240" s="124">
        <f>IF(NFI_Expiration=1,IF($A240&lt;VLOOKUP(Q$5,NFI,5,0),1,0)*Data_NFI_t[[#This Row],[Plastic Bucket]],0)</f>
        <v>0</v>
      </c>
      <c r="AC240" s="124">
        <f>IF(NFI_Expiration=1,IF($A240&lt;VLOOKUP(R$5,NFI,5,0),1,0)*Data_NFI_t[[#This Row],[Jerry Can]],0)</f>
        <v>0</v>
      </c>
      <c r="AD240" s="143">
        <f>IF(NFI_Expiration=1,IF($A240&lt;VLOOKUP(S$5,NFI,5,0),1,0)*Data_NFI_t[[#This Row],[Plastic Mat]],0)*IF(Data_NFI_t[[#This Row],[Distribution Date]]&gt;"01-06-2015",1,2.5)</f>
        <v>0</v>
      </c>
      <c r="AE240" s="143" t="str">
        <f ca="1">IFERROR(OFFSET(Camp_List[P_Code],MATCH(Data_NFI_t[[#This Row],[Camp Name]],Camp_List[Camp Name],0)-1,0,1,1),"")</f>
        <v>MMR012CMP090</v>
      </c>
      <c r="AF240" s="572" t="str">
        <f ca="1">IFERROR(OFFSET(Camp_List[Status],MATCH(Data_NFI_t[[#This Row],[Camp Name]],Camp_List[Camp Name],0)-1,0,1,1),"")</f>
        <v>Close</v>
      </c>
    </row>
    <row r="241" spans="1:32" s="100" customFormat="1" ht="15" customHeight="1">
      <c r="A241" s="254">
        <f t="shared" si="3"/>
        <v>41.033333333333331</v>
      </c>
      <c r="B241" s="254">
        <f>YEAR(Data_NFI_t[[#This Row],[Distribution Date]])</f>
        <v>2013</v>
      </c>
      <c r="C241" s="585">
        <v>41291</v>
      </c>
      <c r="D241" s="547" t="s">
        <v>291</v>
      </c>
      <c r="E241" s="546" t="s">
        <v>287</v>
      </c>
      <c r="F241" s="547" t="s">
        <v>7</v>
      </c>
      <c r="G241" s="31" t="s">
        <v>19</v>
      </c>
      <c r="H241" s="31" t="s">
        <v>246</v>
      </c>
      <c r="I241" s="31"/>
      <c r="J241" s="60"/>
      <c r="K241" s="60"/>
      <c r="L241" s="60"/>
      <c r="M241" s="60"/>
      <c r="N241" s="60">
        <v>50</v>
      </c>
      <c r="O241" s="60"/>
      <c r="P241" s="60"/>
      <c r="Q241" s="60"/>
      <c r="R241" s="570"/>
      <c r="S241" s="60"/>
      <c r="T241" s="143">
        <f>IF(NFI_Expiration=1,IF($A241&lt;VLOOKUP(I$5,NFI,5,0),1,0)*Data_NFI_t[[#This Row],[Hygiene Kit]],0)</f>
        <v>0</v>
      </c>
      <c r="U241" s="143">
        <f>IF(NFI_Expiration=1,IF($A241&lt;VLOOKUP(J$5,NFI,5,0),1,0)*Data_NFI_t[[#This Row],[NFI Core Kit]],0)</f>
        <v>0</v>
      </c>
      <c r="V241" s="124">
        <f>IF(NFI_Expiration=1,IF($A241&lt;VLOOKUP(K$5,NFI,5,0),1,0)*Data_NFI_t[[#This Row],[Sanitary Kit]],0)</f>
        <v>0</v>
      </c>
      <c r="W241" s="124">
        <f>IF(NFI_Expiration=1,IF($A241&lt;VLOOKUP(L$5,NFI,5,0),1,0)*Data_NFI_t[[#This Row],[Mosquito net]],0)</f>
        <v>0</v>
      </c>
      <c r="X241" s="124">
        <f>IF(NFI_Expiration=1,IF($A241&lt;VLOOKUP(M$5,NFI,5,0),1,0)*Data_NFI_t[[#This Row],[Tarpaulin]],0)</f>
        <v>0</v>
      </c>
      <c r="Y241" s="124">
        <f>IF(NFI_Expiration=1,IF($A241&lt;VLOOKUP(N$5,NFI,5,0),1,0)*Data_NFI_t[[#This Row],[Blanket]],0)</f>
        <v>0</v>
      </c>
      <c r="Z241" s="124">
        <f>IF(NFI_Expiration=1,IF($A241&lt;VLOOKUP(O$5,NFI,5,0),1,0)*Data_NFI_t[[#This Row],[Kitchen Set]],0)</f>
        <v>0</v>
      </c>
      <c r="AA241" s="124">
        <f>IF(NFI_Expiration=1,IF($A241&lt;VLOOKUP(P$5,NFI,5,0),1,0)*Data_NFI_t[[#This Row],[Complementary Kit]],0)</f>
        <v>0</v>
      </c>
      <c r="AB241" s="124">
        <f>IF(NFI_Expiration=1,IF($A241&lt;VLOOKUP(Q$5,NFI,5,0),1,0)*Data_NFI_t[[#This Row],[Plastic Bucket]],0)</f>
        <v>0</v>
      </c>
      <c r="AC241" s="124">
        <f>IF(NFI_Expiration=1,IF($A241&lt;VLOOKUP(R$5,NFI,5,0),1,0)*Data_NFI_t[[#This Row],[Jerry Can]],0)</f>
        <v>0</v>
      </c>
      <c r="AD241" s="143">
        <f>IF(NFI_Expiration=1,IF($A241&lt;VLOOKUP(S$5,NFI,5,0),1,0)*Data_NFI_t[[#This Row],[Plastic Mat]],0)*IF(Data_NFI_t[[#This Row],[Distribution Date]]&gt;"01-06-2015",1,2.5)</f>
        <v>0</v>
      </c>
      <c r="AE241" s="143" t="str">
        <f ca="1">IFERROR(OFFSET(Camp_List[P_Code],MATCH(Data_NFI_t[[#This Row],[Camp Name]],Camp_List[Camp Name],0)-1,0,1,1),"")</f>
        <v>MMR012CMP090</v>
      </c>
      <c r="AF241" s="572" t="str">
        <f ca="1">IFERROR(OFFSET(Camp_List[Status],MATCH(Data_NFI_t[[#This Row],[Camp Name]],Camp_List[Camp Name],0)-1,0,1,1),"")</f>
        <v>Close</v>
      </c>
    </row>
    <row r="242" spans="1:32" s="100" customFormat="1" ht="15" customHeight="1">
      <c r="A242" s="254">
        <f t="shared" si="3"/>
        <v>41.266666666666666</v>
      </c>
      <c r="B242" s="254">
        <f>YEAR(Data_NFI_t[[#This Row],[Distribution Date]])</f>
        <v>2013</v>
      </c>
      <c r="C242" s="585">
        <v>41284</v>
      </c>
      <c r="D242" s="547" t="s">
        <v>287</v>
      </c>
      <c r="E242" s="546"/>
      <c r="F242" s="547" t="s">
        <v>7</v>
      </c>
      <c r="G242" s="31" t="s">
        <v>20</v>
      </c>
      <c r="H242" s="31" t="s">
        <v>109</v>
      </c>
      <c r="I242" s="31"/>
      <c r="J242" s="60">
        <v>56</v>
      </c>
      <c r="K242" s="60"/>
      <c r="L242" s="60">
        <v>112</v>
      </c>
      <c r="M242" s="60">
        <v>56</v>
      </c>
      <c r="N242" s="60">
        <v>112</v>
      </c>
      <c r="O242" s="60">
        <v>56</v>
      </c>
      <c r="P242" s="60">
        <v>56</v>
      </c>
      <c r="Q242" s="60">
        <v>56</v>
      </c>
      <c r="R242" s="570"/>
      <c r="S242" s="60">
        <v>112</v>
      </c>
      <c r="T242" s="143">
        <f>IF(NFI_Expiration=1,IF($A242&lt;VLOOKUP(I$5,NFI,5,0),1,0)*Data_NFI_t[[#This Row],[Hygiene Kit]],0)</f>
        <v>0</v>
      </c>
      <c r="U242" s="143">
        <f>IF(NFI_Expiration=1,IF($A242&lt;VLOOKUP(J$5,NFI,5,0),1,0)*Data_NFI_t[[#This Row],[NFI Core Kit]],0)</f>
        <v>0</v>
      </c>
      <c r="V242" s="124">
        <f>IF(NFI_Expiration=1,IF($A242&lt;VLOOKUP(K$5,NFI,5,0),1,0)*Data_NFI_t[[#This Row],[Sanitary Kit]],0)</f>
        <v>0</v>
      </c>
      <c r="W242" s="124">
        <f>IF(NFI_Expiration=1,IF($A242&lt;VLOOKUP(L$5,NFI,5,0),1,0)*Data_NFI_t[[#This Row],[Mosquito net]],0)</f>
        <v>0</v>
      </c>
      <c r="X242" s="124">
        <f>IF(NFI_Expiration=1,IF($A242&lt;VLOOKUP(M$5,NFI,5,0),1,0)*Data_NFI_t[[#This Row],[Tarpaulin]],0)</f>
        <v>0</v>
      </c>
      <c r="Y242" s="124">
        <f>IF(NFI_Expiration=1,IF($A242&lt;VLOOKUP(N$5,NFI,5,0),1,0)*Data_NFI_t[[#This Row],[Blanket]],0)</f>
        <v>0</v>
      </c>
      <c r="Z242" s="124">
        <f>IF(NFI_Expiration=1,IF($A242&lt;VLOOKUP(O$5,NFI,5,0),1,0)*Data_NFI_t[[#This Row],[Kitchen Set]],0)</f>
        <v>0</v>
      </c>
      <c r="AA242" s="124">
        <f>IF(NFI_Expiration=1,IF($A242&lt;VLOOKUP(P$5,NFI,5,0),1,0)*Data_NFI_t[[#This Row],[Complementary Kit]],0)</f>
        <v>0</v>
      </c>
      <c r="AB242" s="124">
        <f>IF(NFI_Expiration=1,IF($A242&lt;VLOOKUP(Q$5,NFI,5,0),1,0)*Data_NFI_t[[#This Row],[Plastic Bucket]],0)</f>
        <v>0</v>
      </c>
      <c r="AC242" s="124">
        <f>IF(NFI_Expiration=1,IF($A242&lt;VLOOKUP(R$5,NFI,5,0),1,0)*Data_NFI_t[[#This Row],[Jerry Can]],0)</f>
        <v>0</v>
      </c>
      <c r="AD242" s="143">
        <f>IF(NFI_Expiration=1,IF($A242&lt;VLOOKUP(S$5,NFI,5,0),1,0)*Data_NFI_t[[#This Row],[Plastic Mat]],0)*IF(Data_NFI_t[[#This Row],[Distribution Date]]&gt;"01-06-2015",1,2.5)</f>
        <v>0</v>
      </c>
      <c r="AE242" s="143" t="str">
        <f ca="1">IFERROR(OFFSET(Camp_List[P_Code],MATCH(Data_NFI_t[[#This Row],[Camp Name]],Camp_List[Camp Name],0)-1,0,1,1),"")</f>
        <v>MMR012CMP087</v>
      </c>
      <c r="AF242" s="572" t="str">
        <f ca="1">IFERROR(OFFSET(Camp_List[Status],MATCH(Data_NFI_t[[#This Row],[Camp Name]],Camp_List[Camp Name],0)-1,0,1,1),"")</f>
        <v>Close</v>
      </c>
    </row>
    <row r="243" spans="1:32" s="100" customFormat="1" ht="15" customHeight="1">
      <c r="A243" s="254">
        <f t="shared" si="3"/>
        <v>41.266666666666666</v>
      </c>
      <c r="B243" s="254">
        <f>YEAR(Data_NFI_t[[#This Row],[Distribution Date]])</f>
        <v>2013</v>
      </c>
      <c r="C243" s="585">
        <v>41284</v>
      </c>
      <c r="D243" s="547" t="s">
        <v>287</v>
      </c>
      <c r="E243" s="546"/>
      <c r="F243" s="547" t="s">
        <v>7</v>
      </c>
      <c r="G243" s="31" t="s">
        <v>20</v>
      </c>
      <c r="H243" s="31" t="s">
        <v>109</v>
      </c>
      <c r="I243" s="31"/>
      <c r="J243" s="60"/>
      <c r="K243" s="60">
        <v>112</v>
      </c>
      <c r="L243" s="60">
        <v>112</v>
      </c>
      <c r="M243" s="60">
        <v>56</v>
      </c>
      <c r="N243" s="60">
        <v>0</v>
      </c>
      <c r="O243" s="60"/>
      <c r="P243" s="60"/>
      <c r="Q243" s="60"/>
      <c r="R243" s="570"/>
      <c r="S243" s="60"/>
      <c r="T243" s="143">
        <f>IF(NFI_Expiration=1,IF($A243&lt;VLOOKUP(I$5,NFI,5,0),1,0)*Data_NFI_t[[#This Row],[Hygiene Kit]],0)</f>
        <v>0</v>
      </c>
      <c r="U243" s="143">
        <f>IF(NFI_Expiration=1,IF($A243&lt;VLOOKUP(J$5,NFI,5,0),1,0)*Data_NFI_t[[#This Row],[NFI Core Kit]],0)</f>
        <v>0</v>
      </c>
      <c r="V243" s="124">
        <f>IF(NFI_Expiration=1,IF($A243&lt;VLOOKUP(K$5,NFI,5,0),1,0)*Data_NFI_t[[#This Row],[Sanitary Kit]],0)</f>
        <v>0</v>
      </c>
      <c r="W243" s="124">
        <f>IF(NFI_Expiration=1,IF($A243&lt;VLOOKUP(L$5,NFI,5,0),1,0)*Data_NFI_t[[#This Row],[Mosquito net]],0)</f>
        <v>0</v>
      </c>
      <c r="X243" s="124">
        <f>IF(NFI_Expiration=1,IF($A243&lt;VLOOKUP(M$5,NFI,5,0),1,0)*Data_NFI_t[[#This Row],[Tarpaulin]],0)</f>
        <v>0</v>
      </c>
      <c r="Y243" s="124">
        <f>IF(NFI_Expiration=1,IF($A243&lt;VLOOKUP(N$5,NFI,5,0),1,0)*Data_NFI_t[[#This Row],[Blanket]],0)</f>
        <v>0</v>
      </c>
      <c r="Z243" s="124">
        <f>IF(NFI_Expiration=1,IF($A243&lt;VLOOKUP(O$5,NFI,5,0),1,0)*Data_NFI_t[[#This Row],[Kitchen Set]],0)</f>
        <v>0</v>
      </c>
      <c r="AA243" s="124">
        <f>IF(NFI_Expiration=1,IF($A243&lt;VLOOKUP(P$5,NFI,5,0),1,0)*Data_NFI_t[[#This Row],[Complementary Kit]],0)</f>
        <v>0</v>
      </c>
      <c r="AB243" s="124">
        <f>IF(NFI_Expiration=1,IF($A243&lt;VLOOKUP(Q$5,NFI,5,0),1,0)*Data_NFI_t[[#This Row],[Plastic Bucket]],0)</f>
        <v>0</v>
      </c>
      <c r="AC243" s="124">
        <f>IF(NFI_Expiration=1,IF($A243&lt;VLOOKUP(R$5,NFI,5,0),1,0)*Data_NFI_t[[#This Row],[Jerry Can]],0)</f>
        <v>0</v>
      </c>
      <c r="AD243" s="143">
        <f>IF(NFI_Expiration=1,IF($A243&lt;VLOOKUP(S$5,NFI,5,0),1,0)*Data_NFI_t[[#This Row],[Plastic Mat]],0)*IF(Data_NFI_t[[#This Row],[Distribution Date]]&gt;"01-06-2015",1,2.5)</f>
        <v>0</v>
      </c>
      <c r="AE243" s="143" t="str">
        <f ca="1">IFERROR(OFFSET(Camp_List[P_Code],MATCH(Data_NFI_t[[#This Row],[Camp Name]],Camp_List[Camp Name],0)-1,0,1,1),"")</f>
        <v>MMR012CMP087</v>
      </c>
      <c r="AF243" s="572" t="str">
        <f ca="1">IFERROR(OFFSET(Camp_List[Status],MATCH(Data_NFI_t[[#This Row],[Camp Name]],Camp_List[Camp Name],0)-1,0,1,1),"")</f>
        <v>Close</v>
      </c>
    </row>
    <row r="244" spans="1:32" s="100" customFormat="1" ht="15" customHeight="1">
      <c r="A244" s="254">
        <f t="shared" si="3"/>
        <v>41.266666666666666</v>
      </c>
      <c r="B244" s="254">
        <f>YEAR(Data_NFI_t[[#This Row],[Distribution Date]])</f>
        <v>2013</v>
      </c>
      <c r="C244" s="585">
        <v>41284</v>
      </c>
      <c r="D244" s="547" t="s">
        <v>291</v>
      </c>
      <c r="E244" s="546" t="s">
        <v>287</v>
      </c>
      <c r="F244" s="547" t="s">
        <v>7</v>
      </c>
      <c r="G244" s="31" t="s">
        <v>19</v>
      </c>
      <c r="H244" s="31" t="s">
        <v>246</v>
      </c>
      <c r="I244" s="31"/>
      <c r="J244" s="60"/>
      <c r="K244" s="60"/>
      <c r="L244" s="60"/>
      <c r="M244" s="60"/>
      <c r="N244" s="60">
        <v>45</v>
      </c>
      <c r="O244" s="60"/>
      <c r="P244" s="60"/>
      <c r="Q244" s="60"/>
      <c r="R244" s="570"/>
      <c r="S244" s="60"/>
      <c r="T244" s="143">
        <f>IF(NFI_Expiration=1,IF($A244&lt;VLOOKUP(I$5,NFI,5,0),1,0)*Data_NFI_t[[#This Row],[Hygiene Kit]],0)</f>
        <v>0</v>
      </c>
      <c r="U244" s="143">
        <f>IF(NFI_Expiration=1,IF($A244&lt;VLOOKUP(J$5,NFI,5,0),1,0)*Data_NFI_t[[#This Row],[NFI Core Kit]],0)</f>
        <v>0</v>
      </c>
      <c r="V244" s="124">
        <f>IF(NFI_Expiration=1,IF($A244&lt;VLOOKUP(K$5,NFI,5,0),1,0)*Data_NFI_t[[#This Row],[Sanitary Kit]],0)</f>
        <v>0</v>
      </c>
      <c r="W244" s="124">
        <f>IF(NFI_Expiration=1,IF($A244&lt;VLOOKUP(L$5,NFI,5,0),1,0)*Data_NFI_t[[#This Row],[Mosquito net]],0)</f>
        <v>0</v>
      </c>
      <c r="X244" s="124">
        <f>IF(NFI_Expiration=1,IF($A244&lt;VLOOKUP(M$5,NFI,5,0),1,0)*Data_NFI_t[[#This Row],[Tarpaulin]],0)</f>
        <v>0</v>
      </c>
      <c r="Y244" s="124">
        <f>IF(NFI_Expiration=1,IF($A244&lt;VLOOKUP(N$5,NFI,5,0),1,0)*Data_NFI_t[[#This Row],[Blanket]],0)</f>
        <v>0</v>
      </c>
      <c r="Z244" s="124">
        <f>IF(NFI_Expiration=1,IF($A244&lt;VLOOKUP(O$5,NFI,5,0),1,0)*Data_NFI_t[[#This Row],[Kitchen Set]],0)</f>
        <v>0</v>
      </c>
      <c r="AA244" s="124">
        <f>IF(NFI_Expiration=1,IF($A244&lt;VLOOKUP(P$5,NFI,5,0),1,0)*Data_NFI_t[[#This Row],[Complementary Kit]],0)</f>
        <v>0</v>
      </c>
      <c r="AB244" s="124">
        <f>IF(NFI_Expiration=1,IF($A244&lt;VLOOKUP(Q$5,NFI,5,0),1,0)*Data_NFI_t[[#This Row],[Plastic Bucket]],0)</f>
        <v>0</v>
      </c>
      <c r="AC244" s="124">
        <f>IF(NFI_Expiration=1,IF($A244&lt;VLOOKUP(R$5,NFI,5,0),1,0)*Data_NFI_t[[#This Row],[Jerry Can]],0)</f>
        <v>0</v>
      </c>
      <c r="AD244" s="143">
        <f>IF(NFI_Expiration=1,IF($A244&lt;VLOOKUP(S$5,NFI,5,0),1,0)*Data_NFI_t[[#This Row],[Plastic Mat]],0)*IF(Data_NFI_t[[#This Row],[Distribution Date]]&gt;"01-06-2015",1,2.5)</f>
        <v>0</v>
      </c>
      <c r="AE244" s="143" t="str">
        <f ca="1">IFERROR(OFFSET(Camp_List[P_Code],MATCH(Data_NFI_t[[#This Row],[Camp Name]],Camp_List[Camp Name],0)-1,0,1,1),"")</f>
        <v>MMR012CMP090</v>
      </c>
      <c r="AF244" s="572" t="str">
        <f ca="1">IFERROR(OFFSET(Camp_List[Status],MATCH(Data_NFI_t[[#This Row],[Camp Name]],Camp_List[Camp Name],0)-1,0,1,1),"")</f>
        <v>Close</v>
      </c>
    </row>
    <row r="245" spans="1:32" s="100" customFormat="1" ht="15" customHeight="1">
      <c r="A245" s="254">
        <f t="shared" si="3"/>
        <v>41.3</v>
      </c>
      <c r="B245" s="254">
        <f>YEAR(Data_NFI_t[[#This Row],[Distribution Date]])</f>
        <v>2013</v>
      </c>
      <c r="C245" s="585">
        <v>41283</v>
      </c>
      <c r="D245" s="547" t="s">
        <v>291</v>
      </c>
      <c r="E245" s="546" t="s">
        <v>287</v>
      </c>
      <c r="F245" s="547" t="s">
        <v>7</v>
      </c>
      <c r="G245" s="31" t="s">
        <v>19</v>
      </c>
      <c r="H245" s="31" t="s">
        <v>246</v>
      </c>
      <c r="I245" s="31"/>
      <c r="J245" s="60"/>
      <c r="K245" s="60"/>
      <c r="L245" s="60"/>
      <c r="M245" s="60"/>
      <c r="N245" s="60">
        <v>50</v>
      </c>
      <c r="O245" s="60"/>
      <c r="P245" s="60"/>
      <c r="Q245" s="60"/>
      <c r="R245" s="570"/>
      <c r="S245" s="60"/>
      <c r="T245" s="143">
        <f>IF(NFI_Expiration=1,IF($A245&lt;VLOOKUP(I$5,NFI,5,0),1,0)*Data_NFI_t[[#This Row],[Hygiene Kit]],0)</f>
        <v>0</v>
      </c>
      <c r="U245" s="143">
        <f>IF(NFI_Expiration=1,IF($A245&lt;VLOOKUP(J$5,NFI,5,0),1,0)*Data_NFI_t[[#This Row],[NFI Core Kit]],0)</f>
        <v>0</v>
      </c>
      <c r="V245" s="124">
        <f>IF(NFI_Expiration=1,IF($A245&lt;VLOOKUP(K$5,NFI,5,0),1,0)*Data_NFI_t[[#This Row],[Sanitary Kit]],0)</f>
        <v>0</v>
      </c>
      <c r="W245" s="124">
        <f>IF(NFI_Expiration=1,IF($A245&lt;VLOOKUP(L$5,NFI,5,0),1,0)*Data_NFI_t[[#This Row],[Mosquito net]],0)</f>
        <v>0</v>
      </c>
      <c r="X245" s="124">
        <f>IF(NFI_Expiration=1,IF($A245&lt;VLOOKUP(M$5,NFI,5,0),1,0)*Data_NFI_t[[#This Row],[Tarpaulin]],0)</f>
        <v>0</v>
      </c>
      <c r="Y245" s="124">
        <f>IF(NFI_Expiration=1,IF($A245&lt;VLOOKUP(N$5,NFI,5,0),1,0)*Data_NFI_t[[#This Row],[Blanket]],0)</f>
        <v>0</v>
      </c>
      <c r="Z245" s="124">
        <f>IF(NFI_Expiration=1,IF($A245&lt;VLOOKUP(O$5,NFI,5,0),1,0)*Data_NFI_t[[#This Row],[Kitchen Set]],0)</f>
        <v>0</v>
      </c>
      <c r="AA245" s="124">
        <f>IF(NFI_Expiration=1,IF($A245&lt;VLOOKUP(P$5,NFI,5,0),1,0)*Data_NFI_t[[#This Row],[Complementary Kit]],0)</f>
        <v>0</v>
      </c>
      <c r="AB245" s="124">
        <f>IF(NFI_Expiration=1,IF($A245&lt;VLOOKUP(Q$5,NFI,5,0),1,0)*Data_NFI_t[[#This Row],[Plastic Bucket]],0)</f>
        <v>0</v>
      </c>
      <c r="AC245" s="124">
        <f>IF(NFI_Expiration=1,IF($A245&lt;VLOOKUP(R$5,NFI,5,0),1,0)*Data_NFI_t[[#This Row],[Jerry Can]],0)</f>
        <v>0</v>
      </c>
      <c r="AD245" s="143">
        <f>IF(NFI_Expiration=1,IF($A245&lt;VLOOKUP(S$5,NFI,5,0),1,0)*Data_NFI_t[[#This Row],[Plastic Mat]],0)*IF(Data_NFI_t[[#This Row],[Distribution Date]]&gt;"01-06-2015",1,2.5)</f>
        <v>0</v>
      </c>
      <c r="AE245" s="143" t="str">
        <f ca="1">IFERROR(OFFSET(Camp_List[P_Code],MATCH(Data_NFI_t[[#This Row],[Camp Name]],Camp_List[Camp Name],0)-1,0,1,1),"")</f>
        <v>MMR012CMP090</v>
      </c>
      <c r="AF245" s="572" t="str">
        <f ca="1">IFERROR(OFFSET(Camp_List[Status],MATCH(Data_NFI_t[[#This Row],[Camp Name]],Camp_List[Camp Name],0)-1,0,1,1),"")</f>
        <v>Close</v>
      </c>
    </row>
    <row r="246" spans="1:32" s="100" customFormat="1" ht="15" customHeight="1">
      <c r="A246" s="254">
        <f t="shared" si="3"/>
        <v>41.366666666666667</v>
      </c>
      <c r="B246" s="254">
        <f>YEAR(Data_NFI_t[[#This Row],[Distribution Date]])</f>
        <v>2013</v>
      </c>
      <c r="C246" s="585">
        <v>41281</v>
      </c>
      <c r="D246" s="547" t="s">
        <v>287</v>
      </c>
      <c r="E246" s="546"/>
      <c r="F246" s="547" t="s">
        <v>7</v>
      </c>
      <c r="G246" s="31" t="s">
        <v>16</v>
      </c>
      <c r="H246" s="31" t="s">
        <v>57</v>
      </c>
      <c r="I246" s="31"/>
      <c r="J246" s="60">
        <v>228</v>
      </c>
      <c r="K246" s="60"/>
      <c r="L246" s="60">
        <v>456</v>
      </c>
      <c r="M246" s="60">
        <v>228</v>
      </c>
      <c r="N246" s="60">
        <v>456</v>
      </c>
      <c r="O246" s="60">
        <v>228</v>
      </c>
      <c r="P246" s="60">
        <v>228</v>
      </c>
      <c r="Q246" s="60">
        <v>228</v>
      </c>
      <c r="R246" s="570"/>
      <c r="S246" s="60">
        <v>456</v>
      </c>
      <c r="T246" s="143">
        <f>IF(NFI_Expiration=1,IF($A246&lt;VLOOKUP(I$5,NFI,5,0),1,0)*Data_NFI_t[[#This Row],[Hygiene Kit]],0)</f>
        <v>0</v>
      </c>
      <c r="U246" s="143">
        <f>IF(NFI_Expiration=1,IF($A246&lt;VLOOKUP(J$5,NFI,5,0),1,0)*Data_NFI_t[[#This Row],[NFI Core Kit]],0)</f>
        <v>0</v>
      </c>
      <c r="V246" s="124">
        <f>IF(NFI_Expiration=1,IF($A246&lt;VLOOKUP(K$5,NFI,5,0),1,0)*Data_NFI_t[[#This Row],[Sanitary Kit]],0)</f>
        <v>0</v>
      </c>
      <c r="W246" s="124">
        <f>IF(NFI_Expiration=1,IF($A246&lt;VLOOKUP(L$5,NFI,5,0),1,0)*Data_NFI_t[[#This Row],[Mosquito net]],0)</f>
        <v>0</v>
      </c>
      <c r="X246" s="124">
        <f>IF(NFI_Expiration=1,IF($A246&lt;VLOOKUP(M$5,NFI,5,0),1,0)*Data_NFI_t[[#This Row],[Tarpaulin]],0)</f>
        <v>0</v>
      </c>
      <c r="Y246" s="124">
        <f>IF(NFI_Expiration=1,IF($A246&lt;VLOOKUP(N$5,NFI,5,0),1,0)*Data_NFI_t[[#This Row],[Blanket]],0)</f>
        <v>0</v>
      </c>
      <c r="Z246" s="124">
        <f>IF(NFI_Expiration=1,IF($A246&lt;VLOOKUP(O$5,NFI,5,0),1,0)*Data_NFI_t[[#This Row],[Kitchen Set]],0)</f>
        <v>0</v>
      </c>
      <c r="AA246" s="124">
        <f>IF(NFI_Expiration=1,IF($A246&lt;VLOOKUP(P$5,NFI,5,0),1,0)*Data_NFI_t[[#This Row],[Complementary Kit]],0)</f>
        <v>0</v>
      </c>
      <c r="AB246" s="124">
        <f>IF(NFI_Expiration=1,IF($A246&lt;VLOOKUP(Q$5,NFI,5,0),1,0)*Data_NFI_t[[#This Row],[Plastic Bucket]],0)</f>
        <v>0</v>
      </c>
      <c r="AC246" s="124">
        <f>IF(NFI_Expiration=1,IF($A246&lt;VLOOKUP(R$5,NFI,5,0),1,0)*Data_NFI_t[[#This Row],[Jerry Can]],0)</f>
        <v>0</v>
      </c>
      <c r="AD246" s="143">
        <f>IF(NFI_Expiration=1,IF($A246&lt;VLOOKUP(S$5,NFI,5,0),1,0)*Data_NFI_t[[#This Row],[Plastic Mat]],0)*IF(Data_NFI_t[[#This Row],[Distribution Date]]&gt;"01-06-2015",1,2.5)</f>
        <v>0</v>
      </c>
      <c r="AE246" s="143" t="str">
        <f ca="1">IFERROR(OFFSET(Camp_List[P_Code],MATCH(Data_NFI_t[[#This Row],[Camp Name]],Camp_List[Camp Name],0)-1,0,1,1),"")</f>
        <v>MMR012CMP034</v>
      </c>
      <c r="AF246" s="572" t="str">
        <f ca="1">IFERROR(OFFSET(Camp_List[Status],MATCH(Data_NFI_t[[#This Row],[Camp Name]],Camp_List[Camp Name],0)-1,0,1,1),"")</f>
        <v>Open</v>
      </c>
    </row>
    <row r="247" spans="1:32" s="100" customFormat="1" ht="15" customHeight="1">
      <c r="A247" s="254">
        <f t="shared" si="3"/>
        <v>41.366666666666667</v>
      </c>
      <c r="B247" s="254">
        <f>YEAR(Data_NFI_t[[#This Row],[Distribution Date]])</f>
        <v>2013</v>
      </c>
      <c r="C247" s="585">
        <v>41281</v>
      </c>
      <c r="D247" s="547" t="s">
        <v>287</v>
      </c>
      <c r="E247" s="546"/>
      <c r="F247" s="547" t="s">
        <v>7</v>
      </c>
      <c r="G247" s="31" t="s">
        <v>16</v>
      </c>
      <c r="H247" s="31" t="s">
        <v>57</v>
      </c>
      <c r="I247" s="31"/>
      <c r="J247" s="60"/>
      <c r="K247" s="60">
        <v>228</v>
      </c>
      <c r="L247" s="60">
        <v>443</v>
      </c>
      <c r="M247" s="60">
        <v>228</v>
      </c>
      <c r="N247" s="60">
        <v>0</v>
      </c>
      <c r="O247" s="60"/>
      <c r="P247" s="60"/>
      <c r="Q247" s="60"/>
      <c r="R247" s="570"/>
      <c r="S247" s="60"/>
      <c r="T247" s="143">
        <f>IF(NFI_Expiration=1,IF($A247&lt;VLOOKUP(I$5,NFI,5,0),1,0)*Data_NFI_t[[#This Row],[Hygiene Kit]],0)</f>
        <v>0</v>
      </c>
      <c r="U247" s="143">
        <f>IF(NFI_Expiration=1,IF($A247&lt;VLOOKUP(J$5,NFI,5,0),1,0)*Data_NFI_t[[#This Row],[NFI Core Kit]],0)</f>
        <v>0</v>
      </c>
      <c r="V247" s="124">
        <f>IF(NFI_Expiration=1,IF($A247&lt;VLOOKUP(K$5,NFI,5,0),1,0)*Data_NFI_t[[#This Row],[Sanitary Kit]],0)</f>
        <v>0</v>
      </c>
      <c r="W247" s="124">
        <f>IF(NFI_Expiration=1,IF($A247&lt;VLOOKUP(L$5,NFI,5,0),1,0)*Data_NFI_t[[#This Row],[Mosquito net]],0)</f>
        <v>0</v>
      </c>
      <c r="X247" s="124">
        <f>IF(NFI_Expiration=1,IF($A247&lt;VLOOKUP(M$5,NFI,5,0),1,0)*Data_NFI_t[[#This Row],[Tarpaulin]],0)</f>
        <v>0</v>
      </c>
      <c r="Y247" s="124">
        <f>IF(NFI_Expiration=1,IF($A247&lt;VLOOKUP(N$5,NFI,5,0),1,0)*Data_NFI_t[[#This Row],[Blanket]],0)</f>
        <v>0</v>
      </c>
      <c r="Z247" s="124">
        <f>IF(NFI_Expiration=1,IF($A247&lt;VLOOKUP(O$5,NFI,5,0),1,0)*Data_NFI_t[[#This Row],[Kitchen Set]],0)</f>
        <v>0</v>
      </c>
      <c r="AA247" s="124">
        <f>IF(NFI_Expiration=1,IF($A247&lt;VLOOKUP(P$5,NFI,5,0),1,0)*Data_NFI_t[[#This Row],[Complementary Kit]],0)</f>
        <v>0</v>
      </c>
      <c r="AB247" s="124">
        <f>IF(NFI_Expiration=1,IF($A247&lt;VLOOKUP(Q$5,NFI,5,0),1,0)*Data_NFI_t[[#This Row],[Plastic Bucket]],0)</f>
        <v>0</v>
      </c>
      <c r="AC247" s="124">
        <f>IF(NFI_Expiration=1,IF($A247&lt;VLOOKUP(R$5,NFI,5,0),1,0)*Data_NFI_t[[#This Row],[Jerry Can]],0)</f>
        <v>0</v>
      </c>
      <c r="AD247" s="143">
        <f>IF(NFI_Expiration=1,IF($A247&lt;VLOOKUP(S$5,NFI,5,0),1,0)*Data_NFI_t[[#This Row],[Plastic Mat]],0)*IF(Data_NFI_t[[#This Row],[Distribution Date]]&gt;"01-06-2015",1,2.5)</f>
        <v>0</v>
      </c>
      <c r="AE247" s="143" t="str">
        <f ca="1">IFERROR(OFFSET(Camp_List[P_Code],MATCH(Data_NFI_t[[#This Row],[Camp Name]],Camp_List[Camp Name],0)-1,0,1,1),"")</f>
        <v>MMR012CMP034</v>
      </c>
      <c r="AF247" s="572" t="str">
        <f ca="1">IFERROR(OFFSET(Camp_List[Status],MATCH(Data_NFI_t[[#This Row],[Camp Name]],Camp_List[Camp Name],0)-1,0,1,1),"")</f>
        <v>Open</v>
      </c>
    </row>
    <row r="248" spans="1:32" s="100" customFormat="1" ht="15" customHeight="1">
      <c r="A248" s="254">
        <f t="shared" si="3"/>
        <v>41.366666666666667</v>
      </c>
      <c r="B248" s="254">
        <f>YEAR(Data_NFI_t[[#This Row],[Distribution Date]])</f>
        <v>2013</v>
      </c>
      <c r="C248" s="585">
        <v>41281</v>
      </c>
      <c r="D248" s="547" t="s">
        <v>287</v>
      </c>
      <c r="E248" s="546"/>
      <c r="F248" s="547" t="s">
        <v>7</v>
      </c>
      <c r="G248" s="31" t="s">
        <v>20</v>
      </c>
      <c r="H248" s="31" t="s">
        <v>105</v>
      </c>
      <c r="I248" s="31"/>
      <c r="J248" s="60">
        <v>93</v>
      </c>
      <c r="K248" s="60"/>
      <c r="L248" s="60">
        <v>186</v>
      </c>
      <c r="M248" s="60">
        <v>93</v>
      </c>
      <c r="N248" s="60">
        <v>186</v>
      </c>
      <c r="O248" s="60">
        <v>93</v>
      </c>
      <c r="P248" s="60">
        <v>93</v>
      </c>
      <c r="Q248" s="60">
        <v>93</v>
      </c>
      <c r="R248" s="570"/>
      <c r="S248" s="60">
        <v>186</v>
      </c>
      <c r="T248" s="143">
        <f>IF(NFI_Expiration=1,IF($A248&lt;VLOOKUP(I$5,NFI,5,0),1,0)*Data_NFI_t[[#This Row],[Hygiene Kit]],0)</f>
        <v>0</v>
      </c>
      <c r="U248" s="143">
        <f>IF(NFI_Expiration=1,IF($A248&lt;VLOOKUP(J$5,NFI,5,0),1,0)*Data_NFI_t[[#This Row],[NFI Core Kit]],0)</f>
        <v>0</v>
      </c>
      <c r="V248" s="124">
        <f>IF(NFI_Expiration=1,IF($A248&lt;VLOOKUP(K$5,NFI,5,0),1,0)*Data_NFI_t[[#This Row],[Sanitary Kit]],0)</f>
        <v>0</v>
      </c>
      <c r="W248" s="124">
        <f>IF(NFI_Expiration=1,IF($A248&lt;VLOOKUP(L$5,NFI,5,0),1,0)*Data_NFI_t[[#This Row],[Mosquito net]],0)</f>
        <v>0</v>
      </c>
      <c r="X248" s="124">
        <f>IF(NFI_Expiration=1,IF($A248&lt;VLOOKUP(M$5,NFI,5,0),1,0)*Data_NFI_t[[#This Row],[Tarpaulin]],0)</f>
        <v>0</v>
      </c>
      <c r="Y248" s="124">
        <f>IF(NFI_Expiration=1,IF($A248&lt;VLOOKUP(N$5,NFI,5,0),1,0)*Data_NFI_t[[#This Row],[Blanket]],0)</f>
        <v>0</v>
      </c>
      <c r="Z248" s="124">
        <f>IF(NFI_Expiration=1,IF($A248&lt;VLOOKUP(O$5,NFI,5,0),1,0)*Data_NFI_t[[#This Row],[Kitchen Set]],0)</f>
        <v>0</v>
      </c>
      <c r="AA248" s="124">
        <f>IF(NFI_Expiration=1,IF($A248&lt;VLOOKUP(P$5,NFI,5,0),1,0)*Data_NFI_t[[#This Row],[Complementary Kit]],0)</f>
        <v>0</v>
      </c>
      <c r="AB248" s="124">
        <f>IF(NFI_Expiration=1,IF($A248&lt;VLOOKUP(Q$5,NFI,5,0),1,0)*Data_NFI_t[[#This Row],[Plastic Bucket]],0)</f>
        <v>0</v>
      </c>
      <c r="AC248" s="124">
        <f>IF(NFI_Expiration=1,IF($A248&lt;VLOOKUP(R$5,NFI,5,0),1,0)*Data_NFI_t[[#This Row],[Jerry Can]],0)</f>
        <v>0</v>
      </c>
      <c r="AD248" s="143">
        <f>IF(NFI_Expiration=1,IF($A248&lt;VLOOKUP(S$5,NFI,5,0),1,0)*Data_NFI_t[[#This Row],[Plastic Mat]],0)*IF(Data_NFI_t[[#This Row],[Distribution Date]]&gt;"01-06-2015",1,2.5)</f>
        <v>0</v>
      </c>
      <c r="AE248" s="143" t="str">
        <f ca="1">IFERROR(OFFSET(Camp_List[P_Code],MATCH(Data_NFI_t[[#This Row],[Camp Name]],Camp_List[Camp Name],0)-1,0,1,1),"")</f>
        <v/>
      </c>
      <c r="AF248" s="572" t="str">
        <f ca="1">IFERROR(OFFSET(Camp_List[Status],MATCH(Data_NFI_t[[#This Row],[Camp Name]],Camp_List[Camp Name],0)-1,0,1,1),"")</f>
        <v/>
      </c>
    </row>
    <row r="249" spans="1:32" s="100" customFormat="1" ht="15" customHeight="1">
      <c r="A249" s="254">
        <f t="shared" si="3"/>
        <v>41.366666666666667</v>
      </c>
      <c r="B249" s="254">
        <f>YEAR(Data_NFI_t[[#This Row],[Distribution Date]])</f>
        <v>2013</v>
      </c>
      <c r="C249" s="585">
        <v>41281</v>
      </c>
      <c r="D249" s="547" t="s">
        <v>287</v>
      </c>
      <c r="E249" s="546"/>
      <c r="F249" s="547" t="s">
        <v>7</v>
      </c>
      <c r="G249" s="31" t="s">
        <v>20</v>
      </c>
      <c r="H249" s="31" t="s">
        <v>105</v>
      </c>
      <c r="I249" s="31"/>
      <c r="J249" s="60"/>
      <c r="K249" s="60">
        <v>186</v>
      </c>
      <c r="L249" s="60">
        <v>186</v>
      </c>
      <c r="M249" s="60">
        <v>93</v>
      </c>
      <c r="N249" s="60">
        <v>0</v>
      </c>
      <c r="O249" s="60"/>
      <c r="P249" s="60"/>
      <c r="Q249" s="60"/>
      <c r="R249" s="570"/>
      <c r="S249" s="60"/>
      <c r="T249" s="143">
        <f>IF(NFI_Expiration=1,IF($A249&lt;VLOOKUP(I$5,NFI,5,0),1,0)*Data_NFI_t[[#This Row],[Hygiene Kit]],0)</f>
        <v>0</v>
      </c>
      <c r="U249" s="143">
        <f>IF(NFI_Expiration=1,IF($A249&lt;VLOOKUP(J$5,NFI,5,0),1,0)*Data_NFI_t[[#This Row],[NFI Core Kit]],0)</f>
        <v>0</v>
      </c>
      <c r="V249" s="124">
        <f>IF(NFI_Expiration=1,IF($A249&lt;VLOOKUP(K$5,NFI,5,0),1,0)*Data_NFI_t[[#This Row],[Sanitary Kit]],0)</f>
        <v>0</v>
      </c>
      <c r="W249" s="124">
        <f>IF(NFI_Expiration=1,IF($A249&lt;VLOOKUP(L$5,NFI,5,0),1,0)*Data_NFI_t[[#This Row],[Mosquito net]],0)</f>
        <v>0</v>
      </c>
      <c r="X249" s="124">
        <f>IF(NFI_Expiration=1,IF($A249&lt;VLOOKUP(M$5,NFI,5,0),1,0)*Data_NFI_t[[#This Row],[Tarpaulin]],0)</f>
        <v>0</v>
      </c>
      <c r="Y249" s="124">
        <f>IF(NFI_Expiration=1,IF($A249&lt;VLOOKUP(N$5,NFI,5,0),1,0)*Data_NFI_t[[#This Row],[Blanket]],0)</f>
        <v>0</v>
      </c>
      <c r="Z249" s="124">
        <f>IF(NFI_Expiration=1,IF($A249&lt;VLOOKUP(O$5,NFI,5,0),1,0)*Data_NFI_t[[#This Row],[Kitchen Set]],0)</f>
        <v>0</v>
      </c>
      <c r="AA249" s="124">
        <f>IF(NFI_Expiration=1,IF($A249&lt;VLOOKUP(P$5,NFI,5,0),1,0)*Data_NFI_t[[#This Row],[Complementary Kit]],0)</f>
        <v>0</v>
      </c>
      <c r="AB249" s="124">
        <f>IF(NFI_Expiration=1,IF($A249&lt;VLOOKUP(Q$5,NFI,5,0),1,0)*Data_NFI_t[[#This Row],[Plastic Bucket]],0)</f>
        <v>0</v>
      </c>
      <c r="AC249" s="124">
        <f>IF(NFI_Expiration=1,IF($A249&lt;VLOOKUP(R$5,NFI,5,0),1,0)*Data_NFI_t[[#This Row],[Jerry Can]],0)</f>
        <v>0</v>
      </c>
      <c r="AD249" s="143">
        <f>IF(NFI_Expiration=1,IF($A249&lt;VLOOKUP(S$5,NFI,5,0),1,0)*Data_NFI_t[[#This Row],[Plastic Mat]],0)*IF(Data_NFI_t[[#This Row],[Distribution Date]]&gt;"01-06-2015",1,2.5)</f>
        <v>0</v>
      </c>
      <c r="AE249" s="143" t="str">
        <f ca="1">IFERROR(OFFSET(Camp_List[P_Code],MATCH(Data_NFI_t[[#This Row],[Camp Name]],Camp_List[Camp Name],0)-1,0,1,1),"")</f>
        <v/>
      </c>
      <c r="AF249" s="572" t="str">
        <f ca="1">IFERROR(OFFSET(Camp_List[Status],MATCH(Data_NFI_t[[#This Row],[Camp Name]],Camp_List[Camp Name],0)-1,0,1,1),"")</f>
        <v/>
      </c>
    </row>
    <row r="250" spans="1:32" s="100" customFormat="1" ht="15" customHeight="1">
      <c r="A250" s="254">
        <f t="shared" si="3"/>
        <v>41.56666666666667</v>
      </c>
      <c r="B250" s="254">
        <f>YEAR(Data_NFI_t[[#This Row],[Distribution Date]])</f>
        <v>2013</v>
      </c>
      <c r="C250" s="585">
        <v>41275</v>
      </c>
      <c r="D250" s="547" t="s">
        <v>529</v>
      </c>
      <c r="E250" s="546" t="s">
        <v>529</v>
      </c>
      <c r="F250" s="547" t="s">
        <v>7</v>
      </c>
      <c r="G250" s="31" t="s">
        <v>19</v>
      </c>
      <c r="H250" s="31" t="s">
        <v>61</v>
      </c>
      <c r="I250" s="31">
        <v>20</v>
      </c>
      <c r="J250" s="60"/>
      <c r="K250" s="60"/>
      <c r="L250" s="60"/>
      <c r="M250" s="60"/>
      <c r="N250" s="60"/>
      <c r="O250" s="60"/>
      <c r="P250" s="60"/>
      <c r="Q250" s="60"/>
      <c r="R250" s="570"/>
      <c r="S250" s="60"/>
      <c r="T250" s="143">
        <f>IF(NFI_Expiration=1,IF($A250&lt;VLOOKUP(I$5,NFI,5,0),1,0)*Data_NFI_t[[#This Row],[Hygiene Kit]],0)</f>
        <v>0</v>
      </c>
      <c r="U250" s="143">
        <f>IF(NFI_Expiration=1,IF($A250&lt;VLOOKUP(J$5,NFI,5,0),1,0)*Data_NFI_t[[#This Row],[NFI Core Kit]],0)</f>
        <v>0</v>
      </c>
      <c r="V250" s="124">
        <f>IF(NFI_Expiration=1,IF($A250&lt;VLOOKUP(K$5,NFI,5,0),1,0)*Data_NFI_t[[#This Row],[Sanitary Kit]],0)</f>
        <v>0</v>
      </c>
      <c r="W250" s="124">
        <f>IF(NFI_Expiration=1,IF($A250&lt;VLOOKUP(L$5,NFI,5,0),1,0)*Data_NFI_t[[#This Row],[Mosquito net]],0)</f>
        <v>0</v>
      </c>
      <c r="X250" s="124">
        <f>IF(NFI_Expiration=1,IF($A250&lt;VLOOKUP(M$5,NFI,5,0),1,0)*Data_NFI_t[[#This Row],[Tarpaulin]],0)</f>
        <v>0</v>
      </c>
      <c r="Y250" s="124">
        <f>IF(NFI_Expiration=1,IF($A250&lt;VLOOKUP(N$5,NFI,5,0),1,0)*Data_NFI_t[[#This Row],[Blanket]],0)</f>
        <v>0</v>
      </c>
      <c r="Z250" s="124">
        <f>IF(NFI_Expiration=1,IF($A250&lt;VLOOKUP(O$5,NFI,5,0),1,0)*Data_NFI_t[[#This Row],[Kitchen Set]],0)</f>
        <v>0</v>
      </c>
      <c r="AA250" s="124">
        <f>IF(NFI_Expiration=1,IF($A250&lt;VLOOKUP(P$5,NFI,5,0),1,0)*Data_NFI_t[[#This Row],[Complementary Kit]],0)</f>
        <v>0</v>
      </c>
      <c r="AB250" s="124">
        <f>IF(NFI_Expiration=1,IF($A250&lt;VLOOKUP(Q$5,NFI,5,0),1,0)*Data_NFI_t[[#This Row],[Plastic Bucket]],0)</f>
        <v>0</v>
      </c>
      <c r="AC250" s="124">
        <f>IF(NFI_Expiration=1,IF($A250&lt;VLOOKUP(R$5,NFI,5,0),1,0)*Data_NFI_t[[#This Row],[Jerry Can]],0)</f>
        <v>0</v>
      </c>
      <c r="AD250" s="143">
        <f>IF(NFI_Expiration=1,IF($A250&lt;VLOOKUP(S$5,NFI,5,0),1,0)*Data_NFI_t[[#This Row],[Plastic Mat]],0)*IF(Data_NFI_t[[#This Row],[Distribution Date]]&gt;"01-06-2015",1,2.5)</f>
        <v>0</v>
      </c>
      <c r="AE250" s="143" t="str">
        <f ca="1">IFERROR(OFFSET(Camp_List[P_Code],MATCH(Data_NFI_t[[#This Row],[Camp Name]],Camp_List[Camp Name],0)-1,0,1,1),"")</f>
        <v>MMR012CMP039</v>
      </c>
      <c r="AF250" s="572" t="str">
        <f ca="1">IFERROR(OFFSET(Camp_List[Status],MATCH(Data_NFI_t[[#This Row],[Camp Name]],Camp_List[Camp Name],0)-1,0,1,1),"")</f>
        <v>Open</v>
      </c>
    </row>
    <row r="251" spans="1:32" s="100" customFormat="1" ht="15" customHeight="1">
      <c r="A251" s="254">
        <f t="shared" si="3"/>
        <v>41.56666666666667</v>
      </c>
      <c r="B251" s="254">
        <f>YEAR(Data_NFI_t[[#This Row],[Distribution Date]])</f>
        <v>2013</v>
      </c>
      <c r="C251" s="585">
        <v>41275</v>
      </c>
      <c r="D251" s="547" t="s">
        <v>528</v>
      </c>
      <c r="E251" s="546" t="s">
        <v>294</v>
      </c>
      <c r="F251" s="547" t="s">
        <v>7</v>
      </c>
      <c r="G251" s="31" t="s">
        <v>19</v>
      </c>
      <c r="H251" s="31" t="s">
        <v>62</v>
      </c>
      <c r="I251" s="31">
        <v>4390</v>
      </c>
      <c r="J251" s="60"/>
      <c r="K251" s="60"/>
      <c r="L251" s="60"/>
      <c r="M251" s="60"/>
      <c r="N251" s="60"/>
      <c r="O251" s="60"/>
      <c r="P251" s="60"/>
      <c r="Q251" s="60"/>
      <c r="R251" s="570"/>
      <c r="S251" s="60"/>
      <c r="T251" s="143">
        <f>IF(NFI_Expiration=1,IF($A251&lt;VLOOKUP(I$5,NFI,5,0),1,0)*Data_NFI_t[[#This Row],[Hygiene Kit]],0)</f>
        <v>0</v>
      </c>
      <c r="U251" s="143">
        <f>IF(NFI_Expiration=1,IF($A251&lt;VLOOKUP(J$5,NFI,5,0),1,0)*Data_NFI_t[[#This Row],[NFI Core Kit]],0)</f>
        <v>0</v>
      </c>
      <c r="V251" s="124">
        <f>IF(NFI_Expiration=1,IF($A251&lt;VLOOKUP(K$5,NFI,5,0),1,0)*Data_NFI_t[[#This Row],[Sanitary Kit]],0)</f>
        <v>0</v>
      </c>
      <c r="W251" s="124">
        <f>IF(NFI_Expiration=1,IF($A251&lt;VLOOKUP(L$5,NFI,5,0),1,0)*Data_NFI_t[[#This Row],[Mosquito net]],0)</f>
        <v>0</v>
      </c>
      <c r="X251" s="124">
        <f>IF(NFI_Expiration=1,IF($A251&lt;VLOOKUP(M$5,NFI,5,0),1,0)*Data_NFI_t[[#This Row],[Tarpaulin]],0)</f>
        <v>0</v>
      </c>
      <c r="Y251" s="124">
        <f>IF(NFI_Expiration=1,IF($A251&lt;VLOOKUP(N$5,NFI,5,0),1,0)*Data_NFI_t[[#This Row],[Blanket]],0)</f>
        <v>0</v>
      </c>
      <c r="Z251" s="124">
        <f>IF(NFI_Expiration=1,IF($A251&lt;VLOOKUP(O$5,NFI,5,0),1,0)*Data_NFI_t[[#This Row],[Kitchen Set]],0)</f>
        <v>0</v>
      </c>
      <c r="AA251" s="124">
        <f>IF(NFI_Expiration=1,IF($A251&lt;VLOOKUP(P$5,NFI,5,0),1,0)*Data_NFI_t[[#This Row],[Complementary Kit]],0)</f>
        <v>0</v>
      </c>
      <c r="AB251" s="124">
        <f>IF(NFI_Expiration=1,IF($A251&lt;VLOOKUP(Q$5,NFI,5,0),1,0)*Data_NFI_t[[#This Row],[Plastic Bucket]],0)</f>
        <v>0</v>
      </c>
      <c r="AC251" s="124">
        <f>IF(NFI_Expiration=1,IF($A251&lt;VLOOKUP(R$5,NFI,5,0),1,0)*Data_NFI_t[[#This Row],[Jerry Can]],0)</f>
        <v>0</v>
      </c>
      <c r="AD251" s="143">
        <f>IF(NFI_Expiration=1,IF($A251&lt;VLOOKUP(S$5,NFI,5,0),1,0)*Data_NFI_t[[#This Row],[Plastic Mat]],0)*IF(Data_NFI_t[[#This Row],[Distribution Date]]&gt;"01-06-2015",1,2.5)</f>
        <v>0</v>
      </c>
      <c r="AE251" s="143" t="str">
        <f ca="1">IFERROR(OFFSET(Camp_List[P_Code],MATCH(Data_NFI_t[[#This Row],[Camp Name]],Camp_List[Camp Name],0)-1,0,1,1),"")</f>
        <v>MMR012CMP040</v>
      </c>
      <c r="AF251" s="572" t="str">
        <f ca="1">IFERROR(OFFSET(Camp_List[Status],MATCH(Data_NFI_t[[#This Row],[Camp Name]],Camp_List[Camp Name],0)-1,0,1,1),"")</f>
        <v>Close</v>
      </c>
    </row>
    <row r="252" spans="1:32" s="100" customFormat="1" ht="15" customHeight="1">
      <c r="A252" s="254">
        <f t="shared" si="3"/>
        <v>41.56666666666667</v>
      </c>
      <c r="B252" s="254">
        <f>YEAR(Data_NFI_t[[#This Row],[Distribution Date]])</f>
        <v>2013</v>
      </c>
      <c r="C252" s="585">
        <v>41275</v>
      </c>
      <c r="D252" s="547" t="s">
        <v>528</v>
      </c>
      <c r="E252" s="546" t="s">
        <v>294</v>
      </c>
      <c r="F252" s="547" t="s">
        <v>7</v>
      </c>
      <c r="G252" s="31" t="s">
        <v>19</v>
      </c>
      <c r="H252" s="31" t="s">
        <v>63</v>
      </c>
      <c r="I252" s="31">
        <v>3758</v>
      </c>
      <c r="J252" s="60"/>
      <c r="K252" s="60"/>
      <c r="L252" s="60"/>
      <c r="M252" s="60"/>
      <c r="N252" s="60"/>
      <c r="O252" s="60"/>
      <c r="P252" s="60"/>
      <c r="Q252" s="60"/>
      <c r="R252" s="570"/>
      <c r="S252" s="60"/>
      <c r="T252" s="143">
        <f>IF(NFI_Expiration=1,IF($A252&lt;VLOOKUP(I$5,NFI,5,0),1,0)*Data_NFI_t[[#This Row],[Hygiene Kit]],0)</f>
        <v>0</v>
      </c>
      <c r="U252" s="143">
        <f>IF(NFI_Expiration=1,IF($A252&lt;VLOOKUP(J$5,NFI,5,0),1,0)*Data_NFI_t[[#This Row],[NFI Core Kit]],0)</f>
        <v>0</v>
      </c>
      <c r="V252" s="124">
        <f>IF(NFI_Expiration=1,IF($A252&lt;VLOOKUP(K$5,NFI,5,0),1,0)*Data_NFI_t[[#This Row],[Sanitary Kit]],0)</f>
        <v>0</v>
      </c>
      <c r="W252" s="124">
        <f>IF(NFI_Expiration=1,IF($A252&lt;VLOOKUP(L$5,NFI,5,0),1,0)*Data_NFI_t[[#This Row],[Mosquito net]],0)</f>
        <v>0</v>
      </c>
      <c r="X252" s="124">
        <f>IF(NFI_Expiration=1,IF($A252&lt;VLOOKUP(M$5,NFI,5,0),1,0)*Data_NFI_t[[#This Row],[Tarpaulin]],0)</f>
        <v>0</v>
      </c>
      <c r="Y252" s="124">
        <f>IF(NFI_Expiration=1,IF($A252&lt;VLOOKUP(N$5,NFI,5,0),1,0)*Data_NFI_t[[#This Row],[Blanket]],0)</f>
        <v>0</v>
      </c>
      <c r="Z252" s="124">
        <f>IF(NFI_Expiration=1,IF($A252&lt;VLOOKUP(O$5,NFI,5,0),1,0)*Data_NFI_t[[#This Row],[Kitchen Set]],0)</f>
        <v>0</v>
      </c>
      <c r="AA252" s="124">
        <f>IF(NFI_Expiration=1,IF($A252&lt;VLOOKUP(P$5,NFI,5,0),1,0)*Data_NFI_t[[#This Row],[Complementary Kit]],0)</f>
        <v>0</v>
      </c>
      <c r="AB252" s="124">
        <f>IF(NFI_Expiration=1,IF($A252&lt;VLOOKUP(Q$5,NFI,5,0),1,0)*Data_NFI_t[[#This Row],[Plastic Bucket]],0)</f>
        <v>0</v>
      </c>
      <c r="AC252" s="124">
        <f>IF(NFI_Expiration=1,IF($A252&lt;VLOOKUP(R$5,NFI,5,0),1,0)*Data_NFI_t[[#This Row],[Jerry Can]],0)</f>
        <v>0</v>
      </c>
      <c r="AD252" s="143">
        <f>IF(NFI_Expiration=1,IF($A252&lt;VLOOKUP(S$5,NFI,5,0),1,0)*Data_NFI_t[[#This Row],[Plastic Mat]],0)*IF(Data_NFI_t[[#This Row],[Distribution Date]]&gt;"01-06-2015",1,2.5)</f>
        <v>0</v>
      </c>
      <c r="AE252" s="143" t="str">
        <f ca="1">IFERROR(OFFSET(Camp_List[P_Code],MATCH(Data_NFI_t[[#This Row],[Camp Name]],Camp_List[Camp Name],0)-1,0,1,1),"")</f>
        <v>MMR012CMP041</v>
      </c>
      <c r="AF252" s="572" t="str">
        <f ca="1">IFERROR(OFFSET(Camp_List[Status],MATCH(Data_NFI_t[[#This Row],[Camp Name]],Camp_List[Camp Name],0)-1,0,1,1),"")</f>
        <v>Open</v>
      </c>
    </row>
    <row r="253" spans="1:32" s="100" customFormat="1" ht="15" customHeight="1">
      <c r="A253" s="254">
        <f t="shared" si="3"/>
        <v>41.56666666666667</v>
      </c>
      <c r="B253" s="254">
        <f>YEAR(Data_NFI_t[[#This Row],[Distribution Date]])</f>
        <v>2013</v>
      </c>
      <c r="C253" s="585">
        <v>41275</v>
      </c>
      <c r="D253" s="547" t="s">
        <v>529</v>
      </c>
      <c r="E253" s="546" t="s">
        <v>529</v>
      </c>
      <c r="F253" s="547" t="s">
        <v>7</v>
      </c>
      <c r="G253" s="31" t="s">
        <v>19</v>
      </c>
      <c r="H253" s="31" t="s">
        <v>64</v>
      </c>
      <c r="I253" s="31">
        <v>722</v>
      </c>
      <c r="J253" s="60"/>
      <c r="K253" s="60"/>
      <c r="L253" s="60"/>
      <c r="M253" s="60"/>
      <c r="N253" s="60"/>
      <c r="O253" s="60"/>
      <c r="P253" s="60"/>
      <c r="Q253" s="60"/>
      <c r="R253" s="570"/>
      <c r="S253" s="60"/>
      <c r="T253" s="143">
        <f>IF(NFI_Expiration=1,IF($A253&lt;VLOOKUP(I$5,NFI,5,0),1,0)*Data_NFI_t[[#This Row],[Hygiene Kit]],0)</f>
        <v>0</v>
      </c>
      <c r="U253" s="143">
        <f>IF(NFI_Expiration=1,IF($A253&lt;VLOOKUP(J$5,NFI,5,0),1,0)*Data_NFI_t[[#This Row],[NFI Core Kit]],0)</f>
        <v>0</v>
      </c>
      <c r="V253" s="124">
        <f>IF(NFI_Expiration=1,IF($A253&lt;VLOOKUP(K$5,NFI,5,0),1,0)*Data_NFI_t[[#This Row],[Sanitary Kit]],0)</f>
        <v>0</v>
      </c>
      <c r="W253" s="124">
        <f>IF(NFI_Expiration=1,IF($A253&lt;VLOOKUP(L$5,NFI,5,0),1,0)*Data_NFI_t[[#This Row],[Mosquito net]],0)</f>
        <v>0</v>
      </c>
      <c r="X253" s="124">
        <f>IF(NFI_Expiration=1,IF($A253&lt;VLOOKUP(M$5,NFI,5,0),1,0)*Data_NFI_t[[#This Row],[Tarpaulin]],0)</f>
        <v>0</v>
      </c>
      <c r="Y253" s="124">
        <f>IF(NFI_Expiration=1,IF($A253&lt;VLOOKUP(N$5,NFI,5,0),1,0)*Data_NFI_t[[#This Row],[Blanket]],0)</f>
        <v>0</v>
      </c>
      <c r="Z253" s="124">
        <f>IF(NFI_Expiration=1,IF($A253&lt;VLOOKUP(O$5,NFI,5,0),1,0)*Data_NFI_t[[#This Row],[Kitchen Set]],0)</f>
        <v>0</v>
      </c>
      <c r="AA253" s="124">
        <f>IF(NFI_Expiration=1,IF($A253&lt;VLOOKUP(P$5,NFI,5,0),1,0)*Data_NFI_t[[#This Row],[Complementary Kit]],0)</f>
        <v>0</v>
      </c>
      <c r="AB253" s="124">
        <f>IF(NFI_Expiration=1,IF($A253&lt;VLOOKUP(Q$5,NFI,5,0),1,0)*Data_NFI_t[[#This Row],[Plastic Bucket]],0)</f>
        <v>0</v>
      </c>
      <c r="AC253" s="124">
        <f>IF(NFI_Expiration=1,IF($A253&lt;VLOOKUP(R$5,NFI,5,0),1,0)*Data_NFI_t[[#This Row],[Jerry Can]],0)</f>
        <v>0</v>
      </c>
      <c r="AD253" s="143">
        <f>IF(NFI_Expiration=1,IF($A253&lt;VLOOKUP(S$5,NFI,5,0),1,0)*Data_NFI_t[[#This Row],[Plastic Mat]],0)*IF(Data_NFI_t[[#This Row],[Distribution Date]]&gt;"01-06-2015",1,2.5)</f>
        <v>0</v>
      </c>
      <c r="AE253" s="143" t="str">
        <f ca="1">IFERROR(OFFSET(Camp_List[P_Code],MATCH(Data_NFI_t[[#This Row],[Camp Name]],Camp_List[Camp Name],0)-1,0,1,1),"")</f>
        <v>MMR012CMP042</v>
      </c>
      <c r="AF253" s="572" t="str">
        <f ca="1">IFERROR(OFFSET(Camp_List[Status],MATCH(Data_NFI_t[[#This Row],[Camp Name]],Camp_List[Camp Name],0)-1,0,1,1),"")</f>
        <v>Open</v>
      </c>
    </row>
    <row r="254" spans="1:32" s="100" customFormat="1" ht="15" customHeight="1">
      <c r="A254" s="254">
        <f t="shared" si="3"/>
        <v>41.56666666666667</v>
      </c>
      <c r="B254" s="254">
        <f>YEAR(Data_NFI_t[[#This Row],[Distribution Date]])</f>
        <v>2013</v>
      </c>
      <c r="C254" s="585">
        <v>41275</v>
      </c>
      <c r="D254" s="547" t="s">
        <v>527</v>
      </c>
      <c r="E254" s="546" t="s">
        <v>527</v>
      </c>
      <c r="F254" s="547" t="s">
        <v>7</v>
      </c>
      <c r="G254" s="31" t="s">
        <v>19</v>
      </c>
      <c r="H254" s="31" t="s">
        <v>76</v>
      </c>
      <c r="I254" s="31">
        <v>80</v>
      </c>
      <c r="J254" s="60"/>
      <c r="K254" s="60"/>
      <c r="L254" s="60"/>
      <c r="M254" s="60"/>
      <c r="N254" s="60"/>
      <c r="O254" s="60"/>
      <c r="P254" s="60"/>
      <c r="Q254" s="60"/>
      <c r="R254" s="570"/>
      <c r="S254" s="60"/>
      <c r="T254" s="143">
        <f>IF(NFI_Expiration=1,IF($A254&lt;VLOOKUP(I$5,NFI,5,0),1,0)*Data_NFI_t[[#This Row],[Hygiene Kit]],0)</f>
        <v>0</v>
      </c>
      <c r="U254" s="143">
        <f>IF(NFI_Expiration=1,IF($A254&lt;VLOOKUP(J$5,NFI,5,0),1,0)*Data_NFI_t[[#This Row],[NFI Core Kit]],0)</f>
        <v>0</v>
      </c>
      <c r="V254" s="124">
        <f>IF(NFI_Expiration=1,IF($A254&lt;VLOOKUP(K$5,NFI,5,0),1,0)*Data_NFI_t[[#This Row],[Sanitary Kit]],0)</f>
        <v>0</v>
      </c>
      <c r="W254" s="124">
        <f>IF(NFI_Expiration=1,IF($A254&lt;VLOOKUP(L$5,NFI,5,0),1,0)*Data_NFI_t[[#This Row],[Mosquito net]],0)</f>
        <v>0</v>
      </c>
      <c r="X254" s="124">
        <f>IF(NFI_Expiration=1,IF($A254&lt;VLOOKUP(M$5,NFI,5,0),1,0)*Data_NFI_t[[#This Row],[Tarpaulin]],0)</f>
        <v>0</v>
      </c>
      <c r="Y254" s="124">
        <f>IF(NFI_Expiration=1,IF($A254&lt;VLOOKUP(N$5,NFI,5,0),1,0)*Data_NFI_t[[#This Row],[Blanket]],0)</f>
        <v>0</v>
      </c>
      <c r="Z254" s="124">
        <f>IF(NFI_Expiration=1,IF($A254&lt;VLOOKUP(O$5,NFI,5,0),1,0)*Data_NFI_t[[#This Row],[Kitchen Set]],0)</f>
        <v>0</v>
      </c>
      <c r="AA254" s="124">
        <f>IF(NFI_Expiration=1,IF($A254&lt;VLOOKUP(P$5,NFI,5,0),1,0)*Data_NFI_t[[#This Row],[Complementary Kit]],0)</f>
        <v>0</v>
      </c>
      <c r="AB254" s="124">
        <f>IF(NFI_Expiration=1,IF($A254&lt;VLOOKUP(Q$5,NFI,5,0),1,0)*Data_NFI_t[[#This Row],[Plastic Bucket]],0)</f>
        <v>0</v>
      </c>
      <c r="AC254" s="124">
        <f>IF(NFI_Expiration=1,IF($A254&lt;VLOOKUP(R$5,NFI,5,0),1,0)*Data_NFI_t[[#This Row],[Jerry Can]],0)</f>
        <v>0</v>
      </c>
      <c r="AD254" s="143">
        <f>IF(NFI_Expiration=1,IF($A254&lt;VLOOKUP(S$5,NFI,5,0),1,0)*Data_NFI_t[[#This Row],[Plastic Mat]],0)*IF(Data_NFI_t[[#This Row],[Distribution Date]]&gt;"01-06-2015",1,2.5)</f>
        <v>0</v>
      </c>
      <c r="AE254" s="143" t="str">
        <f ca="1">IFERROR(OFFSET(Camp_List[P_Code],MATCH(Data_NFI_t[[#This Row],[Camp Name]],Camp_List[Camp Name],0)-1,0,1,1),"")</f>
        <v>MMR012CMP054</v>
      </c>
      <c r="AF254" s="572" t="str">
        <f ca="1">IFERROR(OFFSET(Camp_List[Status],MATCH(Data_NFI_t[[#This Row],[Camp Name]],Camp_List[Camp Name],0)-1,0,1,1),"")</f>
        <v>Close</v>
      </c>
    </row>
    <row r="255" spans="1:32" s="100" customFormat="1" ht="15" customHeight="1">
      <c r="A255" s="254">
        <f t="shared" si="3"/>
        <v>41.56666666666667</v>
      </c>
      <c r="B255" s="254">
        <f>YEAR(Data_NFI_t[[#This Row],[Distribution Date]])</f>
        <v>2013</v>
      </c>
      <c r="C255" s="585">
        <v>41275</v>
      </c>
      <c r="D255" s="547" t="s">
        <v>527</v>
      </c>
      <c r="E255" s="546" t="s">
        <v>527</v>
      </c>
      <c r="F255" s="547" t="s">
        <v>7</v>
      </c>
      <c r="G255" s="31" t="s">
        <v>11</v>
      </c>
      <c r="H255" s="31" t="s">
        <v>35</v>
      </c>
      <c r="I255" s="31">
        <v>50</v>
      </c>
      <c r="J255" s="60"/>
      <c r="K255" s="60"/>
      <c r="L255" s="60"/>
      <c r="M255" s="60"/>
      <c r="N255" s="60"/>
      <c r="O255" s="60"/>
      <c r="P255" s="60"/>
      <c r="Q255" s="60"/>
      <c r="R255" s="570"/>
      <c r="S255" s="60"/>
      <c r="T255" s="143">
        <f>IF(NFI_Expiration=1,IF($A255&lt;VLOOKUP(I$5,NFI,5,0),1,0)*Data_NFI_t[[#This Row],[Hygiene Kit]],0)</f>
        <v>0</v>
      </c>
      <c r="U255" s="143">
        <f>IF(NFI_Expiration=1,IF($A255&lt;VLOOKUP(J$5,NFI,5,0),1,0)*Data_NFI_t[[#This Row],[NFI Core Kit]],0)</f>
        <v>0</v>
      </c>
      <c r="V255" s="124">
        <f>IF(NFI_Expiration=1,IF($A255&lt;VLOOKUP(K$5,NFI,5,0),1,0)*Data_NFI_t[[#This Row],[Sanitary Kit]],0)</f>
        <v>0</v>
      </c>
      <c r="W255" s="124">
        <f>IF(NFI_Expiration=1,IF($A255&lt;VLOOKUP(L$5,NFI,5,0),1,0)*Data_NFI_t[[#This Row],[Mosquito net]],0)</f>
        <v>0</v>
      </c>
      <c r="X255" s="124">
        <f>IF(NFI_Expiration=1,IF($A255&lt;VLOOKUP(M$5,NFI,5,0),1,0)*Data_NFI_t[[#This Row],[Tarpaulin]],0)</f>
        <v>0</v>
      </c>
      <c r="Y255" s="124">
        <f>IF(NFI_Expiration=1,IF($A255&lt;VLOOKUP(N$5,NFI,5,0),1,0)*Data_NFI_t[[#This Row],[Blanket]],0)</f>
        <v>0</v>
      </c>
      <c r="Z255" s="124">
        <f>IF(NFI_Expiration=1,IF($A255&lt;VLOOKUP(O$5,NFI,5,0),1,0)*Data_NFI_t[[#This Row],[Kitchen Set]],0)</f>
        <v>0</v>
      </c>
      <c r="AA255" s="124">
        <f>IF(NFI_Expiration=1,IF($A255&lt;VLOOKUP(P$5,NFI,5,0),1,0)*Data_NFI_t[[#This Row],[Complementary Kit]],0)</f>
        <v>0</v>
      </c>
      <c r="AB255" s="124">
        <f>IF(NFI_Expiration=1,IF($A255&lt;VLOOKUP(Q$5,NFI,5,0),1,0)*Data_NFI_t[[#This Row],[Plastic Bucket]],0)</f>
        <v>0</v>
      </c>
      <c r="AC255" s="124">
        <f>IF(NFI_Expiration=1,IF($A255&lt;VLOOKUP(R$5,NFI,5,0),1,0)*Data_NFI_t[[#This Row],[Jerry Can]],0)</f>
        <v>0</v>
      </c>
      <c r="AD255" s="143">
        <f>IF(NFI_Expiration=1,IF($A255&lt;VLOOKUP(S$5,NFI,5,0),1,0)*Data_NFI_t[[#This Row],[Plastic Mat]],0)*IF(Data_NFI_t[[#This Row],[Distribution Date]]&gt;"01-06-2015",1,2.5)</f>
        <v>0</v>
      </c>
      <c r="AE255" s="143" t="str">
        <f ca="1">IFERROR(OFFSET(Camp_List[P_Code],MATCH(Data_NFI_t[[#This Row],[Camp Name]],Camp_List[Camp Name],0)-1,0,1,1),"")</f>
        <v>MMR012CMP011</v>
      </c>
      <c r="AF255" s="572" t="str">
        <f ca="1">IFERROR(OFFSET(Camp_List[Status],MATCH(Data_NFI_t[[#This Row],[Camp Name]],Camp_List[Camp Name],0)-1,0,1,1),"")</f>
        <v>Close</v>
      </c>
    </row>
    <row r="256" spans="1:32" s="100" customFormat="1" ht="15" customHeight="1">
      <c r="A256" s="254">
        <f t="shared" si="3"/>
        <v>41.56666666666667</v>
      </c>
      <c r="B256" s="254">
        <f>YEAR(Data_NFI_t[[#This Row],[Distribution Date]])</f>
        <v>2013</v>
      </c>
      <c r="C256" s="585">
        <v>41275</v>
      </c>
      <c r="D256" s="547" t="s">
        <v>527</v>
      </c>
      <c r="E256" s="546" t="s">
        <v>527</v>
      </c>
      <c r="F256" s="547" t="s">
        <v>7</v>
      </c>
      <c r="G256" s="31" t="s">
        <v>19</v>
      </c>
      <c r="H256" s="31" t="s">
        <v>78</v>
      </c>
      <c r="I256" s="31">
        <v>220</v>
      </c>
      <c r="J256" s="60"/>
      <c r="K256" s="60"/>
      <c r="L256" s="60"/>
      <c r="M256" s="60"/>
      <c r="N256" s="60"/>
      <c r="O256" s="60"/>
      <c r="P256" s="60"/>
      <c r="Q256" s="60"/>
      <c r="R256" s="570"/>
      <c r="S256" s="60"/>
      <c r="T256" s="143">
        <f>IF(NFI_Expiration=1,IF($A256&lt;VLOOKUP(I$5,NFI,5,0),1,0)*Data_NFI_t[[#This Row],[Hygiene Kit]],0)</f>
        <v>0</v>
      </c>
      <c r="U256" s="143">
        <f>IF(NFI_Expiration=1,IF($A256&lt;VLOOKUP(J$5,NFI,5,0),1,0)*Data_NFI_t[[#This Row],[NFI Core Kit]],0)</f>
        <v>0</v>
      </c>
      <c r="V256" s="124">
        <f>IF(NFI_Expiration=1,IF($A256&lt;VLOOKUP(K$5,NFI,5,0),1,0)*Data_NFI_t[[#This Row],[Sanitary Kit]],0)</f>
        <v>0</v>
      </c>
      <c r="W256" s="124">
        <f>IF(NFI_Expiration=1,IF($A256&lt;VLOOKUP(L$5,NFI,5,0),1,0)*Data_NFI_t[[#This Row],[Mosquito net]],0)</f>
        <v>0</v>
      </c>
      <c r="X256" s="124">
        <f>IF(NFI_Expiration=1,IF($A256&lt;VLOOKUP(M$5,NFI,5,0),1,0)*Data_NFI_t[[#This Row],[Tarpaulin]],0)</f>
        <v>0</v>
      </c>
      <c r="Y256" s="124">
        <f>IF(NFI_Expiration=1,IF($A256&lt;VLOOKUP(N$5,NFI,5,0),1,0)*Data_NFI_t[[#This Row],[Blanket]],0)</f>
        <v>0</v>
      </c>
      <c r="Z256" s="124">
        <f>IF(NFI_Expiration=1,IF($A256&lt;VLOOKUP(O$5,NFI,5,0),1,0)*Data_NFI_t[[#This Row],[Kitchen Set]],0)</f>
        <v>0</v>
      </c>
      <c r="AA256" s="124">
        <f>IF(NFI_Expiration=1,IF($A256&lt;VLOOKUP(P$5,NFI,5,0),1,0)*Data_NFI_t[[#This Row],[Complementary Kit]],0)</f>
        <v>0</v>
      </c>
      <c r="AB256" s="124">
        <f>IF(NFI_Expiration=1,IF($A256&lt;VLOOKUP(Q$5,NFI,5,0),1,0)*Data_NFI_t[[#This Row],[Plastic Bucket]],0)</f>
        <v>0</v>
      </c>
      <c r="AC256" s="124">
        <f>IF(NFI_Expiration=1,IF($A256&lt;VLOOKUP(R$5,NFI,5,0),1,0)*Data_NFI_t[[#This Row],[Jerry Can]],0)</f>
        <v>0</v>
      </c>
      <c r="AD256" s="143">
        <f>IF(NFI_Expiration=1,IF($A256&lt;VLOOKUP(S$5,NFI,5,0),1,0)*Data_NFI_t[[#This Row],[Plastic Mat]],0)*IF(Data_NFI_t[[#This Row],[Distribution Date]]&gt;"01-06-2015",1,2.5)</f>
        <v>0</v>
      </c>
      <c r="AE256" s="143" t="str">
        <f ca="1">IFERROR(OFFSET(Camp_List[P_Code],MATCH(Data_NFI_t[[#This Row],[Camp Name]],Camp_List[Camp Name],0)-1,0,1,1),"")</f>
        <v>MMR012CMP056</v>
      </c>
      <c r="AF256" s="572" t="str">
        <f ca="1">IFERROR(OFFSET(Camp_List[Status],MATCH(Data_NFI_t[[#This Row],[Camp Name]],Camp_List[Camp Name],0)-1,0,1,1),"")</f>
        <v>Relocated in Individual Housing</v>
      </c>
    </row>
    <row r="257" spans="1:32" s="100" customFormat="1" ht="15" customHeight="1">
      <c r="A257" s="254">
        <f t="shared" si="3"/>
        <v>41.56666666666667</v>
      </c>
      <c r="B257" s="254">
        <f>YEAR(Data_NFI_t[[#This Row],[Distribution Date]])</f>
        <v>2013</v>
      </c>
      <c r="C257" s="585">
        <v>41275</v>
      </c>
      <c r="D257" s="547" t="s">
        <v>528</v>
      </c>
      <c r="E257" s="546" t="s">
        <v>294</v>
      </c>
      <c r="F257" s="547" t="s">
        <v>7</v>
      </c>
      <c r="G257" s="31" t="s">
        <v>19</v>
      </c>
      <c r="H257" s="31" t="s">
        <v>78</v>
      </c>
      <c r="I257" s="31">
        <v>220</v>
      </c>
      <c r="J257" s="60"/>
      <c r="K257" s="60"/>
      <c r="L257" s="60"/>
      <c r="M257" s="60"/>
      <c r="N257" s="60"/>
      <c r="O257" s="60"/>
      <c r="P257" s="60"/>
      <c r="Q257" s="60"/>
      <c r="R257" s="570"/>
      <c r="S257" s="60"/>
      <c r="T257" s="143">
        <f>IF(NFI_Expiration=1,IF($A257&lt;VLOOKUP(I$5,NFI,5,0),1,0)*Data_NFI_t[[#This Row],[Hygiene Kit]],0)</f>
        <v>0</v>
      </c>
      <c r="U257" s="143">
        <f>IF(NFI_Expiration=1,IF($A257&lt;VLOOKUP(J$5,NFI,5,0),1,0)*Data_NFI_t[[#This Row],[NFI Core Kit]],0)</f>
        <v>0</v>
      </c>
      <c r="V257" s="124">
        <f>IF(NFI_Expiration=1,IF($A257&lt;VLOOKUP(K$5,NFI,5,0),1,0)*Data_NFI_t[[#This Row],[Sanitary Kit]],0)</f>
        <v>0</v>
      </c>
      <c r="W257" s="124">
        <f>IF(NFI_Expiration=1,IF($A257&lt;VLOOKUP(L$5,NFI,5,0),1,0)*Data_NFI_t[[#This Row],[Mosquito net]],0)</f>
        <v>0</v>
      </c>
      <c r="X257" s="124">
        <f>IF(NFI_Expiration=1,IF($A257&lt;VLOOKUP(M$5,NFI,5,0),1,0)*Data_NFI_t[[#This Row],[Tarpaulin]],0)</f>
        <v>0</v>
      </c>
      <c r="Y257" s="124">
        <f>IF(NFI_Expiration=1,IF($A257&lt;VLOOKUP(N$5,NFI,5,0),1,0)*Data_NFI_t[[#This Row],[Blanket]],0)</f>
        <v>0</v>
      </c>
      <c r="Z257" s="124">
        <f>IF(NFI_Expiration=1,IF($A257&lt;VLOOKUP(O$5,NFI,5,0),1,0)*Data_NFI_t[[#This Row],[Kitchen Set]],0)</f>
        <v>0</v>
      </c>
      <c r="AA257" s="124">
        <f>IF(NFI_Expiration=1,IF($A257&lt;VLOOKUP(P$5,NFI,5,0),1,0)*Data_NFI_t[[#This Row],[Complementary Kit]],0)</f>
        <v>0</v>
      </c>
      <c r="AB257" s="124">
        <f>IF(NFI_Expiration=1,IF($A257&lt;VLOOKUP(Q$5,NFI,5,0),1,0)*Data_NFI_t[[#This Row],[Plastic Bucket]],0)</f>
        <v>0</v>
      </c>
      <c r="AC257" s="124">
        <f>IF(NFI_Expiration=1,IF($A257&lt;VLOOKUP(R$5,NFI,5,0),1,0)*Data_NFI_t[[#This Row],[Jerry Can]],0)</f>
        <v>0</v>
      </c>
      <c r="AD257" s="143">
        <f>IF(NFI_Expiration=1,IF($A257&lt;VLOOKUP(S$5,NFI,5,0),1,0)*Data_NFI_t[[#This Row],[Plastic Mat]],0)*IF(Data_NFI_t[[#This Row],[Distribution Date]]&gt;"01-06-2015",1,2.5)</f>
        <v>0</v>
      </c>
      <c r="AE257" s="143" t="str">
        <f ca="1">IFERROR(OFFSET(Camp_List[P_Code],MATCH(Data_NFI_t[[#This Row],[Camp Name]],Camp_List[Camp Name],0)-1,0,1,1),"")</f>
        <v>MMR012CMP056</v>
      </c>
      <c r="AF257" s="572" t="str">
        <f ca="1">IFERROR(OFFSET(Camp_List[Status],MATCH(Data_NFI_t[[#This Row],[Camp Name]],Camp_List[Camp Name],0)-1,0,1,1),"")</f>
        <v>Relocated in Individual Housing</v>
      </c>
    </row>
    <row r="258" spans="1:32" s="100" customFormat="1" ht="15" customHeight="1">
      <c r="A258" s="254">
        <f t="shared" si="3"/>
        <v>41.56666666666667</v>
      </c>
      <c r="B258" s="254">
        <f>YEAR(Data_NFI_t[[#This Row],[Distribution Date]])</f>
        <v>2013</v>
      </c>
      <c r="C258" s="585">
        <v>41275</v>
      </c>
      <c r="D258" s="547" t="s">
        <v>528</v>
      </c>
      <c r="E258" s="546" t="s">
        <v>294</v>
      </c>
      <c r="F258" s="547" t="s">
        <v>7</v>
      </c>
      <c r="G258" s="31" t="s">
        <v>19</v>
      </c>
      <c r="H258" s="31" t="s">
        <v>68</v>
      </c>
      <c r="I258" s="31">
        <v>2939</v>
      </c>
      <c r="J258" s="60"/>
      <c r="K258" s="60"/>
      <c r="L258" s="60"/>
      <c r="M258" s="60"/>
      <c r="N258" s="60"/>
      <c r="O258" s="60"/>
      <c r="P258" s="60"/>
      <c r="Q258" s="60"/>
      <c r="R258" s="570"/>
      <c r="S258" s="60"/>
      <c r="T258" s="143">
        <f>IF(NFI_Expiration=1,IF($A258&lt;VLOOKUP(I$5,NFI,5,0),1,0)*Data_NFI_t[[#This Row],[Hygiene Kit]],0)</f>
        <v>0</v>
      </c>
      <c r="U258" s="143">
        <f>IF(NFI_Expiration=1,IF($A258&lt;VLOOKUP(J$5,NFI,5,0),1,0)*Data_NFI_t[[#This Row],[NFI Core Kit]],0)</f>
        <v>0</v>
      </c>
      <c r="V258" s="124">
        <f>IF(NFI_Expiration=1,IF($A258&lt;VLOOKUP(K$5,NFI,5,0),1,0)*Data_NFI_t[[#This Row],[Sanitary Kit]],0)</f>
        <v>0</v>
      </c>
      <c r="W258" s="124">
        <f>IF(NFI_Expiration=1,IF($A258&lt;VLOOKUP(L$5,NFI,5,0),1,0)*Data_NFI_t[[#This Row],[Mosquito net]],0)</f>
        <v>0</v>
      </c>
      <c r="X258" s="124">
        <f>IF(NFI_Expiration=1,IF($A258&lt;VLOOKUP(M$5,NFI,5,0),1,0)*Data_NFI_t[[#This Row],[Tarpaulin]],0)</f>
        <v>0</v>
      </c>
      <c r="Y258" s="124">
        <f>IF(NFI_Expiration=1,IF($A258&lt;VLOOKUP(N$5,NFI,5,0),1,0)*Data_NFI_t[[#This Row],[Blanket]],0)</f>
        <v>0</v>
      </c>
      <c r="Z258" s="124">
        <f>IF(NFI_Expiration=1,IF($A258&lt;VLOOKUP(O$5,NFI,5,0),1,0)*Data_NFI_t[[#This Row],[Kitchen Set]],0)</f>
        <v>0</v>
      </c>
      <c r="AA258" s="124">
        <f>IF(NFI_Expiration=1,IF($A258&lt;VLOOKUP(P$5,NFI,5,0),1,0)*Data_NFI_t[[#This Row],[Complementary Kit]],0)</f>
        <v>0</v>
      </c>
      <c r="AB258" s="124">
        <f>IF(NFI_Expiration=1,IF($A258&lt;VLOOKUP(Q$5,NFI,5,0),1,0)*Data_NFI_t[[#This Row],[Plastic Bucket]],0)</f>
        <v>0</v>
      </c>
      <c r="AC258" s="124">
        <f>IF(NFI_Expiration=1,IF($A258&lt;VLOOKUP(R$5,NFI,5,0),1,0)*Data_NFI_t[[#This Row],[Jerry Can]],0)</f>
        <v>0</v>
      </c>
      <c r="AD258" s="143">
        <f>IF(NFI_Expiration=1,IF($A258&lt;VLOOKUP(S$5,NFI,5,0),1,0)*Data_NFI_t[[#This Row],[Plastic Mat]],0)*IF(Data_NFI_t[[#This Row],[Distribution Date]]&gt;"01-06-2015",1,2.5)</f>
        <v>0</v>
      </c>
      <c r="AE258" s="143" t="str">
        <f ca="1">IFERROR(OFFSET(Camp_List[P_Code],MATCH(Data_NFI_t[[#This Row],[Camp Name]],Camp_List[Camp Name],0)-1,0,1,1),"")</f>
        <v>MMR012CMP046</v>
      </c>
      <c r="AF258" s="572" t="str">
        <f ca="1">IFERROR(OFFSET(Camp_List[Status],MATCH(Data_NFI_t[[#This Row],[Camp Name]],Camp_List[Camp Name],0)-1,0,1,1),"")</f>
        <v>Open</v>
      </c>
    </row>
    <row r="259" spans="1:32" s="100" customFormat="1" ht="15" customHeight="1">
      <c r="A259" s="254">
        <f t="shared" si="3"/>
        <v>41.833333333333336</v>
      </c>
      <c r="B259" s="254">
        <f>YEAR(Data_NFI_t[[#This Row],[Distribution Date]])</f>
        <v>2012</v>
      </c>
      <c r="C259" s="585">
        <v>41267</v>
      </c>
      <c r="D259" s="547" t="s">
        <v>287</v>
      </c>
      <c r="E259" s="546"/>
      <c r="F259" s="547" t="s">
        <v>7</v>
      </c>
      <c r="G259" s="31" t="s">
        <v>14</v>
      </c>
      <c r="H259" s="31" t="s">
        <v>40</v>
      </c>
      <c r="I259" s="31"/>
      <c r="J259" s="60"/>
      <c r="K259" s="60"/>
      <c r="L259" s="60"/>
      <c r="M259" s="60">
        <v>758</v>
      </c>
      <c r="N259" s="60"/>
      <c r="O259" s="60"/>
      <c r="P259" s="60"/>
      <c r="Q259" s="60"/>
      <c r="R259" s="570"/>
      <c r="S259" s="60"/>
      <c r="T259" s="143">
        <f>IF(NFI_Expiration=1,IF($A259&lt;VLOOKUP(I$5,NFI,5,0),1,0)*Data_NFI_t[[#This Row],[Hygiene Kit]],0)</f>
        <v>0</v>
      </c>
      <c r="U259" s="143">
        <f>IF(NFI_Expiration=1,IF($A259&lt;VLOOKUP(J$5,NFI,5,0),1,0)*Data_NFI_t[[#This Row],[NFI Core Kit]],0)</f>
        <v>0</v>
      </c>
      <c r="V259" s="124">
        <f>IF(NFI_Expiration=1,IF($A259&lt;VLOOKUP(K$5,NFI,5,0),1,0)*Data_NFI_t[[#This Row],[Sanitary Kit]],0)</f>
        <v>0</v>
      </c>
      <c r="W259" s="124">
        <f>IF(NFI_Expiration=1,IF($A259&lt;VLOOKUP(L$5,NFI,5,0),1,0)*Data_NFI_t[[#This Row],[Mosquito net]],0)</f>
        <v>0</v>
      </c>
      <c r="X259" s="124">
        <f>IF(NFI_Expiration=1,IF($A259&lt;VLOOKUP(M$5,NFI,5,0),1,0)*Data_NFI_t[[#This Row],[Tarpaulin]],0)</f>
        <v>0</v>
      </c>
      <c r="Y259" s="124">
        <f>IF(NFI_Expiration=1,IF($A259&lt;VLOOKUP(N$5,NFI,5,0),1,0)*Data_NFI_t[[#This Row],[Blanket]],0)</f>
        <v>0</v>
      </c>
      <c r="Z259" s="124">
        <f>IF(NFI_Expiration=1,IF($A259&lt;VLOOKUP(O$5,NFI,5,0),1,0)*Data_NFI_t[[#This Row],[Kitchen Set]],0)</f>
        <v>0</v>
      </c>
      <c r="AA259" s="124">
        <f>IF(NFI_Expiration=1,IF($A259&lt;VLOOKUP(P$5,NFI,5,0),1,0)*Data_NFI_t[[#This Row],[Complementary Kit]],0)</f>
        <v>0</v>
      </c>
      <c r="AB259" s="124">
        <f>IF(NFI_Expiration=1,IF($A259&lt;VLOOKUP(Q$5,NFI,5,0),1,0)*Data_NFI_t[[#This Row],[Plastic Bucket]],0)</f>
        <v>0</v>
      </c>
      <c r="AC259" s="124">
        <f>IF(NFI_Expiration=1,IF($A259&lt;VLOOKUP(R$5,NFI,5,0),1,0)*Data_NFI_t[[#This Row],[Jerry Can]],0)</f>
        <v>0</v>
      </c>
      <c r="AD259" s="143">
        <f>IF(NFI_Expiration=1,IF($A259&lt;VLOOKUP(S$5,NFI,5,0),1,0)*Data_NFI_t[[#This Row],[Plastic Mat]],0)*IF(Data_NFI_t[[#This Row],[Distribution Date]]&gt;"01-06-2015",1,2.5)</f>
        <v>0</v>
      </c>
      <c r="AE259" s="143" t="str">
        <f ca="1">IFERROR(OFFSET(Camp_List[P_Code],MATCH(Data_NFI_t[[#This Row],[Camp Name]],Camp_List[Camp Name],0)-1,0,1,1),"")</f>
        <v>MMR012CMP016</v>
      </c>
      <c r="AF259" s="572" t="str">
        <f ca="1">IFERROR(OFFSET(Camp_List[Status],MATCH(Data_NFI_t[[#This Row],[Camp Name]],Camp_List[Camp Name],0)-1,0,1,1),"")</f>
        <v>Open</v>
      </c>
    </row>
    <row r="260" spans="1:32" s="100" customFormat="1" ht="15" customHeight="1">
      <c r="A260" s="254">
        <f t="shared" si="3"/>
        <v>41.833333333333336</v>
      </c>
      <c r="B260" s="254">
        <f>YEAR(Data_NFI_t[[#This Row],[Distribution Date]])</f>
        <v>2012</v>
      </c>
      <c r="C260" s="585">
        <v>41267</v>
      </c>
      <c r="D260" s="547" t="s">
        <v>287</v>
      </c>
      <c r="E260" s="546"/>
      <c r="F260" s="547" t="s">
        <v>7</v>
      </c>
      <c r="G260" s="31" t="s">
        <v>14</v>
      </c>
      <c r="H260" s="31" t="s">
        <v>41</v>
      </c>
      <c r="I260" s="31"/>
      <c r="J260" s="60"/>
      <c r="K260" s="60"/>
      <c r="L260" s="60"/>
      <c r="M260" s="60">
        <v>1306</v>
      </c>
      <c r="N260" s="60"/>
      <c r="O260" s="60"/>
      <c r="P260" s="60"/>
      <c r="Q260" s="60"/>
      <c r="R260" s="570"/>
      <c r="S260" s="60"/>
      <c r="T260" s="143">
        <f>IF(NFI_Expiration=1,IF($A260&lt;VLOOKUP(I$5,NFI,5,0),1,0)*Data_NFI_t[[#This Row],[Hygiene Kit]],0)</f>
        <v>0</v>
      </c>
      <c r="U260" s="143">
        <f>IF(NFI_Expiration=1,IF($A260&lt;VLOOKUP(J$5,NFI,5,0),1,0)*Data_NFI_t[[#This Row],[NFI Core Kit]],0)</f>
        <v>0</v>
      </c>
      <c r="V260" s="124">
        <f>IF(NFI_Expiration=1,IF($A260&lt;VLOOKUP(K$5,NFI,5,0),1,0)*Data_NFI_t[[#This Row],[Sanitary Kit]],0)</f>
        <v>0</v>
      </c>
      <c r="W260" s="124">
        <f>IF(NFI_Expiration=1,IF($A260&lt;VLOOKUP(L$5,NFI,5,0),1,0)*Data_NFI_t[[#This Row],[Mosquito net]],0)</f>
        <v>0</v>
      </c>
      <c r="X260" s="124">
        <f>IF(NFI_Expiration=1,IF($A260&lt;VLOOKUP(M$5,NFI,5,0),1,0)*Data_NFI_t[[#This Row],[Tarpaulin]],0)</f>
        <v>0</v>
      </c>
      <c r="Y260" s="124">
        <f>IF(NFI_Expiration=1,IF($A260&lt;VLOOKUP(N$5,NFI,5,0),1,0)*Data_NFI_t[[#This Row],[Blanket]],0)</f>
        <v>0</v>
      </c>
      <c r="Z260" s="124">
        <f>IF(NFI_Expiration=1,IF($A260&lt;VLOOKUP(O$5,NFI,5,0),1,0)*Data_NFI_t[[#This Row],[Kitchen Set]],0)</f>
        <v>0</v>
      </c>
      <c r="AA260" s="124">
        <f>IF(NFI_Expiration=1,IF($A260&lt;VLOOKUP(P$5,NFI,5,0),1,0)*Data_NFI_t[[#This Row],[Complementary Kit]],0)</f>
        <v>0</v>
      </c>
      <c r="AB260" s="124">
        <f>IF(NFI_Expiration=1,IF($A260&lt;VLOOKUP(Q$5,NFI,5,0),1,0)*Data_NFI_t[[#This Row],[Plastic Bucket]],0)</f>
        <v>0</v>
      </c>
      <c r="AC260" s="124">
        <f>IF(NFI_Expiration=1,IF($A260&lt;VLOOKUP(R$5,NFI,5,0),1,0)*Data_NFI_t[[#This Row],[Jerry Can]],0)</f>
        <v>0</v>
      </c>
      <c r="AD260" s="143">
        <f>IF(NFI_Expiration=1,IF($A260&lt;VLOOKUP(S$5,NFI,5,0),1,0)*Data_NFI_t[[#This Row],[Plastic Mat]],0)*IF(Data_NFI_t[[#This Row],[Distribution Date]]&gt;"01-06-2015",1,2.5)</f>
        <v>0</v>
      </c>
      <c r="AE260" s="143" t="str">
        <f ca="1">IFERROR(OFFSET(Camp_List[P_Code],MATCH(Data_NFI_t[[#This Row],[Camp Name]],Camp_List[Camp Name],0)-1,0,1,1),"")</f>
        <v>MMR012CMP017</v>
      </c>
      <c r="AF260" s="572" t="str">
        <f ca="1">IFERROR(OFFSET(Camp_List[Status],MATCH(Data_NFI_t[[#This Row],[Camp Name]],Camp_List[Camp Name],0)-1,0,1,1),"")</f>
        <v>Open</v>
      </c>
    </row>
    <row r="261" spans="1:32" s="100" customFormat="1" ht="15" customHeight="1">
      <c r="A261" s="254">
        <f t="shared" si="3"/>
        <v>41.833333333333336</v>
      </c>
      <c r="B261" s="254">
        <f>YEAR(Data_NFI_t[[#This Row],[Distribution Date]])</f>
        <v>2012</v>
      </c>
      <c r="C261" s="585">
        <v>41267</v>
      </c>
      <c r="D261" s="547" t="s">
        <v>287</v>
      </c>
      <c r="E261" s="546"/>
      <c r="F261" s="547" t="s">
        <v>7</v>
      </c>
      <c r="G261" s="31" t="s">
        <v>14</v>
      </c>
      <c r="H261" s="31" t="s">
        <v>43</v>
      </c>
      <c r="I261" s="31"/>
      <c r="J261" s="60"/>
      <c r="K261" s="60"/>
      <c r="L261" s="60"/>
      <c r="M261" s="60">
        <v>796</v>
      </c>
      <c r="N261" s="60"/>
      <c r="O261" s="60"/>
      <c r="P261" s="60"/>
      <c r="Q261" s="60"/>
      <c r="R261" s="570"/>
      <c r="S261" s="60"/>
      <c r="T261" s="143">
        <f>IF(NFI_Expiration=1,IF($A261&lt;VLOOKUP(I$5,NFI,5,0),1,0)*Data_NFI_t[[#This Row],[Hygiene Kit]],0)</f>
        <v>0</v>
      </c>
      <c r="U261" s="143">
        <f>IF(NFI_Expiration=1,IF($A261&lt;VLOOKUP(J$5,NFI,5,0),1,0)*Data_NFI_t[[#This Row],[NFI Core Kit]],0)</f>
        <v>0</v>
      </c>
      <c r="V261" s="124">
        <f>IF(NFI_Expiration=1,IF($A261&lt;VLOOKUP(K$5,NFI,5,0),1,0)*Data_NFI_t[[#This Row],[Sanitary Kit]],0)</f>
        <v>0</v>
      </c>
      <c r="W261" s="124">
        <f>IF(NFI_Expiration=1,IF($A261&lt;VLOOKUP(L$5,NFI,5,0),1,0)*Data_NFI_t[[#This Row],[Mosquito net]],0)</f>
        <v>0</v>
      </c>
      <c r="X261" s="124">
        <f>IF(NFI_Expiration=1,IF($A261&lt;VLOOKUP(M$5,NFI,5,0),1,0)*Data_NFI_t[[#This Row],[Tarpaulin]],0)</f>
        <v>0</v>
      </c>
      <c r="Y261" s="124">
        <f>IF(NFI_Expiration=1,IF($A261&lt;VLOOKUP(N$5,NFI,5,0),1,0)*Data_NFI_t[[#This Row],[Blanket]],0)</f>
        <v>0</v>
      </c>
      <c r="Z261" s="124">
        <f>IF(NFI_Expiration=1,IF($A261&lt;VLOOKUP(O$5,NFI,5,0),1,0)*Data_NFI_t[[#This Row],[Kitchen Set]],0)</f>
        <v>0</v>
      </c>
      <c r="AA261" s="124">
        <f>IF(NFI_Expiration=1,IF($A261&lt;VLOOKUP(P$5,NFI,5,0),1,0)*Data_NFI_t[[#This Row],[Complementary Kit]],0)</f>
        <v>0</v>
      </c>
      <c r="AB261" s="124">
        <f>IF(NFI_Expiration=1,IF($A261&lt;VLOOKUP(Q$5,NFI,5,0),1,0)*Data_NFI_t[[#This Row],[Plastic Bucket]],0)</f>
        <v>0</v>
      </c>
      <c r="AC261" s="124">
        <f>IF(NFI_Expiration=1,IF($A261&lt;VLOOKUP(R$5,NFI,5,0),1,0)*Data_NFI_t[[#This Row],[Jerry Can]],0)</f>
        <v>0</v>
      </c>
      <c r="AD261" s="143">
        <f>IF(NFI_Expiration=1,IF($A261&lt;VLOOKUP(S$5,NFI,5,0),1,0)*Data_NFI_t[[#This Row],[Plastic Mat]],0)*IF(Data_NFI_t[[#This Row],[Distribution Date]]&gt;"01-06-2015",1,2.5)</f>
        <v>0</v>
      </c>
      <c r="AE261" s="143" t="str">
        <f ca="1">IFERROR(OFFSET(Camp_List[P_Code],MATCH(Data_NFI_t[[#This Row],[Camp Name]],Camp_List[Camp Name],0)-1,0,1,1),"")</f>
        <v>MMR012CMP019</v>
      </c>
      <c r="AF261" s="572" t="str">
        <f ca="1">IFERROR(OFFSET(Camp_List[Status],MATCH(Data_NFI_t[[#This Row],[Camp Name]],Camp_List[Camp Name],0)-1,0,1,1),"")</f>
        <v>Open</v>
      </c>
    </row>
    <row r="262" spans="1:32" s="100" customFormat="1" ht="15" customHeight="1">
      <c r="A262" s="254">
        <f t="shared" si="3"/>
        <v>41.866666666666667</v>
      </c>
      <c r="B262" s="254">
        <f>YEAR(Data_NFI_t[[#This Row],[Distribution Date]])</f>
        <v>2012</v>
      </c>
      <c r="C262" s="585">
        <v>41266</v>
      </c>
      <c r="D262" s="547" t="s">
        <v>287</v>
      </c>
      <c r="E262" s="546"/>
      <c r="F262" s="547" t="s">
        <v>7</v>
      </c>
      <c r="G262" s="31" t="s">
        <v>20</v>
      </c>
      <c r="H262" s="31"/>
      <c r="I262" s="31"/>
      <c r="J262" s="60"/>
      <c r="K262" s="60">
        <v>3000</v>
      </c>
      <c r="L262" s="60"/>
      <c r="M262" s="60"/>
      <c r="N262" s="60"/>
      <c r="O262" s="60"/>
      <c r="P262" s="60"/>
      <c r="Q262" s="60"/>
      <c r="R262" s="570"/>
      <c r="S262" s="60"/>
      <c r="T262" s="143">
        <f>IF(NFI_Expiration=1,IF($A262&lt;VLOOKUP(I$5,NFI,5,0),1,0)*Data_NFI_t[[#This Row],[Hygiene Kit]],0)</f>
        <v>0</v>
      </c>
      <c r="U262" s="143">
        <f>IF(NFI_Expiration=1,IF($A262&lt;VLOOKUP(J$5,NFI,5,0),1,0)*Data_NFI_t[[#This Row],[NFI Core Kit]],0)</f>
        <v>0</v>
      </c>
      <c r="V262" s="124">
        <f>IF(NFI_Expiration=1,IF($A262&lt;VLOOKUP(K$5,NFI,5,0),1,0)*Data_NFI_t[[#This Row],[Sanitary Kit]],0)</f>
        <v>0</v>
      </c>
      <c r="W262" s="124">
        <f>IF(NFI_Expiration=1,IF($A262&lt;VLOOKUP(L$5,NFI,5,0),1,0)*Data_NFI_t[[#This Row],[Mosquito net]],0)</f>
        <v>0</v>
      </c>
      <c r="X262" s="124">
        <f>IF(NFI_Expiration=1,IF($A262&lt;VLOOKUP(M$5,NFI,5,0),1,0)*Data_NFI_t[[#This Row],[Tarpaulin]],0)</f>
        <v>0</v>
      </c>
      <c r="Y262" s="124">
        <f>IF(NFI_Expiration=1,IF($A262&lt;VLOOKUP(N$5,NFI,5,0),1,0)*Data_NFI_t[[#This Row],[Blanket]],0)</f>
        <v>0</v>
      </c>
      <c r="Z262" s="124">
        <f>IF(NFI_Expiration=1,IF($A262&lt;VLOOKUP(O$5,NFI,5,0),1,0)*Data_NFI_t[[#This Row],[Kitchen Set]],0)</f>
        <v>0</v>
      </c>
      <c r="AA262" s="124">
        <f>IF(NFI_Expiration=1,IF($A262&lt;VLOOKUP(P$5,NFI,5,0),1,0)*Data_NFI_t[[#This Row],[Complementary Kit]],0)</f>
        <v>0</v>
      </c>
      <c r="AB262" s="124">
        <f>IF(NFI_Expiration=1,IF($A262&lt;VLOOKUP(Q$5,NFI,5,0),1,0)*Data_NFI_t[[#This Row],[Plastic Bucket]],0)</f>
        <v>0</v>
      </c>
      <c r="AC262" s="124">
        <f>IF(NFI_Expiration=1,IF($A262&lt;VLOOKUP(R$5,NFI,5,0),1,0)*Data_NFI_t[[#This Row],[Jerry Can]],0)</f>
        <v>0</v>
      </c>
      <c r="AD262" s="143">
        <f>IF(NFI_Expiration=1,IF($A262&lt;VLOOKUP(S$5,NFI,5,0),1,0)*Data_NFI_t[[#This Row],[Plastic Mat]],0)*IF(Data_NFI_t[[#This Row],[Distribution Date]]&gt;"01-06-2015",1,2.5)</f>
        <v>0</v>
      </c>
      <c r="AE262" s="143" t="str">
        <f ca="1">IFERROR(OFFSET(Camp_List[P_Code],MATCH(Data_NFI_t[[#This Row],[Camp Name]],Camp_List[Camp Name],0)-1,0,1,1),"")</f>
        <v/>
      </c>
      <c r="AF262" s="572" t="str">
        <f ca="1">IFERROR(OFFSET(Camp_List[Status],MATCH(Data_NFI_t[[#This Row],[Camp Name]],Camp_List[Camp Name],0)-1,0,1,1),"")</f>
        <v/>
      </c>
    </row>
    <row r="263" spans="1:32" s="100" customFormat="1" ht="15" customHeight="1">
      <c r="A263" s="254">
        <f t="shared" si="3"/>
        <v>41.866666666666667</v>
      </c>
      <c r="B263" s="254">
        <f>YEAR(Data_NFI_t[[#This Row],[Distribution Date]])</f>
        <v>2012</v>
      </c>
      <c r="C263" s="585">
        <v>41266</v>
      </c>
      <c r="D263" s="547" t="s">
        <v>287</v>
      </c>
      <c r="E263" s="546"/>
      <c r="F263" s="547" t="s">
        <v>7</v>
      </c>
      <c r="G263" s="31" t="s">
        <v>20</v>
      </c>
      <c r="H263" s="31"/>
      <c r="I263" s="31"/>
      <c r="J263" s="60"/>
      <c r="K263" s="60"/>
      <c r="L263" s="60"/>
      <c r="M263" s="60">
        <v>1180</v>
      </c>
      <c r="N263" s="60"/>
      <c r="O263" s="60"/>
      <c r="P263" s="60"/>
      <c r="Q263" s="60"/>
      <c r="R263" s="570"/>
      <c r="S263" s="60"/>
      <c r="T263" s="143">
        <f>IF(NFI_Expiration=1,IF($A263&lt;VLOOKUP(I$5,NFI,5,0),1,0)*Data_NFI_t[[#This Row],[Hygiene Kit]],0)</f>
        <v>0</v>
      </c>
      <c r="U263" s="143">
        <f>IF(NFI_Expiration=1,IF($A263&lt;VLOOKUP(J$5,NFI,5,0),1,0)*Data_NFI_t[[#This Row],[NFI Core Kit]],0)</f>
        <v>0</v>
      </c>
      <c r="V263" s="124">
        <f>IF(NFI_Expiration=1,IF($A263&lt;VLOOKUP(K$5,NFI,5,0),1,0)*Data_NFI_t[[#This Row],[Sanitary Kit]],0)</f>
        <v>0</v>
      </c>
      <c r="W263" s="124">
        <f>IF(NFI_Expiration=1,IF($A263&lt;VLOOKUP(L$5,NFI,5,0),1,0)*Data_NFI_t[[#This Row],[Mosquito net]],0)</f>
        <v>0</v>
      </c>
      <c r="X263" s="124">
        <f>IF(NFI_Expiration=1,IF($A263&lt;VLOOKUP(M$5,NFI,5,0),1,0)*Data_NFI_t[[#This Row],[Tarpaulin]],0)</f>
        <v>0</v>
      </c>
      <c r="Y263" s="124">
        <f>IF(NFI_Expiration=1,IF($A263&lt;VLOOKUP(N$5,NFI,5,0),1,0)*Data_NFI_t[[#This Row],[Blanket]],0)</f>
        <v>0</v>
      </c>
      <c r="Z263" s="124">
        <f>IF(NFI_Expiration=1,IF($A263&lt;VLOOKUP(O$5,NFI,5,0),1,0)*Data_NFI_t[[#This Row],[Kitchen Set]],0)</f>
        <v>0</v>
      </c>
      <c r="AA263" s="124">
        <f>IF(NFI_Expiration=1,IF($A263&lt;VLOOKUP(P$5,NFI,5,0),1,0)*Data_NFI_t[[#This Row],[Complementary Kit]],0)</f>
        <v>0</v>
      </c>
      <c r="AB263" s="124">
        <f>IF(NFI_Expiration=1,IF($A263&lt;VLOOKUP(Q$5,NFI,5,0),1,0)*Data_NFI_t[[#This Row],[Plastic Bucket]],0)</f>
        <v>0</v>
      </c>
      <c r="AC263" s="124">
        <f>IF(NFI_Expiration=1,IF($A263&lt;VLOOKUP(R$5,NFI,5,0),1,0)*Data_NFI_t[[#This Row],[Jerry Can]],0)</f>
        <v>0</v>
      </c>
      <c r="AD263" s="143">
        <f>IF(NFI_Expiration=1,IF($A263&lt;VLOOKUP(S$5,NFI,5,0),1,0)*Data_NFI_t[[#This Row],[Plastic Mat]],0)*IF(Data_NFI_t[[#This Row],[Distribution Date]]&gt;"01-06-2015",1,2.5)</f>
        <v>0</v>
      </c>
      <c r="AE263" s="143" t="str">
        <f ca="1">IFERROR(OFFSET(Camp_List[P_Code],MATCH(Data_NFI_t[[#This Row],[Camp Name]],Camp_List[Camp Name],0)-1,0,1,1),"")</f>
        <v/>
      </c>
      <c r="AF263" s="572" t="str">
        <f ca="1">IFERROR(OFFSET(Camp_List[Status],MATCH(Data_NFI_t[[#This Row],[Camp Name]],Camp_List[Camp Name],0)-1,0,1,1),"")</f>
        <v/>
      </c>
    </row>
    <row r="264" spans="1:32" s="100" customFormat="1" ht="15" customHeight="1">
      <c r="A264" s="254">
        <f t="shared" ref="A264:A327" si="4">IF(ISBLANK(C264),"",(Report_Date-C264)/30)</f>
        <v>42.033333333333331</v>
      </c>
      <c r="B264" s="254">
        <f>YEAR(Data_NFI_t[[#This Row],[Distribution Date]])</f>
        <v>2012</v>
      </c>
      <c r="C264" s="585">
        <v>41261</v>
      </c>
      <c r="D264" s="547" t="s">
        <v>287</v>
      </c>
      <c r="E264" s="546"/>
      <c r="F264" s="547" t="s">
        <v>7</v>
      </c>
      <c r="G264" s="31" t="s">
        <v>15</v>
      </c>
      <c r="H264" s="31" t="s">
        <v>47</v>
      </c>
      <c r="I264" s="31"/>
      <c r="J264" s="60"/>
      <c r="K264" s="60"/>
      <c r="L264" s="60">
        <v>160</v>
      </c>
      <c r="M264" s="60">
        <v>80</v>
      </c>
      <c r="N264" s="60">
        <v>160</v>
      </c>
      <c r="O264" s="60">
        <v>80</v>
      </c>
      <c r="P264" s="60">
        <v>80</v>
      </c>
      <c r="Q264" s="60"/>
      <c r="R264" s="570"/>
      <c r="S264" s="60"/>
      <c r="T264" s="143">
        <f>IF(NFI_Expiration=1,IF($A264&lt;VLOOKUP(I$5,NFI,5,0),1,0)*Data_NFI_t[[#This Row],[Hygiene Kit]],0)</f>
        <v>0</v>
      </c>
      <c r="U264" s="143">
        <f>IF(NFI_Expiration=1,IF($A264&lt;VLOOKUP(J$5,NFI,5,0),1,0)*Data_NFI_t[[#This Row],[NFI Core Kit]],0)</f>
        <v>0</v>
      </c>
      <c r="V264" s="124">
        <f>IF(NFI_Expiration=1,IF($A264&lt;VLOOKUP(K$5,NFI,5,0),1,0)*Data_NFI_t[[#This Row],[Sanitary Kit]],0)</f>
        <v>0</v>
      </c>
      <c r="W264" s="124">
        <f>IF(NFI_Expiration=1,IF($A264&lt;VLOOKUP(L$5,NFI,5,0),1,0)*Data_NFI_t[[#This Row],[Mosquito net]],0)</f>
        <v>0</v>
      </c>
      <c r="X264" s="124">
        <f>IF(NFI_Expiration=1,IF($A264&lt;VLOOKUP(M$5,NFI,5,0),1,0)*Data_NFI_t[[#This Row],[Tarpaulin]],0)</f>
        <v>0</v>
      </c>
      <c r="Y264" s="124">
        <f>IF(NFI_Expiration=1,IF($A264&lt;VLOOKUP(N$5,NFI,5,0),1,0)*Data_NFI_t[[#This Row],[Blanket]],0)</f>
        <v>0</v>
      </c>
      <c r="Z264" s="124">
        <f>IF(NFI_Expiration=1,IF($A264&lt;VLOOKUP(O$5,NFI,5,0),1,0)*Data_NFI_t[[#This Row],[Kitchen Set]],0)</f>
        <v>0</v>
      </c>
      <c r="AA264" s="124">
        <f>IF(NFI_Expiration=1,IF($A264&lt;VLOOKUP(P$5,NFI,5,0),1,0)*Data_NFI_t[[#This Row],[Complementary Kit]],0)</f>
        <v>0</v>
      </c>
      <c r="AB264" s="124">
        <f>IF(NFI_Expiration=1,IF($A264&lt;VLOOKUP(Q$5,NFI,5,0),1,0)*Data_NFI_t[[#This Row],[Plastic Bucket]],0)</f>
        <v>0</v>
      </c>
      <c r="AC264" s="124">
        <f>IF(NFI_Expiration=1,IF($A264&lt;VLOOKUP(R$5,NFI,5,0),1,0)*Data_NFI_t[[#This Row],[Jerry Can]],0)</f>
        <v>0</v>
      </c>
      <c r="AD264" s="143">
        <f>IF(NFI_Expiration=1,IF($A264&lt;VLOOKUP(S$5,NFI,5,0),1,0)*Data_NFI_t[[#This Row],[Plastic Mat]],0)*IF(Data_NFI_t[[#This Row],[Distribution Date]]&gt;"01-06-2015",1,2.5)</f>
        <v>0</v>
      </c>
      <c r="AE264" s="143" t="str">
        <f ca="1">IFERROR(OFFSET(Camp_List[P_Code],MATCH(Data_NFI_t[[#This Row],[Camp Name]],Camp_List[Camp Name],0)-1,0,1,1),"")</f>
        <v>MMR012CMP023</v>
      </c>
      <c r="AF264" s="572" t="str">
        <f ca="1">IFERROR(OFFSET(Camp_List[Status],MATCH(Data_NFI_t[[#This Row],[Camp Name]],Camp_List[Camp Name],0)-1,0,1,1),"")</f>
        <v>Open</v>
      </c>
    </row>
    <row r="265" spans="1:32" s="100" customFormat="1" ht="15" customHeight="1">
      <c r="A265" s="254">
        <f t="shared" si="4"/>
        <v>42.033333333333331</v>
      </c>
      <c r="B265" s="254">
        <f>YEAR(Data_NFI_t[[#This Row],[Distribution Date]])</f>
        <v>2012</v>
      </c>
      <c r="C265" s="585">
        <v>41261</v>
      </c>
      <c r="D265" s="547" t="s">
        <v>287</v>
      </c>
      <c r="E265" s="546"/>
      <c r="F265" s="547" t="s">
        <v>7</v>
      </c>
      <c r="G265" s="31" t="s">
        <v>15</v>
      </c>
      <c r="H265" s="31" t="s">
        <v>45</v>
      </c>
      <c r="I265" s="31"/>
      <c r="J265" s="60"/>
      <c r="K265" s="60"/>
      <c r="L265" s="60">
        <v>174</v>
      </c>
      <c r="M265" s="60"/>
      <c r="N265" s="60">
        <v>174</v>
      </c>
      <c r="O265" s="60"/>
      <c r="P265" s="60"/>
      <c r="Q265" s="60"/>
      <c r="R265" s="570"/>
      <c r="S265" s="60"/>
      <c r="T265" s="143">
        <f>IF(NFI_Expiration=1,IF($A265&lt;VLOOKUP(I$5,NFI,5,0),1,0)*Data_NFI_t[[#This Row],[Hygiene Kit]],0)</f>
        <v>0</v>
      </c>
      <c r="U265" s="143">
        <f>IF(NFI_Expiration=1,IF($A265&lt;VLOOKUP(J$5,NFI,5,0),1,0)*Data_NFI_t[[#This Row],[NFI Core Kit]],0)</f>
        <v>0</v>
      </c>
      <c r="V265" s="124">
        <f>IF(NFI_Expiration=1,IF($A265&lt;VLOOKUP(K$5,NFI,5,0),1,0)*Data_NFI_t[[#This Row],[Sanitary Kit]],0)</f>
        <v>0</v>
      </c>
      <c r="W265" s="124">
        <f>IF(NFI_Expiration=1,IF($A265&lt;VLOOKUP(L$5,NFI,5,0),1,0)*Data_NFI_t[[#This Row],[Mosquito net]],0)</f>
        <v>0</v>
      </c>
      <c r="X265" s="124">
        <f>IF(NFI_Expiration=1,IF($A265&lt;VLOOKUP(M$5,NFI,5,0),1,0)*Data_NFI_t[[#This Row],[Tarpaulin]],0)</f>
        <v>0</v>
      </c>
      <c r="Y265" s="124">
        <f>IF(NFI_Expiration=1,IF($A265&lt;VLOOKUP(N$5,NFI,5,0),1,0)*Data_NFI_t[[#This Row],[Blanket]],0)</f>
        <v>0</v>
      </c>
      <c r="Z265" s="124">
        <f>IF(NFI_Expiration=1,IF($A265&lt;VLOOKUP(O$5,NFI,5,0),1,0)*Data_NFI_t[[#This Row],[Kitchen Set]],0)</f>
        <v>0</v>
      </c>
      <c r="AA265" s="124">
        <f>IF(NFI_Expiration=1,IF($A265&lt;VLOOKUP(P$5,NFI,5,0),1,0)*Data_NFI_t[[#This Row],[Complementary Kit]],0)</f>
        <v>0</v>
      </c>
      <c r="AB265" s="124">
        <f>IF(NFI_Expiration=1,IF($A265&lt;VLOOKUP(Q$5,NFI,5,0),1,0)*Data_NFI_t[[#This Row],[Plastic Bucket]],0)</f>
        <v>0</v>
      </c>
      <c r="AC265" s="124">
        <f>IF(NFI_Expiration=1,IF($A265&lt;VLOOKUP(R$5,NFI,5,0),1,0)*Data_NFI_t[[#This Row],[Jerry Can]],0)</f>
        <v>0</v>
      </c>
      <c r="AD265" s="143">
        <f>IF(NFI_Expiration=1,IF($A265&lt;VLOOKUP(S$5,NFI,5,0),1,0)*Data_NFI_t[[#This Row],[Plastic Mat]],0)*IF(Data_NFI_t[[#This Row],[Distribution Date]]&gt;"01-06-2015",1,2.5)</f>
        <v>0</v>
      </c>
      <c r="AE265" s="143" t="str">
        <f ca="1">IFERROR(OFFSET(Camp_List[P_Code],MATCH(Data_NFI_t[[#This Row],[Camp Name]],Camp_List[Camp Name],0)-1,0,1,1),"")</f>
        <v>MMR012CMP021</v>
      </c>
      <c r="AF265" s="572" t="str">
        <f ca="1">IFERROR(OFFSET(Camp_List[Status],MATCH(Data_NFI_t[[#This Row],[Camp Name]],Camp_List[Camp Name],0)-1,0,1,1),"")</f>
        <v>Returned in Individual Housing</v>
      </c>
    </row>
    <row r="266" spans="1:32" s="100" customFormat="1" ht="15" customHeight="1">
      <c r="A266" s="254">
        <f t="shared" si="4"/>
        <v>42.06666666666667</v>
      </c>
      <c r="B266" s="254">
        <f>YEAR(Data_NFI_t[[#This Row],[Distribution Date]])</f>
        <v>2012</v>
      </c>
      <c r="C266" s="585">
        <v>41260</v>
      </c>
      <c r="D266" s="547" t="s">
        <v>287</v>
      </c>
      <c r="E266" s="546"/>
      <c r="F266" s="547" t="s">
        <v>7</v>
      </c>
      <c r="G266" s="31" t="s">
        <v>900</v>
      </c>
      <c r="H266" s="31" t="s">
        <v>38</v>
      </c>
      <c r="I266" s="31"/>
      <c r="J266" s="60"/>
      <c r="K266" s="60"/>
      <c r="L266" s="60">
        <v>632</v>
      </c>
      <c r="M266" s="60"/>
      <c r="N266" s="60">
        <v>632</v>
      </c>
      <c r="O266" s="60"/>
      <c r="P266" s="60"/>
      <c r="Q266" s="60"/>
      <c r="R266" s="570"/>
      <c r="S266" s="60"/>
      <c r="T266" s="143">
        <f>IF(NFI_Expiration=1,IF($A266&lt;VLOOKUP(I$5,NFI,5,0),1,0)*Data_NFI_t[[#This Row],[Hygiene Kit]],0)</f>
        <v>0</v>
      </c>
      <c r="U266" s="143">
        <f>IF(NFI_Expiration=1,IF($A266&lt;VLOOKUP(J$5,NFI,5,0),1,0)*Data_NFI_t[[#This Row],[NFI Core Kit]],0)</f>
        <v>0</v>
      </c>
      <c r="V266" s="124">
        <f>IF(NFI_Expiration=1,IF($A266&lt;VLOOKUP(K$5,NFI,5,0),1,0)*Data_NFI_t[[#This Row],[Sanitary Kit]],0)</f>
        <v>0</v>
      </c>
      <c r="W266" s="124">
        <f>IF(NFI_Expiration=1,IF($A266&lt;VLOOKUP(L$5,NFI,5,0),1,0)*Data_NFI_t[[#This Row],[Mosquito net]],0)</f>
        <v>0</v>
      </c>
      <c r="X266" s="124">
        <f>IF(NFI_Expiration=1,IF($A266&lt;VLOOKUP(M$5,NFI,5,0),1,0)*Data_NFI_t[[#This Row],[Tarpaulin]],0)</f>
        <v>0</v>
      </c>
      <c r="Y266" s="124">
        <f>IF(NFI_Expiration=1,IF($A266&lt;VLOOKUP(N$5,NFI,5,0),1,0)*Data_NFI_t[[#This Row],[Blanket]],0)</f>
        <v>0</v>
      </c>
      <c r="Z266" s="124">
        <f>IF(NFI_Expiration=1,IF($A266&lt;VLOOKUP(O$5,NFI,5,0),1,0)*Data_NFI_t[[#This Row],[Kitchen Set]],0)</f>
        <v>0</v>
      </c>
      <c r="AA266" s="124">
        <f>IF(NFI_Expiration=1,IF($A266&lt;VLOOKUP(P$5,NFI,5,0),1,0)*Data_NFI_t[[#This Row],[Complementary Kit]],0)</f>
        <v>0</v>
      </c>
      <c r="AB266" s="124">
        <f>IF(NFI_Expiration=1,IF($A266&lt;VLOOKUP(Q$5,NFI,5,0),1,0)*Data_NFI_t[[#This Row],[Plastic Bucket]],0)</f>
        <v>0</v>
      </c>
      <c r="AC266" s="124">
        <f>IF(NFI_Expiration=1,IF($A266&lt;VLOOKUP(R$5,NFI,5,0),1,0)*Data_NFI_t[[#This Row],[Jerry Can]],0)</f>
        <v>0</v>
      </c>
      <c r="AD266" s="143">
        <f>IF(NFI_Expiration=1,IF($A266&lt;VLOOKUP(S$5,NFI,5,0),1,0)*Data_NFI_t[[#This Row],[Plastic Mat]],0)*IF(Data_NFI_t[[#This Row],[Distribution Date]]&gt;"01-06-2015",1,2.5)</f>
        <v>0</v>
      </c>
      <c r="AE266" s="143" t="str">
        <f ca="1">IFERROR(OFFSET(Camp_List[P_Code],MATCH(Data_NFI_t[[#This Row],[Camp Name]],Camp_List[Camp Name],0)-1,0,1,1),"")</f>
        <v>MMR012CMP014</v>
      </c>
      <c r="AF266" s="572" t="str">
        <f ca="1">IFERROR(OFFSET(Camp_List[Status],MATCH(Data_NFI_t[[#This Row],[Camp Name]],Camp_List[Camp Name],0)-1,0,1,1),"")</f>
        <v>Open</v>
      </c>
    </row>
    <row r="267" spans="1:32" s="100" customFormat="1" ht="15" customHeight="1">
      <c r="A267" s="254">
        <f t="shared" si="4"/>
        <v>42.06666666666667</v>
      </c>
      <c r="B267" s="254">
        <f>YEAR(Data_NFI_t[[#This Row],[Distribution Date]])</f>
        <v>2012</v>
      </c>
      <c r="C267" s="585">
        <v>41260</v>
      </c>
      <c r="D267" s="547" t="s">
        <v>287</v>
      </c>
      <c r="E267" s="546"/>
      <c r="F267" s="547" t="s">
        <v>7</v>
      </c>
      <c r="G267" s="31" t="s">
        <v>11</v>
      </c>
      <c r="H267" s="31" t="s">
        <v>26</v>
      </c>
      <c r="I267" s="31"/>
      <c r="J267" s="60"/>
      <c r="K267" s="60"/>
      <c r="L267" s="60">
        <v>406</v>
      </c>
      <c r="M267" s="60"/>
      <c r="N267" s="60"/>
      <c r="O267" s="60"/>
      <c r="P267" s="60"/>
      <c r="Q267" s="60"/>
      <c r="R267" s="570"/>
      <c r="S267" s="60"/>
      <c r="T267" s="143">
        <f>IF(NFI_Expiration=1,IF($A267&lt;VLOOKUP(I$5,NFI,5,0),1,0)*Data_NFI_t[[#This Row],[Hygiene Kit]],0)</f>
        <v>0</v>
      </c>
      <c r="U267" s="143">
        <f>IF(NFI_Expiration=1,IF($A267&lt;VLOOKUP(J$5,NFI,5,0),1,0)*Data_NFI_t[[#This Row],[NFI Core Kit]],0)</f>
        <v>0</v>
      </c>
      <c r="V267" s="124">
        <f>IF(NFI_Expiration=1,IF($A267&lt;VLOOKUP(K$5,NFI,5,0),1,0)*Data_NFI_t[[#This Row],[Sanitary Kit]],0)</f>
        <v>0</v>
      </c>
      <c r="W267" s="124">
        <f>IF(NFI_Expiration=1,IF($A267&lt;VLOOKUP(L$5,NFI,5,0),1,0)*Data_NFI_t[[#This Row],[Mosquito net]],0)</f>
        <v>0</v>
      </c>
      <c r="X267" s="124">
        <f>IF(NFI_Expiration=1,IF($A267&lt;VLOOKUP(M$5,NFI,5,0),1,0)*Data_NFI_t[[#This Row],[Tarpaulin]],0)</f>
        <v>0</v>
      </c>
      <c r="Y267" s="124">
        <f>IF(NFI_Expiration=1,IF($A267&lt;VLOOKUP(N$5,NFI,5,0),1,0)*Data_NFI_t[[#This Row],[Blanket]],0)</f>
        <v>0</v>
      </c>
      <c r="Z267" s="124">
        <f>IF(NFI_Expiration=1,IF($A267&lt;VLOOKUP(O$5,NFI,5,0),1,0)*Data_NFI_t[[#This Row],[Kitchen Set]],0)</f>
        <v>0</v>
      </c>
      <c r="AA267" s="124">
        <f>IF(NFI_Expiration=1,IF($A267&lt;VLOOKUP(P$5,NFI,5,0),1,0)*Data_NFI_t[[#This Row],[Complementary Kit]],0)</f>
        <v>0</v>
      </c>
      <c r="AB267" s="124">
        <f>IF(NFI_Expiration=1,IF($A267&lt;VLOOKUP(Q$5,NFI,5,0),1,0)*Data_NFI_t[[#This Row],[Plastic Bucket]],0)</f>
        <v>0</v>
      </c>
      <c r="AC267" s="124">
        <f>IF(NFI_Expiration=1,IF($A267&lt;VLOOKUP(R$5,NFI,5,0),1,0)*Data_NFI_t[[#This Row],[Jerry Can]],0)</f>
        <v>0</v>
      </c>
      <c r="AD267" s="143">
        <f>IF(NFI_Expiration=1,IF($A267&lt;VLOOKUP(S$5,NFI,5,0),1,0)*Data_NFI_t[[#This Row],[Plastic Mat]],0)*IF(Data_NFI_t[[#This Row],[Distribution Date]]&gt;"01-06-2015",1,2.5)</f>
        <v>0</v>
      </c>
      <c r="AE267" s="143" t="str">
        <f ca="1">IFERROR(OFFSET(Camp_List[P_Code],MATCH(Data_NFI_t[[#This Row],[Camp Name]],Camp_List[Camp Name],0)-1,0,1,1),"")</f>
        <v>MMR012CMP002</v>
      </c>
      <c r="AF267" s="572" t="str">
        <f ca="1">IFERROR(OFFSET(Camp_List[Status],MATCH(Data_NFI_t[[#This Row],[Camp Name]],Camp_List[Camp Name],0)-1,0,1,1),"")</f>
        <v>Returned in Individual Housing</v>
      </c>
    </row>
    <row r="268" spans="1:32" s="100" customFormat="1" ht="15" customHeight="1">
      <c r="A268" s="254">
        <f t="shared" si="4"/>
        <v>42.1</v>
      </c>
      <c r="B268" s="254">
        <f>YEAR(Data_NFI_t[[#This Row],[Distribution Date]])</f>
        <v>2012</v>
      </c>
      <c r="C268" s="585">
        <v>41259</v>
      </c>
      <c r="D268" s="547" t="s">
        <v>291</v>
      </c>
      <c r="E268" s="546" t="s">
        <v>287</v>
      </c>
      <c r="F268" s="547" t="s">
        <v>7</v>
      </c>
      <c r="G268" s="31" t="s">
        <v>19</v>
      </c>
      <c r="H268" s="31" t="s">
        <v>71</v>
      </c>
      <c r="I268" s="31"/>
      <c r="J268" s="60"/>
      <c r="K268" s="60"/>
      <c r="L268" s="60"/>
      <c r="M268" s="60"/>
      <c r="N268" s="60">
        <v>49</v>
      </c>
      <c r="O268" s="60"/>
      <c r="P268" s="60"/>
      <c r="Q268" s="60"/>
      <c r="R268" s="570"/>
      <c r="S268" s="60"/>
      <c r="T268" s="143">
        <f>IF(NFI_Expiration=1,IF($A268&lt;VLOOKUP(I$5,NFI,5,0),1,0)*Data_NFI_t[[#This Row],[Hygiene Kit]],0)</f>
        <v>0</v>
      </c>
      <c r="U268" s="143">
        <f>IF(NFI_Expiration=1,IF($A268&lt;VLOOKUP(J$5,NFI,5,0),1,0)*Data_NFI_t[[#This Row],[NFI Core Kit]],0)</f>
        <v>0</v>
      </c>
      <c r="V268" s="124">
        <f>IF(NFI_Expiration=1,IF($A268&lt;VLOOKUP(K$5,NFI,5,0),1,0)*Data_NFI_t[[#This Row],[Sanitary Kit]],0)</f>
        <v>0</v>
      </c>
      <c r="W268" s="124">
        <f>IF(NFI_Expiration=1,IF($A268&lt;VLOOKUP(L$5,NFI,5,0),1,0)*Data_NFI_t[[#This Row],[Mosquito net]],0)</f>
        <v>0</v>
      </c>
      <c r="X268" s="124">
        <f>IF(NFI_Expiration=1,IF($A268&lt;VLOOKUP(M$5,NFI,5,0),1,0)*Data_NFI_t[[#This Row],[Tarpaulin]],0)</f>
        <v>0</v>
      </c>
      <c r="Y268" s="124">
        <f>IF(NFI_Expiration=1,IF($A268&lt;VLOOKUP(N$5,NFI,5,0),1,0)*Data_NFI_t[[#This Row],[Blanket]],0)</f>
        <v>0</v>
      </c>
      <c r="Z268" s="124">
        <f>IF(NFI_Expiration=1,IF($A268&lt;VLOOKUP(O$5,NFI,5,0),1,0)*Data_NFI_t[[#This Row],[Kitchen Set]],0)</f>
        <v>0</v>
      </c>
      <c r="AA268" s="124">
        <f>IF(NFI_Expiration=1,IF($A268&lt;VLOOKUP(P$5,NFI,5,0),1,0)*Data_NFI_t[[#This Row],[Complementary Kit]],0)</f>
        <v>0</v>
      </c>
      <c r="AB268" s="124">
        <f>IF(NFI_Expiration=1,IF($A268&lt;VLOOKUP(Q$5,NFI,5,0),1,0)*Data_NFI_t[[#This Row],[Plastic Bucket]],0)</f>
        <v>0</v>
      </c>
      <c r="AC268" s="124">
        <f>IF(NFI_Expiration=1,IF($A268&lt;VLOOKUP(R$5,NFI,5,0),1,0)*Data_NFI_t[[#This Row],[Jerry Can]],0)</f>
        <v>0</v>
      </c>
      <c r="AD268" s="143">
        <f>IF(NFI_Expiration=1,IF($A268&lt;VLOOKUP(S$5,NFI,5,0),1,0)*Data_NFI_t[[#This Row],[Plastic Mat]],0)*IF(Data_NFI_t[[#This Row],[Distribution Date]]&gt;"01-06-2015",1,2.5)</f>
        <v>0</v>
      </c>
      <c r="AE268" s="143" t="str">
        <f ca="1">IFERROR(OFFSET(Camp_List[P_Code],MATCH(Data_NFI_t[[#This Row],[Camp Name]],Camp_List[Camp Name],0)-1,0,1,1),"")</f>
        <v>MMR012CMP049</v>
      </c>
      <c r="AF268" s="572" t="str">
        <f ca="1">IFERROR(OFFSET(Camp_List[Status],MATCH(Data_NFI_t[[#This Row],[Camp Name]],Camp_List[Camp Name],0)-1,0,1,1),"")</f>
        <v>Close</v>
      </c>
    </row>
    <row r="269" spans="1:32" s="100" customFormat="1" ht="15" customHeight="1">
      <c r="A269" s="254">
        <f t="shared" si="4"/>
        <v>42.1</v>
      </c>
      <c r="B269" s="254">
        <f>YEAR(Data_NFI_t[[#This Row],[Distribution Date]])</f>
        <v>2012</v>
      </c>
      <c r="C269" s="585">
        <v>41259</v>
      </c>
      <c r="D269" s="547" t="s">
        <v>291</v>
      </c>
      <c r="E269" s="546" t="s">
        <v>287</v>
      </c>
      <c r="F269" s="547" t="s">
        <v>7</v>
      </c>
      <c r="G269" s="31" t="s">
        <v>19</v>
      </c>
      <c r="H269" s="31" t="s">
        <v>71</v>
      </c>
      <c r="I269" s="31"/>
      <c r="J269" s="60"/>
      <c r="K269" s="60"/>
      <c r="L269" s="60"/>
      <c r="M269" s="60"/>
      <c r="N269" s="60">
        <v>11</v>
      </c>
      <c r="O269" s="60"/>
      <c r="P269" s="60"/>
      <c r="Q269" s="60"/>
      <c r="R269" s="570"/>
      <c r="S269" s="60"/>
      <c r="T269" s="143">
        <f>IF(NFI_Expiration=1,IF($A269&lt;VLOOKUP(I$5,NFI,5,0),1,0)*Data_NFI_t[[#This Row],[Hygiene Kit]],0)</f>
        <v>0</v>
      </c>
      <c r="U269" s="143">
        <f>IF(NFI_Expiration=1,IF($A269&lt;VLOOKUP(J$5,NFI,5,0),1,0)*Data_NFI_t[[#This Row],[NFI Core Kit]],0)</f>
        <v>0</v>
      </c>
      <c r="V269" s="124">
        <f>IF(NFI_Expiration=1,IF($A269&lt;VLOOKUP(K$5,NFI,5,0),1,0)*Data_NFI_t[[#This Row],[Sanitary Kit]],0)</f>
        <v>0</v>
      </c>
      <c r="W269" s="124">
        <f>IF(NFI_Expiration=1,IF($A269&lt;VLOOKUP(L$5,NFI,5,0),1,0)*Data_NFI_t[[#This Row],[Mosquito net]],0)</f>
        <v>0</v>
      </c>
      <c r="X269" s="124">
        <f>IF(NFI_Expiration=1,IF($A269&lt;VLOOKUP(M$5,NFI,5,0),1,0)*Data_NFI_t[[#This Row],[Tarpaulin]],0)</f>
        <v>0</v>
      </c>
      <c r="Y269" s="124">
        <f>IF(NFI_Expiration=1,IF($A269&lt;VLOOKUP(N$5,NFI,5,0),1,0)*Data_NFI_t[[#This Row],[Blanket]],0)</f>
        <v>0</v>
      </c>
      <c r="Z269" s="124">
        <f>IF(NFI_Expiration=1,IF($A269&lt;VLOOKUP(O$5,NFI,5,0),1,0)*Data_NFI_t[[#This Row],[Kitchen Set]],0)</f>
        <v>0</v>
      </c>
      <c r="AA269" s="124">
        <f>IF(NFI_Expiration=1,IF($A269&lt;VLOOKUP(P$5,NFI,5,0),1,0)*Data_NFI_t[[#This Row],[Complementary Kit]],0)</f>
        <v>0</v>
      </c>
      <c r="AB269" s="124">
        <f>IF(NFI_Expiration=1,IF($A269&lt;VLOOKUP(Q$5,NFI,5,0),1,0)*Data_NFI_t[[#This Row],[Plastic Bucket]],0)</f>
        <v>0</v>
      </c>
      <c r="AC269" s="124">
        <f>IF(NFI_Expiration=1,IF($A269&lt;VLOOKUP(R$5,NFI,5,0),1,0)*Data_NFI_t[[#This Row],[Jerry Can]],0)</f>
        <v>0</v>
      </c>
      <c r="AD269" s="143">
        <f>IF(NFI_Expiration=1,IF($A269&lt;VLOOKUP(S$5,NFI,5,0),1,0)*Data_NFI_t[[#This Row],[Plastic Mat]],0)*IF(Data_NFI_t[[#This Row],[Distribution Date]]&gt;"01-06-2015",1,2.5)</f>
        <v>0</v>
      </c>
      <c r="AE269" s="143" t="str">
        <f ca="1">IFERROR(OFFSET(Camp_List[P_Code],MATCH(Data_NFI_t[[#This Row],[Camp Name]],Camp_List[Camp Name],0)-1,0,1,1),"")</f>
        <v>MMR012CMP049</v>
      </c>
      <c r="AF269" s="572" t="str">
        <f ca="1">IFERROR(OFFSET(Camp_List[Status],MATCH(Data_NFI_t[[#This Row],[Camp Name]],Camp_List[Camp Name],0)-1,0,1,1),"")</f>
        <v>Close</v>
      </c>
    </row>
    <row r="270" spans="1:32" s="100" customFormat="1" ht="15" customHeight="1">
      <c r="A270" s="254">
        <f t="shared" si="4"/>
        <v>42.133333333333333</v>
      </c>
      <c r="B270" s="254">
        <f>YEAR(Data_NFI_t[[#This Row],[Distribution Date]])</f>
        <v>2012</v>
      </c>
      <c r="C270" s="585">
        <v>41258</v>
      </c>
      <c r="D270" s="547" t="s">
        <v>287</v>
      </c>
      <c r="E270" s="546"/>
      <c r="F270" s="547" t="s">
        <v>7</v>
      </c>
      <c r="G270" s="31" t="s">
        <v>11</v>
      </c>
      <c r="H270" s="31" t="s">
        <v>30</v>
      </c>
      <c r="I270" s="31"/>
      <c r="J270" s="60"/>
      <c r="K270" s="60"/>
      <c r="L270" s="60">
        <v>172</v>
      </c>
      <c r="M270" s="60"/>
      <c r="N270" s="60"/>
      <c r="O270" s="60"/>
      <c r="P270" s="60"/>
      <c r="Q270" s="60"/>
      <c r="R270" s="570"/>
      <c r="S270" s="60"/>
      <c r="T270" s="143">
        <f>IF(NFI_Expiration=1,IF($A270&lt;VLOOKUP(I$5,NFI,5,0),1,0)*Data_NFI_t[[#This Row],[Hygiene Kit]],0)</f>
        <v>0</v>
      </c>
      <c r="U270" s="143">
        <f>IF(NFI_Expiration=1,IF($A270&lt;VLOOKUP(J$5,NFI,5,0),1,0)*Data_NFI_t[[#This Row],[NFI Core Kit]],0)</f>
        <v>0</v>
      </c>
      <c r="V270" s="124">
        <f>IF(NFI_Expiration=1,IF($A270&lt;VLOOKUP(K$5,NFI,5,0),1,0)*Data_NFI_t[[#This Row],[Sanitary Kit]],0)</f>
        <v>0</v>
      </c>
      <c r="W270" s="124">
        <f>IF(NFI_Expiration=1,IF($A270&lt;VLOOKUP(L$5,NFI,5,0),1,0)*Data_NFI_t[[#This Row],[Mosquito net]],0)</f>
        <v>0</v>
      </c>
      <c r="X270" s="124">
        <f>IF(NFI_Expiration=1,IF($A270&lt;VLOOKUP(M$5,NFI,5,0),1,0)*Data_NFI_t[[#This Row],[Tarpaulin]],0)</f>
        <v>0</v>
      </c>
      <c r="Y270" s="124">
        <f>IF(NFI_Expiration=1,IF($A270&lt;VLOOKUP(N$5,NFI,5,0),1,0)*Data_NFI_t[[#This Row],[Blanket]],0)</f>
        <v>0</v>
      </c>
      <c r="Z270" s="124">
        <f>IF(NFI_Expiration=1,IF($A270&lt;VLOOKUP(O$5,NFI,5,0),1,0)*Data_NFI_t[[#This Row],[Kitchen Set]],0)</f>
        <v>0</v>
      </c>
      <c r="AA270" s="124">
        <f>IF(NFI_Expiration=1,IF($A270&lt;VLOOKUP(P$5,NFI,5,0),1,0)*Data_NFI_t[[#This Row],[Complementary Kit]],0)</f>
        <v>0</v>
      </c>
      <c r="AB270" s="124">
        <f>IF(NFI_Expiration=1,IF($A270&lt;VLOOKUP(Q$5,NFI,5,0),1,0)*Data_NFI_t[[#This Row],[Plastic Bucket]],0)</f>
        <v>0</v>
      </c>
      <c r="AC270" s="124">
        <f>IF(NFI_Expiration=1,IF($A270&lt;VLOOKUP(R$5,NFI,5,0),1,0)*Data_NFI_t[[#This Row],[Jerry Can]],0)</f>
        <v>0</v>
      </c>
      <c r="AD270" s="143">
        <f>IF(NFI_Expiration=1,IF($A270&lt;VLOOKUP(S$5,NFI,5,0),1,0)*Data_NFI_t[[#This Row],[Plastic Mat]],0)*IF(Data_NFI_t[[#This Row],[Distribution Date]]&gt;"01-06-2015",1,2.5)</f>
        <v>0</v>
      </c>
      <c r="AE270" s="143" t="str">
        <f ca="1">IFERROR(OFFSET(Camp_List[P_Code],MATCH(Data_NFI_t[[#This Row],[Camp Name]],Camp_List[Camp Name],0)-1,0,1,1),"")</f>
        <v>MMR012CMP006</v>
      </c>
      <c r="AF270" s="572" t="str">
        <f ca="1">IFERROR(OFFSET(Camp_List[Status],MATCH(Data_NFI_t[[#This Row],[Camp Name]],Camp_List[Camp Name],0)-1,0,1,1),"")</f>
        <v>Returned in Individual Housing</v>
      </c>
    </row>
    <row r="271" spans="1:32" s="100" customFormat="1" ht="15" customHeight="1">
      <c r="A271" s="254">
        <f t="shared" si="4"/>
        <v>42.133333333333333</v>
      </c>
      <c r="B271" s="254">
        <f>YEAR(Data_NFI_t[[#This Row],[Distribution Date]])</f>
        <v>2012</v>
      </c>
      <c r="C271" s="585">
        <v>41258</v>
      </c>
      <c r="D271" s="547" t="s">
        <v>287</v>
      </c>
      <c r="E271" s="546"/>
      <c r="F271" s="547" t="s">
        <v>7</v>
      </c>
      <c r="G271" s="31" t="s">
        <v>11</v>
      </c>
      <c r="H271" s="31" t="s">
        <v>28</v>
      </c>
      <c r="I271" s="31"/>
      <c r="J271" s="60"/>
      <c r="K271" s="60"/>
      <c r="L271" s="60"/>
      <c r="M271" s="60"/>
      <c r="N271" s="60">
        <v>156</v>
      </c>
      <c r="O271" s="60"/>
      <c r="P271" s="60"/>
      <c r="Q271" s="60"/>
      <c r="R271" s="570"/>
      <c r="S271" s="60"/>
      <c r="T271" s="143">
        <f>IF(NFI_Expiration=1,IF($A271&lt;VLOOKUP(I$5,NFI,5,0),1,0)*Data_NFI_t[[#This Row],[Hygiene Kit]],0)</f>
        <v>0</v>
      </c>
      <c r="U271" s="143">
        <f>IF(NFI_Expiration=1,IF($A271&lt;VLOOKUP(J$5,NFI,5,0),1,0)*Data_NFI_t[[#This Row],[NFI Core Kit]],0)</f>
        <v>0</v>
      </c>
      <c r="V271" s="124">
        <f>IF(NFI_Expiration=1,IF($A271&lt;VLOOKUP(K$5,NFI,5,0),1,0)*Data_NFI_t[[#This Row],[Sanitary Kit]],0)</f>
        <v>0</v>
      </c>
      <c r="W271" s="124">
        <f>IF(NFI_Expiration=1,IF($A271&lt;VLOOKUP(L$5,NFI,5,0),1,0)*Data_NFI_t[[#This Row],[Mosquito net]],0)</f>
        <v>0</v>
      </c>
      <c r="X271" s="124">
        <f>IF(NFI_Expiration=1,IF($A271&lt;VLOOKUP(M$5,NFI,5,0),1,0)*Data_NFI_t[[#This Row],[Tarpaulin]],0)</f>
        <v>0</v>
      </c>
      <c r="Y271" s="124">
        <f>IF(NFI_Expiration=1,IF($A271&lt;VLOOKUP(N$5,NFI,5,0),1,0)*Data_NFI_t[[#This Row],[Blanket]],0)</f>
        <v>0</v>
      </c>
      <c r="Z271" s="124">
        <f>IF(NFI_Expiration=1,IF($A271&lt;VLOOKUP(O$5,NFI,5,0),1,0)*Data_NFI_t[[#This Row],[Kitchen Set]],0)</f>
        <v>0</v>
      </c>
      <c r="AA271" s="124">
        <f>IF(NFI_Expiration=1,IF($A271&lt;VLOOKUP(P$5,NFI,5,0),1,0)*Data_NFI_t[[#This Row],[Complementary Kit]],0)</f>
        <v>0</v>
      </c>
      <c r="AB271" s="124">
        <f>IF(NFI_Expiration=1,IF($A271&lt;VLOOKUP(Q$5,NFI,5,0),1,0)*Data_NFI_t[[#This Row],[Plastic Bucket]],0)</f>
        <v>0</v>
      </c>
      <c r="AC271" s="124">
        <f>IF(NFI_Expiration=1,IF($A271&lt;VLOOKUP(R$5,NFI,5,0),1,0)*Data_NFI_t[[#This Row],[Jerry Can]],0)</f>
        <v>0</v>
      </c>
      <c r="AD271" s="143">
        <f>IF(NFI_Expiration=1,IF($A271&lt;VLOOKUP(S$5,NFI,5,0),1,0)*Data_NFI_t[[#This Row],[Plastic Mat]],0)*IF(Data_NFI_t[[#This Row],[Distribution Date]]&gt;"01-06-2015",1,2.5)</f>
        <v>0</v>
      </c>
      <c r="AE271" s="143" t="str">
        <f ca="1">IFERROR(OFFSET(Camp_List[P_Code],MATCH(Data_NFI_t[[#This Row],[Camp Name]],Camp_List[Camp Name],0)-1,0,1,1),"")</f>
        <v>MMR012CMP004</v>
      </c>
      <c r="AF271" s="572" t="str">
        <f ca="1">IFERROR(OFFSET(Camp_List[Status],MATCH(Data_NFI_t[[#This Row],[Camp Name]],Camp_List[Camp Name],0)-1,0,1,1),"")</f>
        <v>Close</v>
      </c>
    </row>
    <row r="272" spans="1:32" s="100" customFormat="1" ht="15" customHeight="1">
      <c r="A272" s="254">
        <f t="shared" si="4"/>
        <v>42.133333333333333</v>
      </c>
      <c r="B272" s="254">
        <f>YEAR(Data_NFI_t[[#This Row],[Distribution Date]])</f>
        <v>2012</v>
      </c>
      <c r="C272" s="585">
        <v>41258</v>
      </c>
      <c r="D272" s="547" t="s">
        <v>287</v>
      </c>
      <c r="E272" s="546"/>
      <c r="F272" s="547" t="s">
        <v>7</v>
      </c>
      <c r="G272" s="31" t="s">
        <v>12</v>
      </c>
      <c r="H272" s="31" t="s">
        <v>33</v>
      </c>
      <c r="I272" s="31"/>
      <c r="J272" s="60"/>
      <c r="K272" s="60"/>
      <c r="L272" s="60">
        <v>240</v>
      </c>
      <c r="M272" s="60"/>
      <c r="N272" s="60"/>
      <c r="O272" s="60"/>
      <c r="P272" s="60"/>
      <c r="Q272" s="60"/>
      <c r="R272" s="570"/>
      <c r="S272" s="60"/>
      <c r="T272" s="143">
        <f>IF(NFI_Expiration=1,IF($A272&lt;VLOOKUP(I$5,NFI,5,0),1,0)*Data_NFI_t[[#This Row],[Hygiene Kit]],0)</f>
        <v>0</v>
      </c>
      <c r="U272" s="143">
        <f>IF(NFI_Expiration=1,IF($A272&lt;VLOOKUP(J$5,NFI,5,0),1,0)*Data_NFI_t[[#This Row],[NFI Core Kit]],0)</f>
        <v>0</v>
      </c>
      <c r="V272" s="124">
        <f>IF(NFI_Expiration=1,IF($A272&lt;VLOOKUP(K$5,NFI,5,0),1,0)*Data_NFI_t[[#This Row],[Sanitary Kit]],0)</f>
        <v>0</v>
      </c>
      <c r="W272" s="124">
        <f>IF(NFI_Expiration=1,IF($A272&lt;VLOOKUP(L$5,NFI,5,0),1,0)*Data_NFI_t[[#This Row],[Mosquito net]],0)</f>
        <v>0</v>
      </c>
      <c r="X272" s="124">
        <f>IF(NFI_Expiration=1,IF($A272&lt;VLOOKUP(M$5,NFI,5,0),1,0)*Data_NFI_t[[#This Row],[Tarpaulin]],0)</f>
        <v>0</v>
      </c>
      <c r="Y272" s="124">
        <f>IF(NFI_Expiration=1,IF($A272&lt;VLOOKUP(N$5,NFI,5,0),1,0)*Data_NFI_t[[#This Row],[Blanket]],0)</f>
        <v>0</v>
      </c>
      <c r="Z272" s="124">
        <f>IF(NFI_Expiration=1,IF($A272&lt;VLOOKUP(O$5,NFI,5,0),1,0)*Data_NFI_t[[#This Row],[Kitchen Set]],0)</f>
        <v>0</v>
      </c>
      <c r="AA272" s="124">
        <f>IF(NFI_Expiration=1,IF($A272&lt;VLOOKUP(P$5,NFI,5,0),1,0)*Data_NFI_t[[#This Row],[Complementary Kit]],0)</f>
        <v>0</v>
      </c>
      <c r="AB272" s="124">
        <f>IF(NFI_Expiration=1,IF($A272&lt;VLOOKUP(Q$5,NFI,5,0),1,0)*Data_NFI_t[[#This Row],[Plastic Bucket]],0)</f>
        <v>0</v>
      </c>
      <c r="AC272" s="124">
        <f>IF(NFI_Expiration=1,IF($A272&lt;VLOOKUP(R$5,NFI,5,0),1,0)*Data_NFI_t[[#This Row],[Jerry Can]],0)</f>
        <v>0</v>
      </c>
      <c r="AD272" s="143">
        <f>IF(NFI_Expiration=1,IF($A272&lt;VLOOKUP(S$5,NFI,5,0),1,0)*Data_NFI_t[[#This Row],[Plastic Mat]],0)*IF(Data_NFI_t[[#This Row],[Distribution Date]]&gt;"01-06-2015",1,2.5)</f>
        <v>0</v>
      </c>
      <c r="AE272" s="143" t="str">
        <f ca="1">IFERROR(OFFSET(Camp_List[P_Code],MATCH(Data_NFI_t[[#This Row],[Camp Name]],Camp_List[Camp Name],0)-1,0,1,1),"")</f>
        <v>MMR012CMP009</v>
      </c>
      <c r="AF272" s="572" t="str">
        <f ca="1">IFERROR(OFFSET(Camp_List[Status],MATCH(Data_NFI_t[[#This Row],[Camp Name]],Camp_List[Camp Name],0)-1,0,1,1),"")</f>
        <v>Returned in Individual Housing</v>
      </c>
    </row>
    <row r="273" spans="1:32" s="100" customFormat="1" ht="15" customHeight="1">
      <c r="A273" s="254">
        <f t="shared" si="4"/>
        <v>42.133333333333333</v>
      </c>
      <c r="B273" s="254">
        <f>YEAR(Data_NFI_t[[#This Row],[Distribution Date]])</f>
        <v>2012</v>
      </c>
      <c r="C273" s="585">
        <v>41258</v>
      </c>
      <c r="D273" s="547" t="s">
        <v>287</v>
      </c>
      <c r="E273" s="546"/>
      <c r="F273" s="547" t="s">
        <v>7</v>
      </c>
      <c r="G273" s="31" t="s">
        <v>11</v>
      </c>
      <c r="H273" s="31" t="s">
        <v>32</v>
      </c>
      <c r="I273" s="31"/>
      <c r="J273" s="60"/>
      <c r="K273" s="60"/>
      <c r="L273" s="60">
        <v>200</v>
      </c>
      <c r="M273" s="60"/>
      <c r="N273" s="60"/>
      <c r="O273" s="60"/>
      <c r="P273" s="60"/>
      <c r="Q273" s="60"/>
      <c r="R273" s="570"/>
      <c r="S273" s="60"/>
      <c r="T273" s="143">
        <f>IF(NFI_Expiration=1,IF($A273&lt;VLOOKUP(I$5,NFI,5,0),1,0)*Data_NFI_t[[#This Row],[Hygiene Kit]],0)</f>
        <v>0</v>
      </c>
      <c r="U273" s="143">
        <f>IF(NFI_Expiration=1,IF($A273&lt;VLOOKUP(J$5,NFI,5,0),1,0)*Data_NFI_t[[#This Row],[NFI Core Kit]],0)</f>
        <v>0</v>
      </c>
      <c r="V273" s="124">
        <f>IF(NFI_Expiration=1,IF($A273&lt;VLOOKUP(K$5,NFI,5,0),1,0)*Data_NFI_t[[#This Row],[Sanitary Kit]],0)</f>
        <v>0</v>
      </c>
      <c r="W273" s="124">
        <f>IF(NFI_Expiration=1,IF($A273&lt;VLOOKUP(L$5,NFI,5,0),1,0)*Data_NFI_t[[#This Row],[Mosquito net]],0)</f>
        <v>0</v>
      </c>
      <c r="X273" s="124">
        <f>IF(NFI_Expiration=1,IF($A273&lt;VLOOKUP(M$5,NFI,5,0),1,0)*Data_NFI_t[[#This Row],[Tarpaulin]],0)</f>
        <v>0</v>
      </c>
      <c r="Y273" s="124">
        <f>IF(NFI_Expiration=1,IF($A273&lt;VLOOKUP(N$5,NFI,5,0),1,0)*Data_NFI_t[[#This Row],[Blanket]],0)</f>
        <v>0</v>
      </c>
      <c r="Z273" s="124">
        <f>IF(NFI_Expiration=1,IF($A273&lt;VLOOKUP(O$5,NFI,5,0),1,0)*Data_NFI_t[[#This Row],[Kitchen Set]],0)</f>
        <v>0</v>
      </c>
      <c r="AA273" s="124">
        <f>IF(NFI_Expiration=1,IF($A273&lt;VLOOKUP(P$5,NFI,5,0),1,0)*Data_NFI_t[[#This Row],[Complementary Kit]],0)</f>
        <v>0</v>
      </c>
      <c r="AB273" s="124">
        <f>IF(NFI_Expiration=1,IF($A273&lt;VLOOKUP(Q$5,NFI,5,0),1,0)*Data_NFI_t[[#This Row],[Plastic Bucket]],0)</f>
        <v>0</v>
      </c>
      <c r="AC273" s="124">
        <f>IF(NFI_Expiration=1,IF($A273&lt;VLOOKUP(R$5,NFI,5,0),1,0)*Data_NFI_t[[#This Row],[Jerry Can]],0)</f>
        <v>0</v>
      </c>
      <c r="AD273" s="143">
        <f>IF(NFI_Expiration=1,IF($A273&lt;VLOOKUP(S$5,NFI,5,0),1,0)*Data_NFI_t[[#This Row],[Plastic Mat]],0)*IF(Data_NFI_t[[#This Row],[Distribution Date]]&gt;"01-06-2015",1,2.5)</f>
        <v>0</v>
      </c>
      <c r="AE273" s="143" t="str">
        <f ca="1">IFERROR(OFFSET(Camp_List[P_Code],MATCH(Data_NFI_t[[#This Row],[Camp Name]],Camp_List[Camp Name],0)-1,0,1,1),"")</f>
        <v>MMR012CMP008</v>
      </c>
      <c r="AF273" s="572" t="str">
        <f ca="1">IFERROR(OFFSET(Camp_List[Status],MATCH(Data_NFI_t[[#This Row],[Camp Name]],Camp_List[Camp Name],0)-1,0,1,1),"")</f>
        <v>Returned in Individual Housing</v>
      </c>
    </row>
    <row r="274" spans="1:32" s="100" customFormat="1" ht="15" customHeight="1">
      <c r="A274" s="254">
        <f t="shared" si="4"/>
        <v>42.133333333333333</v>
      </c>
      <c r="B274" s="254">
        <f>YEAR(Data_NFI_t[[#This Row],[Distribution Date]])</f>
        <v>2012</v>
      </c>
      <c r="C274" s="585">
        <v>41258</v>
      </c>
      <c r="D274" s="547" t="s">
        <v>287</v>
      </c>
      <c r="E274" s="546"/>
      <c r="F274" s="547" t="s">
        <v>7</v>
      </c>
      <c r="G274" s="31" t="s">
        <v>11</v>
      </c>
      <c r="H274" s="31" t="s">
        <v>27</v>
      </c>
      <c r="I274" s="31"/>
      <c r="J274" s="60"/>
      <c r="K274" s="60"/>
      <c r="L274" s="60"/>
      <c r="M274" s="60"/>
      <c r="N274" s="60"/>
      <c r="O274" s="60">
        <v>86</v>
      </c>
      <c r="P274" s="60"/>
      <c r="Q274" s="60"/>
      <c r="R274" s="570"/>
      <c r="S274" s="60"/>
      <c r="T274" s="143">
        <f>IF(NFI_Expiration=1,IF($A274&lt;VLOOKUP(I$5,NFI,5,0),1,0)*Data_NFI_t[[#This Row],[Hygiene Kit]],0)</f>
        <v>0</v>
      </c>
      <c r="U274" s="143">
        <f>IF(NFI_Expiration=1,IF($A274&lt;VLOOKUP(J$5,NFI,5,0),1,0)*Data_NFI_t[[#This Row],[NFI Core Kit]],0)</f>
        <v>0</v>
      </c>
      <c r="V274" s="124">
        <f>IF(NFI_Expiration=1,IF($A274&lt;VLOOKUP(K$5,NFI,5,0),1,0)*Data_NFI_t[[#This Row],[Sanitary Kit]],0)</f>
        <v>0</v>
      </c>
      <c r="W274" s="124">
        <f>IF(NFI_Expiration=1,IF($A274&lt;VLOOKUP(L$5,NFI,5,0),1,0)*Data_NFI_t[[#This Row],[Mosquito net]],0)</f>
        <v>0</v>
      </c>
      <c r="X274" s="124">
        <f>IF(NFI_Expiration=1,IF($A274&lt;VLOOKUP(M$5,NFI,5,0),1,0)*Data_NFI_t[[#This Row],[Tarpaulin]],0)</f>
        <v>0</v>
      </c>
      <c r="Y274" s="124">
        <f>IF(NFI_Expiration=1,IF($A274&lt;VLOOKUP(N$5,NFI,5,0),1,0)*Data_NFI_t[[#This Row],[Blanket]],0)</f>
        <v>0</v>
      </c>
      <c r="Z274" s="124">
        <f>IF(NFI_Expiration=1,IF($A274&lt;VLOOKUP(O$5,NFI,5,0),1,0)*Data_NFI_t[[#This Row],[Kitchen Set]],0)</f>
        <v>0</v>
      </c>
      <c r="AA274" s="124">
        <f>IF(NFI_Expiration=1,IF($A274&lt;VLOOKUP(P$5,NFI,5,0),1,0)*Data_NFI_t[[#This Row],[Complementary Kit]],0)</f>
        <v>0</v>
      </c>
      <c r="AB274" s="124">
        <f>IF(NFI_Expiration=1,IF($A274&lt;VLOOKUP(Q$5,NFI,5,0),1,0)*Data_NFI_t[[#This Row],[Plastic Bucket]],0)</f>
        <v>0</v>
      </c>
      <c r="AC274" s="124">
        <f>IF(NFI_Expiration=1,IF($A274&lt;VLOOKUP(R$5,NFI,5,0),1,0)*Data_NFI_t[[#This Row],[Jerry Can]],0)</f>
        <v>0</v>
      </c>
      <c r="AD274" s="143">
        <f>IF(NFI_Expiration=1,IF($A274&lt;VLOOKUP(S$5,NFI,5,0),1,0)*Data_NFI_t[[#This Row],[Plastic Mat]],0)*IF(Data_NFI_t[[#This Row],[Distribution Date]]&gt;"01-06-2015",1,2.5)</f>
        <v>0</v>
      </c>
      <c r="AE274" s="143" t="str">
        <f ca="1">IFERROR(OFFSET(Camp_List[P_Code],MATCH(Data_NFI_t[[#This Row],[Camp Name]],Camp_List[Camp Name],0)-1,0,1,1),"")</f>
        <v>MMR012CMP003</v>
      </c>
      <c r="AF274" s="572" t="str">
        <f ca="1">IFERROR(OFFSET(Camp_List[Status],MATCH(Data_NFI_t[[#This Row],[Camp Name]],Camp_List[Camp Name],0)-1,0,1,1),"")</f>
        <v>Returned in Individual Housing</v>
      </c>
    </row>
    <row r="275" spans="1:32" s="100" customFormat="1" ht="15" customHeight="1">
      <c r="A275" s="254">
        <f t="shared" si="4"/>
        <v>42.133333333333333</v>
      </c>
      <c r="B275" s="254">
        <f>YEAR(Data_NFI_t[[#This Row],[Distribution Date]])</f>
        <v>2012</v>
      </c>
      <c r="C275" s="585">
        <v>41258</v>
      </c>
      <c r="D275" s="547" t="s">
        <v>287</v>
      </c>
      <c r="E275" s="546"/>
      <c r="F275" s="547" t="s">
        <v>7</v>
      </c>
      <c r="G275" s="31" t="s">
        <v>11</v>
      </c>
      <c r="H275" s="31" t="s">
        <v>26</v>
      </c>
      <c r="I275" s="31"/>
      <c r="J275" s="60"/>
      <c r="K275" s="60"/>
      <c r="L275" s="60"/>
      <c r="M275" s="60"/>
      <c r="N275" s="60">
        <v>406</v>
      </c>
      <c r="O275" s="60"/>
      <c r="P275" s="60"/>
      <c r="Q275" s="60"/>
      <c r="R275" s="570"/>
      <c r="S275" s="60"/>
      <c r="T275" s="143">
        <f>IF(NFI_Expiration=1,IF($A275&lt;VLOOKUP(I$5,NFI,5,0),1,0)*Data_NFI_t[[#This Row],[Hygiene Kit]],0)</f>
        <v>0</v>
      </c>
      <c r="U275" s="143">
        <f>IF(NFI_Expiration=1,IF($A275&lt;VLOOKUP(J$5,NFI,5,0),1,0)*Data_NFI_t[[#This Row],[NFI Core Kit]],0)</f>
        <v>0</v>
      </c>
      <c r="V275" s="124">
        <f>IF(NFI_Expiration=1,IF($A275&lt;VLOOKUP(K$5,NFI,5,0),1,0)*Data_NFI_t[[#This Row],[Sanitary Kit]],0)</f>
        <v>0</v>
      </c>
      <c r="W275" s="124">
        <f>IF(NFI_Expiration=1,IF($A275&lt;VLOOKUP(L$5,NFI,5,0),1,0)*Data_NFI_t[[#This Row],[Mosquito net]],0)</f>
        <v>0</v>
      </c>
      <c r="X275" s="124">
        <f>IF(NFI_Expiration=1,IF($A275&lt;VLOOKUP(M$5,NFI,5,0),1,0)*Data_NFI_t[[#This Row],[Tarpaulin]],0)</f>
        <v>0</v>
      </c>
      <c r="Y275" s="124">
        <f>IF(NFI_Expiration=1,IF($A275&lt;VLOOKUP(N$5,NFI,5,0),1,0)*Data_NFI_t[[#This Row],[Blanket]],0)</f>
        <v>0</v>
      </c>
      <c r="Z275" s="124">
        <f>IF(NFI_Expiration=1,IF($A275&lt;VLOOKUP(O$5,NFI,5,0),1,0)*Data_NFI_t[[#This Row],[Kitchen Set]],0)</f>
        <v>0</v>
      </c>
      <c r="AA275" s="124">
        <f>IF(NFI_Expiration=1,IF($A275&lt;VLOOKUP(P$5,NFI,5,0),1,0)*Data_NFI_t[[#This Row],[Complementary Kit]],0)</f>
        <v>0</v>
      </c>
      <c r="AB275" s="124">
        <f>IF(NFI_Expiration=1,IF($A275&lt;VLOOKUP(Q$5,NFI,5,0),1,0)*Data_NFI_t[[#This Row],[Plastic Bucket]],0)</f>
        <v>0</v>
      </c>
      <c r="AC275" s="124">
        <f>IF(NFI_Expiration=1,IF($A275&lt;VLOOKUP(R$5,NFI,5,0),1,0)*Data_NFI_t[[#This Row],[Jerry Can]],0)</f>
        <v>0</v>
      </c>
      <c r="AD275" s="143">
        <f>IF(NFI_Expiration=1,IF($A275&lt;VLOOKUP(S$5,NFI,5,0),1,0)*Data_NFI_t[[#This Row],[Plastic Mat]],0)*IF(Data_NFI_t[[#This Row],[Distribution Date]]&gt;"01-06-2015",1,2.5)</f>
        <v>0</v>
      </c>
      <c r="AE275" s="143" t="str">
        <f ca="1">IFERROR(OFFSET(Camp_List[P_Code],MATCH(Data_NFI_t[[#This Row],[Camp Name]],Camp_List[Camp Name],0)-1,0,1,1),"")</f>
        <v>MMR012CMP002</v>
      </c>
      <c r="AF275" s="572" t="str">
        <f ca="1">IFERROR(OFFSET(Camp_List[Status],MATCH(Data_NFI_t[[#This Row],[Camp Name]],Camp_List[Camp Name],0)-1,0,1,1),"")</f>
        <v>Returned in Individual Housing</v>
      </c>
    </row>
    <row r="276" spans="1:32" s="100" customFormat="1" ht="15" customHeight="1">
      <c r="A276" s="254">
        <f t="shared" si="4"/>
        <v>42.166666666666664</v>
      </c>
      <c r="B276" s="254">
        <f>YEAR(Data_NFI_t[[#This Row],[Distribution Date]])</f>
        <v>2012</v>
      </c>
      <c r="C276" s="585">
        <v>41257</v>
      </c>
      <c r="D276" s="547" t="s">
        <v>291</v>
      </c>
      <c r="E276" s="546" t="s">
        <v>287</v>
      </c>
      <c r="F276" s="547" t="s">
        <v>7</v>
      </c>
      <c r="G276" s="31" t="s">
        <v>19</v>
      </c>
      <c r="H276" s="31" t="s">
        <v>71</v>
      </c>
      <c r="I276" s="31"/>
      <c r="J276" s="60"/>
      <c r="K276" s="60"/>
      <c r="L276" s="60"/>
      <c r="M276" s="60"/>
      <c r="N276" s="60">
        <v>55</v>
      </c>
      <c r="O276" s="60"/>
      <c r="P276" s="60"/>
      <c r="Q276" s="60"/>
      <c r="R276" s="570"/>
      <c r="S276" s="60"/>
      <c r="T276" s="143">
        <f>IF(NFI_Expiration=1,IF($A276&lt;VLOOKUP(I$5,NFI,5,0),1,0)*Data_NFI_t[[#This Row],[Hygiene Kit]],0)</f>
        <v>0</v>
      </c>
      <c r="U276" s="143">
        <f>IF(NFI_Expiration=1,IF($A276&lt;VLOOKUP(J$5,NFI,5,0),1,0)*Data_NFI_t[[#This Row],[NFI Core Kit]],0)</f>
        <v>0</v>
      </c>
      <c r="V276" s="124">
        <f>IF(NFI_Expiration=1,IF($A276&lt;VLOOKUP(K$5,NFI,5,0),1,0)*Data_NFI_t[[#This Row],[Sanitary Kit]],0)</f>
        <v>0</v>
      </c>
      <c r="W276" s="124">
        <f>IF(NFI_Expiration=1,IF($A276&lt;VLOOKUP(L$5,NFI,5,0),1,0)*Data_NFI_t[[#This Row],[Mosquito net]],0)</f>
        <v>0</v>
      </c>
      <c r="X276" s="124">
        <f>IF(NFI_Expiration=1,IF($A276&lt;VLOOKUP(M$5,NFI,5,0),1,0)*Data_NFI_t[[#This Row],[Tarpaulin]],0)</f>
        <v>0</v>
      </c>
      <c r="Y276" s="124">
        <f>IF(NFI_Expiration=1,IF($A276&lt;VLOOKUP(N$5,NFI,5,0),1,0)*Data_NFI_t[[#This Row],[Blanket]],0)</f>
        <v>0</v>
      </c>
      <c r="Z276" s="124">
        <f>IF(NFI_Expiration=1,IF($A276&lt;VLOOKUP(O$5,NFI,5,0),1,0)*Data_NFI_t[[#This Row],[Kitchen Set]],0)</f>
        <v>0</v>
      </c>
      <c r="AA276" s="124">
        <f>IF(NFI_Expiration=1,IF($A276&lt;VLOOKUP(P$5,NFI,5,0),1,0)*Data_NFI_t[[#This Row],[Complementary Kit]],0)</f>
        <v>0</v>
      </c>
      <c r="AB276" s="124">
        <f>IF(NFI_Expiration=1,IF($A276&lt;VLOOKUP(Q$5,NFI,5,0),1,0)*Data_NFI_t[[#This Row],[Plastic Bucket]],0)</f>
        <v>0</v>
      </c>
      <c r="AC276" s="124">
        <f>IF(NFI_Expiration=1,IF($A276&lt;VLOOKUP(R$5,NFI,5,0),1,0)*Data_NFI_t[[#This Row],[Jerry Can]],0)</f>
        <v>0</v>
      </c>
      <c r="AD276" s="143">
        <f>IF(NFI_Expiration=1,IF($A276&lt;VLOOKUP(S$5,NFI,5,0),1,0)*Data_NFI_t[[#This Row],[Plastic Mat]],0)*IF(Data_NFI_t[[#This Row],[Distribution Date]]&gt;"01-06-2015",1,2.5)</f>
        <v>0</v>
      </c>
      <c r="AE276" s="143" t="str">
        <f ca="1">IFERROR(OFFSET(Camp_List[P_Code],MATCH(Data_NFI_t[[#This Row],[Camp Name]],Camp_List[Camp Name],0)-1,0,1,1),"")</f>
        <v>MMR012CMP049</v>
      </c>
      <c r="AF276" s="572" t="str">
        <f ca="1">IFERROR(OFFSET(Camp_List[Status],MATCH(Data_NFI_t[[#This Row],[Camp Name]],Camp_List[Camp Name],0)-1,0,1,1),"")</f>
        <v>Close</v>
      </c>
    </row>
    <row r="277" spans="1:32" s="100" customFormat="1" ht="15" customHeight="1">
      <c r="A277" s="254">
        <f t="shared" si="4"/>
        <v>42.2</v>
      </c>
      <c r="B277" s="254">
        <f>YEAR(Data_NFI_t[[#This Row],[Distribution Date]])</f>
        <v>2012</v>
      </c>
      <c r="C277" s="585">
        <v>41256</v>
      </c>
      <c r="D277" s="547" t="s">
        <v>287</v>
      </c>
      <c r="E277" s="546"/>
      <c r="F277" s="547" t="s">
        <v>7</v>
      </c>
      <c r="G277" s="31" t="s">
        <v>15</v>
      </c>
      <c r="H277" s="31" t="s">
        <v>49</v>
      </c>
      <c r="I277" s="31"/>
      <c r="J277" s="60"/>
      <c r="K277" s="60"/>
      <c r="L277" s="60">
        <v>180</v>
      </c>
      <c r="M277" s="60"/>
      <c r="N277" s="60">
        <v>180</v>
      </c>
      <c r="O277" s="60">
        <v>90</v>
      </c>
      <c r="P277" s="60"/>
      <c r="Q277" s="60"/>
      <c r="R277" s="570"/>
      <c r="S277" s="60"/>
      <c r="T277" s="143">
        <f>IF(NFI_Expiration=1,IF($A277&lt;VLOOKUP(I$5,NFI,5,0),1,0)*Data_NFI_t[[#This Row],[Hygiene Kit]],0)</f>
        <v>0</v>
      </c>
      <c r="U277" s="143">
        <f>IF(NFI_Expiration=1,IF($A277&lt;VLOOKUP(J$5,NFI,5,0),1,0)*Data_NFI_t[[#This Row],[NFI Core Kit]],0)</f>
        <v>0</v>
      </c>
      <c r="V277" s="124">
        <f>IF(NFI_Expiration=1,IF($A277&lt;VLOOKUP(K$5,NFI,5,0),1,0)*Data_NFI_t[[#This Row],[Sanitary Kit]],0)</f>
        <v>0</v>
      </c>
      <c r="W277" s="124">
        <f>IF(NFI_Expiration=1,IF($A277&lt;VLOOKUP(L$5,NFI,5,0),1,0)*Data_NFI_t[[#This Row],[Mosquito net]],0)</f>
        <v>0</v>
      </c>
      <c r="X277" s="124">
        <f>IF(NFI_Expiration=1,IF($A277&lt;VLOOKUP(M$5,NFI,5,0),1,0)*Data_NFI_t[[#This Row],[Tarpaulin]],0)</f>
        <v>0</v>
      </c>
      <c r="Y277" s="124">
        <f>IF(NFI_Expiration=1,IF($A277&lt;VLOOKUP(N$5,NFI,5,0),1,0)*Data_NFI_t[[#This Row],[Blanket]],0)</f>
        <v>0</v>
      </c>
      <c r="Z277" s="124">
        <f>IF(NFI_Expiration=1,IF($A277&lt;VLOOKUP(O$5,NFI,5,0),1,0)*Data_NFI_t[[#This Row],[Kitchen Set]],0)</f>
        <v>0</v>
      </c>
      <c r="AA277" s="124">
        <f>IF(NFI_Expiration=1,IF($A277&lt;VLOOKUP(P$5,NFI,5,0),1,0)*Data_NFI_t[[#This Row],[Complementary Kit]],0)</f>
        <v>0</v>
      </c>
      <c r="AB277" s="124">
        <f>IF(NFI_Expiration=1,IF($A277&lt;VLOOKUP(Q$5,NFI,5,0),1,0)*Data_NFI_t[[#This Row],[Plastic Bucket]],0)</f>
        <v>0</v>
      </c>
      <c r="AC277" s="124">
        <f>IF(NFI_Expiration=1,IF($A277&lt;VLOOKUP(R$5,NFI,5,0),1,0)*Data_NFI_t[[#This Row],[Jerry Can]],0)</f>
        <v>0</v>
      </c>
      <c r="AD277" s="143">
        <f>IF(NFI_Expiration=1,IF($A277&lt;VLOOKUP(S$5,NFI,5,0),1,0)*Data_NFI_t[[#This Row],[Plastic Mat]],0)*IF(Data_NFI_t[[#This Row],[Distribution Date]]&gt;"01-06-2015",1,2.5)</f>
        <v>0</v>
      </c>
      <c r="AE277" s="143" t="str">
        <f ca="1">IFERROR(OFFSET(Camp_List[P_Code],MATCH(Data_NFI_t[[#This Row],[Camp Name]],Camp_List[Camp Name],0)-1,0,1,1),"")</f>
        <v>MMR012CMP025</v>
      </c>
      <c r="AF277" s="572" t="str">
        <f ca="1">IFERROR(OFFSET(Camp_List[Status],MATCH(Data_NFI_t[[#This Row],[Camp Name]],Camp_List[Camp Name],0)-1,0,1,1),"")</f>
        <v>Returned in Individual Housing</v>
      </c>
    </row>
    <row r="278" spans="1:32" s="100" customFormat="1" ht="15" customHeight="1">
      <c r="A278" s="254">
        <f t="shared" si="4"/>
        <v>42.2</v>
      </c>
      <c r="B278" s="254">
        <f>YEAR(Data_NFI_t[[#This Row],[Distribution Date]])</f>
        <v>2012</v>
      </c>
      <c r="C278" s="585">
        <v>41256</v>
      </c>
      <c r="D278" s="547" t="s">
        <v>287</v>
      </c>
      <c r="E278" s="546"/>
      <c r="F278" s="547" t="s">
        <v>7</v>
      </c>
      <c r="G278" s="31" t="s">
        <v>15</v>
      </c>
      <c r="H278" s="31" t="s">
        <v>48</v>
      </c>
      <c r="I278" s="31"/>
      <c r="J278" s="60"/>
      <c r="K278" s="60"/>
      <c r="L278" s="60"/>
      <c r="M278" s="60"/>
      <c r="N278" s="60"/>
      <c r="O278" s="60"/>
      <c r="P278" s="60">
        <v>90</v>
      </c>
      <c r="Q278" s="60"/>
      <c r="R278" s="570"/>
      <c r="S278" s="60"/>
      <c r="T278" s="143">
        <f>IF(NFI_Expiration=1,IF($A278&lt;VLOOKUP(I$5,NFI,5,0),1,0)*Data_NFI_t[[#This Row],[Hygiene Kit]],0)</f>
        <v>0</v>
      </c>
      <c r="U278" s="143">
        <f>IF(NFI_Expiration=1,IF($A278&lt;VLOOKUP(J$5,NFI,5,0),1,0)*Data_NFI_t[[#This Row],[NFI Core Kit]],0)</f>
        <v>0</v>
      </c>
      <c r="V278" s="124">
        <f>IF(NFI_Expiration=1,IF($A278&lt;VLOOKUP(K$5,NFI,5,0),1,0)*Data_NFI_t[[#This Row],[Sanitary Kit]],0)</f>
        <v>0</v>
      </c>
      <c r="W278" s="124">
        <f>IF(NFI_Expiration=1,IF($A278&lt;VLOOKUP(L$5,NFI,5,0),1,0)*Data_NFI_t[[#This Row],[Mosquito net]],0)</f>
        <v>0</v>
      </c>
      <c r="X278" s="124">
        <f>IF(NFI_Expiration=1,IF($A278&lt;VLOOKUP(M$5,NFI,5,0),1,0)*Data_NFI_t[[#This Row],[Tarpaulin]],0)</f>
        <v>0</v>
      </c>
      <c r="Y278" s="124">
        <f>IF(NFI_Expiration=1,IF($A278&lt;VLOOKUP(N$5,NFI,5,0),1,0)*Data_NFI_t[[#This Row],[Blanket]],0)</f>
        <v>0</v>
      </c>
      <c r="Z278" s="124">
        <f>IF(NFI_Expiration=1,IF($A278&lt;VLOOKUP(O$5,NFI,5,0),1,0)*Data_NFI_t[[#This Row],[Kitchen Set]],0)</f>
        <v>0</v>
      </c>
      <c r="AA278" s="124">
        <f>IF(NFI_Expiration=1,IF($A278&lt;VLOOKUP(P$5,NFI,5,0),1,0)*Data_NFI_t[[#This Row],[Complementary Kit]],0)</f>
        <v>0</v>
      </c>
      <c r="AB278" s="124">
        <f>IF(NFI_Expiration=1,IF($A278&lt;VLOOKUP(Q$5,NFI,5,0),1,0)*Data_NFI_t[[#This Row],[Plastic Bucket]],0)</f>
        <v>0</v>
      </c>
      <c r="AC278" s="124">
        <f>IF(NFI_Expiration=1,IF($A278&lt;VLOOKUP(R$5,NFI,5,0),1,0)*Data_NFI_t[[#This Row],[Jerry Can]],0)</f>
        <v>0</v>
      </c>
      <c r="AD278" s="143">
        <f>IF(NFI_Expiration=1,IF($A278&lt;VLOOKUP(S$5,NFI,5,0),1,0)*Data_NFI_t[[#This Row],[Plastic Mat]],0)*IF(Data_NFI_t[[#This Row],[Distribution Date]]&gt;"01-06-2015",1,2.5)</f>
        <v>0</v>
      </c>
      <c r="AE278" s="143" t="str">
        <f ca="1">IFERROR(OFFSET(Camp_List[P_Code],MATCH(Data_NFI_t[[#This Row],[Camp Name]],Camp_List[Camp Name],0)-1,0,1,1),"")</f>
        <v>MMR012CMP024</v>
      </c>
      <c r="AF278" s="572" t="str">
        <f ca="1">IFERROR(OFFSET(Camp_List[Status],MATCH(Data_NFI_t[[#This Row],[Camp Name]],Camp_List[Camp Name],0)-1,0,1,1),"")</f>
        <v>Returned in Individual Housing</v>
      </c>
    </row>
    <row r="279" spans="1:32" s="100" customFormat="1" ht="15" customHeight="1">
      <c r="A279" s="254">
        <f t="shared" si="4"/>
        <v>42.2</v>
      </c>
      <c r="B279" s="254">
        <f>YEAR(Data_NFI_t[[#This Row],[Distribution Date]])</f>
        <v>2012</v>
      </c>
      <c r="C279" s="585">
        <v>41256</v>
      </c>
      <c r="D279" s="547" t="s">
        <v>287</v>
      </c>
      <c r="E279" s="546"/>
      <c r="F279" s="547" t="s">
        <v>7</v>
      </c>
      <c r="G279" s="31" t="s">
        <v>19</v>
      </c>
      <c r="H279" s="31" t="s">
        <v>61</v>
      </c>
      <c r="I279" s="31"/>
      <c r="J279" s="60"/>
      <c r="K279" s="60">
        <v>302</v>
      </c>
      <c r="L279" s="60"/>
      <c r="M279" s="60"/>
      <c r="N279" s="60"/>
      <c r="O279" s="60"/>
      <c r="P279" s="60"/>
      <c r="Q279" s="60"/>
      <c r="R279" s="570"/>
      <c r="S279" s="60"/>
      <c r="T279" s="143">
        <f>IF(NFI_Expiration=1,IF($A279&lt;VLOOKUP(I$5,NFI,5,0),1,0)*Data_NFI_t[[#This Row],[Hygiene Kit]],0)</f>
        <v>0</v>
      </c>
      <c r="U279" s="143">
        <f>IF(NFI_Expiration=1,IF($A279&lt;VLOOKUP(J$5,NFI,5,0),1,0)*Data_NFI_t[[#This Row],[NFI Core Kit]],0)</f>
        <v>0</v>
      </c>
      <c r="V279" s="124">
        <f>IF(NFI_Expiration=1,IF($A279&lt;VLOOKUP(K$5,NFI,5,0),1,0)*Data_NFI_t[[#This Row],[Sanitary Kit]],0)</f>
        <v>0</v>
      </c>
      <c r="W279" s="124">
        <f>IF(NFI_Expiration=1,IF($A279&lt;VLOOKUP(L$5,NFI,5,0),1,0)*Data_NFI_t[[#This Row],[Mosquito net]],0)</f>
        <v>0</v>
      </c>
      <c r="X279" s="124">
        <f>IF(NFI_Expiration=1,IF($A279&lt;VLOOKUP(M$5,NFI,5,0),1,0)*Data_NFI_t[[#This Row],[Tarpaulin]],0)</f>
        <v>0</v>
      </c>
      <c r="Y279" s="124">
        <f>IF(NFI_Expiration=1,IF($A279&lt;VLOOKUP(N$5,NFI,5,0),1,0)*Data_NFI_t[[#This Row],[Blanket]],0)</f>
        <v>0</v>
      </c>
      <c r="Z279" s="124">
        <f>IF(NFI_Expiration=1,IF($A279&lt;VLOOKUP(O$5,NFI,5,0),1,0)*Data_NFI_t[[#This Row],[Kitchen Set]],0)</f>
        <v>0</v>
      </c>
      <c r="AA279" s="124">
        <f>IF(NFI_Expiration=1,IF($A279&lt;VLOOKUP(P$5,NFI,5,0),1,0)*Data_NFI_t[[#This Row],[Complementary Kit]],0)</f>
        <v>0</v>
      </c>
      <c r="AB279" s="124">
        <f>IF(NFI_Expiration=1,IF($A279&lt;VLOOKUP(Q$5,NFI,5,0),1,0)*Data_NFI_t[[#This Row],[Plastic Bucket]],0)</f>
        <v>0</v>
      </c>
      <c r="AC279" s="124">
        <f>IF(NFI_Expiration=1,IF($A279&lt;VLOOKUP(R$5,NFI,5,0),1,0)*Data_NFI_t[[#This Row],[Jerry Can]],0)</f>
        <v>0</v>
      </c>
      <c r="AD279" s="143">
        <f>IF(NFI_Expiration=1,IF($A279&lt;VLOOKUP(S$5,NFI,5,0),1,0)*Data_NFI_t[[#This Row],[Plastic Mat]],0)*IF(Data_NFI_t[[#This Row],[Distribution Date]]&gt;"01-06-2015",1,2.5)</f>
        <v>0</v>
      </c>
      <c r="AE279" s="143" t="str">
        <f ca="1">IFERROR(OFFSET(Camp_List[P_Code],MATCH(Data_NFI_t[[#This Row],[Camp Name]],Camp_List[Camp Name],0)-1,0,1,1),"")</f>
        <v>MMR012CMP039</v>
      </c>
      <c r="AF279" s="572" t="str">
        <f ca="1">IFERROR(OFFSET(Camp_List[Status],MATCH(Data_NFI_t[[#This Row],[Camp Name]],Camp_List[Camp Name],0)-1,0,1,1),"")</f>
        <v>Open</v>
      </c>
    </row>
    <row r="280" spans="1:32" s="100" customFormat="1" ht="15" customHeight="1">
      <c r="A280" s="254">
        <f t="shared" si="4"/>
        <v>42.2</v>
      </c>
      <c r="B280" s="254">
        <f>YEAR(Data_NFI_t[[#This Row],[Distribution Date]])</f>
        <v>2012</v>
      </c>
      <c r="C280" s="585">
        <v>41256</v>
      </c>
      <c r="D280" s="547" t="s">
        <v>287</v>
      </c>
      <c r="E280" s="546"/>
      <c r="F280" s="547" t="s">
        <v>7</v>
      </c>
      <c r="G280" s="31" t="s">
        <v>19</v>
      </c>
      <c r="H280" s="31" t="s">
        <v>62</v>
      </c>
      <c r="I280" s="31"/>
      <c r="J280" s="60"/>
      <c r="K280" s="60">
        <v>2142</v>
      </c>
      <c r="L280" s="60"/>
      <c r="M280" s="60"/>
      <c r="N280" s="60"/>
      <c r="O280" s="60"/>
      <c r="P280" s="60"/>
      <c r="Q280" s="60"/>
      <c r="R280" s="570"/>
      <c r="S280" s="60"/>
      <c r="T280" s="143">
        <f>IF(NFI_Expiration=1,IF($A280&lt;VLOOKUP(I$5,NFI,5,0),1,0)*Data_NFI_t[[#This Row],[Hygiene Kit]],0)</f>
        <v>0</v>
      </c>
      <c r="U280" s="143">
        <f>IF(NFI_Expiration=1,IF($A280&lt;VLOOKUP(J$5,NFI,5,0),1,0)*Data_NFI_t[[#This Row],[NFI Core Kit]],0)</f>
        <v>0</v>
      </c>
      <c r="V280" s="124">
        <f>IF(NFI_Expiration=1,IF($A280&lt;VLOOKUP(K$5,NFI,5,0),1,0)*Data_NFI_t[[#This Row],[Sanitary Kit]],0)</f>
        <v>0</v>
      </c>
      <c r="W280" s="124">
        <f>IF(NFI_Expiration=1,IF($A280&lt;VLOOKUP(L$5,NFI,5,0),1,0)*Data_NFI_t[[#This Row],[Mosquito net]],0)</f>
        <v>0</v>
      </c>
      <c r="X280" s="124">
        <f>IF(NFI_Expiration=1,IF($A280&lt;VLOOKUP(M$5,NFI,5,0),1,0)*Data_NFI_t[[#This Row],[Tarpaulin]],0)</f>
        <v>0</v>
      </c>
      <c r="Y280" s="124">
        <f>IF(NFI_Expiration=1,IF($A280&lt;VLOOKUP(N$5,NFI,5,0),1,0)*Data_NFI_t[[#This Row],[Blanket]],0)</f>
        <v>0</v>
      </c>
      <c r="Z280" s="124">
        <f>IF(NFI_Expiration=1,IF($A280&lt;VLOOKUP(O$5,NFI,5,0),1,0)*Data_NFI_t[[#This Row],[Kitchen Set]],0)</f>
        <v>0</v>
      </c>
      <c r="AA280" s="124">
        <f>IF(NFI_Expiration=1,IF($A280&lt;VLOOKUP(P$5,NFI,5,0),1,0)*Data_NFI_t[[#This Row],[Complementary Kit]],0)</f>
        <v>0</v>
      </c>
      <c r="AB280" s="124">
        <f>IF(NFI_Expiration=1,IF($A280&lt;VLOOKUP(Q$5,NFI,5,0),1,0)*Data_NFI_t[[#This Row],[Plastic Bucket]],0)</f>
        <v>0</v>
      </c>
      <c r="AC280" s="124">
        <f>IF(NFI_Expiration=1,IF($A280&lt;VLOOKUP(R$5,NFI,5,0),1,0)*Data_NFI_t[[#This Row],[Jerry Can]],0)</f>
        <v>0</v>
      </c>
      <c r="AD280" s="143">
        <f>IF(NFI_Expiration=1,IF($A280&lt;VLOOKUP(S$5,NFI,5,0),1,0)*Data_NFI_t[[#This Row],[Plastic Mat]],0)*IF(Data_NFI_t[[#This Row],[Distribution Date]]&gt;"01-06-2015",1,2.5)</f>
        <v>0</v>
      </c>
      <c r="AE280" s="143" t="str">
        <f ca="1">IFERROR(OFFSET(Camp_List[P_Code],MATCH(Data_NFI_t[[#This Row],[Camp Name]],Camp_List[Camp Name],0)-1,0,1,1),"")</f>
        <v>MMR012CMP040</v>
      </c>
      <c r="AF280" s="572" t="str">
        <f ca="1">IFERROR(OFFSET(Camp_List[Status],MATCH(Data_NFI_t[[#This Row],[Camp Name]],Camp_List[Camp Name],0)-1,0,1,1),"")</f>
        <v>Close</v>
      </c>
    </row>
    <row r="281" spans="1:32" s="100" customFormat="1" ht="15" customHeight="1">
      <c r="A281" s="254">
        <f t="shared" si="4"/>
        <v>42.2</v>
      </c>
      <c r="B281" s="254">
        <f>YEAR(Data_NFI_t[[#This Row],[Distribution Date]])</f>
        <v>2012</v>
      </c>
      <c r="C281" s="585">
        <v>41256</v>
      </c>
      <c r="D281" s="547" t="s">
        <v>287</v>
      </c>
      <c r="E281" s="546"/>
      <c r="F281" s="547" t="s">
        <v>7</v>
      </c>
      <c r="G281" s="31" t="s">
        <v>19</v>
      </c>
      <c r="H281" s="31" t="s">
        <v>63</v>
      </c>
      <c r="I281" s="31"/>
      <c r="J281" s="60"/>
      <c r="K281" s="60">
        <v>1707</v>
      </c>
      <c r="L281" s="60"/>
      <c r="M281" s="60"/>
      <c r="N281" s="60"/>
      <c r="O281" s="60"/>
      <c r="P281" s="60"/>
      <c r="Q281" s="60"/>
      <c r="R281" s="570"/>
      <c r="S281" s="60"/>
      <c r="T281" s="143">
        <f>IF(NFI_Expiration=1,IF($A281&lt;VLOOKUP(I$5,NFI,5,0),1,0)*Data_NFI_t[[#This Row],[Hygiene Kit]],0)</f>
        <v>0</v>
      </c>
      <c r="U281" s="143">
        <f>IF(NFI_Expiration=1,IF($A281&lt;VLOOKUP(J$5,NFI,5,0),1,0)*Data_NFI_t[[#This Row],[NFI Core Kit]],0)</f>
        <v>0</v>
      </c>
      <c r="V281" s="124">
        <f>IF(NFI_Expiration=1,IF($A281&lt;VLOOKUP(K$5,NFI,5,0),1,0)*Data_NFI_t[[#This Row],[Sanitary Kit]],0)</f>
        <v>0</v>
      </c>
      <c r="W281" s="124">
        <f>IF(NFI_Expiration=1,IF($A281&lt;VLOOKUP(L$5,NFI,5,0),1,0)*Data_NFI_t[[#This Row],[Mosquito net]],0)</f>
        <v>0</v>
      </c>
      <c r="X281" s="124">
        <f>IF(NFI_Expiration=1,IF($A281&lt;VLOOKUP(M$5,NFI,5,0),1,0)*Data_NFI_t[[#This Row],[Tarpaulin]],0)</f>
        <v>0</v>
      </c>
      <c r="Y281" s="124">
        <f>IF(NFI_Expiration=1,IF($A281&lt;VLOOKUP(N$5,NFI,5,0),1,0)*Data_NFI_t[[#This Row],[Blanket]],0)</f>
        <v>0</v>
      </c>
      <c r="Z281" s="124">
        <f>IF(NFI_Expiration=1,IF($A281&lt;VLOOKUP(O$5,NFI,5,0),1,0)*Data_NFI_t[[#This Row],[Kitchen Set]],0)</f>
        <v>0</v>
      </c>
      <c r="AA281" s="124">
        <f>IF(NFI_Expiration=1,IF($A281&lt;VLOOKUP(P$5,NFI,5,0),1,0)*Data_NFI_t[[#This Row],[Complementary Kit]],0)</f>
        <v>0</v>
      </c>
      <c r="AB281" s="124">
        <f>IF(NFI_Expiration=1,IF($A281&lt;VLOOKUP(Q$5,NFI,5,0),1,0)*Data_NFI_t[[#This Row],[Plastic Bucket]],0)</f>
        <v>0</v>
      </c>
      <c r="AC281" s="124">
        <f>IF(NFI_Expiration=1,IF($A281&lt;VLOOKUP(R$5,NFI,5,0),1,0)*Data_NFI_t[[#This Row],[Jerry Can]],0)</f>
        <v>0</v>
      </c>
      <c r="AD281" s="143">
        <f>IF(NFI_Expiration=1,IF($A281&lt;VLOOKUP(S$5,NFI,5,0),1,0)*Data_NFI_t[[#This Row],[Plastic Mat]],0)*IF(Data_NFI_t[[#This Row],[Distribution Date]]&gt;"01-06-2015",1,2.5)</f>
        <v>0</v>
      </c>
      <c r="AE281" s="143" t="str">
        <f ca="1">IFERROR(OFFSET(Camp_List[P_Code],MATCH(Data_NFI_t[[#This Row],[Camp Name]],Camp_List[Camp Name],0)-1,0,1,1),"")</f>
        <v>MMR012CMP041</v>
      </c>
      <c r="AF281" s="572" t="str">
        <f ca="1">IFERROR(OFFSET(Camp_List[Status],MATCH(Data_NFI_t[[#This Row],[Camp Name]],Camp_List[Camp Name],0)-1,0,1,1),"")</f>
        <v>Open</v>
      </c>
    </row>
    <row r="282" spans="1:32" s="100" customFormat="1" ht="15" customHeight="1">
      <c r="A282" s="254">
        <f t="shared" si="4"/>
        <v>42.2</v>
      </c>
      <c r="B282" s="254">
        <f>YEAR(Data_NFI_t[[#This Row],[Distribution Date]])</f>
        <v>2012</v>
      </c>
      <c r="C282" s="585">
        <v>41256</v>
      </c>
      <c r="D282" s="547" t="s">
        <v>287</v>
      </c>
      <c r="E282" s="546"/>
      <c r="F282" s="547" t="s">
        <v>7</v>
      </c>
      <c r="G282" s="31" t="s">
        <v>15</v>
      </c>
      <c r="H282" s="31" t="s">
        <v>51</v>
      </c>
      <c r="I282" s="31"/>
      <c r="J282" s="60"/>
      <c r="K282" s="60"/>
      <c r="L282" s="60">
        <v>232</v>
      </c>
      <c r="M282" s="60"/>
      <c r="N282" s="60">
        <v>232</v>
      </c>
      <c r="O282" s="60">
        <v>105</v>
      </c>
      <c r="P282" s="60">
        <v>116</v>
      </c>
      <c r="Q282" s="60"/>
      <c r="R282" s="570"/>
      <c r="S282" s="60"/>
      <c r="T282" s="143">
        <f>IF(NFI_Expiration=1,IF($A282&lt;VLOOKUP(I$5,NFI,5,0),1,0)*Data_NFI_t[[#This Row],[Hygiene Kit]],0)</f>
        <v>0</v>
      </c>
      <c r="U282" s="143">
        <f>IF(NFI_Expiration=1,IF($A282&lt;VLOOKUP(J$5,NFI,5,0),1,0)*Data_NFI_t[[#This Row],[NFI Core Kit]],0)</f>
        <v>0</v>
      </c>
      <c r="V282" s="124">
        <f>IF(NFI_Expiration=1,IF($A282&lt;VLOOKUP(K$5,NFI,5,0),1,0)*Data_NFI_t[[#This Row],[Sanitary Kit]],0)</f>
        <v>0</v>
      </c>
      <c r="W282" s="124">
        <f>IF(NFI_Expiration=1,IF($A282&lt;VLOOKUP(L$5,NFI,5,0),1,0)*Data_NFI_t[[#This Row],[Mosquito net]],0)</f>
        <v>0</v>
      </c>
      <c r="X282" s="124">
        <f>IF(NFI_Expiration=1,IF($A282&lt;VLOOKUP(M$5,NFI,5,0),1,0)*Data_NFI_t[[#This Row],[Tarpaulin]],0)</f>
        <v>0</v>
      </c>
      <c r="Y282" s="124">
        <f>IF(NFI_Expiration=1,IF($A282&lt;VLOOKUP(N$5,NFI,5,0),1,0)*Data_NFI_t[[#This Row],[Blanket]],0)</f>
        <v>0</v>
      </c>
      <c r="Z282" s="124">
        <f>IF(NFI_Expiration=1,IF($A282&lt;VLOOKUP(O$5,NFI,5,0),1,0)*Data_NFI_t[[#This Row],[Kitchen Set]],0)</f>
        <v>0</v>
      </c>
      <c r="AA282" s="124">
        <f>IF(NFI_Expiration=1,IF($A282&lt;VLOOKUP(P$5,NFI,5,0),1,0)*Data_NFI_t[[#This Row],[Complementary Kit]],0)</f>
        <v>0</v>
      </c>
      <c r="AB282" s="124">
        <f>IF(NFI_Expiration=1,IF($A282&lt;VLOOKUP(Q$5,NFI,5,0),1,0)*Data_NFI_t[[#This Row],[Plastic Bucket]],0)</f>
        <v>0</v>
      </c>
      <c r="AC282" s="124">
        <f>IF(NFI_Expiration=1,IF($A282&lt;VLOOKUP(R$5,NFI,5,0),1,0)*Data_NFI_t[[#This Row],[Jerry Can]],0)</f>
        <v>0</v>
      </c>
      <c r="AD282" s="143">
        <f>IF(NFI_Expiration=1,IF($A282&lt;VLOOKUP(S$5,NFI,5,0),1,0)*Data_NFI_t[[#This Row],[Plastic Mat]],0)*IF(Data_NFI_t[[#This Row],[Distribution Date]]&gt;"01-06-2015",1,2.5)</f>
        <v>0</v>
      </c>
      <c r="AE282" s="143" t="str">
        <f ca="1">IFERROR(OFFSET(Camp_List[P_Code],MATCH(Data_NFI_t[[#This Row],[Camp Name]],Camp_List[Camp Name],0)-1,0,1,1),"")</f>
        <v>MMR012CMP027</v>
      </c>
      <c r="AF282" s="572" t="str">
        <f ca="1">IFERROR(OFFSET(Camp_List[Status],MATCH(Data_NFI_t[[#This Row],[Camp Name]],Camp_List[Camp Name],0)-1,0,1,1),"")</f>
        <v>Returned in Individual Housing</v>
      </c>
    </row>
    <row r="283" spans="1:32" s="100" customFormat="1" ht="15" customHeight="1">
      <c r="A283" s="254">
        <f t="shared" si="4"/>
        <v>42.2</v>
      </c>
      <c r="B283" s="254">
        <f>YEAR(Data_NFI_t[[#This Row],[Distribution Date]])</f>
        <v>2012</v>
      </c>
      <c r="C283" s="585">
        <v>41256</v>
      </c>
      <c r="D283" s="547" t="s">
        <v>287</v>
      </c>
      <c r="E283" s="546"/>
      <c r="F283" s="547" t="s">
        <v>7</v>
      </c>
      <c r="G283" s="31" t="s">
        <v>15</v>
      </c>
      <c r="H283" s="31" t="s">
        <v>50</v>
      </c>
      <c r="I283" s="31"/>
      <c r="J283" s="60"/>
      <c r="K283" s="60"/>
      <c r="L283" s="60">
        <v>460</v>
      </c>
      <c r="M283" s="60"/>
      <c r="N283" s="60">
        <v>460</v>
      </c>
      <c r="O283" s="60">
        <v>145</v>
      </c>
      <c r="P283" s="60"/>
      <c r="Q283" s="60"/>
      <c r="R283" s="570"/>
      <c r="S283" s="60"/>
      <c r="T283" s="143">
        <f>IF(NFI_Expiration=1,IF($A283&lt;VLOOKUP(I$5,NFI,5,0),1,0)*Data_NFI_t[[#This Row],[Hygiene Kit]],0)</f>
        <v>0</v>
      </c>
      <c r="U283" s="143">
        <f>IF(NFI_Expiration=1,IF($A283&lt;VLOOKUP(J$5,NFI,5,0),1,0)*Data_NFI_t[[#This Row],[NFI Core Kit]],0)</f>
        <v>0</v>
      </c>
      <c r="V283" s="124">
        <f>IF(NFI_Expiration=1,IF($A283&lt;VLOOKUP(K$5,NFI,5,0),1,0)*Data_NFI_t[[#This Row],[Sanitary Kit]],0)</f>
        <v>0</v>
      </c>
      <c r="W283" s="124">
        <f>IF(NFI_Expiration=1,IF($A283&lt;VLOOKUP(L$5,NFI,5,0),1,0)*Data_NFI_t[[#This Row],[Mosquito net]],0)</f>
        <v>0</v>
      </c>
      <c r="X283" s="124">
        <f>IF(NFI_Expiration=1,IF($A283&lt;VLOOKUP(M$5,NFI,5,0),1,0)*Data_NFI_t[[#This Row],[Tarpaulin]],0)</f>
        <v>0</v>
      </c>
      <c r="Y283" s="124">
        <f>IF(NFI_Expiration=1,IF($A283&lt;VLOOKUP(N$5,NFI,5,0),1,0)*Data_NFI_t[[#This Row],[Blanket]],0)</f>
        <v>0</v>
      </c>
      <c r="Z283" s="124">
        <f>IF(NFI_Expiration=1,IF($A283&lt;VLOOKUP(O$5,NFI,5,0),1,0)*Data_NFI_t[[#This Row],[Kitchen Set]],0)</f>
        <v>0</v>
      </c>
      <c r="AA283" s="124">
        <f>IF(NFI_Expiration=1,IF($A283&lt;VLOOKUP(P$5,NFI,5,0),1,0)*Data_NFI_t[[#This Row],[Complementary Kit]],0)</f>
        <v>0</v>
      </c>
      <c r="AB283" s="124">
        <f>IF(NFI_Expiration=1,IF($A283&lt;VLOOKUP(Q$5,NFI,5,0),1,0)*Data_NFI_t[[#This Row],[Plastic Bucket]],0)</f>
        <v>0</v>
      </c>
      <c r="AC283" s="124">
        <f>IF(NFI_Expiration=1,IF($A283&lt;VLOOKUP(R$5,NFI,5,0),1,0)*Data_NFI_t[[#This Row],[Jerry Can]],0)</f>
        <v>0</v>
      </c>
      <c r="AD283" s="143">
        <f>IF(NFI_Expiration=1,IF($A283&lt;VLOOKUP(S$5,NFI,5,0),1,0)*Data_NFI_t[[#This Row],[Plastic Mat]],0)*IF(Data_NFI_t[[#This Row],[Distribution Date]]&gt;"01-06-2015",1,2.5)</f>
        <v>0</v>
      </c>
      <c r="AE283" s="143" t="str">
        <f ca="1">IFERROR(OFFSET(Camp_List[P_Code],MATCH(Data_NFI_t[[#This Row],[Camp Name]],Camp_List[Camp Name],0)-1,0,1,1),"")</f>
        <v>MMR012CMP026</v>
      </c>
      <c r="AF283" s="572" t="str">
        <f ca="1">IFERROR(OFFSET(Camp_List[Status],MATCH(Data_NFI_t[[#This Row],[Camp Name]],Camp_List[Camp Name],0)-1,0,1,1),"")</f>
        <v>Returned in Individual Housing</v>
      </c>
    </row>
    <row r="284" spans="1:32" s="100" customFormat="1" ht="15" customHeight="1">
      <c r="A284" s="254">
        <f t="shared" si="4"/>
        <v>42.2</v>
      </c>
      <c r="B284" s="254">
        <f>YEAR(Data_NFI_t[[#This Row],[Distribution Date]])</f>
        <v>2012</v>
      </c>
      <c r="C284" s="585">
        <v>41256</v>
      </c>
      <c r="D284" s="547" t="s">
        <v>287</v>
      </c>
      <c r="E284" s="546"/>
      <c r="F284" s="547" t="s">
        <v>7</v>
      </c>
      <c r="G284" s="31" t="s">
        <v>19</v>
      </c>
      <c r="H284" s="31" t="s">
        <v>64</v>
      </c>
      <c r="I284" s="31"/>
      <c r="J284" s="60"/>
      <c r="K284" s="60">
        <v>310</v>
      </c>
      <c r="L284" s="60"/>
      <c r="M284" s="60"/>
      <c r="N284" s="60"/>
      <c r="O284" s="60"/>
      <c r="P284" s="60"/>
      <c r="Q284" s="60"/>
      <c r="R284" s="570"/>
      <c r="S284" s="60"/>
      <c r="T284" s="143">
        <f>IF(NFI_Expiration=1,IF($A284&lt;VLOOKUP(I$5,NFI,5,0),1,0)*Data_NFI_t[[#This Row],[Hygiene Kit]],0)</f>
        <v>0</v>
      </c>
      <c r="U284" s="143">
        <f>IF(NFI_Expiration=1,IF($A284&lt;VLOOKUP(J$5,NFI,5,0),1,0)*Data_NFI_t[[#This Row],[NFI Core Kit]],0)</f>
        <v>0</v>
      </c>
      <c r="V284" s="124">
        <f>IF(NFI_Expiration=1,IF($A284&lt;VLOOKUP(K$5,NFI,5,0),1,0)*Data_NFI_t[[#This Row],[Sanitary Kit]],0)</f>
        <v>0</v>
      </c>
      <c r="W284" s="124">
        <f>IF(NFI_Expiration=1,IF($A284&lt;VLOOKUP(L$5,NFI,5,0),1,0)*Data_NFI_t[[#This Row],[Mosquito net]],0)</f>
        <v>0</v>
      </c>
      <c r="X284" s="124">
        <f>IF(NFI_Expiration=1,IF($A284&lt;VLOOKUP(M$5,NFI,5,0),1,0)*Data_NFI_t[[#This Row],[Tarpaulin]],0)</f>
        <v>0</v>
      </c>
      <c r="Y284" s="124">
        <f>IF(NFI_Expiration=1,IF($A284&lt;VLOOKUP(N$5,NFI,5,0),1,0)*Data_NFI_t[[#This Row],[Blanket]],0)</f>
        <v>0</v>
      </c>
      <c r="Z284" s="124">
        <f>IF(NFI_Expiration=1,IF($A284&lt;VLOOKUP(O$5,NFI,5,0),1,0)*Data_NFI_t[[#This Row],[Kitchen Set]],0)</f>
        <v>0</v>
      </c>
      <c r="AA284" s="124">
        <f>IF(NFI_Expiration=1,IF($A284&lt;VLOOKUP(P$5,NFI,5,0),1,0)*Data_NFI_t[[#This Row],[Complementary Kit]],0)</f>
        <v>0</v>
      </c>
      <c r="AB284" s="124">
        <f>IF(NFI_Expiration=1,IF($A284&lt;VLOOKUP(Q$5,NFI,5,0),1,0)*Data_NFI_t[[#This Row],[Plastic Bucket]],0)</f>
        <v>0</v>
      </c>
      <c r="AC284" s="124">
        <f>IF(NFI_Expiration=1,IF($A284&lt;VLOOKUP(R$5,NFI,5,0),1,0)*Data_NFI_t[[#This Row],[Jerry Can]],0)</f>
        <v>0</v>
      </c>
      <c r="AD284" s="143">
        <f>IF(NFI_Expiration=1,IF($A284&lt;VLOOKUP(S$5,NFI,5,0),1,0)*Data_NFI_t[[#This Row],[Plastic Mat]],0)*IF(Data_NFI_t[[#This Row],[Distribution Date]]&gt;"01-06-2015",1,2.5)</f>
        <v>0</v>
      </c>
      <c r="AE284" s="143" t="str">
        <f ca="1">IFERROR(OFFSET(Camp_List[P_Code],MATCH(Data_NFI_t[[#This Row],[Camp Name]],Camp_List[Camp Name],0)-1,0,1,1),"")</f>
        <v>MMR012CMP042</v>
      </c>
      <c r="AF284" s="572" t="str">
        <f ca="1">IFERROR(OFFSET(Camp_List[Status],MATCH(Data_NFI_t[[#This Row],[Camp Name]],Camp_List[Camp Name],0)-1,0,1,1),"")</f>
        <v>Open</v>
      </c>
    </row>
    <row r="285" spans="1:32" s="100" customFormat="1" ht="15" customHeight="1">
      <c r="A285" s="254">
        <f t="shared" si="4"/>
        <v>42.2</v>
      </c>
      <c r="B285" s="254">
        <f>YEAR(Data_NFI_t[[#This Row],[Distribution Date]])</f>
        <v>2012</v>
      </c>
      <c r="C285" s="585">
        <v>41256</v>
      </c>
      <c r="D285" s="547" t="s">
        <v>287</v>
      </c>
      <c r="E285" s="546"/>
      <c r="F285" s="547" t="s">
        <v>7</v>
      </c>
      <c r="G285" s="31" t="s">
        <v>15</v>
      </c>
      <c r="H285" s="31" t="s">
        <v>44</v>
      </c>
      <c r="I285" s="31"/>
      <c r="J285" s="60"/>
      <c r="K285" s="60"/>
      <c r="L285" s="60">
        <v>36</v>
      </c>
      <c r="M285" s="60"/>
      <c r="N285" s="60">
        <v>36</v>
      </c>
      <c r="O285" s="60">
        <v>18</v>
      </c>
      <c r="P285" s="60">
        <v>18</v>
      </c>
      <c r="Q285" s="60"/>
      <c r="R285" s="570"/>
      <c r="S285" s="60"/>
      <c r="T285" s="143">
        <f>IF(NFI_Expiration=1,IF($A285&lt;VLOOKUP(I$5,NFI,5,0),1,0)*Data_NFI_t[[#This Row],[Hygiene Kit]],0)</f>
        <v>0</v>
      </c>
      <c r="U285" s="143">
        <f>IF(NFI_Expiration=1,IF($A285&lt;VLOOKUP(J$5,NFI,5,0),1,0)*Data_NFI_t[[#This Row],[NFI Core Kit]],0)</f>
        <v>0</v>
      </c>
      <c r="V285" s="124">
        <f>IF(NFI_Expiration=1,IF($A285&lt;VLOOKUP(K$5,NFI,5,0),1,0)*Data_NFI_t[[#This Row],[Sanitary Kit]],0)</f>
        <v>0</v>
      </c>
      <c r="W285" s="124">
        <f>IF(NFI_Expiration=1,IF($A285&lt;VLOOKUP(L$5,NFI,5,0),1,0)*Data_NFI_t[[#This Row],[Mosquito net]],0)</f>
        <v>0</v>
      </c>
      <c r="X285" s="124">
        <f>IF(NFI_Expiration=1,IF($A285&lt;VLOOKUP(M$5,NFI,5,0),1,0)*Data_NFI_t[[#This Row],[Tarpaulin]],0)</f>
        <v>0</v>
      </c>
      <c r="Y285" s="124">
        <f>IF(NFI_Expiration=1,IF($A285&lt;VLOOKUP(N$5,NFI,5,0),1,0)*Data_NFI_t[[#This Row],[Blanket]],0)</f>
        <v>0</v>
      </c>
      <c r="Z285" s="124">
        <f>IF(NFI_Expiration=1,IF($A285&lt;VLOOKUP(O$5,NFI,5,0),1,0)*Data_NFI_t[[#This Row],[Kitchen Set]],0)</f>
        <v>0</v>
      </c>
      <c r="AA285" s="124">
        <f>IF(NFI_Expiration=1,IF($A285&lt;VLOOKUP(P$5,NFI,5,0),1,0)*Data_NFI_t[[#This Row],[Complementary Kit]],0)</f>
        <v>0</v>
      </c>
      <c r="AB285" s="124">
        <f>IF(NFI_Expiration=1,IF($A285&lt;VLOOKUP(Q$5,NFI,5,0),1,0)*Data_NFI_t[[#This Row],[Plastic Bucket]],0)</f>
        <v>0</v>
      </c>
      <c r="AC285" s="124">
        <f>IF(NFI_Expiration=1,IF($A285&lt;VLOOKUP(R$5,NFI,5,0),1,0)*Data_NFI_t[[#This Row],[Jerry Can]],0)</f>
        <v>0</v>
      </c>
      <c r="AD285" s="143">
        <f>IF(NFI_Expiration=1,IF($A285&lt;VLOOKUP(S$5,NFI,5,0),1,0)*Data_NFI_t[[#This Row],[Plastic Mat]],0)*IF(Data_NFI_t[[#This Row],[Distribution Date]]&gt;"01-06-2015",1,2.5)</f>
        <v>0</v>
      </c>
      <c r="AE285" s="143" t="str">
        <f ca="1">IFERROR(OFFSET(Camp_List[P_Code],MATCH(Data_NFI_t[[#This Row],[Camp Name]],Camp_List[Camp Name],0)-1,0,1,1),"")</f>
        <v>MMR012CMP020</v>
      </c>
      <c r="AF285" s="572" t="str">
        <f ca="1">IFERROR(OFFSET(Camp_List[Status],MATCH(Data_NFI_t[[#This Row],[Camp Name]],Camp_List[Camp Name],0)-1,0,1,1),"")</f>
        <v>Returned in Individual Housing</v>
      </c>
    </row>
    <row r="286" spans="1:32" s="100" customFormat="1" ht="15" customHeight="1">
      <c r="A286" s="254">
        <f t="shared" si="4"/>
        <v>42.2</v>
      </c>
      <c r="B286" s="254">
        <f>YEAR(Data_NFI_t[[#This Row],[Distribution Date]])</f>
        <v>2012</v>
      </c>
      <c r="C286" s="585">
        <v>41256</v>
      </c>
      <c r="D286" s="547" t="s">
        <v>287</v>
      </c>
      <c r="E286" s="546"/>
      <c r="F286" s="547" t="s">
        <v>7</v>
      </c>
      <c r="G286" s="31" t="s">
        <v>19</v>
      </c>
      <c r="H286" s="31" t="s">
        <v>65</v>
      </c>
      <c r="I286" s="31"/>
      <c r="J286" s="60"/>
      <c r="K286" s="60">
        <v>65</v>
      </c>
      <c r="L286" s="60"/>
      <c r="M286" s="60"/>
      <c r="N286" s="60"/>
      <c r="O286" s="60"/>
      <c r="P286" s="60"/>
      <c r="Q286" s="60"/>
      <c r="R286" s="570"/>
      <c r="S286" s="60"/>
      <c r="T286" s="143">
        <f>IF(NFI_Expiration=1,IF($A286&lt;VLOOKUP(I$5,NFI,5,0),1,0)*Data_NFI_t[[#This Row],[Hygiene Kit]],0)</f>
        <v>0</v>
      </c>
      <c r="U286" s="143">
        <f>IF(NFI_Expiration=1,IF($A286&lt;VLOOKUP(J$5,NFI,5,0),1,0)*Data_NFI_t[[#This Row],[NFI Core Kit]],0)</f>
        <v>0</v>
      </c>
      <c r="V286" s="124">
        <f>IF(NFI_Expiration=1,IF($A286&lt;VLOOKUP(K$5,NFI,5,0),1,0)*Data_NFI_t[[#This Row],[Sanitary Kit]],0)</f>
        <v>0</v>
      </c>
      <c r="W286" s="124">
        <f>IF(NFI_Expiration=1,IF($A286&lt;VLOOKUP(L$5,NFI,5,0),1,0)*Data_NFI_t[[#This Row],[Mosquito net]],0)</f>
        <v>0</v>
      </c>
      <c r="X286" s="124">
        <f>IF(NFI_Expiration=1,IF($A286&lt;VLOOKUP(M$5,NFI,5,0),1,0)*Data_NFI_t[[#This Row],[Tarpaulin]],0)</f>
        <v>0</v>
      </c>
      <c r="Y286" s="124">
        <f>IF(NFI_Expiration=1,IF($A286&lt;VLOOKUP(N$5,NFI,5,0),1,0)*Data_NFI_t[[#This Row],[Blanket]],0)</f>
        <v>0</v>
      </c>
      <c r="Z286" s="124">
        <f>IF(NFI_Expiration=1,IF($A286&lt;VLOOKUP(O$5,NFI,5,0),1,0)*Data_NFI_t[[#This Row],[Kitchen Set]],0)</f>
        <v>0</v>
      </c>
      <c r="AA286" s="124">
        <f>IF(NFI_Expiration=1,IF($A286&lt;VLOOKUP(P$5,NFI,5,0),1,0)*Data_NFI_t[[#This Row],[Complementary Kit]],0)</f>
        <v>0</v>
      </c>
      <c r="AB286" s="124">
        <f>IF(NFI_Expiration=1,IF($A286&lt;VLOOKUP(Q$5,NFI,5,0),1,0)*Data_NFI_t[[#This Row],[Plastic Bucket]],0)</f>
        <v>0</v>
      </c>
      <c r="AC286" s="124">
        <f>IF(NFI_Expiration=1,IF($A286&lt;VLOOKUP(R$5,NFI,5,0),1,0)*Data_NFI_t[[#This Row],[Jerry Can]],0)</f>
        <v>0</v>
      </c>
      <c r="AD286" s="143">
        <f>IF(NFI_Expiration=1,IF($A286&lt;VLOOKUP(S$5,NFI,5,0),1,0)*Data_NFI_t[[#This Row],[Plastic Mat]],0)*IF(Data_NFI_t[[#This Row],[Distribution Date]]&gt;"01-06-2015",1,2.5)</f>
        <v>0</v>
      </c>
      <c r="AE286" s="143" t="str">
        <f ca="1">IFERROR(OFFSET(Camp_List[P_Code],MATCH(Data_NFI_t[[#This Row],[Camp Name]],Camp_List[Camp Name],0)-1,0,1,1),"")</f>
        <v>MMR012CMP043</v>
      </c>
      <c r="AF286" s="572" t="str">
        <f ca="1">IFERROR(OFFSET(Camp_List[Status],MATCH(Data_NFI_t[[#This Row],[Camp Name]],Camp_List[Camp Name],0)-1,0,1,1),"")</f>
        <v>Close</v>
      </c>
    </row>
    <row r="287" spans="1:32" s="100" customFormat="1" ht="15" customHeight="1">
      <c r="A287" s="254">
        <f t="shared" si="4"/>
        <v>42.2</v>
      </c>
      <c r="B287" s="254">
        <f>YEAR(Data_NFI_t[[#This Row],[Distribution Date]])</f>
        <v>2012</v>
      </c>
      <c r="C287" s="585">
        <v>41256</v>
      </c>
      <c r="D287" s="547" t="s">
        <v>287</v>
      </c>
      <c r="E287" s="546"/>
      <c r="F287" s="547" t="s">
        <v>7</v>
      </c>
      <c r="G287" s="31" t="s">
        <v>11</v>
      </c>
      <c r="H287" s="31" t="s">
        <v>25</v>
      </c>
      <c r="I287" s="31"/>
      <c r="J287" s="60"/>
      <c r="K287" s="60"/>
      <c r="L287" s="60">
        <v>38</v>
      </c>
      <c r="M287" s="60"/>
      <c r="N287" s="60">
        <v>38</v>
      </c>
      <c r="O287" s="60">
        <v>19</v>
      </c>
      <c r="P287" s="60"/>
      <c r="Q287" s="60"/>
      <c r="R287" s="570"/>
      <c r="S287" s="60"/>
      <c r="T287" s="143">
        <f>IF(NFI_Expiration=1,IF($A287&lt;VLOOKUP(I$5,NFI,5,0),1,0)*Data_NFI_t[[#This Row],[Hygiene Kit]],0)</f>
        <v>0</v>
      </c>
      <c r="U287" s="143">
        <f>IF(NFI_Expiration=1,IF($A287&lt;VLOOKUP(J$5,NFI,5,0),1,0)*Data_NFI_t[[#This Row],[NFI Core Kit]],0)</f>
        <v>0</v>
      </c>
      <c r="V287" s="124">
        <f>IF(NFI_Expiration=1,IF($A287&lt;VLOOKUP(K$5,NFI,5,0),1,0)*Data_NFI_t[[#This Row],[Sanitary Kit]],0)</f>
        <v>0</v>
      </c>
      <c r="W287" s="124">
        <f>IF(NFI_Expiration=1,IF($A287&lt;VLOOKUP(L$5,NFI,5,0),1,0)*Data_NFI_t[[#This Row],[Mosquito net]],0)</f>
        <v>0</v>
      </c>
      <c r="X287" s="124">
        <f>IF(NFI_Expiration=1,IF($A287&lt;VLOOKUP(M$5,NFI,5,0),1,0)*Data_NFI_t[[#This Row],[Tarpaulin]],0)</f>
        <v>0</v>
      </c>
      <c r="Y287" s="124">
        <f>IF(NFI_Expiration=1,IF($A287&lt;VLOOKUP(N$5,NFI,5,0),1,0)*Data_NFI_t[[#This Row],[Blanket]],0)</f>
        <v>0</v>
      </c>
      <c r="Z287" s="124">
        <f>IF(NFI_Expiration=1,IF($A287&lt;VLOOKUP(O$5,NFI,5,0),1,0)*Data_NFI_t[[#This Row],[Kitchen Set]],0)</f>
        <v>0</v>
      </c>
      <c r="AA287" s="124">
        <f>IF(NFI_Expiration=1,IF($A287&lt;VLOOKUP(P$5,NFI,5,0),1,0)*Data_NFI_t[[#This Row],[Complementary Kit]],0)</f>
        <v>0</v>
      </c>
      <c r="AB287" s="124">
        <f>IF(NFI_Expiration=1,IF($A287&lt;VLOOKUP(Q$5,NFI,5,0),1,0)*Data_NFI_t[[#This Row],[Plastic Bucket]],0)</f>
        <v>0</v>
      </c>
      <c r="AC287" s="124">
        <f>IF(NFI_Expiration=1,IF($A287&lt;VLOOKUP(R$5,NFI,5,0),1,0)*Data_NFI_t[[#This Row],[Jerry Can]],0)</f>
        <v>0</v>
      </c>
      <c r="AD287" s="143">
        <f>IF(NFI_Expiration=1,IF($A287&lt;VLOOKUP(S$5,NFI,5,0),1,0)*Data_NFI_t[[#This Row],[Plastic Mat]],0)*IF(Data_NFI_t[[#This Row],[Distribution Date]]&gt;"01-06-2015",1,2.5)</f>
        <v>0</v>
      </c>
      <c r="AE287" s="143" t="str">
        <f ca="1">IFERROR(OFFSET(Camp_List[P_Code],MATCH(Data_NFI_t[[#This Row],[Camp Name]],Camp_List[Camp Name],0)-1,0,1,1),"")</f>
        <v>MMR012CMP001</v>
      </c>
      <c r="AF287" s="572" t="str">
        <f ca="1">IFERROR(OFFSET(Camp_List[Status],MATCH(Data_NFI_t[[#This Row],[Camp Name]],Camp_List[Camp Name],0)-1,0,1,1),"")</f>
        <v>Returned in Individual Housing</v>
      </c>
    </row>
    <row r="288" spans="1:32" s="100" customFormat="1" ht="15" customHeight="1">
      <c r="A288" s="254">
        <f t="shared" si="4"/>
        <v>42.2</v>
      </c>
      <c r="B288" s="254">
        <f>YEAR(Data_NFI_t[[#This Row],[Distribution Date]])</f>
        <v>2012</v>
      </c>
      <c r="C288" s="585">
        <v>41256</v>
      </c>
      <c r="D288" s="547" t="s">
        <v>287</v>
      </c>
      <c r="E288" s="546"/>
      <c r="F288" s="547" t="s">
        <v>7</v>
      </c>
      <c r="G288" s="31" t="s">
        <v>19</v>
      </c>
      <c r="H288" s="31" t="s">
        <v>66</v>
      </c>
      <c r="I288" s="31"/>
      <c r="J288" s="60"/>
      <c r="K288" s="60">
        <v>374</v>
      </c>
      <c r="L288" s="60"/>
      <c r="M288" s="60"/>
      <c r="N288" s="60"/>
      <c r="O288" s="60"/>
      <c r="P288" s="60"/>
      <c r="Q288" s="60"/>
      <c r="R288" s="570"/>
      <c r="S288" s="60"/>
      <c r="T288" s="143">
        <f>IF(NFI_Expiration=1,IF($A288&lt;VLOOKUP(I$5,NFI,5,0),1,0)*Data_NFI_t[[#This Row],[Hygiene Kit]],0)</f>
        <v>0</v>
      </c>
      <c r="U288" s="143">
        <f>IF(NFI_Expiration=1,IF($A288&lt;VLOOKUP(J$5,NFI,5,0),1,0)*Data_NFI_t[[#This Row],[NFI Core Kit]],0)</f>
        <v>0</v>
      </c>
      <c r="V288" s="124">
        <f>IF(NFI_Expiration=1,IF($A288&lt;VLOOKUP(K$5,NFI,5,0),1,0)*Data_NFI_t[[#This Row],[Sanitary Kit]],0)</f>
        <v>0</v>
      </c>
      <c r="W288" s="124">
        <f>IF(NFI_Expiration=1,IF($A288&lt;VLOOKUP(L$5,NFI,5,0),1,0)*Data_NFI_t[[#This Row],[Mosquito net]],0)</f>
        <v>0</v>
      </c>
      <c r="X288" s="124">
        <f>IF(NFI_Expiration=1,IF($A288&lt;VLOOKUP(M$5,NFI,5,0),1,0)*Data_NFI_t[[#This Row],[Tarpaulin]],0)</f>
        <v>0</v>
      </c>
      <c r="Y288" s="124">
        <f>IF(NFI_Expiration=1,IF($A288&lt;VLOOKUP(N$5,NFI,5,0),1,0)*Data_NFI_t[[#This Row],[Blanket]],0)</f>
        <v>0</v>
      </c>
      <c r="Z288" s="124">
        <f>IF(NFI_Expiration=1,IF($A288&lt;VLOOKUP(O$5,NFI,5,0),1,0)*Data_NFI_t[[#This Row],[Kitchen Set]],0)</f>
        <v>0</v>
      </c>
      <c r="AA288" s="124">
        <f>IF(NFI_Expiration=1,IF($A288&lt;VLOOKUP(P$5,NFI,5,0),1,0)*Data_NFI_t[[#This Row],[Complementary Kit]],0)</f>
        <v>0</v>
      </c>
      <c r="AB288" s="124">
        <f>IF(NFI_Expiration=1,IF($A288&lt;VLOOKUP(Q$5,NFI,5,0),1,0)*Data_NFI_t[[#This Row],[Plastic Bucket]],0)</f>
        <v>0</v>
      </c>
      <c r="AC288" s="124">
        <f>IF(NFI_Expiration=1,IF($A288&lt;VLOOKUP(R$5,NFI,5,0),1,0)*Data_NFI_t[[#This Row],[Jerry Can]],0)</f>
        <v>0</v>
      </c>
      <c r="AD288" s="143">
        <f>IF(NFI_Expiration=1,IF($A288&lt;VLOOKUP(S$5,NFI,5,0),1,0)*Data_NFI_t[[#This Row],[Plastic Mat]],0)*IF(Data_NFI_t[[#This Row],[Distribution Date]]&gt;"01-06-2015",1,2.5)</f>
        <v>0</v>
      </c>
      <c r="AE288" s="143" t="str">
        <f ca="1">IFERROR(OFFSET(Camp_List[P_Code],MATCH(Data_NFI_t[[#This Row],[Camp Name]],Camp_List[Camp Name],0)-1,0,1,1),"")</f>
        <v>MMR012CMP044</v>
      </c>
      <c r="AF288" s="572" t="str">
        <f ca="1">IFERROR(OFFSET(Camp_List[Status],MATCH(Data_NFI_t[[#This Row],[Camp Name]],Camp_List[Camp Name],0)-1,0,1,1),"")</f>
        <v>Close</v>
      </c>
    </row>
    <row r="289" spans="1:32" s="100" customFormat="1" ht="15" customHeight="1">
      <c r="A289" s="254">
        <f t="shared" si="4"/>
        <v>42.2</v>
      </c>
      <c r="B289" s="254">
        <f>YEAR(Data_NFI_t[[#This Row],[Distribution Date]])</f>
        <v>2012</v>
      </c>
      <c r="C289" s="585">
        <v>41256</v>
      </c>
      <c r="D289" s="547" t="s">
        <v>287</v>
      </c>
      <c r="E289" s="546"/>
      <c r="F289" s="547" t="s">
        <v>7</v>
      </c>
      <c r="G289" s="31" t="s">
        <v>19</v>
      </c>
      <c r="H289" s="31" t="s">
        <v>67</v>
      </c>
      <c r="I289" s="31"/>
      <c r="J289" s="60"/>
      <c r="K289" s="60">
        <v>1460</v>
      </c>
      <c r="L289" s="60"/>
      <c r="M289" s="60"/>
      <c r="N289" s="60"/>
      <c r="O289" s="60"/>
      <c r="P289" s="60"/>
      <c r="Q289" s="60"/>
      <c r="R289" s="570"/>
      <c r="S289" s="60"/>
      <c r="T289" s="143">
        <f>IF(NFI_Expiration=1,IF($A289&lt;VLOOKUP(I$5,NFI,5,0),1,0)*Data_NFI_t[[#This Row],[Hygiene Kit]],0)</f>
        <v>0</v>
      </c>
      <c r="U289" s="143">
        <f>IF(NFI_Expiration=1,IF($A289&lt;VLOOKUP(J$5,NFI,5,0),1,0)*Data_NFI_t[[#This Row],[NFI Core Kit]],0)</f>
        <v>0</v>
      </c>
      <c r="V289" s="124">
        <f>IF(NFI_Expiration=1,IF($A289&lt;VLOOKUP(K$5,NFI,5,0),1,0)*Data_NFI_t[[#This Row],[Sanitary Kit]],0)</f>
        <v>0</v>
      </c>
      <c r="W289" s="124">
        <f>IF(NFI_Expiration=1,IF($A289&lt;VLOOKUP(L$5,NFI,5,0),1,0)*Data_NFI_t[[#This Row],[Mosquito net]],0)</f>
        <v>0</v>
      </c>
      <c r="X289" s="124">
        <f>IF(NFI_Expiration=1,IF($A289&lt;VLOOKUP(M$5,NFI,5,0),1,0)*Data_NFI_t[[#This Row],[Tarpaulin]],0)</f>
        <v>0</v>
      </c>
      <c r="Y289" s="124">
        <f>IF(NFI_Expiration=1,IF($A289&lt;VLOOKUP(N$5,NFI,5,0),1,0)*Data_NFI_t[[#This Row],[Blanket]],0)</f>
        <v>0</v>
      </c>
      <c r="Z289" s="124">
        <f>IF(NFI_Expiration=1,IF($A289&lt;VLOOKUP(O$5,NFI,5,0),1,0)*Data_NFI_t[[#This Row],[Kitchen Set]],0)</f>
        <v>0</v>
      </c>
      <c r="AA289" s="124">
        <f>IF(NFI_Expiration=1,IF($A289&lt;VLOOKUP(P$5,NFI,5,0),1,0)*Data_NFI_t[[#This Row],[Complementary Kit]],0)</f>
        <v>0</v>
      </c>
      <c r="AB289" s="124">
        <f>IF(NFI_Expiration=1,IF($A289&lt;VLOOKUP(Q$5,NFI,5,0),1,0)*Data_NFI_t[[#This Row],[Plastic Bucket]],0)</f>
        <v>0</v>
      </c>
      <c r="AC289" s="124">
        <f>IF(NFI_Expiration=1,IF($A289&lt;VLOOKUP(R$5,NFI,5,0),1,0)*Data_NFI_t[[#This Row],[Jerry Can]],0)</f>
        <v>0</v>
      </c>
      <c r="AD289" s="143">
        <f>IF(NFI_Expiration=1,IF($A289&lt;VLOOKUP(S$5,NFI,5,0),1,0)*Data_NFI_t[[#This Row],[Plastic Mat]],0)*IF(Data_NFI_t[[#This Row],[Distribution Date]]&gt;"01-06-2015",1,2.5)</f>
        <v>0</v>
      </c>
      <c r="AE289" s="143" t="str">
        <f ca="1">IFERROR(OFFSET(Camp_List[P_Code],MATCH(Data_NFI_t[[#This Row],[Camp Name]],Camp_List[Camp Name],0)-1,0,1,1),"")</f>
        <v>MMR012CMP045</v>
      </c>
      <c r="AF289" s="572" t="str">
        <f ca="1">IFERROR(OFFSET(Camp_List[Status],MATCH(Data_NFI_t[[#This Row],[Camp Name]],Camp_List[Camp Name],0)-1,0,1,1),"")</f>
        <v>Open</v>
      </c>
    </row>
    <row r="290" spans="1:32" s="100" customFormat="1" ht="15" customHeight="1">
      <c r="A290" s="254">
        <f t="shared" si="4"/>
        <v>42.2</v>
      </c>
      <c r="B290" s="254">
        <f>YEAR(Data_NFI_t[[#This Row],[Distribution Date]])</f>
        <v>2012</v>
      </c>
      <c r="C290" s="585">
        <v>41256</v>
      </c>
      <c r="D290" s="547" t="s">
        <v>287</v>
      </c>
      <c r="E290" s="546"/>
      <c r="F290" s="547" t="s">
        <v>7</v>
      </c>
      <c r="G290" s="31" t="s">
        <v>15</v>
      </c>
      <c r="H290" s="31" t="s">
        <v>53</v>
      </c>
      <c r="I290" s="31"/>
      <c r="J290" s="60"/>
      <c r="K290" s="60"/>
      <c r="L290" s="60">
        <v>290</v>
      </c>
      <c r="M290" s="60"/>
      <c r="N290" s="60"/>
      <c r="O290" s="60"/>
      <c r="P290" s="60"/>
      <c r="Q290" s="60"/>
      <c r="R290" s="570"/>
      <c r="S290" s="60"/>
      <c r="T290" s="143">
        <f>IF(NFI_Expiration=1,IF($A290&lt;VLOOKUP(I$5,NFI,5,0),1,0)*Data_NFI_t[[#This Row],[Hygiene Kit]],0)</f>
        <v>0</v>
      </c>
      <c r="U290" s="143">
        <f>IF(NFI_Expiration=1,IF($A290&lt;VLOOKUP(J$5,NFI,5,0),1,0)*Data_NFI_t[[#This Row],[NFI Core Kit]],0)</f>
        <v>0</v>
      </c>
      <c r="V290" s="124">
        <f>IF(NFI_Expiration=1,IF($A290&lt;VLOOKUP(K$5,NFI,5,0),1,0)*Data_NFI_t[[#This Row],[Sanitary Kit]],0)</f>
        <v>0</v>
      </c>
      <c r="W290" s="124">
        <f>IF(NFI_Expiration=1,IF($A290&lt;VLOOKUP(L$5,NFI,5,0),1,0)*Data_NFI_t[[#This Row],[Mosquito net]],0)</f>
        <v>0</v>
      </c>
      <c r="X290" s="124">
        <f>IF(NFI_Expiration=1,IF($A290&lt;VLOOKUP(M$5,NFI,5,0),1,0)*Data_NFI_t[[#This Row],[Tarpaulin]],0)</f>
        <v>0</v>
      </c>
      <c r="Y290" s="124">
        <f>IF(NFI_Expiration=1,IF($A290&lt;VLOOKUP(N$5,NFI,5,0),1,0)*Data_NFI_t[[#This Row],[Blanket]],0)</f>
        <v>0</v>
      </c>
      <c r="Z290" s="124">
        <f>IF(NFI_Expiration=1,IF($A290&lt;VLOOKUP(O$5,NFI,5,0),1,0)*Data_NFI_t[[#This Row],[Kitchen Set]],0)</f>
        <v>0</v>
      </c>
      <c r="AA290" s="124">
        <f>IF(NFI_Expiration=1,IF($A290&lt;VLOOKUP(P$5,NFI,5,0),1,0)*Data_NFI_t[[#This Row],[Complementary Kit]],0)</f>
        <v>0</v>
      </c>
      <c r="AB290" s="124">
        <f>IF(NFI_Expiration=1,IF($A290&lt;VLOOKUP(Q$5,NFI,5,0),1,0)*Data_NFI_t[[#This Row],[Plastic Bucket]],0)</f>
        <v>0</v>
      </c>
      <c r="AC290" s="124">
        <f>IF(NFI_Expiration=1,IF($A290&lt;VLOOKUP(R$5,NFI,5,0),1,0)*Data_NFI_t[[#This Row],[Jerry Can]],0)</f>
        <v>0</v>
      </c>
      <c r="AD290" s="143">
        <f>IF(NFI_Expiration=1,IF($A290&lt;VLOOKUP(S$5,NFI,5,0),1,0)*Data_NFI_t[[#This Row],[Plastic Mat]],0)*IF(Data_NFI_t[[#This Row],[Distribution Date]]&gt;"01-06-2015",1,2.5)</f>
        <v>0</v>
      </c>
      <c r="AE290" s="143" t="str">
        <f ca="1">IFERROR(OFFSET(Camp_List[P_Code],MATCH(Data_NFI_t[[#This Row],[Camp Name]],Camp_List[Camp Name],0)-1,0,1,1),"")</f>
        <v>MMR012CMP029</v>
      </c>
      <c r="AF290" s="572" t="str">
        <f ca="1">IFERROR(OFFSET(Camp_List[Status],MATCH(Data_NFI_t[[#This Row],[Camp Name]],Camp_List[Camp Name],0)-1,0,1,1),"")</f>
        <v>Returned in Individual Housing</v>
      </c>
    </row>
    <row r="291" spans="1:32" s="100" customFormat="1" ht="15" customHeight="1">
      <c r="A291" s="254">
        <f t="shared" si="4"/>
        <v>42.2</v>
      </c>
      <c r="B291" s="254">
        <f>YEAR(Data_NFI_t[[#This Row],[Distribution Date]])</f>
        <v>2012</v>
      </c>
      <c r="C291" s="585">
        <v>41256</v>
      </c>
      <c r="D291" s="547" t="s">
        <v>287</v>
      </c>
      <c r="E291" s="546"/>
      <c r="F291" s="547" t="s">
        <v>7</v>
      </c>
      <c r="G291" s="31" t="s">
        <v>15</v>
      </c>
      <c r="H291" s="31" t="s">
        <v>45</v>
      </c>
      <c r="I291" s="31"/>
      <c r="J291" s="60"/>
      <c r="K291" s="60"/>
      <c r="L291" s="60"/>
      <c r="M291" s="60"/>
      <c r="N291" s="60"/>
      <c r="O291" s="60">
        <v>87</v>
      </c>
      <c r="P291" s="60"/>
      <c r="Q291" s="60"/>
      <c r="R291" s="570"/>
      <c r="S291" s="60"/>
      <c r="T291" s="143">
        <f>IF(NFI_Expiration=1,IF($A291&lt;VLOOKUP(I$5,NFI,5,0),1,0)*Data_NFI_t[[#This Row],[Hygiene Kit]],0)</f>
        <v>0</v>
      </c>
      <c r="U291" s="143">
        <f>IF(NFI_Expiration=1,IF($A291&lt;VLOOKUP(J$5,NFI,5,0),1,0)*Data_NFI_t[[#This Row],[NFI Core Kit]],0)</f>
        <v>0</v>
      </c>
      <c r="V291" s="124">
        <f>IF(NFI_Expiration=1,IF($A291&lt;VLOOKUP(K$5,NFI,5,0),1,0)*Data_NFI_t[[#This Row],[Sanitary Kit]],0)</f>
        <v>0</v>
      </c>
      <c r="W291" s="124">
        <f>IF(NFI_Expiration=1,IF($A291&lt;VLOOKUP(L$5,NFI,5,0),1,0)*Data_NFI_t[[#This Row],[Mosquito net]],0)</f>
        <v>0</v>
      </c>
      <c r="X291" s="124">
        <f>IF(NFI_Expiration=1,IF($A291&lt;VLOOKUP(M$5,NFI,5,0),1,0)*Data_NFI_t[[#This Row],[Tarpaulin]],0)</f>
        <v>0</v>
      </c>
      <c r="Y291" s="124">
        <f>IF(NFI_Expiration=1,IF($A291&lt;VLOOKUP(N$5,NFI,5,0),1,0)*Data_NFI_t[[#This Row],[Blanket]],0)</f>
        <v>0</v>
      </c>
      <c r="Z291" s="124">
        <f>IF(NFI_Expiration=1,IF($A291&lt;VLOOKUP(O$5,NFI,5,0),1,0)*Data_NFI_t[[#This Row],[Kitchen Set]],0)</f>
        <v>0</v>
      </c>
      <c r="AA291" s="124">
        <f>IF(NFI_Expiration=1,IF($A291&lt;VLOOKUP(P$5,NFI,5,0),1,0)*Data_NFI_t[[#This Row],[Complementary Kit]],0)</f>
        <v>0</v>
      </c>
      <c r="AB291" s="124">
        <f>IF(NFI_Expiration=1,IF($A291&lt;VLOOKUP(Q$5,NFI,5,0),1,0)*Data_NFI_t[[#This Row],[Plastic Bucket]],0)</f>
        <v>0</v>
      </c>
      <c r="AC291" s="124">
        <f>IF(NFI_Expiration=1,IF($A291&lt;VLOOKUP(R$5,NFI,5,0),1,0)*Data_NFI_t[[#This Row],[Jerry Can]],0)</f>
        <v>0</v>
      </c>
      <c r="AD291" s="143">
        <f>IF(NFI_Expiration=1,IF($A291&lt;VLOOKUP(S$5,NFI,5,0),1,0)*Data_NFI_t[[#This Row],[Plastic Mat]],0)*IF(Data_NFI_t[[#This Row],[Distribution Date]]&gt;"01-06-2015",1,2.5)</f>
        <v>0</v>
      </c>
      <c r="AE291" s="143" t="str">
        <f ca="1">IFERROR(OFFSET(Camp_List[P_Code],MATCH(Data_NFI_t[[#This Row],[Camp Name]],Camp_List[Camp Name],0)-1,0,1,1),"")</f>
        <v>MMR012CMP021</v>
      </c>
      <c r="AF291" s="572" t="str">
        <f ca="1">IFERROR(OFFSET(Camp_List[Status],MATCH(Data_NFI_t[[#This Row],[Camp Name]],Camp_List[Camp Name],0)-1,0,1,1),"")</f>
        <v>Returned in Individual Housing</v>
      </c>
    </row>
    <row r="292" spans="1:32" s="100" customFormat="1" ht="15" customHeight="1">
      <c r="A292" s="254">
        <f t="shared" si="4"/>
        <v>42.2</v>
      </c>
      <c r="B292" s="254">
        <f>YEAR(Data_NFI_t[[#This Row],[Distribution Date]])</f>
        <v>2012</v>
      </c>
      <c r="C292" s="585">
        <v>41256</v>
      </c>
      <c r="D292" s="547" t="s">
        <v>287</v>
      </c>
      <c r="E292" s="546"/>
      <c r="F292" s="547" t="s">
        <v>7</v>
      </c>
      <c r="G292" s="31" t="s">
        <v>11</v>
      </c>
      <c r="H292" s="31" t="s">
        <v>26</v>
      </c>
      <c r="I292" s="31"/>
      <c r="J292" s="60"/>
      <c r="K292" s="60"/>
      <c r="L292" s="60"/>
      <c r="M292" s="60"/>
      <c r="N292" s="60"/>
      <c r="O292" s="60">
        <v>203</v>
      </c>
      <c r="P292" s="60"/>
      <c r="Q292" s="60"/>
      <c r="R292" s="570"/>
      <c r="S292" s="60"/>
      <c r="T292" s="143">
        <f>IF(NFI_Expiration=1,IF($A292&lt;VLOOKUP(I$5,NFI,5,0),1,0)*Data_NFI_t[[#This Row],[Hygiene Kit]],0)</f>
        <v>0</v>
      </c>
      <c r="U292" s="143">
        <f>IF(NFI_Expiration=1,IF($A292&lt;VLOOKUP(J$5,NFI,5,0),1,0)*Data_NFI_t[[#This Row],[NFI Core Kit]],0)</f>
        <v>0</v>
      </c>
      <c r="V292" s="124">
        <f>IF(NFI_Expiration=1,IF($A292&lt;VLOOKUP(K$5,NFI,5,0),1,0)*Data_NFI_t[[#This Row],[Sanitary Kit]],0)</f>
        <v>0</v>
      </c>
      <c r="W292" s="124">
        <f>IF(NFI_Expiration=1,IF($A292&lt;VLOOKUP(L$5,NFI,5,0),1,0)*Data_NFI_t[[#This Row],[Mosquito net]],0)</f>
        <v>0</v>
      </c>
      <c r="X292" s="124">
        <f>IF(NFI_Expiration=1,IF($A292&lt;VLOOKUP(M$5,NFI,5,0),1,0)*Data_NFI_t[[#This Row],[Tarpaulin]],0)</f>
        <v>0</v>
      </c>
      <c r="Y292" s="124">
        <f>IF(NFI_Expiration=1,IF($A292&lt;VLOOKUP(N$5,NFI,5,0),1,0)*Data_NFI_t[[#This Row],[Blanket]],0)</f>
        <v>0</v>
      </c>
      <c r="Z292" s="124">
        <f>IF(NFI_Expiration=1,IF($A292&lt;VLOOKUP(O$5,NFI,5,0),1,0)*Data_NFI_t[[#This Row],[Kitchen Set]],0)</f>
        <v>0</v>
      </c>
      <c r="AA292" s="124">
        <f>IF(NFI_Expiration=1,IF($A292&lt;VLOOKUP(P$5,NFI,5,0),1,0)*Data_NFI_t[[#This Row],[Complementary Kit]],0)</f>
        <v>0</v>
      </c>
      <c r="AB292" s="124">
        <f>IF(NFI_Expiration=1,IF($A292&lt;VLOOKUP(Q$5,NFI,5,0),1,0)*Data_NFI_t[[#This Row],[Plastic Bucket]],0)</f>
        <v>0</v>
      </c>
      <c r="AC292" s="124">
        <f>IF(NFI_Expiration=1,IF($A292&lt;VLOOKUP(R$5,NFI,5,0),1,0)*Data_NFI_t[[#This Row],[Jerry Can]],0)</f>
        <v>0</v>
      </c>
      <c r="AD292" s="143">
        <f>IF(NFI_Expiration=1,IF($A292&lt;VLOOKUP(S$5,NFI,5,0),1,0)*Data_NFI_t[[#This Row],[Plastic Mat]],0)*IF(Data_NFI_t[[#This Row],[Distribution Date]]&gt;"01-06-2015",1,2.5)</f>
        <v>0</v>
      </c>
      <c r="AE292" s="143" t="str">
        <f ca="1">IFERROR(OFFSET(Camp_List[P_Code],MATCH(Data_NFI_t[[#This Row],[Camp Name]],Camp_List[Camp Name],0)-1,0,1,1),"")</f>
        <v>MMR012CMP002</v>
      </c>
      <c r="AF292" s="572" t="str">
        <f ca="1">IFERROR(OFFSET(Camp_List[Status],MATCH(Data_NFI_t[[#This Row],[Camp Name]],Camp_List[Camp Name],0)-1,0,1,1),"")</f>
        <v>Returned in Individual Housing</v>
      </c>
    </row>
    <row r="293" spans="1:32" s="100" customFormat="1" ht="15" customHeight="1">
      <c r="A293" s="254">
        <f t="shared" si="4"/>
        <v>42.2</v>
      </c>
      <c r="B293" s="254">
        <f>YEAR(Data_NFI_t[[#This Row],[Distribution Date]])</f>
        <v>2012</v>
      </c>
      <c r="C293" s="585">
        <v>41256</v>
      </c>
      <c r="D293" s="547" t="s">
        <v>287</v>
      </c>
      <c r="E293" s="546"/>
      <c r="F293" s="547" t="s">
        <v>7</v>
      </c>
      <c r="G293" s="31" t="s">
        <v>19</v>
      </c>
      <c r="H293" s="31" t="s">
        <v>68</v>
      </c>
      <c r="I293" s="31"/>
      <c r="J293" s="60"/>
      <c r="K293" s="60">
        <v>2813</v>
      </c>
      <c r="L293" s="60"/>
      <c r="M293" s="60"/>
      <c r="N293" s="60"/>
      <c r="O293" s="60"/>
      <c r="P293" s="60"/>
      <c r="Q293" s="60"/>
      <c r="R293" s="570"/>
      <c r="S293" s="60"/>
      <c r="T293" s="143">
        <f>IF(NFI_Expiration=1,IF($A293&lt;VLOOKUP(I$5,NFI,5,0),1,0)*Data_NFI_t[[#This Row],[Hygiene Kit]],0)</f>
        <v>0</v>
      </c>
      <c r="U293" s="143">
        <f>IF(NFI_Expiration=1,IF($A293&lt;VLOOKUP(J$5,NFI,5,0),1,0)*Data_NFI_t[[#This Row],[NFI Core Kit]],0)</f>
        <v>0</v>
      </c>
      <c r="V293" s="124">
        <f>IF(NFI_Expiration=1,IF($A293&lt;VLOOKUP(K$5,NFI,5,0),1,0)*Data_NFI_t[[#This Row],[Sanitary Kit]],0)</f>
        <v>0</v>
      </c>
      <c r="W293" s="124">
        <f>IF(NFI_Expiration=1,IF($A293&lt;VLOOKUP(L$5,NFI,5,0),1,0)*Data_NFI_t[[#This Row],[Mosquito net]],0)</f>
        <v>0</v>
      </c>
      <c r="X293" s="124">
        <f>IF(NFI_Expiration=1,IF($A293&lt;VLOOKUP(M$5,NFI,5,0),1,0)*Data_NFI_t[[#This Row],[Tarpaulin]],0)</f>
        <v>0</v>
      </c>
      <c r="Y293" s="124">
        <f>IF(NFI_Expiration=1,IF($A293&lt;VLOOKUP(N$5,NFI,5,0),1,0)*Data_NFI_t[[#This Row],[Blanket]],0)</f>
        <v>0</v>
      </c>
      <c r="Z293" s="124">
        <f>IF(NFI_Expiration=1,IF($A293&lt;VLOOKUP(O$5,NFI,5,0),1,0)*Data_NFI_t[[#This Row],[Kitchen Set]],0)</f>
        <v>0</v>
      </c>
      <c r="AA293" s="124">
        <f>IF(NFI_Expiration=1,IF($A293&lt;VLOOKUP(P$5,NFI,5,0),1,0)*Data_NFI_t[[#This Row],[Complementary Kit]],0)</f>
        <v>0</v>
      </c>
      <c r="AB293" s="124">
        <f>IF(NFI_Expiration=1,IF($A293&lt;VLOOKUP(Q$5,NFI,5,0),1,0)*Data_NFI_t[[#This Row],[Plastic Bucket]],0)</f>
        <v>0</v>
      </c>
      <c r="AC293" s="124">
        <f>IF(NFI_Expiration=1,IF($A293&lt;VLOOKUP(R$5,NFI,5,0),1,0)*Data_NFI_t[[#This Row],[Jerry Can]],0)</f>
        <v>0</v>
      </c>
      <c r="AD293" s="143">
        <f>IF(NFI_Expiration=1,IF($A293&lt;VLOOKUP(S$5,NFI,5,0),1,0)*Data_NFI_t[[#This Row],[Plastic Mat]],0)*IF(Data_NFI_t[[#This Row],[Distribution Date]]&gt;"01-06-2015",1,2.5)</f>
        <v>0</v>
      </c>
      <c r="AE293" s="143" t="str">
        <f ca="1">IFERROR(OFFSET(Camp_List[P_Code],MATCH(Data_NFI_t[[#This Row],[Camp Name]],Camp_List[Camp Name],0)-1,0,1,1),"")</f>
        <v>MMR012CMP046</v>
      </c>
      <c r="AF293" s="572" t="str">
        <f ca="1">IFERROR(OFFSET(Camp_List[Status],MATCH(Data_NFI_t[[#This Row],[Camp Name]],Camp_List[Camp Name],0)-1,0,1,1),"")</f>
        <v>Open</v>
      </c>
    </row>
    <row r="294" spans="1:32" s="100" customFormat="1" ht="15" customHeight="1">
      <c r="A294" s="254">
        <f t="shared" si="4"/>
        <v>42.2</v>
      </c>
      <c r="B294" s="254">
        <f>YEAR(Data_NFI_t[[#This Row],[Distribution Date]])</f>
        <v>2012</v>
      </c>
      <c r="C294" s="585">
        <v>41256</v>
      </c>
      <c r="D294" s="547" t="s">
        <v>287</v>
      </c>
      <c r="E294" s="546"/>
      <c r="F294" s="547" t="s">
        <v>7</v>
      </c>
      <c r="G294" s="31" t="s">
        <v>19</v>
      </c>
      <c r="H294" s="31" t="s">
        <v>70</v>
      </c>
      <c r="I294" s="31"/>
      <c r="J294" s="60"/>
      <c r="K294" s="60">
        <v>1900</v>
      </c>
      <c r="L294" s="60"/>
      <c r="M294" s="60"/>
      <c r="N294" s="60"/>
      <c r="O294" s="60"/>
      <c r="P294" s="60"/>
      <c r="Q294" s="60"/>
      <c r="R294" s="570"/>
      <c r="S294" s="60"/>
      <c r="T294" s="143">
        <f>IF(NFI_Expiration=1,IF($A294&lt;VLOOKUP(I$5,NFI,5,0),1,0)*Data_NFI_t[[#This Row],[Hygiene Kit]],0)</f>
        <v>0</v>
      </c>
      <c r="U294" s="143">
        <f>IF(NFI_Expiration=1,IF($A294&lt;VLOOKUP(J$5,NFI,5,0),1,0)*Data_NFI_t[[#This Row],[NFI Core Kit]],0)</f>
        <v>0</v>
      </c>
      <c r="V294" s="124">
        <f>IF(NFI_Expiration=1,IF($A294&lt;VLOOKUP(K$5,NFI,5,0),1,0)*Data_NFI_t[[#This Row],[Sanitary Kit]],0)</f>
        <v>0</v>
      </c>
      <c r="W294" s="124">
        <f>IF(NFI_Expiration=1,IF($A294&lt;VLOOKUP(L$5,NFI,5,0),1,0)*Data_NFI_t[[#This Row],[Mosquito net]],0)</f>
        <v>0</v>
      </c>
      <c r="X294" s="124">
        <f>IF(NFI_Expiration=1,IF($A294&lt;VLOOKUP(M$5,NFI,5,0),1,0)*Data_NFI_t[[#This Row],[Tarpaulin]],0)</f>
        <v>0</v>
      </c>
      <c r="Y294" s="124">
        <f>IF(NFI_Expiration=1,IF($A294&lt;VLOOKUP(N$5,NFI,5,0),1,0)*Data_NFI_t[[#This Row],[Blanket]],0)</f>
        <v>0</v>
      </c>
      <c r="Z294" s="124">
        <f>IF(NFI_Expiration=1,IF($A294&lt;VLOOKUP(O$5,NFI,5,0),1,0)*Data_NFI_t[[#This Row],[Kitchen Set]],0)</f>
        <v>0</v>
      </c>
      <c r="AA294" s="124">
        <f>IF(NFI_Expiration=1,IF($A294&lt;VLOOKUP(P$5,NFI,5,0),1,0)*Data_NFI_t[[#This Row],[Complementary Kit]],0)</f>
        <v>0</v>
      </c>
      <c r="AB294" s="124">
        <f>IF(NFI_Expiration=1,IF($A294&lt;VLOOKUP(Q$5,NFI,5,0),1,0)*Data_NFI_t[[#This Row],[Plastic Bucket]],0)</f>
        <v>0</v>
      </c>
      <c r="AC294" s="124">
        <f>IF(NFI_Expiration=1,IF($A294&lt;VLOOKUP(R$5,NFI,5,0),1,0)*Data_NFI_t[[#This Row],[Jerry Can]],0)</f>
        <v>0</v>
      </c>
      <c r="AD294" s="143">
        <f>IF(NFI_Expiration=1,IF($A294&lt;VLOOKUP(S$5,NFI,5,0),1,0)*Data_NFI_t[[#This Row],[Plastic Mat]],0)*IF(Data_NFI_t[[#This Row],[Distribution Date]]&gt;"01-06-2015",1,2.5)</f>
        <v>0</v>
      </c>
      <c r="AE294" s="143" t="str">
        <f ca="1">IFERROR(OFFSET(Camp_List[P_Code],MATCH(Data_NFI_t[[#This Row],[Camp Name]],Camp_List[Camp Name],0)-1,0,1,1),"")</f>
        <v>MMR012CMP048</v>
      </c>
      <c r="AF294" s="572" t="str">
        <f ca="1">IFERROR(OFFSET(Camp_List[Status],MATCH(Data_NFI_t[[#This Row],[Camp Name]],Camp_List[Camp Name],0)-1,0,1,1),"")</f>
        <v>Open</v>
      </c>
    </row>
    <row r="295" spans="1:32" s="100" customFormat="1" ht="15" customHeight="1">
      <c r="A295" s="254">
        <f t="shared" si="4"/>
        <v>42.2</v>
      </c>
      <c r="B295" s="254">
        <f>YEAR(Data_NFI_t[[#This Row],[Distribution Date]])</f>
        <v>2012</v>
      </c>
      <c r="C295" s="585">
        <v>41256</v>
      </c>
      <c r="D295" s="547" t="s">
        <v>287</v>
      </c>
      <c r="E295" s="546"/>
      <c r="F295" s="547" t="s">
        <v>7</v>
      </c>
      <c r="G295" s="31" t="s">
        <v>15</v>
      </c>
      <c r="H295" s="31" t="s">
        <v>52</v>
      </c>
      <c r="I295" s="31"/>
      <c r="J295" s="60"/>
      <c r="K295" s="60"/>
      <c r="L295" s="60">
        <v>214</v>
      </c>
      <c r="M295" s="60"/>
      <c r="N295" s="60">
        <v>214</v>
      </c>
      <c r="O295" s="60">
        <v>107</v>
      </c>
      <c r="P295" s="60">
        <v>107</v>
      </c>
      <c r="Q295" s="60"/>
      <c r="R295" s="570"/>
      <c r="S295" s="60"/>
      <c r="T295" s="143">
        <f>IF(NFI_Expiration=1,IF($A295&lt;VLOOKUP(I$5,NFI,5,0),1,0)*Data_NFI_t[[#This Row],[Hygiene Kit]],0)</f>
        <v>0</v>
      </c>
      <c r="U295" s="143">
        <f>IF(NFI_Expiration=1,IF($A295&lt;VLOOKUP(J$5,NFI,5,0),1,0)*Data_NFI_t[[#This Row],[NFI Core Kit]],0)</f>
        <v>0</v>
      </c>
      <c r="V295" s="124">
        <f>IF(NFI_Expiration=1,IF($A295&lt;VLOOKUP(K$5,NFI,5,0),1,0)*Data_NFI_t[[#This Row],[Sanitary Kit]],0)</f>
        <v>0</v>
      </c>
      <c r="W295" s="124">
        <f>IF(NFI_Expiration=1,IF($A295&lt;VLOOKUP(L$5,NFI,5,0),1,0)*Data_NFI_t[[#This Row],[Mosquito net]],0)</f>
        <v>0</v>
      </c>
      <c r="X295" s="124">
        <f>IF(NFI_Expiration=1,IF($A295&lt;VLOOKUP(M$5,NFI,5,0),1,0)*Data_NFI_t[[#This Row],[Tarpaulin]],0)</f>
        <v>0</v>
      </c>
      <c r="Y295" s="124">
        <f>IF(NFI_Expiration=1,IF($A295&lt;VLOOKUP(N$5,NFI,5,0),1,0)*Data_NFI_t[[#This Row],[Blanket]],0)</f>
        <v>0</v>
      </c>
      <c r="Z295" s="124">
        <f>IF(NFI_Expiration=1,IF($A295&lt;VLOOKUP(O$5,NFI,5,0),1,0)*Data_NFI_t[[#This Row],[Kitchen Set]],0)</f>
        <v>0</v>
      </c>
      <c r="AA295" s="124">
        <f>IF(NFI_Expiration=1,IF($A295&lt;VLOOKUP(P$5,NFI,5,0),1,0)*Data_NFI_t[[#This Row],[Complementary Kit]],0)</f>
        <v>0</v>
      </c>
      <c r="AB295" s="124">
        <f>IF(NFI_Expiration=1,IF($A295&lt;VLOOKUP(Q$5,NFI,5,0),1,0)*Data_NFI_t[[#This Row],[Plastic Bucket]],0)</f>
        <v>0</v>
      </c>
      <c r="AC295" s="124">
        <f>IF(NFI_Expiration=1,IF($A295&lt;VLOOKUP(R$5,NFI,5,0),1,0)*Data_NFI_t[[#This Row],[Jerry Can]],0)</f>
        <v>0</v>
      </c>
      <c r="AD295" s="143">
        <f>IF(NFI_Expiration=1,IF($A295&lt;VLOOKUP(S$5,NFI,5,0),1,0)*Data_NFI_t[[#This Row],[Plastic Mat]],0)*IF(Data_NFI_t[[#This Row],[Distribution Date]]&gt;"01-06-2015",1,2.5)</f>
        <v>0</v>
      </c>
      <c r="AE295" s="143" t="str">
        <f ca="1">IFERROR(OFFSET(Camp_List[P_Code],MATCH(Data_NFI_t[[#This Row],[Camp Name]],Camp_List[Camp Name],0)-1,0,1,1),"")</f>
        <v>MMR012CMP028</v>
      </c>
      <c r="AF295" s="572" t="str">
        <f ca="1">IFERROR(OFFSET(Camp_List[Status],MATCH(Data_NFI_t[[#This Row],[Camp Name]],Camp_List[Camp Name],0)-1,0,1,1),"")</f>
        <v>Returned in Individual Housing</v>
      </c>
    </row>
    <row r="296" spans="1:32" s="100" customFormat="1" ht="15" customHeight="1">
      <c r="A296" s="254">
        <f t="shared" si="4"/>
        <v>42.233333333333334</v>
      </c>
      <c r="B296" s="254">
        <f>YEAR(Data_NFI_t[[#This Row],[Distribution Date]])</f>
        <v>2012</v>
      </c>
      <c r="C296" s="585">
        <v>41255</v>
      </c>
      <c r="D296" s="547" t="s">
        <v>291</v>
      </c>
      <c r="E296" s="546" t="s">
        <v>287</v>
      </c>
      <c r="F296" s="547" t="s">
        <v>7</v>
      </c>
      <c r="G296" s="31" t="s">
        <v>19</v>
      </c>
      <c r="H296" s="31" t="s">
        <v>71</v>
      </c>
      <c r="I296" s="31"/>
      <c r="J296" s="60"/>
      <c r="K296" s="60"/>
      <c r="L296" s="60"/>
      <c r="M296" s="60"/>
      <c r="N296" s="60">
        <v>50</v>
      </c>
      <c r="O296" s="60"/>
      <c r="P296" s="60"/>
      <c r="Q296" s="60"/>
      <c r="R296" s="570"/>
      <c r="S296" s="60"/>
      <c r="T296" s="143">
        <f>IF(NFI_Expiration=1,IF($A296&lt;VLOOKUP(I$5,NFI,5,0),1,0)*Data_NFI_t[[#This Row],[Hygiene Kit]],0)</f>
        <v>0</v>
      </c>
      <c r="U296" s="143">
        <f>IF(NFI_Expiration=1,IF($A296&lt;VLOOKUP(J$5,NFI,5,0),1,0)*Data_NFI_t[[#This Row],[NFI Core Kit]],0)</f>
        <v>0</v>
      </c>
      <c r="V296" s="124">
        <f>IF(NFI_Expiration=1,IF($A296&lt;VLOOKUP(K$5,NFI,5,0),1,0)*Data_NFI_t[[#This Row],[Sanitary Kit]],0)</f>
        <v>0</v>
      </c>
      <c r="W296" s="124">
        <f>IF(NFI_Expiration=1,IF($A296&lt;VLOOKUP(L$5,NFI,5,0),1,0)*Data_NFI_t[[#This Row],[Mosquito net]],0)</f>
        <v>0</v>
      </c>
      <c r="X296" s="124">
        <f>IF(NFI_Expiration=1,IF($A296&lt;VLOOKUP(M$5,NFI,5,0),1,0)*Data_NFI_t[[#This Row],[Tarpaulin]],0)</f>
        <v>0</v>
      </c>
      <c r="Y296" s="124">
        <f>IF(NFI_Expiration=1,IF($A296&lt;VLOOKUP(N$5,NFI,5,0),1,0)*Data_NFI_t[[#This Row],[Blanket]],0)</f>
        <v>0</v>
      </c>
      <c r="Z296" s="124">
        <f>IF(NFI_Expiration=1,IF($A296&lt;VLOOKUP(O$5,NFI,5,0),1,0)*Data_NFI_t[[#This Row],[Kitchen Set]],0)</f>
        <v>0</v>
      </c>
      <c r="AA296" s="124">
        <f>IF(NFI_Expiration=1,IF($A296&lt;VLOOKUP(P$5,NFI,5,0),1,0)*Data_NFI_t[[#This Row],[Complementary Kit]],0)</f>
        <v>0</v>
      </c>
      <c r="AB296" s="124">
        <f>IF(NFI_Expiration=1,IF($A296&lt;VLOOKUP(Q$5,NFI,5,0),1,0)*Data_NFI_t[[#This Row],[Plastic Bucket]],0)</f>
        <v>0</v>
      </c>
      <c r="AC296" s="124">
        <f>IF(NFI_Expiration=1,IF($A296&lt;VLOOKUP(R$5,NFI,5,0),1,0)*Data_NFI_t[[#This Row],[Jerry Can]],0)</f>
        <v>0</v>
      </c>
      <c r="AD296" s="143">
        <f>IF(NFI_Expiration=1,IF($A296&lt;VLOOKUP(S$5,NFI,5,0),1,0)*Data_NFI_t[[#This Row],[Plastic Mat]],0)*IF(Data_NFI_t[[#This Row],[Distribution Date]]&gt;"01-06-2015",1,2.5)</f>
        <v>0</v>
      </c>
      <c r="AE296" s="143" t="str">
        <f ca="1">IFERROR(OFFSET(Camp_List[P_Code],MATCH(Data_NFI_t[[#This Row],[Camp Name]],Camp_List[Camp Name],0)-1,0,1,1),"")</f>
        <v>MMR012CMP049</v>
      </c>
      <c r="AF296" s="572" t="str">
        <f ca="1">IFERROR(OFFSET(Camp_List[Status],MATCH(Data_NFI_t[[#This Row],[Camp Name]],Camp_List[Camp Name],0)-1,0,1,1),"")</f>
        <v>Close</v>
      </c>
    </row>
    <row r="297" spans="1:32" s="100" customFormat="1" ht="15" customHeight="1">
      <c r="A297" s="254">
        <f t="shared" si="4"/>
        <v>42.233333333333334</v>
      </c>
      <c r="B297" s="254">
        <f>YEAR(Data_NFI_t[[#This Row],[Distribution Date]])</f>
        <v>2012</v>
      </c>
      <c r="C297" s="585">
        <v>41255</v>
      </c>
      <c r="D297" s="547" t="s">
        <v>287</v>
      </c>
      <c r="E297" s="546"/>
      <c r="F297" s="547" t="s">
        <v>7</v>
      </c>
      <c r="G297" s="31" t="s">
        <v>19</v>
      </c>
      <c r="H297" s="31" t="s">
        <v>75</v>
      </c>
      <c r="I297" s="31"/>
      <c r="J297" s="60"/>
      <c r="K297" s="60">
        <v>85</v>
      </c>
      <c r="L297" s="60"/>
      <c r="M297" s="60"/>
      <c r="N297" s="60"/>
      <c r="O297" s="60"/>
      <c r="P297" s="60"/>
      <c r="Q297" s="60"/>
      <c r="R297" s="570"/>
      <c r="S297" s="60"/>
      <c r="T297" s="143">
        <f>IF(NFI_Expiration=1,IF($A297&lt;VLOOKUP(I$5,NFI,5,0),1,0)*Data_NFI_t[[#This Row],[Hygiene Kit]],0)</f>
        <v>0</v>
      </c>
      <c r="U297" s="143">
        <f>IF(NFI_Expiration=1,IF($A297&lt;VLOOKUP(J$5,NFI,5,0),1,0)*Data_NFI_t[[#This Row],[NFI Core Kit]],0)</f>
        <v>0</v>
      </c>
      <c r="V297" s="124">
        <f>IF(NFI_Expiration=1,IF($A297&lt;VLOOKUP(K$5,NFI,5,0),1,0)*Data_NFI_t[[#This Row],[Sanitary Kit]],0)</f>
        <v>0</v>
      </c>
      <c r="W297" s="124">
        <f>IF(NFI_Expiration=1,IF($A297&lt;VLOOKUP(L$5,NFI,5,0),1,0)*Data_NFI_t[[#This Row],[Mosquito net]],0)</f>
        <v>0</v>
      </c>
      <c r="X297" s="124">
        <f>IF(NFI_Expiration=1,IF($A297&lt;VLOOKUP(M$5,NFI,5,0),1,0)*Data_NFI_t[[#This Row],[Tarpaulin]],0)</f>
        <v>0</v>
      </c>
      <c r="Y297" s="124">
        <f>IF(NFI_Expiration=1,IF($A297&lt;VLOOKUP(N$5,NFI,5,0),1,0)*Data_NFI_t[[#This Row],[Blanket]],0)</f>
        <v>0</v>
      </c>
      <c r="Z297" s="124">
        <f>IF(NFI_Expiration=1,IF($A297&lt;VLOOKUP(O$5,NFI,5,0),1,0)*Data_NFI_t[[#This Row],[Kitchen Set]],0)</f>
        <v>0</v>
      </c>
      <c r="AA297" s="124">
        <f>IF(NFI_Expiration=1,IF($A297&lt;VLOOKUP(P$5,NFI,5,0),1,0)*Data_NFI_t[[#This Row],[Complementary Kit]],0)</f>
        <v>0</v>
      </c>
      <c r="AB297" s="124">
        <f>IF(NFI_Expiration=1,IF($A297&lt;VLOOKUP(Q$5,NFI,5,0),1,0)*Data_NFI_t[[#This Row],[Plastic Bucket]],0)</f>
        <v>0</v>
      </c>
      <c r="AC297" s="124">
        <f>IF(NFI_Expiration=1,IF($A297&lt;VLOOKUP(R$5,NFI,5,0),1,0)*Data_NFI_t[[#This Row],[Jerry Can]],0)</f>
        <v>0</v>
      </c>
      <c r="AD297" s="143">
        <f>IF(NFI_Expiration=1,IF($A297&lt;VLOOKUP(S$5,NFI,5,0),1,0)*Data_NFI_t[[#This Row],[Plastic Mat]],0)*IF(Data_NFI_t[[#This Row],[Distribution Date]]&gt;"01-06-2015",1,2.5)</f>
        <v>0</v>
      </c>
      <c r="AE297" s="143" t="str">
        <f ca="1">IFERROR(OFFSET(Camp_List[P_Code],MATCH(Data_NFI_t[[#This Row],[Camp Name]],Camp_List[Camp Name],0)-1,0,1,1),"")</f>
        <v>MMR012CMP053</v>
      </c>
      <c r="AF297" s="572" t="str">
        <f ca="1">IFERROR(OFFSET(Camp_List[Status],MATCH(Data_NFI_t[[#This Row],[Camp Name]],Camp_List[Camp Name],0)-1,0,1,1),"")</f>
        <v>Close</v>
      </c>
    </row>
    <row r="298" spans="1:32" s="100" customFormat="1" ht="15" customHeight="1">
      <c r="A298" s="254">
        <f t="shared" si="4"/>
        <v>42.233333333333334</v>
      </c>
      <c r="B298" s="254">
        <f>YEAR(Data_NFI_t[[#This Row],[Distribution Date]])</f>
        <v>2012</v>
      </c>
      <c r="C298" s="585">
        <v>41255</v>
      </c>
      <c r="D298" s="547" t="s">
        <v>287</v>
      </c>
      <c r="E298" s="546"/>
      <c r="F298" s="547" t="s">
        <v>7</v>
      </c>
      <c r="G298" s="31" t="s">
        <v>19</v>
      </c>
      <c r="H298" s="31" t="s">
        <v>76</v>
      </c>
      <c r="I298" s="31"/>
      <c r="J298" s="60"/>
      <c r="K298" s="60">
        <v>53</v>
      </c>
      <c r="L298" s="60"/>
      <c r="M298" s="60"/>
      <c r="N298" s="60"/>
      <c r="O298" s="60"/>
      <c r="P298" s="60"/>
      <c r="Q298" s="60"/>
      <c r="R298" s="570"/>
      <c r="S298" s="60"/>
      <c r="T298" s="143">
        <f>IF(NFI_Expiration=1,IF($A298&lt;VLOOKUP(I$5,NFI,5,0),1,0)*Data_NFI_t[[#This Row],[Hygiene Kit]],0)</f>
        <v>0</v>
      </c>
      <c r="U298" s="143">
        <f>IF(NFI_Expiration=1,IF($A298&lt;VLOOKUP(J$5,NFI,5,0),1,0)*Data_NFI_t[[#This Row],[NFI Core Kit]],0)</f>
        <v>0</v>
      </c>
      <c r="V298" s="124">
        <f>IF(NFI_Expiration=1,IF($A298&lt;VLOOKUP(K$5,NFI,5,0),1,0)*Data_NFI_t[[#This Row],[Sanitary Kit]],0)</f>
        <v>0</v>
      </c>
      <c r="W298" s="124">
        <f>IF(NFI_Expiration=1,IF($A298&lt;VLOOKUP(L$5,NFI,5,0),1,0)*Data_NFI_t[[#This Row],[Mosquito net]],0)</f>
        <v>0</v>
      </c>
      <c r="X298" s="124">
        <f>IF(NFI_Expiration=1,IF($A298&lt;VLOOKUP(M$5,NFI,5,0),1,0)*Data_NFI_t[[#This Row],[Tarpaulin]],0)</f>
        <v>0</v>
      </c>
      <c r="Y298" s="124">
        <f>IF(NFI_Expiration=1,IF($A298&lt;VLOOKUP(N$5,NFI,5,0),1,0)*Data_NFI_t[[#This Row],[Blanket]],0)</f>
        <v>0</v>
      </c>
      <c r="Z298" s="124">
        <f>IF(NFI_Expiration=1,IF($A298&lt;VLOOKUP(O$5,NFI,5,0),1,0)*Data_NFI_t[[#This Row],[Kitchen Set]],0)</f>
        <v>0</v>
      </c>
      <c r="AA298" s="124">
        <f>IF(NFI_Expiration=1,IF($A298&lt;VLOOKUP(P$5,NFI,5,0),1,0)*Data_NFI_t[[#This Row],[Complementary Kit]],0)</f>
        <v>0</v>
      </c>
      <c r="AB298" s="124">
        <f>IF(NFI_Expiration=1,IF($A298&lt;VLOOKUP(Q$5,NFI,5,0),1,0)*Data_NFI_t[[#This Row],[Plastic Bucket]],0)</f>
        <v>0</v>
      </c>
      <c r="AC298" s="124">
        <f>IF(NFI_Expiration=1,IF($A298&lt;VLOOKUP(R$5,NFI,5,0),1,0)*Data_NFI_t[[#This Row],[Jerry Can]],0)</f>
        <v>0</v>
      </c>
      <c r="AD298" s="143">
        <f>IF(NFI_Expiration=1,IF($A298&lt;VLOOKUP(S$5,NFI,5,0),1,0)*Data_NFI_t[[#This Row],[Plastic Mat]],0)*IF(Data_NFI_t[[#This Row],[Distribution Date]]&gt;"01-06-2015",1,2.5)</f>
        <v>0</v>
      </c>
      <c r="AE298" s="143" t="str">
        <f ca="1">IFERROR(OFFSET(Camp_List[P_Code],MATCH(Data_NFI_t[[#This Row],[Camp Name]],Camp_List[Camp Name],0)-1,0,1,1),"")</f>
        <v>MMR012CMP054</v>
      </c>
      <c r="AF298" s="572" t="str">
        <f ca="1">IFERROR(OFFSET(Camp_List[Status],MATCH(Data_NFI_t[[#This Row],[Camp Name]],Camp_List[Camp Name],0)-1,0,1,1),"")</f>
        <v>Close</v>
      </c>
    </row>
    <row r="299" spans="1:32" s="100" customFormat="1" ht="15" customHeight="1">
      <c r="A299" s="254">
        <f t="shared" si="4"/>
        <v>42.233333333333334</v>
      </c>
      <c r="B299" s="254">
        <f>YEAR(Data_NFI_t[[#This Row],[Distribution Date]])</f>
        <v>2012</v>
      </c>
      <c r="C299" s="585">
        <v>41255</v>
      </c>
      <c r="D299" s="547" t="s">
        <v>287</v>
      </c>
      <c r="E299" s="546"/>
      <c r="F299" s="547" t="s">
        <v>7</v>
      </c>
      <c r="G299" s="31" t="s">
        <v>19</v>
      </c>
      <c r="H299" s="31" t="s">
        <v>78</v>
      </c>
      <c r="I299" s="31"/>
      <c r="J299" s="60"/>
      <c r="K299" s="60">
        <v>195</v>
      </c>
      <c r="L299" s="60"/>
      <c r="M299" s="60"/>
      <c r="N299" s="60"/>
      <c r="O299" s="60"/>
      <c r="P299" s="60"/>
      <c r="Q299" s="60"/>
      <c r="R299" s="570"/>
      <c r="S299" s="60"/>
      <c r="T299" s="143">
        <f>IF(NFI_Expiration=1,IF($A299&lt;VLOOKUP(I$5,NFI,5,0),1,0)*Data_NFI_t[[#This Row],[Hygiene Kit]],0)</f>
        <v>0</v>
      </c>
      <c r="U299" s="143">
        <f>IF(NFI_Expiration=1,IF($A299&lt;VLOOKUP(J$5,NFI,5,0),1,0)*Data_NFI_t[[#This Row],[NFI Core Kit]],0)</f>
        <v>0</v>
      </c>
      <c r="V299" s="124">
        <f>IF(NFI_Expiration=1,IF($A299&lt;VLOOKUP(K$5,NFI,5,0),1,0)*Data_NFI_t[[#This Row],[Sanitary Kit]],0)</f>
        <v>0</v>
      </c>
      <c r="W299" s="124">
        <f>IF(NFI_Expiration=1,IF($A299&lt;VLOOKUP(L$5,NFI,5,0),1,0)*Data_NFI_t[[#This Row],[Mosquito net]],0)</f>
        <v>0</v>
      </c>
      <c r="X299" s="124">
        <f>IF(NFI_Expiration=1,IF($A299&lt;VLOOKUP(M$5,NFI,5,0),1,0)*Data_NFI_t[[#This Row],[Tarpaulin]],0)</f>
        <v>0</v>
      </c>
      <c r="Y299" s="124">
        <f>IF(NFI_Expiration=1,IF($A299&lt;VLOOKUP(N$5,NFI,5,0),1,0)*Data_NFI_t[[#This Row],[Blanket]],0)</f>
        <v>0</v>
      </c>
      <c r="Z299" s="124">
        <f>IF(NFI_Expiration=1,IF($A299&lt;VLOOKUP(O$5,NFI,5,0),1,0)*Data_NFI_t[[#This Row],[Kitchen Set]],0)</f>
        <v>0</v>
      </c>
      <c r="AA299" s="124">
        <f>IF(NFI_Expiration=1,IF($A299&lt;VLOOKUP(P$5,NFI,5,0),1,0)*Data_NFI_t[[#This Row],[Complementary Kit]],0)</f>
        <v>0</v>
      </c>
      <c r="AB299" s="124">
        <f>IF(NFI_Expiration=1,IF($A299&lt;VLOOKUP(Q$5,NFI,5,0),1,0)*Data_NFI_t[[#This Row],[Plastic Bucket]],0)</f>
        <v>0</v>
      </c>
      <c r="AC299" s="124">
        <f>IF(NFI_Expiration=1,IF($A299&lt;VLOOKUP(R$5,NFI,5,0),1,0)*Data_NFI_t[[#This Row],[Jerry Can]],0)</f>
        <v>0</v>
      </c>
      <c r="AD299" s="143">
        <f>IF(NFI_Expiration=1,IF($A299&lt;VLOOKUP(S$5,NFI,5,0),1,0)*Data_NFI_t[[#This Row],[Plastic Mat]],0)*IF(Data_NFI_t[[#This Row],[Distribution Date]]&gt;"01-06-2015",1,2.5)</f>
        <v>0</v>
      </c>
      <c r="AE299" s="143" t="str">
        <f ca="1">IFERROR(OFFSET(Camp_List[P_Code],MATCH(Data_NFI_t[[#This Row],[Camp Name]],Camp_List[Camp Name],0)-1,0,1,1),"")</f>
        <v>MMR012CMP056</v>
      </c>
      <c r="AF299" s="572" t="str">
        <f ca="1">IFERROR(OFFSET(Camp_List[Status],MATCH(Data_NFI_t[[#This Row],[Camp Name]],Camp_List[Camp Name],0)-1,0,1,1),"")</f>
        <v>Relocated in Individual Housing</v>
      </c>
    </row>
    <row r="300" spans="1:32" s="100" customFormat="1" ht="15" customHeight="1">
      <c r="A300" s="254">
        <f t="shared" si="4"/>
        <v>42.3</v>
      </c>
      <c r="B300" s="254">
        <f>YEAR(Data_NFI_t[[#This Row],[Distribution Date]])</f>
        <v>2012</v>
      </c>
      <c r="C300" s="585">
        <v>41253</v>
      </c>
      <c r="D300" s="547" t="s">
        <v>287</v>
      </c>
      <c r="E300" s="546"/>
      <c r="F300" s="547" t="s">
        <v>7</v>
      </c>
      <c r="G300" s="31" t="s">
        <v>17</v>
      </c>
      <c r="H300" s="31" t="s">
        <v>483</v>
      </c>
      <c r="I300" s="31"/>
      <c r="J300" s="60"/>
      <c r="K300" s="60"/>
      <c r="L300" s="60">
        <v>170</v>
      </c>
      <c r="M300" s="60">
        <v>85</v>
      </c>
      <c r="N300" s="60">
        <v>170</v>
      </c>
      <c r="O300" s="60">
        <v>85</v>
      </c>
      <c r="P300" s="60"/>
      <c r="Q300" s="60"/>
      <c r="R300" s="570"/>
      <c r="S300" s="60"/>
      <c r="T300" s="143">
        <f>IF(NFI_Expiration=1,IF($A300&lt;VLOOKUP(I$5,NFI,5,0),1,0)*Data_NFI_t[[#This Row],[Hygiene Kit]],0)</f>
        <v>0</v>
      </c>
      <c r="U300" s="143">
        <f>IF(NFI_Expiration=1,IF($A300&lt;VLOOKUP(J$5,NFI,5,0),1,0)*Data_NFI_t[[#This Row],[NFI Core Kit]],0)</f>
        <v>0</v>
      </c>
      <c r="V300" s="124">
        <f>IF(NFI_Expiration=1,IF($A300&lt;VLOOKUP(K$5,NFI,5,0),1,0)*Data_NFI_t[[#This Row],[Sanitary Kit]],0)</f>
        <v>0</v>
      </c>
      <c r="W300" s="124">
        <f>IF(NFI_Expiration=1,IF($A300&lt;VLOOKUP(L$5,NFI,5,0),1,0)*Data_NFI_t[[#This Row],[Mosquito net]],0)</f>
        <v>0</v>
      </c>
      <c r="X300" s="124">
        <f>IF(NFI_Expiration=1,IF($A300&lt;VLOOKUP(M$5,NFI,5,0),1,0)*Data_NFI_t[[#This Row],[Tarpaulin]],0)</f>
        <v>0</v>
      </c>
      <c r="Y300" s="124">
        <f>IF(NFI_Expiration=1,IF($A300&lt;VLOOKUP(N$5,NFI,5,0),1,0)*Data_NFI_t[[#This Row],[Blanket]],0)</f>
        <v>0</v>
      </c>
      <c r="Z300" s="124">
        <f>IF(NFI_Expiration=1,IF($A300&lt;VLOOKUP(O$5,NFI,5,0),1,0)*Data_NFI_t[[#This Row],[Kitchen Set]],0)</f>
        <v>0</v>
      </c>
      <c r="AA300" s="124">
        <f>IF(NFI_Expiration=1,IF($A300&lt;VLOOKUP(P$5,NFI,5,0),1,0)*Data_NFI_t[[#This Row],[Complementary Kit]],0)</f>
        <v>0</v>
      </c>
      <c r="AB300" s="124">
        <f>IF(NFI_Expiration=1,IF($A300&lt;VLOOKUP(Q$5,NFI,5,0),1,0)*Data_NFI_t[[#This Row],[Plastic Bucket]],0)</f>
        <v>0</v>
      </c>
      <c r="AC300" s="124">
        <f>IF(NFI_Expiration=1,IF($A300&lt;VLOOKUP(R$5,NFI,5,0),1,0)*Data_NFI_t[[#This Row],[Jerry Can]],0)</f>
        <v>0</v>
      </c>
      <c r="AD300" s="143">
        <f>IF(NFI_Expiration=1,IF($A300&lt;VLOOKUP(S$5,NFI,5,0),1,0)*Data_NFI_t[[#This Row],[Plastic Mat]],0)*IF(Data_NFI_t[[#This Row],[Distribution Date]]&gt;"01-06-2015",1,2.5)</f>
        <v>0</v>
      </c>
      <c r="AE300" s="143" t="str">
        <f ca="1">IFERROR(OFFSET(Camp_List[P_Code],MATCH(Data_NFI_t[[#This Row],[Camp Name]],Camp_List[Camp Name],0)-1,0,1,1),"")</f>
        <v>MMR012CMP036</v>
      </c>
      <c r="AF300" s="572" t="str">
        <f ca="1">IFERROR(OFFSET(Camp_List[Status],MATCH(Data_NFI_t[[#This Row],[Camp Name]],Camp_List[Camp Name],0)-1,0,1,1),"")</f>
        <v>Open</v>
      </c>
    </row>
    <row r="301" spans="1:32" s="100" customFormat="1" ht="15" customHeight="1">
      <c r="A301" s="254">
        <f t="shared" si="4"/>
        <v>42.3</v>
      </c>
      <c r="B301" s="254">
        <f>YEAR(Data_NFI_t[[#This Row],[Distribution Date]])</f>
        <v>2012</v>
      </c>
      <c r="C301" s="585">
        <v>41253</v>
      </c>
      <c r="D301" s="547" t="s">
        <v>287</v>
      </c>
      <c r="E301" s="546"/>
      <c r="F301" s="547" t="s">
        <v>7</v>
      </c>
      <c r="G301" s="31" t="s">
        <v>17</v>
      </c>
      <c r="H301" s="31" t="s">
        <v>58</v>
      </c>
      <c r="I301" s="31"/>
      <c r="J301" s="60"/>
      <c r="K301" s="60"/>
      <c r="L301" s="60">
        <v>826</v>
      </c>
      <c r="M301" s="60">
        <v>213</v>
      </c>
      <c r="N301" s="60">
        <v>826</v>
      </c>
      <c r="O301" s="60">
        <v>413</v>
      </c>
      <c r="P301" s="60"/>
      <c r="Q301" s="60"/>
      <c r="R301" s="570"/>
      <c r="S301" s="60"/>
      <c r="T301" s="143">
        <f>IF(NFI_Expiration=1,IF($A301&lt;VLOOKUP(I$5,NFI,5,0),1,0)*Data_NFI_t[[#This Row],[Hygiene Kit]],0)</f>
        <v>0</v>
      </c>
      <c r="U301" s="143">
        <f>IF(NFI_Expiration=1,IF($A301&lt;VLOOKUP(J$5,NFI,5,0),1,0)*Data_NFI_t[[#This Row],[NFI Core Kit]],0)</f>
        <v>0</v>
      </c>
      <c r="V301" s="124">
        <f>IF(NFI_Expiration=1,IF($A301&lt;VLOOKUP(K$5,NFI,5,0),1,0)*Data_NFI_t[[#This Row],[Sanitary Kit]],0)</f>
        <v>0</v>
      </c>
      <c r="W301" s="124">
        <f>IF(NFI_Expiration=1,IF($A301&lt;VLOOKUP(L$5,NFI,5,0),1,0)*Data_NFI_t[[#This Row],[Mosquito net]],0)</f>
        <v>0</v>
      </c>
      <c r="X301" s="124">
        <f>IF(NFI_Expiration=1,IF($A301&lt;VLOOKUP(M$5,NFI,5,0),1,0)*Data_NFI_t[[#This Row],[Tarpaulin]],0)</f>
        <v>0</v>
      </c>
      <c r="Y301" s="124">
        <f>IF(NFI_Expiration=1,IF($A301&lt;VLOOKUP(N$5,NFI,5,0),1,0)*Data_NFI_t[[#This Row],[Blanket]],0)</f>
        <v>0</v>
      </c>
      <c r="Z301" s="124">
        <f>IF(NFI_Expiration=1,IF($A301&lt;VLOOKUP(O$5,NFI,5,0),1,0)*Data_NFI_t[[#This Row],[Kitchen Set]],0)</f>
        <v>0</v>
      </c>
      <c r="AA301" s="124">
        <f>IF(NFI_Expiration=1,IF($A301&lt;VLOOKUP(P$5,NFI,5,0),1,0)*Data_NFI_t[[#This Row],[Complementary Kit]],0)</f>
        <v>0</v>
      </c>
      <c r="AB301" s="124">
        <f>IF(NFI_Expiration=1,IF($A301&lt;VLOOKUP(Q$5,NFI,5,0),1,0)*Data_NFI_t[[#This Row],[Plastic Bucket]],0)</f>
        <v>0</v>
      </c>
      <c r="AC301" s="124">
        <f>IF(NFI_Expiration=1,IF($A301&lt;VLOOKUP(R$5,NFI,5,0),1,0)*Data_NFI_t[[#This Row],[Jerry Can]],0)</f>
        <v>0</v>
      </c>
      <c r="AD301" s="143">
        <f>IF(NFI_Expiration=1,IF($A301&lt;VLOOKUP(S$5,NFI,5,0),1,0)*Data_NFI_t[[#This Row],[Plastic Mat]],0)*IF(Data_NFI_t[[#This Row],[Distribution Date]]&gt;"01-06-2015",1,2.5)</f>
        <v>0</v>
      </c>
      <c r="AE301" s="143" t="str">
        <f ca="1">IFERROR(OFFSET(Camp_List[P_Code],MATCH(Data_NFI_t[[#This Row],[Camp Name]],Camp_List[Camp Name],0)-1,0,1,1),"")</f>
        <v>MMR012CMP035</v>
      </c>
      <c r="AF301" s="572" t="str">
        <f ca="1">IFERROR(OFFSET(Camp_List[Status],MATCH(Data_NFI_t[[#This Row],[Camp Name]],Camp_List[Camp Name],0)-1,0,1,1),"")</f>
        <v>Open</v>
      </c>
    </row>
    <row r="302" spans="1:32" s="100" customFormat="1" ht="15" customHeight="1">
      <c r="A302" s="254">
        <f t="shared" si="4"/>
        <v>42.466666666666669</v>
      </c>
      <c r="B302" s="254">
        <f>YEAR(Data_NFI_t[[#This Row],[Distribution Date]])</f>
        <v>2012</v>
      </c>
      <c r="C302" s="585">
        <v>41248</v>
      </c>
      <c r="D302" s="547" t="s">
        <v>291</v>
      </c>
      <c r="E302" s="546" t="s">
        <v>287</v>
      </c>
      <c r="F302" s="547" t="s">
        <v>7</v>
      </c>
      <c r="G302" s="31" t="s">
        <v>19</v>
      </c>
      <c r="H302" s="31" t="s">
        <v>71</v>
      </c>
      <c r="I302" s="31"/>
      <c r="J302" s="60"/>
      <c r="K302" s="60"/>
      <c r="L302" s="60"/>
      <c r="M302" s="60"/>
      <c r="N302" s="60">
        <v>50</v>
      </c>
      <c r="O302" s="60"/>
      <c r="P302" s="60"/>
      <c r="Q302" s="60"/>
      <c r="R302" s="570"/>
      <c r="S302" s="60"/>
      <c r="T302" s="143">
        <f>IF(NFI_Expiration=1,IF($A302&lt;VLOOKUP(I$5,NFI,5,0),1,0)*Data_NFI_t[[#This Row],[Hygiene Kit]],0)</f>
        <v>0</v>
      </c>
      <c r="U302" s="143">
        <f>IF(NFI_Expiration=1,IF($A302&lt;VLOOKUP(J$5,NFI,5,0),1,0)*Data_NFI_t[[#This Row],[NFI Core Kit]],0)</f>
        <v>0</v>
      </c>
      <c r="V302" s="124">
        <f>IF(NFI_Expiration=1,IF($A302&lt;VLOOKUP(K$5,NFI,5,0),1,0)*Data_NFI_t[[#This Row],[Sanitary Kit]],0)</f>
        <v>0</v>
      </c>
      <c r="W302" s="124">
        <f>IF(NFI_Expiration=1,IF($A302&lt;VLOOKUP(L$5,NFI,5,0),1,0)*Data_NFI_t[[#This Row],[Mosquito net]],0)</f>
        <v>0</v>
      </c>
      <c r="X302" s="124">
        <f>IF(NFI_Expiration=1,IF($A302&lt;VLOOKUP(M$5,NFI,5,0),1,0)*Data_NFI_t[[#This Row],[Tarpaulin]],0)</f>
        <v>0</v>
      </c>
      <c r="Y302" s="124">
        <f>IF(NFI_Expiration=1,IF($A302&lt;VLOOKUP(N$5,NFI,5,0),1,0)*Data_NFI_t[[#This Row],[Blanket]],0)</f>
        <v>0</v>
      </c>
      <c r="Z302" s="124">
        <f>IF(NFI_Expiration=1,IF($A302&lt;VLOOKUP(O$5,NFI,5,0),1,0)*Data_NFI_t[[#This Row],[Kitchen Set]],0)</f>
        <v>0</v>
      </c>
      <c r="AA302" s="124">
        <f>IF(NFI_Expiration=1,IF($A302&lt;VLOOKUP(P$5,NFI,5,0),1,0)*Data_NFI_t[[#This Row],[Complementary Kit]],0)</f>
        <v>0</v>
      </c>
      <c r="AB302" s="124">
        <f>IF(NFI_Expiration=1,IF($A302&lt;VLOOKUP(Q$5,NFI,5,0),1,0)*Data_NFI_t[[#This Row],[Plastic Bucket]],0)</f>
        <v>0</v>
      </c>
      <c r="AC302" s="124">
        <f>IF(NFI_Expiration=1,IF($A302&lt;VLOOKUP(R$5,NFI,5,0),1,0)*Data_NFI_t[[#This Row],[Jerry Can]],0)</f>
        <v>0</v>
      </c>
      <c r="AD302" s="143">
        <f>IF(NFI_Expiration=1,IF($A302&lt;VLOOKUP(S$5,NFI,5,0),1,0)*Data_NFI_t[[#This Row],[Plastic Mat]],0)*IF(Data_NFI_t[[#This Row],[Distribution Date]]&gt;"01-06-2015",1,2.5)</f>
        <v>0</v>
      </c>
      <c r="AE302" s="143" t="str">
        <f ca="1">IFERROR(OFFSET(Camp_List[P_Code],MATCH(Data_NFI_t[[#This Row],[Camp Name]],Camp_List[Camp Name],0)-1,0,1,1),"")</f>
        <v>MMR012CMP049</v>
      </c>
      <c r="AF302" s="572" t="str">
        <f ca="1">IFERROR(OFFSET(Camp_List[Status],MATCH(Data_NFI_t[[#This Row],[Camp Name]],Camp_List[Camp Name],0)-1,0,1,1),"")</f>
        <v>Close</v>
      </c>
    </row>
    <row r="303" spans="1:32" s="100" customFormat="1" ht="15" customHeight="1">
      <c r="A303" s="254">
        <f t="shared" si="4"/>
        <v>42.533333333333331</v>
      </c>
      <c r="B303" s="254">
        <f>YEAR(Data_NFI_t[[#This Row],[Distribution Date]])</f>
        <v>2012</v>
      </c>
      <c r="C303" s="585">
        <v>41246</v>
      </c>
      <c r="D303" s="547" t="s">
        <v>291</v>
      </c>
      <c r="E303" s="546" t="s">
        <v>287</v>
      </c>
      <c r="F303" s="547" t="s">
        <v>7</v>
      </c>
      <c r="G303" s="31" t="s">
        <v>19</v>
      </c>
      <c r="H303" s="31" t="s">
        <v>70</v>
      </c>
      <c r="I303" s="31"/>
      <c r="J303" s="60"/>
      <c r="K303" s="60"/>
      <c r="L303" s="60"/>
      <c r="M303" s="60"/>
      <c r="N303" s="60">
        <v>92</v>
      </c>
      <c r="O303" s="60"/>
      <c r="P303" s="60"/>
      <c r="Q303" s="60"/>
      <c r="R303" s="570"/>
      <c r="S303" s="60"/>
      <c r="T303" s="143">
        <f>IF(NFI_Expiration=1,IF($A303&lt;VLOOKUP(I$5,NFI,5,0),1,0)*Data_NFI_t[[#This Row],[Hygiene Kit]],0)</f>
        <v>0</v>
      </c>
      <c r="U303" s="143">
        <f>IF(NFI_Expiration=1,IF($A303&lt;VLOOKUP(J$5,NFI,5,0),1,0)*Data_NFI_t[[#This Row],[NFI Core Kit]],0)</f>
        <v>0</v>
      </c>
      <c r="V303" s="124">
        <f>IF(NFI_Expiration=1,IF($A303&lt;VLOOKUP(K$5,NFI,5,0),1,0)*Data_NFI_t[[#This Row],[Sanitary Kit]],0)</f>
        <v>0</v>
      </c>
      <c r="W303" s="124">
        <f>IF(NFI_Expiration=1,IF($A303&lt;VLOOKUP(L$5,NFI,5,0),1,0)*Data_NFI_t[[#This Row],[Mosquito net]],0)</f>
        <v>0</v>
      </c>
      <c r="X303" s="124">
        <f>IF(NFI_Expiration=1,IF($A303&lt;VLOOKUP(M$5,NFI,5,0),1,0)*Data_NFI_t[[#This Row],[Tarpaulin]],0)</f>
        <v>0</v>
      </c>
      <c r="Y303" s="124">
        <f>IF(NFI_Expiration=1,IF($A303&lt;VLOOKUP(N$5,NFI,5,0),1,0)*Data_NFI_t[[#This Row],[Blanket]],0)</f>
        <v>0</v>
      </c>
      <c r="Z303" s="124">
        <f>IF(NFI_Expiration=1,IF($A303&lt;VLOOKUP(O$5,NFI,5,0),1,0)*Data_NFI_t[[#This Row],[Kitchen Set]],0)</f>
        <v>0</v>
      </c>
      <c r="AA303" s="124">
        <f>IF(NFI_Expiration=1,IF($A303&lt;VLOOKUP(P$5,NFI,5,0),1,0)*Data_NFI_t[[#This Row],[Complementary Kit]],0)</f>
        <v>0</v>
      </c>
      <c r="AB303" s="124">
        <f>IF(NFI_Expiration=1,IF($A303&lt;VLOOKUP(Q$5,NFI,5,0),1,0)*Data_NFI_t[[#This Row],[Plastic Bucket]],0)</f>
        <v>0</v>
      </c>
      <c r="AC303" s="124">
        <f>IF(NFI_Expiration=1,IF($A303&lt;VLOOKUP(R$5,NFI,5,0),1,0)*Data_NFI_t[[#This Row],[Jerry Can]],0)</f>
        <v>0</v>
      </c>
      <c r="AD303" s="143">
        <f>IF(NFI_Expiration=1,IF($A303&lt;VLOOKUP(S$5,NFI,5,0),1,0)*Data_NFI_t[[#This Row],[Plastic Mat]],0)*IF(Data_NFI_t[[#This Row],[Distribution Date]]&gt;"01-06-2015",1,2.5)</f>
        <v>0</v>
      </c>
      <c r="AE303" s="143" t="str">
        <f ca="1">IFERROR(OFFSET(Camp_List[P_Code],MATCH(Data_NFI_t[[#This Row],[Camp Name]],Camp_List[Camp Name],0)-1,0,1,1),"")</f>
        <v>MMR012CMP048</v>
      </c>
      <c r="AF303" s="572" t="str">
        <f ca="1">IFERROR(OFFSET(Camp_List[Status],MATCH(Data_NFI_t[[#This Row],[Camp Name]],Camp_List[Camp Name],0)-1,0,1,1),"")</f>
        <v>Open</v>
      </c>
    </row>
    <row r="304" spans="1:32" s="100" customFormat="1" ht="15" customHeight="1">
      <c r="A304" s="254">
        <f t="shared" si="4"/>
        <v>42.633333333333333</v>
      </c>
      <c r="B304" s="254">
        <f>YEAR(Data_NFI_t[[#This Row],[Distribution Date]])</f>
        <v>2012</v>
      </c>
      <c r="C304" s="585">
        <v>41243</v>
      </c>
      <c r="D304" s="547" t="s">
        <v>287</v>
      </c>
      <c r="E304" s="546"/>
      <c r="F304" s="547" t="s">
        <v>7</v>
      </c>
      <c r="G304" s="31" t="s">
        <v>11</v>
      </c>
      <c r="H304" s="31" t="s">
        <v>30</v>
      </c>
      <c r="I304" s="31"/>
      <c r="J304" s="60"/>
      <c r="K304" s="60"/>
      <c r="L304" s="60"/>
      <c r="M304" s="60"/>
      <c r="N304" s="60">
        <v>172</v>
      </c>
      <c r="O304" s="60">
        <v>46</v>
      </c>
      <c r="P304" s="60"/>
      <c r="Q304" s="60"/>
      <c r="R304" s="570"/>
      <c r="S304" s="60"/>
      <c r="T304" s="143">
        <f>IF(NFI_Expiration=1,IF($A304&lt;VLOOKUP(I$5,NFI,5,0),1,0)*Data_NFI_t[[#This Row],[Hygiene Kit]],0)</f>
        <v>0</v>
      </c>
      <c r="U304" s="143">
        <f>IF(NFI_Expiration=1,IF($A304&lt;VLOOKUP(J$5,NFI,5,0),1,0)*Data_NFI_t[[#This Row],[NFI Core Kit]],0)</f>
        <v>0</v>
      </c>
      <c r="V304" s="124">
        <f>IF(NFI_Expiration=1,IF($A304&lt;VLOOKUP(K$5,NFI,5,0),1,0)*Data_NFI_t[[#This Row],[Sanitary Kit]],0)</f>
        <v>0</v>
      </c>
      <c r="W304" s="124">
        <f>IF(NFI_Expiration=1,IF($A304&lt;VLOOKUP(L$5,NFI,5,0),1,0)*Data_NFI_t[[#This Row],[Mosquito net]],0)</f>
        <v>0</v>
      </c>
      <c r="X304" s="124">
        <f>IF(NFI_Expiration=1,IF($A304&lt;VLOOKUP(M$5,NFI,5,0),1,0)*Data_NFI_t[[#This Row],[Tarpaulin]],0)</f>
        <v>0</v>
      </c>
      <c r="Y304" s="124">
        <f>IF(NFI_Expiration=1,IF($A304&lt;VLOOKUP(N$5,NFI,5,0),1,0)*Data_NFI_t[[#This Row],[Blanket]],0)</f>
        <v>0</v>
      </c>
      <c r="Z304" s="124">
        <f>IF(NFI_Expiration=1,IF($A304&lt;VLOOKUP(O$5,NFI,5,0),1,0)*Data_NFI_t[[#This Row],[Kitchen Set]],0)</f>
        <v>0</v>
      </c>
      <c r="AA304" s="124">
        <f>IF(NFI_Expiration=1,IF($A304&lt;VLOOKUP(P$5,NFI,5,0),1,0)*Data_NFI_t[[#This Row],[Complementary Kit]],0)</f>
        <v>0</v>
      </c>
      <c r="AB304" s="124">
        <f>IF(NFI_Expiration=1,IF($A304&lt;VLOOKUP(Q$5,NFI,5,0),1,0)*Data_NFI_t[[#This Row],[Plastic Bucket]],0)</f>
        <v>0</v>
      </c>
      <c r="AC304" s="124">
        <f>IF(NFI_Expiration=1,IF($A304&lt;VLOOKUP(R$5,NFI,5,0),1,0)*Data_NFI_t[[#This Row],[Jerry Can]],0)</f>
        <v>0</v>
      </c>
      <c r="AD304" s="143">
        <f>IF(NFI_Expiration=1,IF($A304&lt;VLOOKUP(S$5,NFI,5,0),1,0)*Data_NFI_t[[#This Row],[Plastic Mat]],0)*IF(Data_NFI_t[[#This Row],[Distribution Date]]&gt;"01-06-2015",1,2.5)</f>
        <v>0</v>
      </c>
      <c r="AE304" s="143" t="str">
        <f ca="1">IFERROR(OFFSET(Camp_List[P_Code],MATCH(Data_NFI_t[[#This Row],[Camp Name]],Camp_List[Camp Name],0)-1,0,1,1),"")</f>
        <v>MMR012CMP006</v>
      </c>
      <c r="AF304" s="572" t="str">
        <f ca="1">IFERROR(OFFSET(Camp_List[Status],MATCH(Data_NFI_t[[#This Row],[Camp Name]],Camp_List[Camp Name],0)-1,0,1,1),"")</f>
        <v>Returned in Individual Housing</v>
      </c>
    </row>
    <row r="305" spans="1:32" s="100" customFormat="1" ht="15" customHeight="1">
      <c r="A305" s="254">
        <f t="shared" si="4"/>
        <v>42.633333333333333</v>
      </c>
      <c r="B305" s="254">
        <f>YEAR(Data_NFI_t[[#This Row],[Distribution Date]])</f>
        <v>2012</v>
      </c>
      <c r="C305" s="585">
        <v>41243</v>
      </c>
      <c r="D305" s="547" t="s">
        <v>287</v>
      </c>
      <c r="E305" s="546"/>
      <c r="F305" s="547" t="s">
        <v>7</v>
      </c>
      <c r="G305" s="31" t="s">
        <v>19</v>
      </c>
      <c r="H305" s="31" t="s">
        <v>73</v>
      </c>
      <c r="I305" s="31"/>
      <c r="J305" s="60"/>
      <c r="K305" s="60"/>
      <c r="L305" s="60"/>
      <c r="M305" s="60">
        <v>130</v>
      </c>
      <c r="N305" s="60"/>
      <c r="O305" s="60"/>
      <c r="P305" s="60"/>
      <c r="Q305" s="60"/>
      <c r="R305" s="570"/>
      <c r="S305" s="60"/>
      <c r="T305" s="143">
        <f>IF(NFI_Expiration=1,IF($A305&lt;VLOOKUP(I$5,NFI,5,0),1,0)*Data_NFI_t[[#This Row],[Hygiene Kit]],0)</f>
        <v>0</v>
      </c>
      <c r="U305" s="143">
        <f>IF(NFI_Expiration=1,IF($A305&lt;VLOOKUP(J$5,NFI,5,0),1,0)*Data_NFI_t[[#This Row],[NFI Core Kit]],0)</f>
        <v>0</v>
      </c>
      <c r="V305" s="124">
        <f>IF(NFI_Expiration=1,IF($A305&lt;VLOOKUP(K$5,NFI,5,0),1,0)*Data_NFI_t[[#This Row],[Sanitary Kit]],0)</f>
        <v>0</v>
      </c>
      <c r="W305" s="124">
        <f>IF(NFI_Expiration=1,IF($A305&lt;VLOOKUP(L$5,NFI,5,0),1,0)*Data_NFI_t[[#This Row],[Mosquito net]],0)</f>
        <v>0</v>
      </c>
      <c r="X305" s="124">
        <f>IF(NFI_Expiration=1,IF($A305&lt;VLOOKUP(M$5,NFI,5,0),1,0)*Data_NFI_t[[#This Row],[Tarpaulin]],0)</f>
        <v>0</v>
      </c>
      <c r="Y305" s="124">
        <f>IF(NFI_Expiration=1,IF($A305&lt;VLOOKUP(N$5,NFI,5,0),1,0)*Data_NFI_t[[#This Row],[Blanket]],0)</f>
        <v>0</v>
      </c>
      <c r="Z305" s="124">
        <f>IF(NFI_Expiration=1,IF($A305&lt;VLOOKUP(O$5,NFI,5,0),1,0)*Data_NFI_t[[#This Row],[Kitchen Set]],0)</f>
        <v>0</v>
      </c>
      <c r="AA305" s="124">
        <f>IF(NFI_Expiration=1,IF($A305&lt;VLOOKUP(P$5,NFI,5,0),1,0)*Data_NFI_t[[#This Row],[Complementary Kit]],0)</f>
        <v>0</v>
      </c>
      <c r="AB305" s="124">
        <f>IF(NFI_Expiration=1,IF($A305&lt;VLOOKUP(Q$5,NFI,5,0),1,0)*Data_NFI_t[[#This Row],[Plastic Bucket]],0)</f>
        <v>0</v>
      </c>
      <c r="AC305" s="124">
        <f>IF(NFI_Expiration=1,IF($A305&lt;VLOOKUP(R$5,NFI,5,0),1,0)*Data_NFI_t[[#This Row],[Jerry Can]],0)</f>
        <v>0</v>
      </c>
      <c r="AD305" s="143">
        <f>IF(NFI_Expiration=1,IF($A305&lt;VLOOKUP(S$5,NFI,5,0),1,0)*Data_NFI_t[[#This Row],[Plastic Mat]],0)*IF(Data_NFI_t[[#This Row],[Distribution Date]]&gt;"01-06-2015",1,2.5)</f>
        <v>0</v>
      </c>
      <c r="AE305" s="143" t="str">
        <f ca="1">IFERROR(OFFSET(Camp_List[P_Code],MATCH(Data_NFI_t[[#This Row],[Camp Name]],Camp_List[Camp Name],0)-1,0,1,1),"")</f>
        <v>MMR012CMP051</v>
      </c>
      <c r="AF305" s="572" t="str">
        <f ca="1">IFERROR(OFFSET(Camp_List[Status],MATCH(Data_NFI_t[[#This Row],[Camp Name]],Camp_List[Camp Name],0)-1,0,1,1),"")</f>
        <v>Close</v>
      </c>
    </row>
    <row r="306" spans="1:32" s="100" customFormat="1" ht="15" customHeight="1">
      <c r="A306" s="254">
        <f t="shared" si="4"/>
        <v>42.633333333333333</v>
      </c>
      <c r="B306" s="254">
        <f>YEAR(Data_NFI_t[[#This Row],[Distribution Date]])</f>
        <v>2012</v>
      </c>
      <c r="C306" s="585">
        <v>41243</v>
      </c>
      <c r="D306" s="547" t="s">
        <v>287</v>
      </c>
      <c r="E306" s="546"/>
      <c r="F306" s="547" t="s">
        <v>7</v>
      </c>
      <c r="G306" s="31" t="s">
        <v>19</v>
      </c>
      <c r="H306" s="31" t="s">
        <v>73</v>
      </c>
      <c r="I306" s="31"/>
      <c r="J306" s="60"/>
      <c r="K306" s="60"/>
      <c r="L306" s="60"/>
      <c r="M306" s="60">
        <v>314</v>
      </c>
      <c r="N306" s="60"/>
      <c r="O306" s="60"/>
      <c r="P306" s="60"/>
      <c r="Q306" s="60"/>
      <c r="R306" s="570"/>
      <c r="S306" s="60"/>
      <c r="T306" s="143">
        <f>IF(NFI_Expiration=1,IF($A306&lt;VLOOKUP(I$5,NFI,5,0),1,0)*Data_NFI_t[[#This Row],[Hygiene Kit]],0)</f>
        <v>0</v>
      </c>
      <c r="U306" s="143">
        <f>IF(NFI_Expiration=1,IF($A306&lt;VLOOKUP(J$5,NFI,5,0),1,0)*Data_NFI_t[[#This Row],[NFI Core Kit]],0)</f>
        <v>0</v>
      </c>
      <c r="V306" s="124">
        <f>IF(NFI_Expiration=1,IF($A306&lt;VLOOKUP(K$5,NFI,5,0),1,0)*Data_NFI_t[[#This Row],[Sanitary Kit]],0)</f>
        <v>0</v>
      </c>
      <c r="W306" s="124">
        <f>IF(NFI_Expiration=1,IF($A306&lt;VLOOKUP(L$5,NFI,5,0),1,0)*Data_NFI_t[[#This Row],[Mosquito net]],0)</f>
        <v>0</v>
      </c>
      <c r="X306" s="124">
        <f>IF(NFI_Expiration=1,IF($A306&lt;VLOOKUP(M$5,NFI,5,0),1,0)*Data_NFI_t[[#This Row],[Tarpaulin]],0)</f>
        <v>0</v>
      </c>
      <c r="Y306" s="124">
        <f>IF(NFI_Expiration=1,IF($A306&lt;VLOOKUP(N$5,NFI,5,0),1,0)*Data_NFI_t[[#This Row],[Blanket]],0)</f>
        <v>0</v>
      </c>
      <c r="Z306" s="124">
        <f>IF(NFI_Expiration=1,IF($A306&lt;VLOOKUP(O$5,NFI,5,0),1,0)*Data_NFI_t[[#This Row],[Kitchen Set]],0)</f>
        <v>0</v>
      </c>
      <c r="AA306" s="124">
        <f>IF(NFI_Expiration=1,IF($A306&lt;VLOOKUP(P$5,NFI,5,0),1,0)*Data_NFI_t[[#This Row],[Complementary Kit]],0)</f>
        <v>0</v>
      </c>
      <c r="AB306" s="124">
        <f>IF(NFI_Expiration=1,IF($A306&lt;VLOOKUP(Q$5,NFI,5,0),1,0)*Data_NFI_t[[#This Row],[Plastic Bucket]],0)</f>
        <v>0</v>
      </c>
      <c r="AC306" s="124">
        <f>IF(NFI_Expiration=1,IF($A306&lt;VLOOKUP(R$5,NFI,5,0),1,0)*Data_NFI_t[[#This Row],[Jerry Can]],0)</f>
        <v>0</v>
      </c>
      <c r="AD306" s="143">
        <f>IF(NFI_Expiration=1,IF($A306&lt;VLOOKUP(S$5,NFI,5,0),1,0)*Data_NFI_t[[#This Row],[Plastic Mat]],0)*IF(Data_NFI_t[[#This Row],[Distribution Date]]&gt;"01-06-2015",1,2.5)</f>
        <v>0</v>
      </c>
      <c r="AE306" s="143" t="str">
        <f ca="1">IFERROR(OFFSET(Camp_List[P_Code],MATCH(Data_NFI_t[[#This Row],[Camp Name]],Camp_List[Camp Name],0)-1,0,1,1),"")</f>
        <v>MMR012CMP051</v>
      </c>
      <c r="AF306" s="572" t="str">
        <f ca="1">IFERROR(OFFSET(Camp_List[Status],MATCH(Data_NFI_t[[#This Row],[Camp Name]],Camp_List[Camp Name],0)-1,0,1,1),"")</f>
        <v>Close</v>
      </c>
    </row>
    <row r="307" spans="1:32" s="100" customFormat="1" ht="15" customHeight="1">
      <c r="A307" s="254">
        <f t="shared" si="4"/>
        <v>42.633333333333333</v>
      </c>
      <c r="B307" s="254">
        <f>YEAR(Data_NFI_t[[#This Row],[Distribution Date]])</f>
        <v>2012</v>
      </c>
      <c r="C307" s="585">
        <v>41243</v>
      </c>
      <c r="D307" s="547" t="s">
        <v>287</v>
      </c>
      <c r="E307" s="546"/>
      <c r="F307" s="547" t="s">
        <v>7</v>
      </c>
      <c r="G307" s="31" t="s">
        <v>900</v>
      </c>
      <c r="H307" s="31" t="s">
        <v>37</v>
      </c>
      <c r="I307" s="31"/>
      <c r="J307" s="60"/>
      <c r="K307" s="60"/>
      <c r="L307" s="60">
        <v>88</v>
      </c>
      <c r="M307" s="60">
        <v>44</v>
      </c>
      <c r="N307" s="60">
        <v>88</v>
      </c>
      <c r="O307" s="60">
        <v>44</v>
      </c>
      <c r="P307" s="60">
        <v>44</v>
      </c>
      <c r="Q307" s="60"/>
      <c r="R307" s="570"/>
      <c r="S307" s="60"/>
      <c r="T307" s="143">
        <f>IF(NFI_Expiration=1,IF($A307&lt;VLOOKUP(I$5,NFI,5,0),1,0)*Data_NFI_t[[#This Row],[Hygiene Kit]],0)</f>
        <v>0</v>
      </c>
      <c r="U307" s="143">
        <f>IF(NFI_Expiration=1,IF($A307&lt;VLOOKUP(J$5,NFI,5,0),1,0)*Data_NFI_t[[#This Row],[NFI Core Kit]],0)</f>
        <v>0</v>
      </c>
      <c r="V307" s="124">
        <f>IF(NFI_Expiration=1,IF($A307&lt;VLOOKUP(K$5,NFI,5,0),1,0)*Data_NFI_t[[#This Row],[Sanitary Kit]],0)</f>
        <v>0</v>
      </c>
      <c r="W307" s="124">
        <f>IF(NFI_Expiration=1,IF($A307&lt;VLOOKUP(L$5,NFI,5,0),1,0)*Data_NFI_t[[#This Row],[Mosquito net]],0)</f>
        <v>0</v>
      </c>
      <c r="X307" s="124">
        <f>IF(NFI_Expiration=1,IF($A307&lt;VLOOKUP(M$5,NFI,5,0),1,0)*Data_NFI_t[[#This Row],[Tarpaulin]],0)</f>
        <v>0</v>
      </c>
      <c r="Y307" s="124">
        <f>IF(NFI_Expiration=1,IF($A307&lt;VLOOKUP(N$5,NFI,5,0),1,0)*Data_NFI_t[[#This Row],[Blanket]],0)</f>
        <v>0</v>
      </c>
      <c r="Z307" s="124">
        <f>IF(NFI_Expiration=1,IF($A307&lt;VLOOKUP(O$5,NFI,5,0),1,0)*Data_NFI_t[[#This Row],[Kitchen Set]],0)</f>
        <v>0</v>
      </c>
      <c r="AA307" s="124">
        <f>IF(NFI_Expiration=1,IF($A307&lt;VLOOKUP(P$5,NFI,5,0),1,0)*Data_NFI_t[[#This Row],[Complementary Kit]],0)</f>
        <v>0</v>
      </c>
      <c r="AB307" s="124">
        <f>IF(NFI_Expiration=1,IF($A307&lt;VLOOKUP(Q$5,NFI,5,0),1,0)*Data_NFI_t[[#This Row],[Plastic Bucket]],0)</f>
        <v>0</v>
      </c>
      <c r="AC307" s="124">
        <f>IF(NFI_Expiration=1,IF($A307&lt;VLOOKUP(R$5,NFI,5,0),1,0)*Data_NFI_t[[#This Row],[Jerry Can]],0)</f>
        <v>0</v>
      </c>
      <c r="AD307" s="143">
        <f>IF(NFI_Expiration=1,IF($A307&lt;VLOOKUP(S$5,NFI,5,0),1,0)*Data_NFI_t[[#This Row],[Plastic Mat]],0)*IF(Data_NFI_t[[#This Row],[Distribution Date]]&gt;"01-06-2015",1,2.5)</f>
        <v>0</v>
      </c>
      <c r="AE307" s="143" t="str">
        <f ca="1">IFERROR(OFFSET(Camp_List[P_Code],MATCH(Data_NFI_t[[#This Row],[Camp Name]],Camp_List[Camp Name],0)-1,0,1,1),"")</f>
        <v>MMR012CMP013</v>
      </c>
      <c r="AF307" s="572" t="str">
        <f ca="1">IFERROR(OFFSET(Camp_List[Status],MATCH(Data_NFI_t[[#This Row],[Camp Name]],Camp_List[Camp Name],0)-1,0,1,1),"")</f>
        <v>Open</v>
      </c>
    </row>
    <row r="308" spans="1:32" s="100" customFormat="1" ht="15" customHeight="1">
      <c r="A308" s="254">
        <f t="shared" si="4"/>
        <v>42.633333333333333</v>
      </c>
      <c r="B308" s="254">
        <f>YEAR(Data_NFI_t[[#This Row],[Distribution Date]])</f>
        <v>2012</v>
      </c>
      <c r="C308" s="585">
        <v>41243</v>
      </c>
      <c r="D308" s="547" t="s">
        <v>287</v>
      </c>
      <c r="E308" s="546"/>
      <c r="F308" s="547" t="s">
        <v>7</v>
      </c>
      <c r="G308" s="31" t="s">
        <v>19</v>
      </c>
      <c r="H308" s="31" t="s">
        <v>72</v>
      </c>
      <c r="I308" s="31"/>
      <c r="J308" s="60"/>
      <c r="K308" s="60"/>
      <c r="L308" s="60"/>
      <c r="M308" s="60">
        <v>822</v>
      </c>
      <c r="N308" s="60"/>
      <c r="O308" s="60"/>
      <c r="P308" s="60"/>
      <c r="Q308" s="60"/>
      <c r="R308" s="570"/>
      <c r="S308" s="60"/>
      <c r="T308" s="143">
        <f>IF(NFI_Expiration=1,IF($A308&lt;VLOOKUP(I$5,NFI,5,0),1,0)*Data_NFI_t[[#This Row],[Hygiene Kit]],0)</f>
        <v>0</v>
      </c>
      <c r="U308" s="143">
        <f>IF(NFI_Expiration=1,IF($A308&lt;VLOOKUP(J$5,NFI,5,0),1,0)*Data_NFI_t[[#This Row],[NFI Core Kit]],0)</f>
        <v>0</v>
      </c>
      <c r="V308" s="124">
        <f>IF(NFI_Expiration=1,IF($A308&lt;VLOOKUP(K$5,NFI,5,0),1,0)*Data_NFI_t[[#This Row],[Sanitary Kit]],0)</f>
        <v>0</v>
      </c>
      <c r="W308" s="124">
        <f>IF(NFI_Expiration=1,IF($A308&lt;VLOOKUP(L$5,NFI,5,0),1,0)*Data_NFI_t[[#This Row],[Mosquito net]],0)</f>
        <v>0</v>
      </c>
      <c r="X308" s="124">
        <f>IF(NFI_Expiration=1,IF($A308&lt;VLOOKUP(M$5,NFI,5,0),1,0)*Data_NFI_t[[#This Row],[Tarpaulin]],0)</f>
        <v>0</v>
      </c>
      <c r="Y308" s="124">
        <f>IF(NFI_Expiration=1,IF($A308&lt;VLOOKUP(N$5,NFI,5,0),1,0)*Data_NFI_t[[#This Row],[Blanket]],0)</f>
        <v>0</v>
      </c>
      <c r="Z308" s="124">
        <f>IF(NFI_Expiration=1,IF($A308&lt;VLOOKUP(O$5,NFI,5,0),1,0)*Data_NFI_t[[#This Row],[Kitchen Set]],0)</f>
        <v>0</v>
      </c>
      <c r="AA308" s="124">
        <f>IF(NFI_Expiration=1,IF($A308&lt;VLOOKUP(P$5,NFI,5,0),1,0)*Data_NFI_t[[#This Row],[Complementary Kit]],0)</f>
        <v>0</v>
      </c>
      <c r="AB308" s="124">
        <f>IF(NFI_Expiration=1,IF($A308&lt;VLOOKUP(Q$5,NFI,5,0),1,0)*Data_NFI_t[[#This Row],[Plastic Bucket]],0)</f>
        <v>0</v>
      </c>
      <c r="AC308" s="124">
        <f>IF(NFI_Expiration=1,IF($A308&lt;VLOOKUP(R$5,NFI,5,0),1,0)*Data_NFI_t[[#This Row],[Jerry Can]],0)</f>
        <v>0</v>
      </c>
      <c r="AD308" s="143">
        <f>IF(NFI_Expiration=1,IF($A308&lt;VLOOKUP(S$5,NFI,5,0),1,0)*Data_NFI_t[[#This Row],[Plastic Mat]],0)*IF(Data_NFI_t[[#This Row],[Distribution Date]]&gt;"01-06-2015",1,2.5)</f>
        <v>0</v>
      </c>
      <c r="AE308" s="143" t="str">
        <f ca="1">IFERROR(OFFSET(Camp_List[P_Code],MATCH(Data_NFI_t[[#This Row],[Camp Name]],Camp_List[Camp Name],0)-1,0,1,1),"")</f>
        <v>MMR012CMP050</v>
      </c>
      <c r="AF308" s="572" t="str">
        <f ca="1">IFERROR(OFFSET(Camp_List[Status],MATCH(Data_NFI_t[[#This Row],[Camp Name]],Camp_List[Camp Name],0)-1,0,1,1),"")</f>
        <v>Close</v>
      </c>
    </row>
    <row r="309" spans="1:32" s="100" customFormat="1" ht="15" customHeight="1">
      <c r="A309" s="254">
        <f t="shared" si="4"/>
        <v>42.633333333333333</v>
      </c>
      <c r="B309" s="254">
        <f>YEAR(Data_NFI_t[[#This Row],[Distribution Date]])</f>
        <v>2012</v>
      </c>
      <c r="C309" s="585">
        <v>41243</v>
      </c>
      <c r="D309" s="547" t="s">
        <v>287</v>
      </c>
      <c r="E309" s="546"/>
      <c r="F309" s="547" t="s">
        <v>7</v>
      </c>
      <c r="G309" s="31" t="s">
        <v>900</v>
      </c>
      <c r="H309" s="31" t="s">
        <v>38</v>
      </c>
      <c r="I309" s="31"/>
      <c r="J309" s="60"/>
      <c r="K309" s="60"/>
      <c r="L309" s="60"/>
      <c r="M309" s="60"/>
      <c r="N309" s="60"/>
      <c r="O309" s="60"/>
      <c r="P309" s="60">
        <v>705</v>
      </c>
      <c r="Q309" s="60"/>
      <c r="R309" s="570"/>
      <c r="S309" s="60"/>
      <c r="T309" s="143">
        <f>IF(NFI_Expiration=1,IF($A309&lt;VLOOKUP(I$5,NFI,5,0),1,0)*Data_NFI_t[[#This Row],[Hygiene Kit]],0)</f>
        <v>0</v>
      </c>
      <c r="U309" s="143">
        <f>IF(NFI_Expiration=1,IF($A309&lt;VLOOKUP(J$5,NFI,5,0),1,0)*Data_NFI_t[[#This Row],[NFI Core Kit]],0)</f>
        <v>0</v>
      </c>
      <c r="V309" s="124">
        <f>IF(NFI_Expiration=1,IF($A309&lt;VLOOKUP(K$5,NFI,5,0),1,0)*Data_NFI_t[[#This Row],[Sanitary Kit]],0)</f>
        <v>0</v>
      </c>
      <c r="W309" s="124">
        <f>IF(NFI_Expiration=1,IF($A309&lt;VLOOKUP(L$5,NFI,5,0),1,0)*Data_NFI_t[[#This Row],[Mosquito net]],0)</f>
        <v>0</v>
      </c>
      <c r="X309" s="124">
        <f>IF(NFI_Expiration=1,IF($A309&lt;VLOOKUP(M$5,NFI,5,0),1,0)*Data_NFI_t[[#This Row],[Tarpaulin]],0)</f>
        <v>0</v>
      </c>
      <c r="Y309" s="124">
        <f>IF(NFI_Expiration=1,IF($A309&lt;VLOOKUP(N$5,NFI,5,0),1,0)*Data_NFI_t[[#This Row],[Blanket]],0)</f>
        <v>0</v>
      </c>
      <c r="Z309" s="124">
        <f>IF(NFI_Expiration=1,IF($A309&lt;VLOOKUP(O$5,NFI,5,0),1,0)*Data_NFI_t[[#This Row],[Kitchen Set]],0)</f>
        <v>0</v>
      </c>
      <c r="AA309" s="124">
        <f>IF(NFI_Expiration=1,IF($A309&lt;VLOOKUP(P$5,NFI,5,0),1,0)*Data_NFI_t[[#This Row],[Complementary Kit]],0)</f>
        <v>0</v>
      </c>
      <c r="AB309" s="124">
        <f>IF(NFI_Expiration=1,IF($A309&lt;VLOOKUP(Q$5,NFI,5,0),1,0)*Data_NFI_t[[#This Row],[Plastic Bucket]],0)</f>
        <v>0</v>
      </c>
      <c r="AC309" s="124">
        <f>IF(NFI_Expiration=1,IF($A309&lt;VLOOKUP(R$5,NFI,5,0),1,0)*Data_NFI_t[[#This Row],[Jerry Can]],0)</f>
        <v>0</v>
      </c>
      <c r="AD309" s="143">
        <f>IF(NFI_Expiration=1,IF($A309&lt;VLOOKUP(S$5,NFI,5,0),1,0)*Data_NFI_t[[#This Row],[Plastic Mat]],0)*IF(Data_NFI_t[[#This Row],[Distribution Date]]&gt;"01-06-2015",1,2.5)</f>
        <v>0</v>
      </c>
      <c r="AE309" s="143" t="str">
        <f ca="1">IFERROR(OFFSET(Camp_List[P_Code],MATCH(Data_NFI_t[[#This Row],[Camp Name]],Camp_List[Camp Name],0)-1,0,1,1),"")</f>
        <v>MMR012CMP014</v>
      </c>
      <c r="AF309" s="572" t="str">
        <f ca="1">IFERROR(OFFSET(Camp_List[Status],MATCH(Data_NFI_t[[#This Row],[Camp Name]],Camp_List[Camp Name],0)-1,0,1,1),"")</f>
        <v>Open</v>
      </c>
    </row>
    <row r="310" spans="1:32" s="100" customFormat="1" ht="15" customHeight="1">
      <c r="A310" s="254">
        <f t="shared" si="4"/>
        <v>42.633333333333333</v>
      </c>
      <c r="B310" s="254">
        <f>YEAR(Data_NFI_t[[#This Row],[Distribution Date]])</f>
        <v>2012</v>
      </c>
      <c r="C310" s="585">
        <v>41243</v>
      </c>
      <c r="D310" s="547" t="s">
        <v>291</v>
      </c>
      <c r="E310" s="546" t="s">
        <v>287</v>
      </c>
      <c r="F310" s="547" t="s">
        <v>7</v>
      </c>
      <c r="G310" s="31" t="s">
        <v>19</v>
      </c>
      <c r="H310" s="31" t="s">
        <v>70</v>
      </c>
      <c r="I310" s="31"/>
      <c r="J310" s="60"/>
      <c r="K310" s="60"/>
      <c r="L310" s="60"/>
      <c r="M310" s="60"/>
      <c r="N310" s="60">
        <v>100</v>
      </c>
      <c r="O310" s="60"/>
      <c r="P310" s="60"/>
      <c r="Q310" s="60"/>
      <c r="R310" s="570"/>
      <c r="S310" s="60"/>
      <c r="T310" s="143">
        <f>IF(NFI_Expiration=1,IF($A310&lt;VLOOKUP(I$5,NFI,5,0),1,0)*Data_NFI_t[[#This Row],[Hygiene Kit]],0)</f>
        <v>0</v>
      </c>
      <c r="U310" s="143">
        <f>IF(NFI_Expiration=1,IF($A310&lt;VLOOKUP(J$5,NFI,5,0),1,0)*Data_NFI_t[[#This Row],[NFI Core Kit]],0)</f>
        <v>0</v>
      </c>
      <c r="V310" s="124">
        <f>IF(NFI_Expiration=1,IF($A310&lt;VLOOKUP(K$5,NFI,5,0),1,0)*Data_NFI_t[[#This Row],[Sanitary Kit]],0)</f>
        <v>0</v>
      </c>
      <c r="W310" s="124">
        <f>IF(NFI_Expiration=1,IF($A310&lt;VLOOKUP(L$5,NFI,5,0),1,0)*Data_NFI_t[[#This Row],[Mosquito net]],0)</f>
        <v>0</v>
      </c>
      <c r="X310" s="124">
        <f>IF(NFI_Expiration=1,IF($A310&lt;VLOOKUP(M$5,NFI,5,0),1,0)*Data_NFI_t[[#This Row],[Tarpaulin]],0)</f>
        <v>0</v>
      </c>
      <c r="Y310" s="124">
        <f>IF(NFI_Expiration=1,IF($A310&lt;VLOOKUP(N$5,NFI,5,0),1,0)*Data_NFI_t[[#This Row],[Blanket]],0)</f>
        <v>0</v>
      </c>
      <c r="Z310" s="124">
        <f>IF(NFI_Expiration=1,IF($A310&lt;VLOOKUP(O$5,NFI,5,0),1,0)*Data_NFI_t[[#This Row],[Kitchen Set]],0)</f>
        <v>0</v>
      </c>
      <c r="AA310" s="124">
        <f>IF(NFI_Expiration=1,IF($A310&lt;VLOOKUP(P$5,NFI,5,0),1,0)*Data_NFI_t[[#This Row],[Complementary Kit]],0)</f>
        <v>0</v>
      </c>
      <c r="AB310" s="124">
        <f>IF(NFI_Expiration=1,IF($A310&lt;VLOOKUP(Q$5,NFI,5,0),1,0)*Data_NFI_t[[#This Row],[Plastic Bucket]],0)</f>
        <v>0</v>
      </c>
      <c r="AC310" s="124">
        <f>IF(NFI_Expiration=1,IF($A310&lt;VLOOKUP(R$5,NFI,5,0),1,0)*Data_NFI_t[[#This Row],[Jerry Can]],0)</f>
        <v>0</v>
      </c>
      <c r="AD310" s="143">
        <f>IF(NFI_Expiration=1,IF($A310&lt;VLOOKUP(S$5,NFI,5,0),1,0)*Data_NFI_t[[#This Row],[Plastic Mat]],0)*IF(Data_NFI_t[[#This Row],[Distribution Date]]&gt;"01-06-2015",1,2.5)</f>
        <v>0</v>
      </c>
      <c r="AE310" s="143" t="str">
        <f ca="1">IFERROR(OFFSET(Camp_List[P_Code],MATCH(Data_NFI_t[[#This Row],[Camp Name]],Camp_List[Camp Name],0)-1,0,1,1),"")</f>
        <v>MMR012CMP048</v>
      </c>
      <c r="AF310" s="572" t="str">
        <f ca="1">IFERROR(OFFSET(Camp_List[Status],MATCH(Data_NFI_t[[#This Row],[Camp Name]],Camp_List[Camp Name],0)-1,0,1,1),"")</f>
        <v>Open</v>
      </c>
    </row>
    <row r="311" spans="1:32" s="100" customFormat="1" ht="15" customHeight="1">
      <c r="A311" s="254">
        <f t="shared" si="4"/>
        <v>42.93333333333333</v>
      </c>
      <c r="B311" s="254">
        <f>YEAR(Data_NFI_t[[#This Row],[Distribution Date]])</f>
        <v>2012</v>
      </c>
      <c r="C311" s="585">
        <v>41234</v>
      </c>
      <c r="D311" s="547" t="s">
        <v>287</v>
      </c>
      <c r="E311" s="546"/>
      <c r="F311" s="547" t="s">
        <v>7</v>
      </c>
      <c r="G311" s="31" t="s">
        <v>11</v>
      </c>
      <c r="H311" s="31" t="s">
        <v>28</v>
      </c>
      <c r="I311" s="31"/>
      <c r="J311" s="60"/>
      <c r="K311" s="60"/>
      <c r="L311" s="60"/>
      <c r="M311" s="60">
        <v>129</v>
      </c>
      <c r="N311" s="60"/>
      <c r="O311" s="60"/>
      <c r="P311" s="60"/>
      <c r="Q311" s="60"/>
      <c r="R311" s="570"/>
      <c r="S311" s="60"/>
      <c r="T311" s="143">
        <f>IF(NFI_Expiration=1,IF($A311&lt;VLOOKUP(I$5,NFI,5,0),1,0)*Data_NFI_t[[#This Row],[Hygiene Kit]],0)</f>
        <v>0</v>
      </c>
      <c r="U311" s="143">
        <f>IF(NFI_Expiration=1,IF($A311&lt;VLOOKUP(J$5,NFI,5,0),1,0)*Data_NFI_t[[#This Row],[NFI Core Kit]],0)</f>
        <v>0</v>
      </c>
      <c r="V311" s="124">
        <f>IF(NFI_Expiration=1,IF($A311&lt;VLOOKUP(K$5,NFI,5,0),1,0)*Data_NFI_t[[#This Row],[Sanitary Kit]],0)</f>
        <v>0</v>
      </c>
      <c r="W311" s="124">
        <f>IF(NFI_Expiration=1,IF($A311&lt;VLOOKUP(L$5,NFI,5,0),1,0)*Data_NFI_t[[#This Row],[Mosquito net]],0)</f>
        <v>0</v>
      </c>
      <c r="X311" s="124">
        <f>IF(NFI_Expiration=1,IF($A311&lt;VLOOKUP(M$5,NFI,5,0),1,0)*Data_NFI_t[[#This Row],[Tarpaulin]],0)</f>
        <v>0</v>
      </c>
      <c r="Y311" s="124">
        <f>IF(NFI_Expiration=1,IF($A311&lt;VLOOKUP(N$5,NFI,5,0),1,0)*Data_NFI_t[[#This Row],[Blanket]],0)</f>
        <v>0</v>
      </c>
      <c r="Z311" s="124">
        <f>IF(NFI_Expiration=1,IF($A311&lt;VLOOKUP(O$5,NFI,5,0),1,0)*Data_NFI_t[[#This Row],[Kitchen Set]],0)</f>
        <v>0</v>
      </c>
      <c r="AA311" s="124">
        <f>IF(NFI_Expiration=1,IF($A311&lt;VLOOKUP(P$5,NFI,5,0),1,0)*Data_NFI_t[[#This Row],[Complementary Kit]],0)</f>
        <v>0</v>
      </c>
      <c r="AB311" s="124">
        <f>IF(NFI_Expiration=1,IF($A311&lt;VLOOKUP(Q$5,NFI,5,0),1,0)*Data_NFI_t[[#This Row],[Plastic Bucket]],0)</f>
        <v>0</v>
      </c>
      <c r="AC311" s="124">
        <f>IF(NFI_Expiration=1,IF($A311&lt;VLOOKUP(R$5,NFI,5,0),1,0)*Data_NFI_t[[#This Row],[Jerry Can]],0)</f>
        <v>0</v>
      </c>
      <c r="AD311" s="143">
        <f>IF(NFI_Expiration=1,IF($A311&lt;VLOOKUP(S$5,NFI,5,0),1,0)*Data_NFI_t[[#This Row],[Plastic Mat]],0)*IF(Data_NFI_t[[#This Row],[Distribution Date]]&gt;"01-06-2015",1,2.5)</f>
        <v>0</v>
      </c>
      <c r="AE311" s="143" t="str">
        <f ca="1">IFERROR(OFFSET(Camp_List[P_Code],MATCH(Data_NFI_t[[#This Row],[Camp Name]],Camp_List[Camp Name],0)-1,0,1,1),"")</f>
        <v>MMR012CMP004</v>
      </c>
      <c r="AF311" s="572" t="str">
        <f ca="1">IFERROR(OFFSET(Camp_List[Status],MATCH(Data_NFI_t[[#This Row],[Camp Name]],Camp_List[Camp Name],0)-1,0,1,1),"")</f>
        <v>Close</v>
      </c>
    </row>
    <row r="312" spans="1:32" s="100" customFormat="1" ht="15" customHeight="1">
      <c r="A312" s="254">
        <f t="shared" si="4"/>
        <v>42.93333333333333</v>
      </c>
      <c r="B312" s="254">
        <f>YEAR(Data_NFI_t[[#This Row],[Distribution Date]])</f>
        <v>2012</v>
      </c>
      <c r="C312" s="585">
        <v>41234</v>
      </c>
      <c r="D312" s="547" t="s">
        <v>287</v>
      </c>
      <c r="E312" s="546"/>
      <c r="F312" s="547" t="s">
        <v>7</v>
      </c>
      <c r="G312" s="31" t="s">
        <v>12</v>
      </c>
      <c r="H312" s="31" t="s">
        <v>33</v>
      </c>
      <c r="I312" s="31"/>
      <c r="J312" s="60"/>
      <c r="K312" s="60"/>
      <c r="L312" s="60"/>
      <c r="M312" s="60">
        <v>140</v>
      </c>
      <c r="N312" s="60"/>
      <c r="O312" s="60"/>
      <c r="P312" s="60"/>
      <c r="Q312" s="60"/>
      <c r="R312" s="570"/>
      <c r="S312" s="60"/>
      <c r="T312" s="143">
        <f>IF(NFI_Expiration=1,IF($A312&lt;VLOOKUP(I$5,NFI,5,0),1,0)*Data_NFI_t[[#This Row],[Hygiene Kit]],0)</f>
        <v>0</v>
      </c>
      <c r="U312" s="143">
        <f>IF(NFI_Expiration=1,IF($A312&lt;VLOOKUP(J$5,NFI,5,0),1,0)*Data_NFI_t[[#This Row],[NFI Core Kit]],0)</f>
        <v>0</v>
      </c>
      <c r="V312" s="124">
        <f>IF(NFI_Expiration=1,IF($A312&lt;VLOOKUP(K$5,NFI,5,0),1,0)*Data_NFI_t[[#This Row],[Sanitary Kit]],0)</f>
        <v>0</v>
      </c>
      <c r="W312" s="124">
        <f>IF(NFI_Expiration=1,IF($A312&lt;VLOOKUP(L$5,NFI,5,0),1,0)*Data_NFI_t[[#This Row],[Mosquito net]],0)</f>
        <v>0</v>
      </c>
      <c r="X312" s="124">
        <f>IF(NFI_Expiration=1,IF($A312&lt;VLOOKUP(M$5,NFI,5,0),1,0)*Data_NFI_t[[#This Row],[Tarpaulin]],0)</f>
        <v>0</v>
      </c>
      <c r="Y312" s="124">
        <f>IF(NFI_Expiration=1,IF($A312&lt;VLOOKUP(N$5,NFI,5,0),1,0)*Data_NFI_t[[#This Row],[Blanket]],0)</f>
        <v>0</v>
      </c>
      <c r="Z312" s="124">
        <f>IF(NFI_Expiration=1,IF($A312&lt;VLOOKUP(O$5,NFI,5,0),1,0)*Data_NFI_t[[#This Row],[Kitchen Set]],0)</f>
        <v>0</v>
      </c>
      <c r="AA312" s="124">
        <f>IF(NFI_Expiration=1,IF($A312&lt;VLOOKUP(P$5,NFI,5,0),1,0)*Data_NFI_t[[#This Row],[Complementary Kit]],0)</f>
        <v>0</v>
      </c>
      <c r="AB312" s="124">
        <f>IF(NFI_Expiration=1,IF($A312&lt;VLOOKUP(Q$5,NFI,5,0),1,0)*Data_NFI_t[[#This Row],[Plastic Bucket]],0)</f>
        <v>0</v>
      </c>
      <c r="AC312" s="124">
        <f>IF(NFI_Expiration=1,IF($A312&lt;VLOOKUP(R$5,NFI,5,0),1,0)*Data_NFI_t[[#This Row],[Jerry Can]],0)</f>
        <v>0</v>
      </c>
      <c r="AD312" s="143">
        <f>IF(NFI_Expiration=1,IF($A312&lt;VLOOKUP(S$5,NFI,5,0),1,0)*Data_NFI_t[[#This Row],[Plastic Mat]],0)*IF(Data_NFI_t[[#This Row],[Distribution Date]]&gt;"01-06-2015",1,2.5)</f>
        <v>0</v>
      </c>
      <c r="AE312" s="143" t="str">
        <f ca="1">IFERROR(OFFSET(Camp_List[P_Code],MATCH(Data_NFI_t[[#This Row],[Camp Name]],Camp_List[Camp Name],0)-1,0,1,1),"")</f>
        <v>MMR012CMP009</v>
      </c>
      <c r="AF312" s="572" t="str">
        <f ca="1">IFERROR(OFFSET(Camp_List[Status],MATCH(Data_NFI_t[[#This Row],[Camp Name]],Camp_List[Camp Name],0)-1,0,1,1),"")</f>
        <v>Returned in Individual Housing</v>
      </c>
    </row>
    <row r="313" spans="1:32" s="100" customFormat="1" ht="15" customHeight="1">
      <c r="A313" s="254">
        <f t="shared" si="4"/>
        <v>42.93333333333333</v>
      </c>
      <c r="B313" s="254">
        <f>YEAR(Data_NFI_t[[#This Row],[Distribution Date]])</f>
        <v>2012</v>
      </c>
      <c r="C313" s="585">
        <v>41234</v>
      </c>
      <c r="D313" s="547" t="s">
        <v>287</v>
      </c>
      <c r="E313" s="546"/>
      <c r="F313" s="547" t="s">
        <v>7</v>
      </c>
      <c r="G313" s="31" t="s">
        <v>11</v>
      </c>
      <c r="H313" s="31" t="s">
        <v>32</v>
      </c>
      <c r="I313" s="31"/>
      <c r="J313" s="60"/>
      <c r="K313" s="60"/>
      <c r="L313" s="60">
        <v>27</v>
      </c>
      <c r="M313" s="60">
        <v>2</v>
      </c>
      <c r="N313" s="60"/>
      <c r="O313" s="60"/>
      <c r="P313" s="60"/>
      <c r="Q313" s="60"/>
      <c r="R313" s="570"/>
      <c r="S313" s="60"/>
      <c r="T313" s="143">
        <f>IF(NFI_Expiration=1,IF($A313&lt;VLOOKUP(I$5,NFI,5,0),1,0)*Data_NFI_t[[#This Row],[Hygiene Kit]],0)</f>
        <v>0</v>
      </c>
      <c r="U313" s="143">
        <f>IF(NFI_Expiration=1,IF($A313&lt;VLOOKUP(J$5,NFI,5,0),1,0)*Data_NFI_t[[#This Row],[NFI Core Kit]],0)</f>
        <v>0</v>
      </c>
      <c r="V313" s="124">
        <f>IF(NFI_Expiration=1,IF($A313&lt;VLOOKUP(K$5,NFI,5,0),1,0)*Data_NFI_t[[#This Row],[Sanitary Kit]],0)</f>
        <v>0</v>
      </c>
      <c r="W313" s="124">
        <f>IF(NFI_Expiration=1,IF($A313&lt;VLOOKUP(L$5,NFI,5,0),1,0)*Data_NFI_t[[#This Row],[Mosquito net]],0)</f>
        <v>0</v>
      </c>
      <c r="X313" s="124">
        <f>IF(NFI_Expiration=1,IF($A313&lt;VLOOKUP(M$5,NFI,5,0),1,0)*Data_NFI_t[[#This Row],[Tarpaulin]],0)</f>
        <v>0</v>
      </c>
      <c r="Y313" s="124">
        <f>IF(NFI_Expiration=1,IF($A313&lt;VLOOKUP(N$5,NFI,5,0),1,0)*Data_NFI_t[[#This Row],[Blanket]],0)</f>
        <v>0</v>
      </c>
      <c r="Z313" s="124">
        <f>IF(NFI_Expiration=1,IF($A313&lt;VLOOKUP(O$5,NFI,5,0),1,0)*Data_NFI_t[[#This Row],[Kitchen Set]],0)</f>
        <v>0</v>
      </c>
      <c r="AA313" s="124">
        <f>IF(NFI_Expiration=1,IF($A313&lt;VLOOKUP(P$5,NFI,5,0),1,0)*Data_NFI_t[[#This Row],[Complementary Kit]],0)</f>
        <v>0</v>
      </c>
      <c r="AB313" s="124">
        <f>IF(NFI_Expiration=1,IF($A313&lt;VLOOKUP(Q$5,NFI,5,0),1,0)*Data_NFI_t[[#This Row],[Plastic Bucket]],0)</f>
        <v>0</v>
      </c>
      <c r="AC313" s="124">
        <f>IF(NFI_Expiration=1,IF($A313&lt;VLOOKUP(R$5,NFI,5,0),1,0)*Data_NFI_t[[#This Row],[Jerry Can]],0)</f>
        <v>0</v>
      </c>
      <c r="AD313" s="143">
        <f>IF(NFI_Expiration=1,IF($A313&lt;VLOOKUP(S$5,NFI,5,0),1,0)*Data_NFI_t[[#This Row],[Plastic Mat]],0)*IF(Data_NFI_t[[#This Row],[Distribution Date]]&gt;"01-06-2015",1,2.5)</f>
        <v>0</v>
      </c>
      <c r="AE313" s="143" t="str">
        <f ca="1">IFERROR(OFFSET(Camp_List[P_Code],MATCH(Data_NFI_t[[#This Row],[Camp Name]],Camp_List[Camp Name],0)-1,0,1,1),"")</f>
        <v>MMR012CMP008</v>
      </c>
      <c r="AF313" s="572" t="str">
        <f ca="1">IFERROR(OFFSET(Camp_List[Status],MATCH(Data_NFI_t[[#This Row],[Camp Name]],Camp_List[Camp Name],0)-1,0,1,1),"")</f>
        <v>Returned in Individual Housing</v>
      </c>
    </row>
    <row r="314" spans="1:32" s="100" customFormat="1" ht="15" customHeight="1">
      <c r="A314" s="254">
        <f t="shared" si="4"/>
        <v>42.93333333333333</v>
      </c>
      <c r="B314" s="254">
        <f>YEAR(Data_NFI_t[[#This Row],[Distribution Date]])</f>
        <v>2012</v>
      </c>
      <c r="C314" s="585">
        <v>41234</v>
      </c>
      <c r="D314" s="547" t="s">
        <v>287</v>
      </c>
      <c r="E314" s="546"/>
      <c r="F314" s="547" t="s">
        <v>7</v>
      </c>
      <c r="G314" s="31" t="s">
        <v>11</v>
      </c>
      <c r="H314" s="31" t="s">
        <v>27</v>
      </c>
      <c r="I314" s="31"/>
      <c r="J314" s="60"/>
      <c r="K314" s="60"/>
      <c r="L314" s="60">
        <v>172</v>
      </c>
      <c r="M314" s="60">
        <v>10</v>
      </c>
      <c r="N314" s="60">
        <v>172</v>
      </c>
      <c r="O314" s="60"/>
      <c r="P314" s="60"/>
      <c r="Q314" s="60"/>
      <c r="R314" s="570"/>
      <c r="S314" s="60"/>
      <c r="T314" s="143">
        <f>IF(NFI_Expiration=1,IF($A314&lt;VLOOKUP(I$5,NFI,5,0),1,0)*Data_NFI_t[[#This Row],[Hygiene Kit]],0)</f>
        <v>0</v>
      </c>
      <c r="U314" s="143">
        <f>IF(NFI_Expiration=1,IF($A314&lt;VLOOKUP(J$5,NFI,5,0),1,0)*Data_NFI_t[[#This Row],[NFI Core Kit]],0)</f>
        <v>0</v>
      </c>
      <c r="V314" s="124">
        <f>IF(NFI_Expiration=1,IF($A314&lt;VLOOKUP(K$5,NFI,5,0),1,0)*Data_NFI_t[[#This Row],[Sanitary Kit]],0)</f>
        <v>0</v>
      </c>
      <c r="W314" s="124">
        <f>IF(NFI_Expiration=1,IF($A314&lt;VLOOKUP(L$5,NFI,5,0),1,0)*Data_NFI_t[[#This Row],[Mosquito net]],0)</f>
        <v>0</v>
      </c>
      <c r="X314" s="124">
        <f>IF(NFI_Expiration=1,IF($A314&lt;VLOOKUP(M$5,NFI,5,0),1,0)*Data_NFI_t[[#This Row],[Tarpaulin]],0)</f>
        <v>0</v>
      </c>
      <c r="Y314" s="124">
        <f>IF(NFI_Expiration=1,IF($A314&lt;VLOOKUP(N$5,NFI,5,0),1,0)*Data_NFI_t[[#This Row],[Blanket]],0)</f>
        <v>0</v>
      </c>
      <c r="Z314" s="124">
        <f>IF(NFI_Expiration=1,IF($A314&lt;VLOOKUP(O$5,NFI,5,0),1,0)*Data_NFI_t[[#This Row],[Kitchen Set]],0)</f>
        <v>0</v>
      </c>
      <c r="AA314" s="124">
        <f>IF(NFI_Expiration=1,IF($A314&lt;VLOOKUP(P$5,NFI,5,0),1,0)*Data_NFI_t[[#This Row],[Complementary Kit]],0)</f>
        <v>0</v>
      </c>
      <c r="AB314" s="124">
        <f>IF(NFI_Expiration=1,IF($A314&lt;VLOOKUP(Q$5,NFI,5,0),1,0)*Data_NFI_t[[#This Row],[Plastic Bucket]],0)</f>
        <v>0</v>
      </c>
      <c r="AC314" s="124">
        <f>IF(NFI_Expiration=1,IF($A314&lt;VLOOKUP(R$5,NFI,5,0),1,0)*Data_NFI_t[[#This Row],[Jerry Can]],0)</f>
        <v>0</v>
      </c>
      <c r="AD314" s="143">
        <f>IF(NFI_Expiration=1,IF($A314&lt;VLOOKUP(S$5,NFI,5,0),1,0)*Data_NFI_t[[#This Row],[Plastic Mat]],0)*IF(Data_NFI_t[[#This Row],[Distribution Date]]&gt;"01-06-2015",1,2.5)</f>
        <v>0</v>
      </c>
      <c r="AE314" s="143" t="str">
        <f ca="1">IFERROR(OFFSET(Camp_List[P_Code],MATCH(Data_NFI_t[[#This Row],[Camp Name]],Camp_List[Camp Name],0)-1,0,1,1),"")</f>
        <v>MMR012CMP003</v>
      </c>
      <c r="AF314" s="572" t="str">
        <f ca="1">IFERROR(OFFSET(Camp_List[Status],MATCH(Data_NFI_t[[#This Row],[Camp Name]],Camp_List[Camp Name],0)-1,0,1,1),"")</f>
        <v>Returned in Individual Housing</v>
      </c>
    </row>
    <row r="315" spans="1:32" s="100" customFormat="1" ht="15" customHeight="1">
      <c r="A315" s="254">
        <f t="shared" si="4"/>
        <v>42.93333333333333</v>
      </c>
      <c r="B315" s="254">
        <f>YEAR(Data_NFI_t[[#This Row],[Distribution Date]])</f>
        <v>2012</v>
      </c>
      <c r="C315" s="585">
        <v>41234</v>
      </c>
      <c r="D315" s="547" t="s">
        <v>287</v>
      </c>
      <c r="E315" s="546"/>
      <c r="F315" s="547" t="s">
        <v>7</v>
      </c>
      <c r="G315" s="31" t="s">
        <v>11</v>
      </c>
      <c r="H315" s="31" t="s">
        <v>26</v>
      </c>
      <c r="I315" s="31"/>
      <c r="J315" s="60"/>
      <c r="K315" s="60"/>
      <c r="L315" s="60"/>
      <c r="M315" s="60">
        <v>145</v>
      </c>
      <c r="N315" s="60"/>
      <c r="O315" s="60"/>
      <c r="P315" s="60"/>
      <c r="Q315" s="60"/>
      <c r="R315" s="570"/>
      <c r="S315" s="60"/>
      <c r="T315" s="143">
        <f>IF(NFI_Expiration=1,IF($A315&lt;VLOOKUP(I$5,NFI,5,0),1,0)*Data_NFI_t[[#This Row],[Hygiene Kit]],0)</f>
        <v>0</v>
      </c>
      <c r="U315" s="143">
        <f>IF(NFI_Expiration=1,IF($A315&lt;VLOOKUP(J$5,NFI,5,0),1,0)*Data_NFI_t[[#This Row],[NFI Core Kit]],0)</f>
        <v>0</v>
      </c>
      <c r="V315" s="124">
        <f>IF(NFI_Expiration=1,IF($A315&lt;VLOOKUP(K$5,NFI,5,0),1,0)*Data_NFI_t[[#This Row],[Sanitary Kit]],0)</f>
        <v>0</v>
      </c>
      <c r="W315" s="124">
        <f>IF(NFI_Expiration=1,IF($A315&lt;VLOOKUP(L$5,NFI,5,0),1,0)*Data_NFI_t[[#This Row],[Mosquito net]],0)</f>
        <v>0</v>
      </c>
      <c r="X315" s="124">
        <f>IF(NFI_Expiration=1,IF($A315&lt;VLOOKUP(M$5,NFI,5,0),1,0)*Data_NFI_t[[#This Row],[Tarpaulin]],0)</f>
        <v>0</v>
      </c>
      <c r="Y315" s="124">
        <f>IF(NFI_Expiration=1,IF($A315&lt;VLOOKUP(N$5,NFI,5,0),1,0)*Data_NFI_t[[#This Row],[Blanket]],0)</f>
        <v>0</v>
      </c>
      <c r="Z315" s="124">
        <f>IF(NFI_Expiration=1,IF($A315&lt;VLOOKUP(O$5,NFI,5,0),1,0)*Data_NFI_t[[#This Row],[Kitchen Set]],0)</f>
        <v>0</v>
      </c>
      <c r="AA315" s="124">
        <f>IF(NFI_Expiration=1,IF($A315&lt;VLOOKUP(P$5,NFI,5,0),1,0)*Data_NFI_t[[#This Row],[Complementary Kit]],0)</f>
        <v>0</v>
      </c>
      <c r="AB315" s="124">
        <f>IF(NFI_Expiration=1,IF($A315&lt;VLOOKUP(Q$5,NFI,5,0),1,0)*Data_NFI_t[[#This Row],[Plastic Bucket]],0)</f>
        <v>0</v>
      </c>
      <c r="AC315" s="124">
        <f>IF(NFI_Expiration=1,IF($A315&lt;VLOOKUP(R$5,NFI,5,0),1,0)*Data_NFI_t[[#This Row],[Jerry Can]],0)</f>
        <v>0</v>
      </c>
      <c r="AD315" s="143">
        <f>IF(NFI_Expiration=1,IF($A315&lt;VLOOKUP(S$5,NFI,5,0),1,0)*Data_NFI_t[[#This Row],[Plastic Mat]],0)*IF(Data_NFI_t[[#This Row],[Distribution Date]]&gt;"01-06-2015",1,2.5)</f>
        <v>0</v>
      </c>
      <c r="AE315" s="143" t="str">
        <f ca="1">IFERROR(OFFSET(Camp_List[P_Code],MATCH(Data_NFI_t[[#This Row],[Camp Name]],Camp_List[Camp Name],0)-1,0,1,1),"")</f>
        <v>MMR012CMP002</v>
      </c>
      <c r="AF315" s="572" t="str">
        <f ca="1">IFERROR(OFFSET(Camp_List[Status],MATCH(Data_NFI_t[[#This Row],[Camp Name]],Camp_List[Camp Name],0)-1,0,1,1),"")</f>
        <v>Returned in Individual Housing</v>
      </c>
    </row>
    <row r="316" spans="1:32" s="100" customFormat="1" ht="15" customHeight="1">
      <c r="A316" s="254">
        <f t="shared" si="4"/>
        <v>42.93333333333333</v>
      </c>
      <c r="B316" s="254">
        <f>YEAR(Data_NFI_t[[#This Row],[Distribution Date]])</f>
        <v>2012</v>
      </c>
      <c r="C316" s="585">
        <v>41234</v>
      </c>
      <c r="D316" s="547" t="s">
        <v>287</v>
      </c>
      <c r="E316" s="546"/>
      <c r="F316" s="547" t="s">
        <v>7</v>
      </c>
      <c r="G316" s="31" t="s">
        <v>12</v>
      </c>
      <c r="H316" s="31" t="s">
        <v>34</v>
      </c>
      <c r="I316" s="31"/>
      <c r="J316" s="60"/>
      <c r="K316" s="60"/>
      <c r="L316" s="60"/>
      <c r="M316" s="60">
        <v>83</v>
      </c>
      <c r="N316" s="60"/>
      <c r="O316" s="60"/>
      <c r="P316" s="60"/>
      <c r="Q316" s="60"/>
      <c r="R316" s="570"/>
      <c r="S316" s="60"/>
      <c r="T316" s="143">
        <f>IF(NFI_Expiration=1,IF($A316&lt;VLOOKUP(I$5,NFI,5,0),1,0)*Data_NFI_t[[#This Row],[Hygiene Kit]],0)</f>
        <v>0</v>
      </c>
      <c r="U316" s="143">
        <f>IF(NFI_Expiration=1,IF($A316&lt;VLOOKUP(J$5,NFI,5,0),1,0)*Data_NFI_t[[#This Row],[NFI Core Kit]],0)</f>
        <v>0</v>
      </c>
      <c r="V316" s="124">
        <f>IF(NFI_Expiration=1,IF($A316&lt;VLOOKUP(K$5,NFI,5,0),1,0)*Data_NFI_t[[#This Row],[Sanitary Kit]],0)</f>
        <v>0</v>
      </c>
      <c r="W316" s="124">
        <f>IF(NFI_Expiration=1,IF($A316&lt;VLOOKUP(L$5,NFI,5,0),1,0)*Data_NFI_t[[#This Row],[Mosquito net]],0)</f>
        <v>0</v>
      </c>
      <c r="X316" s="124">
        <f>IF(NFI_Expiration=1,IF($A316&lt;VLOOKUP(M$5,NFI,5,0),1,0)*Data_NFI_t[[#This Row],[Tarpaulin]],0)</f>
        <v>0</v>
      </c>
      <c r="Y316" s="124">
        <f>IF(NFI_Expiration=1,IF($A316&lt;VLOOKUP(N$5,NFI,5,0),1,0)*Data_NFI_t[[#This Row],[Blanket]],0)</f>
        <v>0</v>
      </c>
      <c r="Z316" s="124">
        <f>IF(NFI_Expiration=1,IF($A316&lt;VLOOKUP(O$5,NFI,5,0),1,0)*Data_NFI_t[[#This Row],[Kitchen Set]],0)</f>
        <v>0</v>
      </c>
      <c r="AA316" s="124">
        <f>IF(NFI_Expiration=1,IF($A316&lt;VLOOKUP(P$5,NFI,5,0),1,0)*Data_NFI_t[[#This Row],[Complementary Kit]],0)</f>
        <v>0</v>
      </c>
      <c r="AB316" s="124">
        <f>IF(NFI_Expiration=1,IF($A316&lt;VLOOKUP(Q$5,NFI,5,0),1,0)*Data_NFI_t[[#This Row],[Plastic Bucket]],0)</f>
        <v>0</v>
      </c>
      <c r="AC316" s="124">
        <f>IF(NFI_Expiration=1,IF($A316&lt;VLOOKUP(R$5,NFI,5,0),1,0)*Data_NFI_t[[#This Row],[Jerry Can]],0)</f>
        <v>0</v>
      </c>
      <c r="AD316" s="143">
        <f>IF(NFI_Expiration=1,IF($A316&lt;VLOOKUP(S$5,NFI,5,0),1,0)*Data_NFI_t[[#This Row],[Plastic Mat]],0)*IF(Data_NFI_t[[#This Row],[Distribution Date]]&gt;"01-06-2015",1,2.5)</f>
        <v>0</v>
      </c>
      <c r="AE316" s="143" t="str">
        <f ca="1">IFERROR(OFFSET(Camp_List[P_Code],MATCH(Data_NFI_t[[#This Row],[Camp Name]],Camp_List[Camp Name],0)-1,0,1,1),"")</f>
        <v>MMR012CMP010</v>
      </c>
      <c r="AF316" s="572" t="str">
        <f ca="1">IFERROR(OFFSET(Camp_List[Status],MATCH(Data_NFI_t[[#This Row],[Camp Name]],Camp_List[Camp Name],0)-1,0,1,1),"")</f>
        <v>Returned in Individual Housing</v>
      </c>
    </row>
    <row r="317" spans="1:32" s="100" customFormat="1" ht="15" customHeight="1">
      <c r="A317" s="254">
        <f t="shared" si="4"/>
        <v>43</v>
      </c>
      <c r="B317" s="254">
        <f>YEAR(Data_NFI_t[[#This Row],[Distribution Date]])</f>
        <v>2012</v>
      </c>
      <c r="C317" s="585">
        <v>41232</v>
      </c>
      <c r="D317" s="547" t="s">
        <v>287</v>
      </c>
      <c r="E317" s="546"/>
      <c r="F317" s="547" t="s">
        <v>7</v>
      </c>
      <c r="G317" s="31" t="s">
        <v>14</v>
      </c>
      <c r="H317" s="31" t="s">
        <v>40</v>
      </c>
      <c r="I317" s="31"/>
      <c r="J317" s="60"/>
      <c r="K317" s="60"/>
      <c r="L317" s="60"/>
      <c r="M317" s="60">
        <v>458</v>
      </c>
      <c r="N317" s="60">
        <v>148</v>
      </c>
      <c r="O317" s="60"/>
      <c r="P317" s="60"/>
      <c r="Q317" s="60"/>
      <c r="R317" s="570"/>
      <c r="S317" s="60"/>
      <c r="T317" s="143">
        <f>IF(NFI_Expiration=1,IF($A317&lt;VLOOKUP(I$5,NFI,5,0),1,0)*Data_NFI_t[[#This Row],[Hygiene Kit]],0)</f>
        <v>0</v>
      </c>
      <c r="U317" s="143">
        <f>IF(NFI_Expiration=1,IF($A317&lt;VLOOKUP(J$5,NFI,5,0),1,0)*Data_NFI_t[[#This Row],[NFI Core Kit]],0)</f>
        <v>0</v>
      </c>
      <c r="V317" s="124">
        <f>IF(NFI_Expiration=1,IF($A317&lt;VLOOKUP(K$5,NFI,5,0),1,0)*Data_NFI_t[[#This Row],[Sanitary Kit]],0)</f>
        <v>0</v>
      </c>
      <c r="W317" s="124">
        <f>IF(NFI_Expiration=1,IF($A317&lt;VLOOKUP(L$5,NFI,5,0),1,0)*Data_NFI_t[[#This Row],[Mosquito net]],0)</f>
        <v>0</v>
      </c>
      <c r="X317" s="124">
        <f>IF(NFI_Expiration=1,IF($A317&lt;VLOOKUP(M$5,NFI,5,0),1,0)*Data_NFI_t[[#This Row],[Tarpaulin]],0)</f>
        <v>0</v>
      </c>
      <c r="Y317" s="124">
        <f>IF(NFI_Expiration=1,IF($A317&lt;VLOOKUP(N$5,NFI,5,0),1,0)*Data_NFI_t[[#This Row],[Blanket]],0)</f>
        <v>0</v>
      </c>
      <c r="Z317" s="124">
        <f>IF(NFI_Expiration=1,IF($A317&lt;VLOOKUP(O$5,NFI,5,0),1,0)*Data_NFI_t[[#This Row],[Kitchen Set]],0)</f>
        <v>0</v>
      </c>
      <c r="AA317" s="124">
        <f>IF(NFI_Expiration=1,IF($A317&lt;VLOOKUP(P$5,NFI,5,0),1,0)*Data_NFI_t[[#This Row],[Complementary Kit]],0)</f>
        <v>0</v>
      </c>
      <c r="AB317" s="124">
        <f>IF(NFI_Expiration=1,IF($A317&lt;VLOOKUP(Q$5,NFI,5,0),1,0)*Data_NFI_t[[#This Row],[Plastic Bucket]],0)</f>
        <v>0</v>
      </c>
      <c r="AC317" s="124">
        <f>IF(NFI_Expiration=1,IF($A317&lt;VLOOKUP(R$5,NFI,5,0),1,0)*Data_NFI_t[[#This Row],[Jerry Can]],0)</f>
        <v>0</v>
      </c>
      <c r="AD317" s="143">
        <f>IF(NFI_Expiration=1,IF($A317&lt;VLOOKUP(S$5,NFI,5,0),1,0)*Data_NFI_t[[#This Row],[Plastic Mat]],0)*IF(Data_NFI_t[[#This Row],[Distribution Date]]&gt;"01-06-2015",1,2.5)</f>
        <v>0</v>
      </c>
      <c r="AE317" s="143" t="str">
        <f ca="1">IFERROR(OFFSET(Camp_List[P_Code],MATCH(Data_NFI_t[[#This Row],[Camp Name]],Camp_List[Camp Name],0)-1,0,1,1),"")</f>
        <v>MMR012CMP016</v>
      </c>
      <c r="AF317" s="572" t="str">
        <f ca="1">IFERROR(OFFSET(Camp_List[Status],MATCH(Data_NFI_t[[#This Row],[Camp Name]],Camp_List[Camp Name],0)-1,0,1,1),"")</f>
        <v>Open</v>
      </c>
    </row>
    <row r="318" spans="1:32" s="100" customFormat="1" ht="15" customHeight="1">
      <c r="A318" s="254">
        <f t="shared" si="4"/>
        <v>43</v>
      </c>
      <c r="B318" s="254">
        <f>YEAR(Data_NFI_t[[#This Row],[Distribution Date]])</f>
        <v>2012</v>
      </c>
      <c r="C318" s="585">
        <v>41232</v>
      </c>
      <c r="D318" s="547" t="s">
        <v>287</v>
      </c>
      <c r="E318" s="546"/>
      <c r="F318" s="547" t="s">
        <v>7</v>
      </c>
      <c r="G318" s="31" t="s">
        <v>14</v>
      </c>
      <c r="H318" s="31" t="s">
        <v>42</v>
      </c>
      <c r="I318" s="31"/>
      <c r="J318" s="60"/>
      <c r="K318" s="60"/>
      <c r="L318" s="60">
        <v>769</v>
      </c>
      <c r="M318" s="60">
        <v>369</v>
      </c>
      <c r="N318" s="60">
        <v>1538</v>
      </c>
      <c r="O318" s="60">
        <v>769</v>
      </c>
      <c r="P318" s="60"/>
      <c r="Q318" s="60"/>
      <c r="R318" s="570"/>
      <c r="S318" s="60"/>
      <c r="T318" s="143">
        <f>IF(NFI_Expiration=1,IF($A318&lt;VLOOKUP(I$5,NFI,5,0),1,0)*Data_NFI_t[[#This Row],[Hygiene Kit]],0)</f>
        <v>0</v>
      </c>
      <c r="U318" s="143">
        <f>IF(NFI_Expiration=1,IF($A318&lt;VLOOKUP(J$5,NFI,5,0),1,0)*Data_NFI_t[[#This Row],[NFI Core Kit]],0)</f>
        <v>0</v>
      </c>
      <c r="V318" s="124">
        <f>IF(NFI_Expiration=1,IF($A318&lt;VLOOKUP(K$5,NFI,5,0),1,0)*Data_NFI_t[[#This Row],[Sanitary Kit]],0)</f>
        <v>0</v>
      </c>
      <c r="W318" s="124">
        <f>IF(NFI_Expiration=1,IF($A318&lt;VLOOKUP(L$5,NFI,5,0),1,0)*Data_NFI_t[[#This Row],[Mosquito net]],0)</f>
        <v>0</v>
      </c>
      <c r="X318" s="124">
        <f>IF(NFI_Expiration=1,IF($A318&lt;VLOOKUP(M$5,NFI,5,0),1,0)*Data_NFI_t[[#This Row],[Tarpaulin]],0)</f>
        <v>0</v>
      </c>
      <c r="Y318" s="124">
        <f>IF(NFI_Expiration=1,IF($A318&lt;VLOOKUP(N$5,NFI,5,0),1,0)*Data_NFI_t[[#This Row],[Blanket]],0)</f>
        <v>0</v>
      </c>
      <c r="Z318" s="124">
        <f>IF(NFI_Expiration=1,IF($A318&lt;VLOOKUP(O$5,NFI,5,0),1,0)*Data_NFI_t[[#This Row],[Kitchen Set]],0)</f>
        <v>0</v>
      </c>
      <c r="AA318" s="124">
        <f>IF(NFI_Expiration=1,IF($A318&lt;VLOOKUP(P$5,NFI,5,0),1,0)*Data_NFI_t[[#This Row],[Complementary Kit]],0)</f>
        <v>0</v>
      </c>
      <c r="AB318" s="124">
        <f>IF(NFI_Expiration=1,IF($A318&lt;VLOOKUP(Q$5,NFI,5,0),1,0)*Data_NFI_t[[#This Row],[Plastic Bucket]],0)</f>
        <v>0</v>
      </c>
      <c r="AC318" s="124">
        <f>IF(NFI_Expiration=1,IF($A318&lt;VLOOKUP(R$5,NFI,5,0),1,0)*Data_NFI_t[[#This Row],[Jerry Can]],0)</f>
        <v>0</v>
      </c>
      <c r="AD318" s="143">
        <f>IF(NFI_Expiration=1,IF($A318&lt;VLOOKUP(S$5,NFI,5,0),1,0)*Data_NFI_t[[#This Row],[Plastic Mat]],0)*IF(Data_NFI_t[[#This Row],[Distribution Date]]&gt;"01-06-2015",1,2.5)</f>
        <v>0</v>
      </c>
      <c r="AE318" s="143" t="str">
        <f ca="1">IFERROR(OFFSET(Camp_List[P_Code],MATCH(Data_NFI_t[[#This Row],[Camp Name]],Camp_List[Camp Name],0)-1,0,1,1),"")</f>
        <v>MMR012CMP018</v>
      </c>
      <c r="AF318" s="572" t="str">
        <f ca="1">IFERROR(OFFSET(Camp_List[Status],MATCH(Data_NFI_t[[#This Row],[Camp Name]],Camp_List[Camp Name],0)-1,0,1,1),"")</f>
        <v>Open</v>
      </c>
    </row>
    <row r="319" spans="1:32" s="100" customFormat="1" ht="15" customHeight="1">
      <c r="A319" s="254">
        <f t="shared" si="4"/>
        <v>43</v>
      </c>
      <c r="B319" s="254">
        <f>YEAR(Data_NFI_t[[#This Row],[Distribution Date]])</f>
        <v>2012</v>
      </c>
      <c r="C319" s="585">
        <v>41232</v>
      </c>
      <c r="D319" s="547" t="s">
        <v>287</v>
      </c>
      <c r="E319" s="546"/>
      <c r="F319" s="547" t="s">
        <v>7</v>
      </c>
      <c r="G319" s="31" t="s">
        <v>14</v>
      </c>
      <c r="H319" s="31" t="s">
        <v>41</v>
      </c>
      <c r="I319" s="31"/>
      <c r="J319" s="60"/>
      <c r="K319" s="60"/>
      <c r="L319" s="60">
        <v>1306</v>
      </c>
      <c r="M319" s="60">
        <v>506</v>
      </c>
      <c r="N319" s="60">
        <v>1306</v>
      </c>
      <c r="O319" s="60">
        <v>1306</v>
      </c>
      <c r="P319" s="60"/>
      <c r="Q319" s="60"/>
      <c r="R319" s="570"/>
      <c r="S319" s="60"/>
      <c r="T319" s="143">
        <f>IF(NFI_Expiration=1,IF($A319&lt;VLOOKUP(I$5,NFI,5,0),1,0)*Data_NFI_t[[#This Row],[Hygiene Kit]],0)</f>
        <v>0</v>
      </c>
      <c r="U319" s="143">
        <f>IF(NFI_Expiration=1,IF($A319&lt;VLOOKUP(J$5,NFI,5,0),1,0)*Data_NFI_t[[#This Row],[NFI Core Kit]],0)</f>
        <v>0</v>
      </c>
      <c r="V319" s="124">
        <f>IF(NFI_Expiration=1,IF($A319&lt;VLOOKUP(K$5,NFI,5,0),1,0)*Data_NFI_t[[#This Row],[Sanitary Kit]],0)</f>
        <v>0</v>
      </c>
      <c r="W319" s="124">
        <f>IF(NFI_Expiration=1,IF($A319&lt;VLOOKUP(L$5,NFI,5,0),1,0)*Data_NFI_t[[#This Row],[Mosquito net]],0)</f>
        <v>0</v>
      </c>
      <c r="X319" s="124">
        <f>IF(NFI_Expiration=1,IF($A319&lt;VLOOKUP(M$5,NFI,5,0),1,0)*Data_NFI_t[[#This Row],[Tarpaulin]],0)</f>
        <v>0</v>
      </c>
      <c r="Y319" s="124">
        <f>IF(NFI_Expiration=1,IF($A319&lt;VLOOKUP(N$5,NFI,5,0),1,0)*Data_NFI_t[[#This Row],[Blanket]],0)</f>
        <v>0</v>
      </c>
      <c r="Z319" s="124">
        <f>IF(NFI_Expiration=1,IF($A319&lt;VLOOKUP(O$5,NFI,5,0),1,0)*Data_NFI_t[[#This Row],[Kitchen Set]],0)</f>
        <v>0</v>
      </c>
      <c r="AA319" s="124">
        <f>IF(NFI_Expiration=1,IF($A319&lt;VLOOKUP(P$5,NFI,5,0),1,0)*Data_NFI_t[[#This Row],[Complementary Kit]],0)</f>
        <v>0</v>
      </c>
      <c r="AB319" s="124">
        <f>IF(NFI_Expiration=1,IF($A319&lt;VLOOKUP(Q$5,NFI,5,0),1,0)*Data_NFI_t[[#This Row],[Plastic Bucket]],0)</f>
        <v>0</v>
      </c>
      <c r="AC319" s="124">
        <f>IF(NFI_Expiration=1,IF($A319&lt;VLOOKUP(R$5,NFI,5,0),1,0)*Data_NFI_t[[#This Row],[Jerry Can]],0)</f>
        <v>0</v>
      </c>
      <c r="AD319" s="143">
        <f>IF(NFI_Expiration=1,IF($A319&lt;VLOOKUP(S$5,NFI,5,0),1,0)*Data_NFI_t[[#This Row],[Plastic Mat]],0)*IF(Data_NFI_t[[#This Row],[Distribution Date]]&gt;"01-06-2015",1,2.5)</f>
        <v>0</v>
      </c>
      <c r="AE319" s="143" t="str">
        <f ca="1">IFERROR(OFFSET(Camp_List[P_Code],MATCH(Data_NFI_t[[#This Row],[Camp Name]],Camp_List[Camp Name],0)-1,0,1,1),"")</f>
        <v>MMR012CMP017</v>
      </c>
      <c r="AF319" s="572" t="str">
        <f ca="1">IFERROR(OFFSET(Camp_List[Status],MATCH(Data_NFI_t[[#This Row],[Camp Name]],Camp_List[Camp Name],0)-1,0,1,1),"")</f>
        <v>Open</v>
      </c>
    </row>
    <row r="320" spans="1:32" s="100" customFormat="1" ht="15" customHeight="1">
      <c r="A320" s="254">
        <f t="shared" si="4"/>
        <v>43</v>
      </c>
      <c r="B320" s="254">
        <f>YEAR(Data_NFI_t[[#This Row],[Distribution Date]])</f>
        <v>2012</v>
      </c>
      <c r="C320" s="585">
        <v>41232</v>
      </c>
      <c r="D320" s="547" t="s">
        <v>287</v>
      </c>
      <c r="E320" s="546"/>
      <c r="F320" s="547" t="s">
        <v>7</v>
      </c>
      <c r="G320" s="31" t="s">
        <v>18</v>
      </c>
      <c r="H320" s="31" t="s">
        <v>60</v>
      </c>
      <c r="I320" s="31"/>
      <c r="J320" s="60"/>
      <c r="K320" s="60"/>
      <c r="L320" s="60">
        <v>26</v>
      </c>
      <c r="M320" s="60">
        <v>13</v>
      </c>
      <c r="N320" s="60">
        <v>26</v>
      </c>
      <c r="O320" s="60">
        <v>13</v>
      </c>
      <c r="P320" s="60"/>
      <c r="Q320" s="60"/>
      <c r="R320" s="570"/>
      <c r="S320" s="60"/>
      <c r="T320" s="143">
        <f>IF(NFI_Expiration=1,IF($A320&lt;VLOOKUP(I$5,NFI,5,0),1,0)*Data_NFI_t[[#This Row],[Hygiene Kit]],0)</f>
        <v>0</v>
      </c>
      <c r="U320" s="143">
        <f>IF(NFI_Expiration=1,IF($A320&lt;VLOOKUP(J$5,NFI,5,0),1,0)*Data_NFI_t[[#This Row],[NFI Core Kit]],0)</f>
        <v>0</v>
      </c>
      <c r="V320" s="124">
        <f>IF(NFI_Expiration=1,IF($A320&lt;VLOOKUP(K$5,NFI,5,0),1,0)*Data_NFI_t[[#This Row],[Sanitary Kit]],0)</f>
        <v>0</v>
      </c>
      <c r="W320" s="124">
        <f>IF(NFI_Expiration=1,IF($A320&lt;VLOOKUP(L$5,NFI,5,0),1,0)*Data_NFI_t[[#This Row],[Mosquito net]],0)</f>
        <v>0</v>
      </c>
      <c r="X320" s="124">
        <f>IF(NFI_Expiration=1,IF($A320&lt;VLOOKUP(M$5,NFI,5,0),1,0)*Data_NFI_t[[#This Row],[Tarpaulin]],0)</f>
        <v>0</v>
      </c>
      <c r="Y320" s="124">
        <f>IF(NFI_Expiration=1,IF($A320&lt;VLOOKUP(N$5,NFI,5,0),1,0)*Data_NFI_t[[#This Row],[Blanket]],0)</f>
        <v>0</v>
      </c>
      <c r="Z320" s="124">
        <f>IF(NFI_Expiration=1,IF($A320&lt;VLOOKUP(O$5,NFI,5,0),1,0)*Data_NFI_t[[#This Row],[Kitchen Set]],0)</f>
        <v>0</v>
      </c>
      <c r="AA320" s="124">
        <f>IF(NFI_Expiration=1,IF($A320&lt;VLOOKUP(P$5,NFI,5,0),1,0)*Data_NFI_t[[#This Row],[Complementary Kit]],0)</f>
        <v>0</v>
      </c>
      <c r="AB320" s="124">
        <f>IF(NFI_Expiration=1,IF($A320&lt;VLOOKUP(Q$5,NFI,5,0),1,0)*Data_NFI_t[[#This Row],[Plastic Bucket]],0)</f>
        <v>0</v>
      </c>
      <c r="AC320" s="124">
        <f>IF(NFI_Expiration=1,IF($A320&lt;VLOOKUP(R$5,NFI,5,0),1,0)*Data_NFI_t[[#This Row],[Jerry Can]],0)</f>
        <v>0</v>
      </c>
      <c r="AD320" s="143">
        <f>IF(NFI_Expiration=1,IF($A320&lt;VLOOKUP(S$5,NFI,5,0),1,0)*Data_NFI_t[[#This Row],[Plastic Mat]],0)*IF(Data_NFI_t[[#This Row],[Distribution Date]]&gt;"01-06-2015",1,2.5)</f>
        <v>0</v>
      </c>
      <c r="AE320" s="143" t="str">
        <f ca="1">IFERROR(OFFSET(Camp_List[P_Code],MATCH(Data_NFI_t[[#This Row],[Camp Name]],Camp_List[Camp Name],0)-1,0,1,1),"")</f>
        <v>MMR012CMP038</v>
      </c>
      <c r="AF320" s="572" t="str">
        <f ca="1">IFERROR(OFFSET(Camp_List[Status],MATCH(Data_NFI_t[[#This Row],[Camp Name]],Camp_List[Camp Name],0)-1,0,1,1),"")</f>
        <v>Open</v>
      </c>
    </row>
    <row r="321" spans="1:32" s="100" customFormat="1" ht="15" customHeight="1">
      <c r="A321" s="254">
        <f t="shared" si="4"/>
        <v>43</v>
      </c>
      <c r="B321" s="254">
        <f>YEAR(Data_NFI_t[[#This Row],[Distribution Date]])</f>
        <v>2012</v>
      </c>
      <c r="C321" s="585">
        <v>41232</v>
      </c>
      <c r="D321" s="547" t="s">
        <v>287</v>
      </c>
      <c r="E321" s="546"/>
      <c r="F321" s="547" t="s">
        <v>7</v>
      </c>
      <c r="G321" s="31" t="s">
        <v>18</v>
      </c>
      <c r="H321" s="31" t="s">
        <v>59</v>
      </c>
      <c r="I321" s="31"/>
      <c r="J321" s="60"/>
      <c r="K321" s="60"/>
      <c r="L321" s="60">
        <v>194</v>
      </c>
      <c r="M321" s="60">
        <v>97</v>
      </c>
      <c r="N321" s="60">
        <v>194</v>
      </c>
      <c r="O321" s="60">
        <v>97</v>
      </c>
      <c r="P321" s="60"/>
      <c r="Q321" s="60"/>
      <c r="R321" s="570"/>
      <c r="S321" s="60"/>
      <c r="T321" s="143">
        <f>IF(NFI_Expiration=1,IF($A321&lt;VLOOKUP(I$5,NFI,5,0),1,0)*Data_NFI_t[[#This Row],[Hygiene Kit]],0)</f>
        <v>0</v>
      </c>
      <c r="U321" s="143">
        <f>IF(NFI_Expiration=1,IF($A321&lt;VLOOKUP(J$5,NFI,5,0),1,0)*Data_NFI_t[[#This Row],[NFI Core Kit]],0)</f>
        <v>0</v>
      </c>
      <c r="V321" s="124">
        <f>IF(NFI_Expiration=1,IF($A321&lt;VLOOKUP(K$5,NFI,5,0),1,0)*Data_NFI_t[[#This Row],[Sanitary Kit]],0)</f>
        <v>0</v>
      </c>
      <c r="W321" s="124">
        <f>IF(NFI_Expiration=1,IF($A321&lt;VLOOKUP(L$5,NFI,5,0),1,0)*Data_NFI_t[[#This Row],[Mosquito net]],0)</f>
        <v>0</v>
      </c>
      <c r="X321" s="124">
        <f>IF(NFI_Expiration=1,IF($A321&lt;VLOOKUP(M$5,NFI,5,0),1,0)*Data_NFI_t[[#This Row],[Tarpaulin]],0)</f>
        <v>0</v>
      </c>
      <c r="Y321" s="124">
        <f>IF(NFI_Expiration=1,IF($A321&lt;VLOOKUP(N$5,NFI,5,0),1,0)*Data_NFI_t[[#This Row],[Blanket]],0)</f>
        <v>0</v>
      </c>
      <c r="Z321" s="124">
        <f>IF(NFI_Expiration=1,IF($A321&lt;VLOOKUP(O$5,NFI,5,0),1,0)*Data_NFI_t[[#This Row],[Kitchen Set]],0)</f>
        <v>0</v>
      </c>
      <c r="AA321" s="124">
        <f>IF(NFI_Expiration=1,IF($A321&lt;VLOOKUP(P$5,NFI,5,0),1,0)*Data_NFI_t[[#This Row],[Complementary Kit]],0)</f>
        <v>0</v>
      </c>
      <c r="AB321" s="124">
        <f>IF(NFI_Expiration=1,IF($A321&lt;VLOOKUP(Q$5,NFI,5,0),1,0)*Data_NFI_t[[#This Row],[Plastic Bucket]],0)</f>
        <v>0</v>
      </c>
      <c r="AC321" s="124">
        <f>IF(NFI_Expiration=1,IF($A321&lt;VLOOKUP(R$5,NFI,5,0),1,0)*Data_NFI_t[[#This Row],[Jerry Can]],0)</f>
        <v>0</v>
      </c>
      <c r="AD321" s="143">
        <f>IF(NFI_Expiration=1,IF($A321&lt;VLOOKUP(S$5,NFI,5,0),1,0)*Data_NFI_t[[#This Row],[Plastic Mat]],0)*IF(Data_NFI_t[[#This Row],[Distribution Date]]&gt;"01-06-2015",1,2.5)</f>
        <v>0</v>
      </c>
      <c r="AE321" s="143" t="str">
        <f ca="1">IFERROR(OFFSET(Camp_List[P_Code],MATCH(Data_NFI_t[[#This Row],[Camp Name]],Camp_List[Camp Name],0)-1,0,1,1),"")</f>
        <v>MMR012CMP037</v>
      </c>
      <c r="AF321" s="572" t="str">
        <f ca="1">IFERROR(OFFSET(Camp_List[Status],MATCH(Data_NFI_t[[#This Row],[Camp Name]],Camp_List[Camp Name],0)-1,0,1,1),"")</f>
        <v>Open</v>
      </c>
    </row>
    <row r="322" spans="1:32" s="100" customFormat="1" ht="15" customHeight="1">
      <c r="A322" s="254">
        <f t="shared" si="4"/>
        <v>43</v>
      </c>
      <c r="B322" s="254">
        <f>YEAR(Data_NFI_t[[#This Row],[Distribution Date]])</f>
        <v>2012</v>
      </c>
      <c r="C322" s="585">
        <v>41232</v>
      </c>
      <c r="D322" s="547" t="s">
        <v>287</v>
      </c>
      <c r="E322" s="546"/>
      <c r="F322" s="547" t="s">
        <v>7</v>
      </c>
      <c r="G322" s="31" t="s">
        <v>14</v>
      </c>
      <c r="H322" s="31" t="s">
        <v>43</v>
      </c>
      <c r="I322" s="31"/>
      <c r="J322" s="60"/>
      <c r="K322" s="60"/>
      <c r="L322" s="60"/>
      <c r="M322" s="60">
        <v>362</v>
      </c>
      <c r="N322" s="60"/>
      <c r="O322" s="60"/>
      <c r="P322" s="60"/>
      <c r="Q322" s="60"/>
      <c r="R322" s="570"/>
      <c r="S322" s="60"/>
      <c r="T322" s="143">
        <f>IF(NFI_Expiration=1,IF($A322&lt;VLOOKUP(I$5,NFI,5,0),1,0)*Data_NFI_t[[#This Row],[Hygiene Kit]],0)</f>
        <v>0</v>
      </c>
      <c r="U322" s="143">
        <f>IF(NFI_Expiration=1,IF($A322&lt;VLOOKUP(J$5,NFI,5,0),1,0)*Data_NFI_t[[#This Row],[NFI Core Kit]],0)</f>
        <v>0</v>
      </c>
      <c r="V322" s="124">
        <f>IF(NFI_Expiration=1,IF($A322&lt;VLOOKUP(K$5,NFI,5,0),1,0)*Data_NFI_t[[#This Row],[Sanitary Kit]],0)</f>
        <v>0</v>
      </c>
      <c r="W322" s="124">
        <f>IF(NFI_Expiration=1,IF($A322&lt;VLOOKUP(L$5,NFI,5,0),1,0)*Data_NFI_t[[#This Row],[Mosquito net]],0)</f>
        <v>0</v>
      </c>
      <c r="X322" s="124">
        <f>IF(NFI_Expiration=1,IF($A322&lt;VLOOKUP(M$5,NFI,5,0),1,0)*Data_NFI_t[[#This Row],[Tarpaulin]],0)</f>
        <v>0</v>
      </c>
      <c r="Y322" s="124">
        <f>IF(NFI_Expiration=1,IF($A322&lt;VLOOKUP(N$5,NFI,5,0),1,0)*Data_NFI_t[[#This Row],[Blanket]],0)</f>
        <v>0</v>
      </c>
      <c r="Z322" s="124">
        <f>IF(NFI_Expiration=1,IF($A322&lt;VLOOKUP(O$5,NFI,5,0),1,0)*Data_NFI_t[[#This Row],[Kitchen Set]],0)</f>
        <v>0</v>
      </c>
      <c r="AA322" s="124">
        <f>IF(NFI_Expiration=1,IF($A322&lt;VLOOKUP(P$5,NFI,5,0),1,0)*Data_NFI_t[[#This Row],[Complementary Kit]],0)</f>
        <v>0</v>
      </c>
      <c r="AB322" s="124">
        <f>IF(NFI_Expiration=1,IF($A322&lt;VLOOKUP(Q$5,NFI,5,0),1,0)*Data_NFI_t[[#This Row],[Plastic Bucket]],0)</f>
        <v>0</v>
      </c>
      <c r="AC322" s="124">
        <f>IF(NFI_Expiration=1,IF($A322&lt;VLOOKUP(R$5,NFI,5,0),1,0)*Data_NFI_t[[#This Row],[Jerry Can]],0)</f>
        <v>0</v>
      </c>
      <c r="AD322" s="143">
        <f>IF(NFI_Expiration=1,IF($A322&lt;VLOOKUP(S$5,NFI,5,0),1,0)*Data_NFI_t[[#This Row],[Plastic Mat]],0)*IF(Data_NFI_t[[#This Row],[Distribution Date]]&gt;"01-06-2015",1,2.5)</f>
        <v>0</v>
      </c>
      <c r="AE322" s="143" t="str">
        <f ca="1">IFERROR(OFFSET(Camp_List[P_Code],MATCH(Data_NFI_t[[#This Row],[Camp Name]],Camp_List[Camp Name],0)-1,0,1,1),"")</f>
        <v>MMR012CMP019</v>
      </c>
      <c r="AF322" s="572" t="str">
        <f ca="1">IFERROR(OFFSET(Camp_List[Status],MATCH(Data_NFI_t[[#This Row],[Camp Name]],Camp_List[Camp Name],0)-1,0,1,1),"")</f>
        <v>Open</v>
      </c>
    </row>
    <row r="323" spans="1:32" s="100" customFormat="1" ht="15" customHeight="1">
      <c r="A323" s="254">
        <f t="shared" si="4"/>
        <v>43.533333333333331</v>
      </c>
      <c r="B323" s="254">
        <f>YEAR(Data_NFI_t[[#This Row],[Distribution Date]])</f>
        <v>2012</v>
      </c>
      <c r="C323" s="585">
        <v>41216</v>
      </c>
      <c r="D323" s="547" t="s">
        <v>287</v>
      </c>
      <c r="E323" s="546"/>
      <c r="F323" s="547" t="s">
        <v>7</v>
      </c>
      <c r="G323" s="31" t="s">
        <v>14</v>
      </c>
      <c r="H323" s="31" t="s">
        <v>43</v>
      </c>
      <c r="I323" s="31"/>
      <c r="J323" s="60"/>
      <c r="K323" s="60"/>
      <c r="L323" s="60">
        <v>862</v>
      </c>
      <c r="M323" s="60">
        <v>500</v>
      </c>
      <c r="N323" s="60">
        <v>862</v>
      </c>
      <c r="O323" s="60">
        <v>862</v>
      </c>
      <c r="P323" s="60"/>
      <c r="Q323" s="60"/>
      <c r="R323" s="570"/>
      <c r="S323" s="60"/>
      <c r="T323" s="143">
        <f>IF(NFI_Expiration=1,IF($A323&lt;VLOOKUP(I$5,NFI,5,0),1,0)*Data_NFI_t[[#This Row],[Hygiene Kit]],0)</f>
        <v>0</v>
      </c>
      <c r="U323" s="143">
        <f>IF(NFI_Expiration=1,IF($A323&lt;VLOOKUP(J$5,NFI,5,0),1,0)*Data_NFI_t[[#This Row],[NFI Core Kit]],0)</f>
        <v>0</v>
      </c>
      <c r="V323" s="124">
        <f>IF(NFI_Expiration=1,IF($A323&lt;VLOOKUP(K$5,NFI,5,0),1,0)*Data_NFI_t[[#This Row],[Sanitary Kit]],0)</f>
        <v>0</v>
      </c>
      <c r="W323" s="124">
        <f>IF(NFI_Expiration=1,IF($A323&lt;VLOOKUP(L$5,NFI,5,0),1,0)*Data_NFI_t[[#This Row],[Mosquito net]],0)</f>
        <v>0</v>
      </c>
      <c r="X323" s="124">
        <f>IF(NFI_Expiration=1,IF($A323&lt;VLOOKUP(M$5,NFI,5,0),1,0)*Data_NFI_t[[#This Row],[Tarpaulin]],0)</f>
        <v>0</v>
      </c>
      <c r="Y323" s="124">
        <f>IF(NFI_Expiration=1,IF($A323&lt;VLOOKUP(N$5,NFI,5,0),1,0)*Data_NFI_t[[#This Row],[Blanket]],0)</f>
        <v>0</v>
      </c>
      <c r="Z323" s="124">
        <f>IF(NFI_Expiration=1,IF($A323&lt;VLOOKUP(O$5,NFI,5,0),1,0)*Data_NFI_t[[#This Row],[Kitchen Set]],0)</f>
        <v>0</v>
      </c>
      <c r="AA323" s="124">
        <f>IF(NFI_Expiration=1,IF($A323&lt;VLOOKUP(P$5,NFI,5,0),1,0)*Data_NFI_t[[#This Row],[Complementary Kit]],0)</f>
        <v>0</v>
      </c>
      <c r="AB323" s="124">
        <f>IF(NFI_Expiration=1,IF($A323&lt;VLOOKUP(Q$5,NFI,5,0),1,0)*Data_NFI_t[[#This Row],[Plastic Bucket]],0)</f>
        <v>0</v>
      </c>
      <c r="AC323" s="124">
        <f>IF(NFI_Expiration=1,IF($A323&lt;VLOOKUP(R$5,NFI,5,0),1,0)*Data_NFI_t[[#This Row],[Jerry Can]],0)</f>
        <v>0</v>
      </c>
      <c r="AD323" s="143">
        <f>IF(NFI_Expiration=1,IF($A323&lt;VLOOKUP(S$5,NFI,5,0),1,0)*Data_NFI_t[[#This Row],[Plastic Mat]],0)*IF(Data_NFI_t[[#This Row],[Distribution Date]]&gt;"01-06-2015",1,2.5)</f>
        <v>0</v>
      </c>
      <c r="AE323" s="143" t="str">
        <f ca="1">IFERROR(OFFSET(Camp_List[P_Code],MATCH(Data_NFI_t[[#This Row],[Camp Name]],Camp_List[Camp Name],0)-1,0,1,1),"")</f>
        <v>MMR012CMP019</v>
      </c>
      <c r="AF323" s="572" t="str">
        <f ca="1">IFERROR(OFFSET(Camp_List[Status],MATCH(Data_NFI_t[[#This Row],[Camp Name]],Camp_List[Camp Name],0)-1,0,1,1),"")</f>
        <v>Open</v>
      </c>
    </row>
    <row r="324" spans="1:32" s="100" customFormat="1" ht="15" customHeight="1">
      <c r="A324" s="254">
        <f t="shared" si="4"/>
        <v>43.56666666666667</v>
      </c>
      <c r="B324" s="254">
        <f>YEAR(Data_NFI_t[[#This Row],[Distribution Date]])</f>
        <v>2012</v>
      </c>
      <c r="C324" s="585">
        <v>41215</v>
      </c>
      <c r="D324" s="547" t="s">
        <v>287</v>
      </c>
      <c r="E324" s="546"/>
      <c r="F324" s="547" t="s">
        <v>7</v>
      </c>
      <c r="G324" s="31" t="s">
        <v>15</v>
      </c>
      <c r="H324" s="31" t="s">
        <v>49</v>
      </c>
      <c r="I324" s="31"/>
      <c r="J324" s="60"/>
      <c r="K324" s="60"/>
      <c r="L324" s="60"/>
      <c r="M324" s="60">
        <v>85</v>
      </c>
      <c r="N324" s="60"/>
      <c r="O324" s="60"/>
      <c r="P324" s="60"/>
      <c r="Q324" s="60"/>
      <c r="R324" s="570"/>
      <c r="S324" s="60"/>
      <c r="T324" s="143">
        <f>IF(NFI_Expiration=1,IF($A324&lt;VLOOKUP(I$5,NFI,5,0),1,0)*Data_NFI_t[[#This Row],[Hygiene Kit]],0)</f>
        <v>0</v>
      </c>
      <c r="U324" s="143">
        <f>IF(NFI_Expiration=1,IF($A324&lt;VLOOKUP(J$5,NFI,5,0),1,0)*Data_NFI_t[[#This Row],[NFI Core Kit]],0)</f>
        <v>0</v>
      </c>
      <c r="V324" s="124">
        <f>IF(NFI_Expiration=1,IF($A324&lt;VLOOKUP(K$5,NFI,5,0),1,0)*Data_NFI_t[[#This Row],[Sanitary Kit]],0)</f>
        <v>0</v>
      </c>
      <c r="W324" s="124">
        <f>IF(NFI_Expiration=1,IF($A324&lt;VLOOKUP(L$5,NFI,5,0),1,0)*Data_NFI_t[[#This Row],[Mosquito net]],0)</f>
        <v>0</v>
      </c>
      <c r="X324" s="124">
        <f>IF(NFI_Expiration=1,IF($A324&lt;VLOOKUP(M$5,NFI,5,0),1,0)*Data_NFI_t[[#This Row],[Tarpaulin]],0)</f>
        <v>0</v>
      </c>
      <c r="Y324" s="124">
        <f>IF(NFI_Expiration=1,IF($A324&lt;VLOOKUP(N$5,NFI,5,0),1,0)*Data_NFI_t[[#This Row],[Blanket]],0)</f>
        <v>0</v>
      </c>
      <c r="Z324" s="124">
        <f>IF(NFI_Expiration=1,IF($A324&lt;VLOOKUP(O$5,NFI,5,0),1,0)*Data_NFI_t[[#This Row],[Kitchen Set]],0)</f>
        <v>0</v>
      </c>
      <c r="AA324" s="124">
        <f>IF(NFI_Expiration=1,IF($A324&lt;VLOOKUP(P$5,NFI,5,0),1,0)*Data_NFI_t[[#This Row],[Complementary Kit]],0)</f>
        <v>0</v>
      </c>
      <c r="AB324" s="124">
        <f>IF(NFI_Expiration=1,IF($A324&lt;VLOOKUP(Q$5,NFI,5,0),1,0)*Data_NFI_t[[#This Row],[Plastic Bucket]],0)</f>
        <v>0</v>
      </c>
      <c r="AC324" s="124">
        <f>IF(NFI_Expiration=1,IF($A324&lt;VLOOKUP(R$5,NFI,5,0),1,0)*Data_NFI_t[[#This Row],[Jerry Can]],0)</f>
        <v>0</v>
      </c>
      <c r="AD324" s="143">
        <f>IF(NFI_Expiration=1,IF($A324&lt;VLOOKUP(S$5,NFI,5,0),1,0)*Data_NFI_t[[#This Row],[Plastic Mat]],0)*IF(Data_NFI_t[[#This Row],[Distribution Date]]&gt;"01-06-2015",1,2.5)</f>
        <v>0</v>
      </c>
      <c r="AE324" s="143" t="str">
        <f ca="1">IFERROR(OFFSET(Camp_List[P_Code],MATCH(Data_NFI_t[[#This Row],[Camp Name]],Camp_List[Camp Name],0)-1,0,1,1),"")</f>
        <v>MMR012CMP025</v>
      </c>
      <c r="AF324" s="572" t="str">
        <f ca="1">IFERROR(OFFSET(Camp_List[Status],MATCH(Data_NFI_t[[#This Row],[Camp Name]],Camp_List[Camp Name],0)-1,0,1,1),"")</f>
        <v>Returned in Individual Housing</v>
      </c>
    </row>
    <row r="325" spans="1:32" s="100" customFormat="1" ht="15" customHeight="1">
      <c r="A325" s="254">
        <f t="shared" si="4"/>
        <v>43.6</v>
      </c>
      <c r="B325" s="254">
        <f>YEAR(Data_NFI_t[[#This Row],[Distribution Date]])</f>
        <v>2012</v>
      </c>
      <c r="C325" s="585">
        <v>41214</v>
      </c>
      <c r="D325" s="547" t="s">
        <v>287</v>
      </c>
      <c r="E325" s="546"/>
      <c r="F325" s="547" t="s">
        <v>7</v>
      </c>
      <c r="G325" s="31" t="s">
        <v>900</v>
      </c>
      <c r="H325" s="31" t="s">
        <v>38</v>
      </c>
      <c r="I325" s="31"/>
      <c r="J325" s="60"/>
      <c r="K325" s="60"/>
      <c r="L325" s="60"/>
      <c r="M325" s="60">
        <v>146</v>
      </c>
      <c r="N325" s="60"/>
      <c r="O325" s="60">
        <v>146</v>
      </c>
      <c r="P325" s="60"/>
      <c r="Q325" s="60"/>
      <c r="R325" s="570"/>
      <c r="S325" s="60"/>
      <c r="T325" s="143">
        <f>IF(NFI_Expiration=1,IF($A325&lt;VLOOKUP(I$5,NFI,5,0),1,0)*Data_NFI_t[[#This Row],[Hygiene Kit]],0)</f>
        <v>0</v>
      </c>
      <c r="U325" s="143">
        <f>IF(NFI_Expiration=1,IF($A325&lt;VLOOKUP(J$5,NFI,5,0),1,0)*Data_NFI_t[[#This Row],[NFI Core Kit]],0)</f>
        <v>0</v>
      </c>
      <c r="V325" s="124">
        <f>IF(NFI_Expiration=1,IF($A325&lt;VLOOKUP(K$5,NFI,5,0),1,0)*Data_NFI_t[[#This Row],[Sanitary Kit]],0)</f>
        <v>0</v>
      </c>
      <c r="W325" s="124">
        <f>IF(NFI_Expiration=1,IF($A325&lt;VLOOKUP(L$5,NFI,5,0),1,0)*Data_NFI_t[[#This Row],[Mosquito net]],0)</f>
        <v>0</v>
      </c>
      <c r="X325" s="124">
        <f>IF(NFI_Expiration=1,IF($A325&lt;VLOOKUP(M$5,NFI,5,0),1,0)*Data_NFI_t[[#This Row],[Tarpaulin]],0)</f>
        <v>0</v>
      </c>
      <c r="Y325" s="124">
        <f>IF(NFI_Expiration=1,IF($A325&lt;VLOOKUP(N$5,NFI,5,0),1,0)*Data_NFI_t[[#This Row],[Blanket]],0)</f>
        <v>0</v>
      </c>
      <c r="Z325" s="124">
        <f>IF(NFI_Expiration=1,IF($A325&lt;VLOOKUP(O$5,NFI,5,0),1,0)*Data_NFI_t[[#This Row],[Kitchen Set]],0)</f>
        <v>0</v>
      </c>
      <c r="AA325" s="124">
        <f>IF(NFI_Expiration=1,IF($A325&lt;VLOOKUP(P$5,NFI,5,0),1,0)*Data_NFI_t[[#This Row],[Complementary Kit]],0)</f>
        <v>0</v>
      </c>
      <c r="AB325" s="124">
        <f>IF(NFI_Expiration=1,IF($A325&lt;VLOOKUP(Q$5,NFI,5,0),1,0)*Data_NFI_t[[#This Row],[Plastic Bucket]],0)</f>
        <v>0</v>
      </c>
      <c r="AC325" s="124">
        <f>IF(NFI_Expiration=1,IF($A325&lt;VLOOKUP(R$5,NFI,5,0),1,0)*Data_NFI_t[[#This Row],[Jerry Can]],0)</f>
        <v>0</v>
      </c>
      <c r="AD325" s="143">
        <f>IF(NFI_Expiration=1,IF($A325&lt;VLOOKUP(S$5,NFI,5,0),1,0)*Data_NFI_t[[#This Row],[Plastic Mat]],0)*IF(Data_NFI_t[[#This Row],[Distribution Date]]&gt;"01-06-2015",1,2.5)</f>
        <v>0</v>
      </c>
      <c r="AE325" s="143" t="str">
        <f ca="1">IFERROR(OFFSET(Camp_List[P_Code],MATCH(Data_NFI_t[[#This Row],[Camp Name]],Camp_List[Camp Name],0)-1,0,1,1),"")</f>
        <v>MMR012CMP014</v>
      </c>
      <c r="AF325" s="572" t="str">
        <f ca="1">IFERROR(OFFSET(Camp_List[Status],MATCH(Data_NFI_t[[#This Row],[Camp Name]],Camp_List[Camp Name],0)-1,0,1,1),"")</f>
        <v>Open</v>
      </c>
    </row>
    <row r="326" spans="1:32" s="100" customFormat="1" ht="15" customHeight="1">
      <c r="A326" s="254">
        <f t="shared" si="4"/>
        <v>43.633333333333333</v>
      </c>
      <c r="B326" s="254">
        <f>YEAR(Data_NFI_t[[#This Row],[Distribution Date]])</f>
        <v>2012</v>
      </c>
      <c r="C326" s="585">
        <v>41213</v>
      </c>
      <c r="D326" s="547" t="s">
        <v>287</v>
      </c>
      <c r="E326" s="546"/>
      <c r="F326" s="547" t="s">
        <v>7</v>
      </c>
      <c r="G326" s="31" t="s">
        <v>11</v>
      </c>
      <c r="H326" s="31" t="s">
        <v>30</v>
      </c>
      <c r="I326" s="31"/>
      <c r="J326" s="60"/>
      <c r="K326" s="60"/>
      <c r="L326" s="60"/>
      <c r="M326" s="60">
        <v>40</v>
      </c>
      <c r="N326" s="60"/>
      <c r="O326" s="60"/>
      <c r="P326" s="60"/>
      <c r="Q326" s="60"/>
      <c r="R326" s="570"/>
      <c r="S326" s="60"/>
      <c r="T326" s="143">
        <f>IF(NFI_Expiration=1,IF($A326&lt;VLOOKUP(I$5,NFI,5,0),1,0)*Data_NFI_t[[#This Row],[Hygiene Kit]],0)</f>
        <v>0</v>
      </c>
      <c r="U326" s="143">
        <f>IF(NFI_Expiration=1,IF($A326&lt;VLOOKUP(J$5,NFI,5,0),1,0)*Data_NFI_t[[#This Row],[NFI Core Kit]],0)</f>
        <v>0</v>
      </c>
      <c r="V326" s="124">
        <f>IF(NFI_Expiration=1,IF($A326&lt;VLOOKUP(K$5,NFI,5,0),1,0)*Data_NFI_t[[#This Row],[Sanitary Kit]],0)</f>
        <v>0</v>
      </c>
      <c r="W326" s="124">
        <f>IF(NFI_Expiration=1,IF($A326&lt;VLOOKUP(L$5,NFI,5,0),1,0)*Data_NFI_t[[#This Row],[Mosquito net]],0)</f>
        <v>0</v>
      </c>
      <c r="X326" s="124">
        <f>IF(NFI_Expiration=1,IF($A326&lt;VLOOKUP(M$5,NFI,5,0),1,0)*Data_NFI_t[[#This Row],[Tarpaulin]],0)</f>
        <v>0</v>
      </c>
      <c r="Y326" s="124">
        <f>IF(NFI_Expiration=1,IF($A326&lt;VLOOKUP(N$5,NFI,5,0),1,0)*Data_NFI_t[[#This Row],[Blanket]],0)</f>
        <v>0</v>
      </c>
      <c r="Z326" s="124">
        <f>IF(NFI_Expiration=1,IF($A326&lt;VLOOKUP(O$5,NFI,5,0),1,0)*Data_NFI_t[[#This Row],[Kitchen Set]],0)</f>
        <v>0</v>
      </c>
      <c r="AA326" s="124">
        <f>IF(NFI_Expiration=1,IF($A326&lt;VLOOKUP(P$5,NFI,5,0),1,0)*Data_NFI_t[[#This Row],[Complementary Kit]],0)</f>
        <v>0</v>
      </c>
      <c r="AB326" s="124">
        <f>IF(NFI_Expiration=1,IF($A326&lt;VLOOKUP(Q$5,NFI,5,0),1,0)*Data_NFI_t[[#This Row],[Plastic Bucket]],0)</f>
        <v>0</v>
      </c>
      <c r="AC326" s="124">
        <f>IF(NFI_Expiration=1,IF($A326&lt;VLOOKUP(R$5,NFI,5,0),1,0)*Data_NFI_t[[#This Row],[Jerry Can]],0)</f>
        <v>0</v>
      </c>
      <c r="AD326" s="143">
        <f>IF(NFI_Expiration=1,IF($A326&lt;VLOOKUP(S$5,NFI,5,0),1,0)*Data_NFI_t[[#This Row],[Plastic Mat]],0)*IF(Data_NFI_t[[#This Row],[Distribution Date]]&gt;"01-06-2015",1,2.5)</f>
        <v>0</v>
      </c>
      <c r="AE326" s="143" t="str">
        <f ca="1">IFERROR(OFFSET(Camp_List[P_Code],MATCH(Data_NFI_t[[#This Row],[Camp Name]],Camp_List[Camp Name],0)-1,0,1,1),"")</f>
        <v>MMR012CMP006</v>
      </c>
      <c r="AF326" s="572" t="str">
        <f ca="1">IFERROR(OFFSET(Camp_List[Status],MATCH(Data_NFI_t[[#This Row],[Camp Name]],Camp_List[Camp Name],0)-1,0,1,1),"")</f>
        <v>Returned in Individual Housing</v>
      </c>
    </row>
    <row r="327" spans="1:32" s="100" customFormat="1" ht="15" customHeight="1">
      <c r="A327" s="254">
        <f t="shared" si="4"/>
        <v>43.633333333333333</v>
      </c>
      <c r="B327" s="254">
        <f>YEAR(Data_NFI_t[[#This Row],[Distribution Date]])</f>
        <v>2012</v>
      </c>
      <c r="C327" s="585">
        <v>41213</v>
      </c>
      <c r="D327" s="547" t="s">
        <v>287</v>
      </c>
      <c r="E327" s="546"/>
      <c r="F327" s="547" t="s">
        <v>7</v>
      </c>
      <c r="G327" s="31" t="s">
        <v>11</v>
      </c>
      <c r="H327" s="31" t="s">
        <v>28</v>
      </c>
      <c r="I327" s="31"/>
      <c r="J327" s="60"/>
      <c r="K327" s="60"/>
      <c r="L327" s="60"/>
      <c r="M327" s="60">
        <v>100</v>
      </c>
      <c r="N327" s="60"/>
      <c r="O327" s="60"/>
      <c r="P327" s="60"/>
      <c r="Q327" s="60"/>
      <c r="R327" s="570"/>
      <c r="S327" s="60"/>
      <c r="T327" s="143">
        <f>IF(NFI_Expiration=1,IF($A327&lt;VLOOKUP(I$5,NFI,5,0),1,0)*Data_NFI_t[[#This Row],[Hygiene Kit]],0)</f>
        <v>0</v>
      </c>
      <c r="U327" s="143">
        <f>IF(NFI_Expiration=1,IF($A327&lt;VLOOKUP(J$5,NFI,5,0),1,0)*Data_NFI_t[[#This Row],[NFI Core Kit]],0)</f>
        <v>0</v>
      </c>
      <c r="V327" s="124">
        <f>IF(NFI_Expiration=1,IF($A327&lt;VLOOKUP(K$5,NFI,5,0),1,0)*Data_NFI_t[[#This Row],[Sanitary Kit]],0)</f>
        <v>0</v>
      </c>
      <c r="W327" s="124">
        <f>IF(NFI_Expiration=1,IF($A327&lt;VLOOKUP(L$5,NFI,5,0),1,0)*Data_NFI_t[[#This Row],[Mosquito net]],0)</f>
        <v>0</v>
      </c>
      <c r="X327" s="124">
        <f>IF(NFI_Expiration=1,IF($A327&lt;VLOOKUP(M$5,NFI,5,0),1,0)*Data_NFI_t[[#This Row],[Tarpaulin]],0)</f>
        <v>0</v>
      </c>
      <c r="Y327" s="124">
        <f>IF(NFI_Expiration=1,IF($A327&lt;VLOOKUP(N$5,NFI,5,0),1,0)*Data_NFI_t[[#This Row],[Blanket]],0)</f>
        <v>0</v>
      </c>
      <c r="Z327" s="124">
        <f>IF(NFI_Expiration=1,IF($A327&lt;VLOOKUP(O$5,NFI,5,0),1,0)*Data_NFI_t[[#This Row],[Kitchen Set]],0)</f>
        <v>0</v>
      </c>
      <c r="AA327" s="124">
        <f>IF(NFI_Expiration=1,IF($A327&lt;VLOOKUP(P$5,NFI,5,0),1,0)*Data_NFI_t[[#This Row],[Complementary Kit]],0)</f>
        <v>0</v>
      </c>
      <c r="AB327" s="124">
        <f>IF(NFI_Expiration=1,IF($A327&lt;VLOOKUP(Q$5,NFI,5,0),1,0)*Data_NFI_t[[#This Row],[Plastic Bucket]],0)</f>
        <v>0</v>
      </c>
      <c r="AC327" s="124">
        <f>IF(NFI_Expiration=1,IF($A327&lt;VLOOKUP(R$5,NFI,5,0),1,0)*Data_NFI_t[[#This Row],[Jerry Can]],0)</f>
        <v>0</v>
      </c>
      <c r="AD327" s="143">
        <f>IF(NFI_Expiration=1,IF($A327&lt;VLOOKUP(S$5,NFI,5,0),1,0)*Data_NFI_t[[#This Row],[Plastic Mat]],0)*IF(Data_NFI_t[[#This Row],[Distribution Date]]&gt;"01-06-2015",1,2.5)</f>
        <v>0</v>
      </c>
      <c r="AE327" s="143" t="str">
        <f ca="1">IFERROR(OFFSET(Camp_List[P_Code],MATCH(Data_NFI_t[[#This Row],[Camp Name]],Camp_List[Camp Name],0)-1,0,1,1),"")</f>
        <v>MMR012CMP004</v>
      </c>
      <c r="AF327" s="572" t="str">
        <f ca="1">IFERROR(OFFSET(Camp_List[Status],MATCH(Data_NFI_t[[#This Row],[Camp Name]],Camp_List[Camp Name],0)-1,0,1,1),"")</f>
        <v>Close</v>
      </c>
    </row>
    <row r="328" spans="1:32" s="100" customFormat="1" ht="15" customHeight="1">
      <c r="A328" s="254">
        <f t="shared" ref="A328:A391" si="5">IF(ISBLANK(C328),"",(Report_Date-C328)/30)</f>
        <v>43.633333333333333</v>
      </c>
      <c r="B328" s="254">
        <f>YEAR(Data_NFI_t[[#This Row],[Distribution Date]])</f>
        <v>2012</v>
      </c>
      <c r="C328" s="585">
        <v>41213</v>
      </c>
      <c r="D328" s="547" t="s">
        <v>287</v>
      </c>
      <c r="E328" s="546"/>
      <c r="F328" s="547" t="s">
        <v>7</v>
      </c>
      <c r="G328" s="31" t="s">
        <v>12</v>
      </c>
      <c r="H328" s="31" t="s">
        <v>33</v>
      </c>
      <c r="I328" s="31"/>
      <c r="J328" s="60"/>
      <c r="K328" s="60"/>
      <c r="L328" s="60"/>
      <c r="M328" s="60">
        <v>100</v>
      </c>
      <c r="N328" s="60"/>
      <c r="O328" s="60"/>
      <c r="P328" s="60"/>
      <c r="Q328" s="60"/>
      <c r="R328" s="570"/>
      <c r="S328" s="60"/>
      <c r="T328" s="143">
        <f>IF(NFI_Expiration=1,IF($A328&lt;VLOOKUP(I$5,NFI,5,0),1,0)*Data_NFI_t[[#This Row],[Hygiene Kit]],0)</f>
        <v>0</v>
      </c>
      <c r="U328" s="143">
        <f>IF(NFI_Expiration=1,IF($A328&lt;VLOOKUP(J$5,NFI,5,0),1,0)*Data_NFI_t[[#This Row],[NFI Core Kit]],0)</f>
        <v>0</v>
      </c>
      <c r="V328" s="124">
        <f>IF(NFI_Expiration=1,IF($A328&lt;VLOOKUP(K$5,NFI,5,0),1,0)*Data_NFI_t[[#This Row],[Sanitary Kit]],0)</f>
        <v>0</v>
      </c>
      <c r="W328" s="124">
        <f>IF(NFI_Expiration=1,IF($A328&lt;VLOOKUP(L$5,NFI,5,0),1,0)*Data_NFI_t[[#This Row],[Mosquito net]],0)</f>
        <v>0</v>
      </c>
      <c r="X328" s="124">
        <f>IF(NFI_Expiration=1,IF($A328&lt;VLOOKUP(M$5,NFI,5,0),1,0)*Data_NFI_t[[#This Row],[Tarpaulin]],0)</f>
        <v>0</v>
      </c>
      <c r="Y328" s="124">
        <f>IF(NFI_Expiration=1,IF($A328&lt;VLOOKUP(N$5,NFI,5,0),1,0)*Data_NFI_t[[#This Row],[Blanket]],0)</f>
        <v>0</v>
      </c>
      <c r="Z328" s="124">
        <f>IF(NFI_Expiration=1,IF($A328&lt;VLOOKUP(O$5,NFI,5,0),1,0)*Data_NFI_t[[#This Row],[Kitchen Set]],0)</f>
        <v>0</v>
      </c>
      <c r="AA328" s="124">
        <f>IF(NFI_Expiration=1,IF($A328&lt;VLOOKUP(P$5,NFI,5,0),1,0)*Data_NFI_t[[#This Row],[Complementary Kit]],0)</f>
        <v>0</v>
      </c>
      <c r="AB328" s="124">
        <f>IF(NFI_Expiration=1,IF($A328&lt;VLOOKUP(Q$5,NFI,5,0),1,0)*Data_NFI_t[[#This Row],[Plastic Bucket]],0)</f>
        <v>0</v>
      </c>
      <c r="AC328" s="124">
        <f>IF(NFI_Expiration=1,IF($A328&lt;VLOOKUP(R$5,NFI,5,0),1,0)*Data_NFI_t[[#This Row],[Jerry Can]],0)</f>
        <v>0</v>
      </c>
      <c r="AD328" s="143">
        <f>IF(NFI_Expiration=1,IF($A328&lt;VLOOKUP(S$5,NFI,5,0),1,0)*Data_NFI_t[[#This Row],[Plastic Mat]],0)*IF(Data_NFI_t[[#This Row],[Distribution Date]]&gt;"01-06-2015",1,2.5)</f>
        <v>0</v>
      </c>
      <c r="AE328" s="143" t="str">
        <f ca="1">IFERROR(OFFSET(Camp_List[P_Code],MATCH(Data_NFI_t[[#This Row],[Camp Name]],Camp_List[Camp Name],0)-1,0,1,1),"")</f>
        <v>MMR012CMP009</v>
      </c>
      <c r="AF328" s="572" t="str">
        <f ca="1">IFERROR(OFFSET(Camp_List[Status],MATCH(Data_NFI_t[[#This Row],[Camp Name]],Camp_List[Camp Name],0)-1,0,1,1),"")</f>
        <v>Returned in Individual Housing</v>
      </c>
    </row>
    <row r="329" spans="1:32" s="100" customFormat="1" ht="15" customHeight="1">
      <c r="A329" s="254">
        <f t="shared" si="5"/>
        <v>44.43333333333333</v>
      </c>
      <c r="B329" s="254">
        <f>YEAR(Data_NFI_t[[#This Row],[Distribution Date]])</f>
        <v>2012</v>
      </c>
      <c r="C329" s="585">
        <v>41189</v>
      </c>
      <c r="D329" s="547" t="s">
        <v>287</v>
      </c>
      <c r="E329" s="546"/>
      <c r="F329" s="547" t="s">
        <v>7</v>
      </c>
      <c r="G329" s="31" t="s">
        <v>15</v>
      </c>
      <c r="H329" s="31" t="s">
        <v>48</v>
      </c>
      <c r="I329" s="31"/>
      <c r="J329" s="60"/>
      <c r="K329" s="60"/>
      <c r="L329" s="60"/>
      <c r="M329" s="60">
        <v>90</v>
      </c>
      <c r="N329" s="60"/>
      <c r="O329" s="60"/>
      <c r="P329" s="60"/>
      <c r="Q329" s="60"/>
      <c r="R329" s="570"/>
      <c r="S329" s="60"/>
      <c r="T329" s="143">
        <f>IF(NFI_Expiration=1,IF($A329&lt;VLOOKUP(I$5,NFI,5,0),1,0)*Data_NFI_t[[#This Row],[Hygiene Kit]],0)</f>
        <v>0</v>
      </c>
      <c r="U329" s="143">
        <f>IF(NFI_Expiration=1,IF($A329&lt;VLOOKUP(J$5,NFI,5,0),1,0)*Data_NFI_t[[#This Row],[NFI Core Kit]],0)</f>
        <v>0</v>
      </c>
      <c r="V329" s="124">
        <f>IF(NFI_Expiration=1,IF($A329&lt;VLOOKUP(K$5,NFI,5,0),1,0)*Data_NFI_t[[#This Row],[Sanitary Kit]],0)</f>
        <v>0</v>
      </c>
      <c r="W329" s="124">
        <f>IF(NFI_Expiration=1,IF($A329&lt;VLOOKUP(L$5,NFI,5,0),1,0)*Data_NFI_t[[#This Row],[Mosquito net]],0)</f>
        <v>0</v>
      </c>
      <c r="X329" s="124">
        <f>IF(NFI_Expiration=1,IF($A329&lt;VLOOKUP(M$5,NFI,5,0),1,0)*Data_NFI_t[[#This Row],[Tarpaulin]],0)</f>
        <v>0</v>
      </c>
      <c r="Y329" s="124">
        <f>IF(NFI_Expiration=1,IF($A329&lt;VLOOKUP(N$5,NFI,5,0),1,0)*Data_NFI_t[[#This Row],[Blanket]],0)</f>
        <v>0</v>
      </c>
      <c r="Z329" s="124">
        <f>IF(NFI_Expiration=1,IF($A329&lt;VLOOKUP(O$5,NFI,5,0),1,0)*Data_NFI_t[[#This Row],[Kitchen Set]],0)</f>
        <v>0</v>
      </c>
      <c r="AA329" s="124">
        <f>IF(NFI_Expiration=1,IF($A329&lt;VLOOKUP(P$5,NFI,5,0),1,0)*Data_NFI_t[[#This Row],[Complementary Kit]],0)</f>
        <v>0</v>
      </c>
      <c r="AB329" s="124">
        <f>IF(NFI_Expiration=1,IF($A329&lt;VLOOKUP(Q$5,NFI,5,0),1,0)*Data_NFI_t[[#This Row],[Plastic Bucket]],0)</f>
        <v>0</v>
      </c>
      <c r="AC329" s="124">
        <f>IF(NFI_Expiration=1,IF($A329&lt;VLOOKUP(R$5,NFI,5,0),1,0)*Data_NFI_t[[#This Row],[Jerry Can]],0)</f>
        <v>0</v>
      </c>
      <c r="AD329" s="143">
        <f>IF(NFI_Expiration=1,IF($A329&lt;VLOOKUP(S$5,NFI,5,0),1,0)*Data_NFI_t[[#This Row],[Plastic Mat]],0)*IF(Data_NFI_t[[#This Row],[Distribution Date]]&gt;"01-06-2015",1,2.5)</f>
        <v>0</v>
      </c>
      <c r="AE329" s="143" t="str">
        <f ca="1">IFERROR(OFFSET(Camp_List[P_Code],MATCH(Data_NFI_t[[#This Row],[Camp Name]],Camp_List[Camp Name],0)-1,0,1,1),"")</f>
        <v>MMR012CMP024</v>
      </c>
      <c r="AF329" s="572" t="str">
        <f ca="1">IFERROR(OFFSET(Camp_List[Status],MATCH(Data_NFI_t[[#This Row],[Camp Name]],Camp_List[Camp Name],0)-1,0,1,1),"")</f>
        <v>Returned in Individual Housing</v>
      </c>
    </row>
    <row r="330" spans="1:32" s="100" customFormat="1" ht="15" customHeight="1">
      <c r="A330" s="254">
        <f t="shared" si="5"/>
        <v>44.43333333333333</v>
      </c>
      <c r="B330" s="254">
        <f>YEAR(Data_NFI_t[[#This Row],[Distribution Date]])</f>
        <v>2012</v>
      </c>
      <c r="C330" s="585">
        <v>41189</v>
      </c>
      <c r="D330" s="547" t="s">
        <v>287</v>
      </c>
      <c r="E330" s="546"/>
      <c r="F330" s="547" t="s">
        <v>7</v>
      </c>
      <c r="G330" s="31" t="s">
        <v>15</v>
      </c>
      <c r="H330" s="31" t="s">
        <v>293</v>
      </c>
      <c r="I330" s="31"/>
      <c r="J330" s="60"/>
      <c r="K330" s="60"/>
      <c r="L330" s="60"/>
      <c r="M330" s="60">
        <v>97</v>
      </c>
      <c r="N330" s="60"/>
      <c r="O330" s="60"/>
      <c r="P330" s="60"/>
      <c r="Q330" s="60"/>
      <c r="R330" s="570"/>
      <c r="S330" s="60"/>
      <c r="T330" s="143">
        <f>IF(NFI_Expiration=1,IF($A330&lt;VLOOKUP(I$5,NFI,5,0),1,0)*Data_NFI_t[[#This Row],[Hygiene Kit]],0)</f>
        <v>0</v>
      </c>
      <c r="U330" s="143">
        <f>IF(NFI_Expiration=1,IF($A330&lt;VLOOKUP(J$5,NFI,5,0),1,0)*Data_NFI_t[[#This Row],[NFI Core Kit]],0)</f>
        <v>0</v>
      </c>
      <c r="V330" s="124">
        <f>IF(NFI_Expiration=1,IF($A330&lt;VLOOKUP(K$5,NFI,5,0),1,0)*Data_NFI_t[[#This Row],[Sanitary Kit]],0)</f>
        <v>0</v>
      </c>
      <c r="W330" s="124">
        <f>IF(NFI_Expiration=1,IF($A330&lt;VLOOKUP(L$5,NFI,5,0),1,0)*Data_NFI_t[[#This Row],[Mosquito net]],0)</f>
        <v>0</v>
      </c>
      <c r="X330" s="124">
        <f>IF(NFI_Expiration=1,IF($A330&lt;VLOOKUP(M$5,NFI,5,0),1,0)*Data_NFI_t[[#This Row],[Tarpaulin]],0)</f>
        <v>0</v>
      </c>
      <c r="Y330" s="124">
        <f>IF(NFI_Expiration=1,IF($A330&lt;VLOOKUP(N$5,NFI,5,0),1,0)*Data_NFI_t[[#This Row],[Blanket]],0)</f>
        <v>0</v>
      </c>
      <c r="Z330" s="124">
        <f>IF(NFI_Expiration=1,IF($A330&lt;VLOOKUP(O$5,NFI,5,0),1,0)*Data_NFI_t[[#This Row],[Kitchen Set]],0)</f>
        <v>0</v>
      </c>
      <c r="AA330" s="124">
        <f>IF(NFI_Expiration=1,IF($A330&lt;VLOOKUP(P$5,NFI,5,0),1,0)*Data_NFI_t[[#This Row],[Complementary Kit]],0)</f>
        <v>0</v>
      </c>
      <c r="AB330" s="124">
        <f>IF(NFI_Expiration=1,IF($A330&lt;VLOOKUP(Q$5,NFI,5,0),1,0)*Data_NFI_t[[#This Row],[Plastic Bucket]],0)</f>
        <v>0</v>
      </c>
      <c r="AC330" s="124">
        <f>IF(NFI_Expiration=1,IF($A330&lt;VLOOKUP(R$5,NFI,5,0),1,0)*Data_NFI_t[[#This Row],[Jerry Can]],0)</f>
        <v>0</v>
      </c>
      <c r="AD330" s="143">
        <f>IF(NFI_Expiration=1,IF($A330&lt;VLOOKUP(S$5,NFI,5,0),1,0)*Data_NFI_t[[#This Row],[Plastic Mat]],0)*IF(Data_NFI_t[[#This Row],[Distribution Date]]&gt;"01-06-2015",1,2.5)</f>
        <v>0</v>
      </c>
      <c r="AE330" s="143" t="str">
        <f ca="1">IFERROR(OFFSET(Camp_List[P_Code],MATCH(Data_NFI_t[[#This Row],[Camp Name]],Camp_List[Camp Name],0)-1,0,1,1),"")</f>
        <v/>
      </c>
      <c r="AF330" s="572" t="str">
        <f ca="1">IFERROR(OFFSET(Camp_List[Status],MATCH(Data_NFI_t[[#This Row],[Camp Name]],Camp_List[Camp Name],0)-1,0,1,1),"")</f>
        <v/>
      </c>
    </row>
    <row r="331" spans="1:32" s="100" customFormat="1" ht="15" customHeight="1">
      <c r="A331" s="254">
        <f t="shared" si="5"/>
        <v>44.466666666666669</v>
      </c>
      <c r="B331" s="254">
        <f>YEAR(Data_NFI_t[[#This Row],[Distribution Date]])</f>
        <v>2012</v>
      </c>
      <c r="C331" s="585">
        <v>41188</v>
      </c>
      <c r="D331" s="547" t="s">
        <v>287</v>
      </c>
      <c r="E331" s="546"/>
      <c r="F331" s="547" t="s">
        <v>7</v>
      </c>
      <c r="G331" s="31" t="s">
        <v>19</v>
      </c>
      <c r="H331" s="31" t="s">
        <v>276</v>
      </c>
      <c r="I331" s="31"/>
      <c r="J331" s="60"/>
      <c r="K331" s="60"/>
      <c r="L331" s="60"/>
      <c r="M331" s="60">
        <v>100</v>
      </c>
      <c r="N331" s="60"/>
      <c r="O331" s="60"/>
      <c r="P331" s="60"/>
      <c r="Q331" s="60"/>
      <c r="R331" s="570"/>
      <c r="S331" s="60"/>
      <c r="T331" s="143">
        <f>IF(NFI_Expiration=1,IF($A331&lt;VLOOKUP(I$5,NFI,5,0),1,0)*Data_NFI_t[[#This Row],[Hygiene Kit]],0)</f>
        <v>0</v>
      </c>
      <c r="U331" s="143">
        <f>IF(NFI_Expiration=1,IF($A331&lt;VLOOKUP(J$5,NFI,5,0),1,0)*Data_NFI_t[[#This Row],[NFI Core Kit]],0)</f>
        <v>0</v>
      </c>
      <c r="V331" s="124">
        <f>IF(NFI_Expiration=1,IF($A331&lt;VLOOKUP(K$5,NFI,5,0),1,0)*Data_NFI_t[[#This Row],[Sanitary Kit]],0)</f>
        <v>0</v>
      </c>
      <c r="W331" s="124">
        <f>IF(NFI_Expiration=1,IF($A331&lt;VLOOKUP(L$5,NFI,5,0),1,0)*Data_NFI_t[[#This Row],[Mosquito net]],0)</f>
        <v>0</v>
      </c>
      <c r="X331" s="124">
        <f>IF(NFI_Expiration=1,IF($A331&lt;VLOOKUP(M$5,NFI,5,0),1,0)*Data_NFI_t[[#This Row],[Tarpaulin]],0)</f>
        <v>0</v>
      </c>
      <c r="Y331" s="124">
        <f>IF(NFI_Expiration=1,IF($A331&lt;VLOOKUP(N$5,NFI,5,0),1,0)*Data_NFI_t[[#This Row],[Blanket]],0)</f>
        <v>0</v>
      </c>
      <c r="Z331" s="124">
        <f>IF(NFI_Expiration=1,IF($A331&lt;VLOOKUP(O$5,NFI,5,0),1,0)*Data_NFI_t[[#This Row],[Kitchen Set]],0)</f>
        <v>0</v>
      </c>
      <c r="AA331" s="124">
        <f>IF(NFI_Expiration=1,IF($A331&lt;VLOOKUP(P$5,NFI,5,0),1,0)*Data_NFI_t[[#This Row],[Complementary Kit]],0)</f>
        <v>0</v>
      </c>
      <c r="AB331" s="124">
        <f>IF(NFI_Expiration=1,IF($A331&lt;VLOOKUP(Q$5,NFI,5,0),1,0)*Data_NFI_t[[#This Row],[Plastic Bucket]],0)</f>
        <v>0</v>
      </c>
      <c r="AC331" s="124">
        <f>IF(NFI_Expiration=1,IF($A331&lt;VLOOKUP(R$5,NFI,5,0),1,0)*Data_NFI_t[[#This Row],[Jerry Can]],0)</f>
        <v>0</v>
      </c>
      <c r="AD331" s="143">
        <f>IF(NFI_Expiration=1,IF($A331&lt;VLOOKUP(S$5,NFI,5,0),1,0)*Data_NFI_t[[#This Row],[Plastic Mat]],0)*IF(Data_NFI_t[[#This Row],[Distribution Date]]&gt;"01-06-2015",1,2.5)</f>
        <v>0</v>
      </c>
      <c r="AE331" s="143" t="str">
        <f ca="1">IFERROR(OFFSET(Camp_List[P_Code],MATCH(Data_NFI_t[[#This Row],[Camp Name]],Camp_List[Camp Name],0)-1,0,1,1),"")</f>
        <v/>
      </c>
      <c r="AF331" s="572" t="str">
        <f ca="1">IFERROR(OFFSET(Camp_List[Status],MATCH(Data_NFI_t[[#This Row],[Camp Name]],Camp_List[Camp Name],0)-1,0,1,1),"")</f>
        <v/>
      </c>
    </row>
    <row r="332" spans="1:32" s="100" customFormat="1" ht="15" customHeight="1">
      <c r="A332" s="254">
        <f t="shared" si="5"/>
        <v>45.43333333333333</v>
      </c>
      <c r="B332" s="254">
        <f>YEAR(Data_NFI_t[[#This Row],[Distribution Date]])</f>
        <v>2012</v>
      </c>
      <c r="C332" s="585">
        <v>41159</v>
      </c>
      <c r="D332" s="547" t="s">
        <v>287</v>
      </c>
      <c r="E332" s="546"/>
      <c r="F332" s="547" t="s">
        <v>7</v>
      </c>
      <c r="G332" s="31" t="s">
        <v>19</v>
      </c>
      <c r="H332" s="31" t="s">
        <v>62</v>
      </c>
      <c r="I332" s="31"/>
      <c r="J332" s="60"/>
      <c r="K332" s="60"/>
      <c r="L332" s="60"/>
      <c r="M332" s="60">
        <v>55</v>
      </c>
      <c r="N332" s="60"/>
      <c r="O332" s="60"/>
      <c r="P332" s="60"/>
      <c r="Q332" s="60"/>
      <c r="R332" s="570"/>
      <c r="S332" s="60"/>
      <c r="T332" s="143">
        <f>IF(NFI_Expiration=1,IF($A332&lt;VLOOKUP(I$5,NFI,5,0),1,0)*Data_NFI_t[[#This Row],[Hygiene Kit]],0)</f>
        <v>0</v>
      </c>
      <c r="U332" s="143">
        <f>IF(NFI_Expiration=1,IF($A332&lt;VLOOKUP(J$5,NFI,5,0),1,0)*Data_NFI_t[[#This Row],[NFI Core Kit]],0)</f>
        <v>0</v>
      </c>
      <c r="V332" s="124">
        <f>IF(NFI_Expiration=1,IF($A332&lt;VLOOKUP(K$5,NFI,5,0),1,0)*Data_NFI_t[[#This Row],[Sanitary Kit]],0)</f>
        <v>0</v>
      </c>
      <c r="W332" s="124">
        <f>IF(NFI_Expiration=1,IF($A332&lt;VLOOKUP(L$5,NFI,5,0),1,0)*Data_NFI_t[[#This Row],[Mosquito net]],0)</f>
        <v>0</v>
      </c>
      <c r="X332" s="124">
        <f>IF(NFI_Expiration=1,IF($A332&lt;VLOOKUP(M$5,NFI,5,0),1,0)*Data_NFI_t[[#This Row],[Tarpaulin]],0)</f>
        <v>0</v>
      </c>
      <c r="Y332" s="124">
        <f>IF(NFI_Expiration=1,IF($A332&lt;VLOOKUP(N$5,NFI,5,0),1,0)*Data_NFI_t[[#This Row],[Blanket]],0)</f>
        <v>0</v>
      </c>
      <c r="Z332" s="124">
        <f>IF(NFI_Expiration=1,IF($A332&lt;VLOOKUP(O$5,NFI,5,0),1,0)*Data_NFI_t[[#This Row],[Kitchen Set]],0)</f>
        <v>0</v>
      </c>
      <c r="AA332" s="124">
        <f>IF(NFI_Expiration=1,IF($A332&lt;VLOOKUP(P$5,NFI,5,0),1,0)*Data_NFI_t[[#This Row],[Complementary Kit]],0)</f>
        <v>0</v>
      </c>
      <c r="AB332" s="124">
        <f>IF(NFI_Expiration=1,IF($A332&lt;VLOOKUP(Q$5,NFI,5,0),1,0)*Data_NFI_t[[#This Row],[Plastic Bucket]],0)</f>
        <v>0</v>
      </c>
      <c r="AC332" s="124">
        <f>IF(NFI_Expiration=1,IF($A332&lt;VLOOKUP(R$5,NFI,5,0),1,0)*Data_NFI_t[[#This Row],[Jerry Can]],0)</f>
        <v>0</v>
      </c>
      <c r="AD332" s="143">
        <f>IF(NFI_Expiration=1,IF($A332&lt;VLOOKUP(S$5,NFI,5,0),1,0)*Data_NFI_t[[#This Row],[Plastic Mat]],0)*IF(Data_NFI_t[[#This Row],[Distribution Date]]&gt;"01-06-2015",1,2.5)</f>
        <v>0</v>
      </c>
      <c r="AE332" s="143" t="str">
        <f ca="1">IFERROR(OFFSET(Camp_List[P_Code],MATCH(Data_NFI_t[[#This Row],[Camp Name]],Camp_List[Camp Name],0)-1,0,1,1),"")</f>
        <v>MMR012CMP040</v>
      </c>
      <c r="AF332" s="572" t="str">
        <f ca="1">IFERROR(OFFSET(Camp_List[Status],MATCH(Data_NFI_t[[#This Row],[Camp Name]],Camp_List[Camp Name],0)-1,0,1,1),"")</f>
        <v>Close</v>
      </c>
    </row>
    <row r="333" spans="1:32" s="100" customFormat="1" ht="15" customHeight="1">
      <c r="A333" s="254">
        <f t="shared" si="5"/>
        <v>45.5</v>
      </c>
      <c r="B333" s="254">
        <f>YEAR(Data_NFI_t[[#This Row],[Distribution Date]])</f>
        <v>2012</v>
      </c>
      <c r="C333" s="585">
        <v>41157</v>
      </c>
      <c r="D333" s="547" t="s">
        <v>287</v>
      </c>
      <c r="E333" s="546"/>
      <c r="F333" s="547" t="s">
        <v>7</v>
      </c>
      <c r="G333" s="31" t="s">
        <v>19</v>
      </c>
      <c r="H333" s="31" t="s">
        <v>62</v>
      </c>
      <c r="I333" s="31"/>
      <c r="J333" s="60"/>
      <c r="K333" s="60"/>
      <c r="L333" s="60"/>
      <c r="M333" s="60"/>
      <c r="N333" s="60">
        <v>65</v>
      </c>
      <c r="O333" s="60"/>
      <c r="P333" s="60"/>
      <c r="Q333" s="60"/>
      <c r="R333" s="570"/>
      <c r="S333" s="60"/>
      <c r="T333" s="143">
        <f>IF(NFI_Expiration=1,IF($A333&lt;VLOOKUP(I$5,NFI,5,0),1,0)*Data_NFI_t[[#This Row],[Hygiene Kit]],0)</f>
        <v>0</v>
      </c>
      <c r="U333" s="143">
        <f>IF(NFI_Expiration=1,IF($A333&lt;VLOOKUP(J$5,NFI,5,0),1,0)*Data_NFI_t[[#This Row],[NFI Core Kit]],0)</f>
        <v>0</v>
      </c>
      <c r="V333" s="124">
        <f>IF(NFI_Expiration=1,IF($A333&lt;VLOOKUP(K$5,NFI,5,0),1,0)*Data_NFI_t[[#This Row],[Sanitary Kit]],0)</f>
        <v>0</v>
      </c>
      <c r="W333" s="124">
        <f>IF(NFI_Expiration=1,IF($A333&lt;VLOOKUP(L$5,NFI,5,0),1,0)*Data_NFI_t[[#This Row],[Mosquito net]],0)</f>
        <v>0</v>
      </c>
      <c r="X333" s="124">
        <f>IF(NFI_Expiration=1,IF($A333&lt;VLOOKUP(M$5,NFI,5,0),1,0)*Data_NFI_t[[#This Row],[Tarpaulin]],0)</f>
        <v>0</v>
      </c>
      <c r="Y333" s="124">
        <f>IF(NFI_Expiration=1,IF($A333&lt;VLOOKUP(N$5,NFI,5,0),1,0)*Data_NFI_t[[#This Row],[Blanket]],0)</f>
        <v>0</v>
      </c>
      <c r="Z333" s="124">
        <f>IF(NFI_Expiration=1,IF($A333&lt;VLOOKUP(O$5,NFI,5,0),1,0)*Data_NFI_t[[#This Row],[Kitchen Set]],0)</f>
        <v>0</v>
      </c>
      <c r="AA333" s="124">
        <f>IF(NFI_Expiration=1,IF($A333&lt;VLOOKUP(P$5,NFI,5,0),1,0)*Data_NFI_t[[#This Row],[Complementary Kit]],0)</f>
        <v>0</v>
      </c>
      <c r="AB333" s="124">
        <f>IF(NFI_Expiration=1,IF($A333&lt;VLOOKUP(Q$5,NFI,5,0),1,0)*Data_NFI_t[[#This Row],[Plastic Bucket]],0)</f>
        <v>0</v>
      </c>
      <c r="AC333" s="124">
        <f>IF(NFI_Expiration=1,IF($A333&lt;VLOOKUP(R$5,NFI,5,0),1,0)*Data_NFI_t[[#This Row],[Jerry Can]],0)</f>
        <v>0</v>
      </c>
      <c r="AD333" s="143">
        <f>IF(NFI_Expiration=1,IF($A333&lt;VLOOKUP(S$5,NFI,5,0),1,0)*Data_NFI_t[[#This Row],[Plastic Mat]],0)*IF(Data_NFI_t[[#This Row],[Distribution Date]]&gt;"01-06-2015",1,2.5)</f>
        <v>0</v>
      </c>
      <c r="AE333" s="143" t="str">
        <f ca="1">IFERROR(OFFSET(Camp_List[P_Code],MATCH(Data_NFI_t[[#This Row],[Camp Name]],Camp_List[Camp Name],0)-1,0,1,1),"")</f>
        <v>MMR012CMP040</v>
      </c>
      <c r="AF333" s="572" t="str">
        <f ca="1">IFERROR(OFFSET(Camp_List[Status],MATCH(Data_NFI_t[[#This Row],[Camp Name]],Camp_List[Camp Name],0)-1,0,1,1),"")</f>
        <v>Close</v>
      </c>
    </row>
    <row r="334" spans="1:32" s="100" customFormat="1" ht="15" customHeight="1">
      <c r="A334" s="254">
        <f t="shared" si="5"/>
        <v>45.633333333333333</v>
      </c>
      <c r="B334" s="254">
        <f>YEAR(Data_NFI_t[[#This Row],[Distribution Date]])</f>
        <v>2012</v>
      </c>
      <c r="C334" s="585">
        <v>41153</v>
      </c>
      <c r="D334" s="547" t="s">
        <v>291</v>
      </c>
      <c r="E334" s="546" t="s">
        <v>287</v>
      </c>
      <c r="F334" s="547" t="s">
        <v>7</v>
      </c>
      <c r="G334" s="31" t="s">
        <v>19</v>
      </c>
      <c r="H334" s="31" t="s">
        <v>65</v>
      </c>
      <c r="I334" s="31"/>
      <c r="J334" s="60"/>
      <c r="K334" s="60"/>
      <c r="L334" s="60"/>
      <c r="M334" s="60"/>
      <c r="N334" s="60">
        <v>60</v>
      </c>
      <c r="O334" s="60"/>
      <c r="P334" s="60"/>
      <c r="Q334" s="60"/>
      <c r="R334" s="570"/>
      <c r="S334" s="60"/>
      <c r="T334" s="143">
        <f>IF(NFI_Expiration=1,IF($A334&lt;VLOOKUP(I$5,NFI,5,0),1,0)*Data_NFI_t[[#This Row],[Hygiene Kit]],0)</f>
        <v>0</v>
      </c>
      <c r="U334" s="143">
        <f>IF(NFI_Expiration=1,IF($A334&lt;VLOOKUP(J$5,NFI,5,0),1,0)*Data_NFI_t[[#This Row],[NFI Core Kit]],0)</f>
        <v>0</v>
      </c>
      <c r="V334" s="124">
        <f>IF(NFI_Expiration=1,IF($A334&lt;VLOOKUP(K$5,NFI,5,0),1,0)*Data_NFI_t[[#This Row],[Sanitary Kit]],0)</f>
        <v>0</v>
      </c>
      <c r="W334" s="124">
        <f>IF(NFI_Expiration=1,IF($A334&lt;VLOOKUP(L$5,NFI,5,0),1,0)*Data_NFI_t[[#This Row],[Mosquito net]],0)</f>
        <v>0</v>
      </c>
      <c r="X334" s="124">
        <f>IF(NFI_Expiration=1,IF($A334&lt;VLOOKUP(M$5,NFI,5,0),1,0)*Data_NFI_t[[#This Row],[Tarpaulin]],0)</f>
        <v>0</v>
      </c>
      <c r="Y334" s="124">
        <f>IF(NFI_Expiration=1,IF($A334&lt;VLOOKUP(N$5,NFI,5,0),1,0)*Data_NFI_t[[#This Row],[Blanket]],0)</f>
        <v>0</v>
      </c>
      <c r="Z334" s="124">
        <f>IF(NFI_Expiration=1,IF($A334&lt;VLOOKUP(O$5,NFI,5,0),1,0)*Data_NFI_t[[#This Row],[Kitchen Set]],0)</f>
        <v>0</v>
      </c>
      <c r="AA334" s="124">
        <f>IF(NFI_Expiration=1,IF($A334&lt;VLOOKUP(P$5,NFI,5,0),1,0)*Data_NFI_t[[#This Row],[Complementary Kit]],0)</f>
        <v>0</v>
      </c>
      <c r="AB334" s="124">
        <f>IF(NFI_Expiration=1,IF($A334&lt;VLOOKUP(Q$5,NFI,5,0),1,0)*Data_NFI_t[[#This Row],[Plastic Bucket]],0)</f>
        <v>0</v>
      </c>
      <c r="AC334" s="124">
        <f>IF(NFI_Expiration=1,IF($A334&lt;VLOOKUP(R$5,NFI,5,0),1,0)*Data_NFI_t[[#This Row],[Jerry Can]],0)</f>
        <v>0</v>
      </c>
      <c r="AD334" s="143">
        <f>IF(NFI_Expiration=1,IF($A334&lt;VLOOKUP(S$5,NFI,5,0),1,0)*Data_NFI_t[[#This Row],[Plastic Mat]],0)*IF(Data_NFI_t[[#This Row],[Distribution Date]]&gt;"01-06-2015",1,2.5)</f>
        <v>0</v>
      </c>
      <c r="AE334" s="143" t="str">
        <f ca="1">IFERROR(OFFSET(Camp_List[P_Code],MATCH(Data_NFI_t[[#This Row],[Camp Name]],Camp_List[Camp Name],0)-1,0,1,1),"")</f>
        <v>MMR012CMP043</v>
      </c>
      <c r="AF334" s="572" t="str">
        <f ca="1">IFERROR(OFFSET(Camp_List[Status],MATCH(Data_NFI_t[[#This Row],[Camp Name]],Camp_List[Camp Name],0)-1,0,1,1),"")</f>
        <v>Close</v>
      </c>
    </row>
    <row r="335" spans="1:32" s="100" customFormat="1" ht="15" customHeight="1">
      <c r="A335" s="254">
        <f t="shared" si="5"/>
        <v>45.866666666666667</v>
      </c>
      <c r="B335" s="254">
        <f>YEAR(Data_NFI_t[[#This Row],[Distribution Date]])</f>
        <v>2012</v>
      </c>
      <c r="C335" s="585">
        <v>41146</v>
      </c>
      <c r="D335" s="547" t="s">
        <v>287</v>
      </c>
      <c r="E335" s="546"/>
      <c r="F335" s="547" t="s">
        <v>7</v>
      </c>
      <c r="G335" s="31" t="s">
        <v>15</v>
      </c>
      <c r="H335" s="31" t="s">
        <v>51</v>
      </c>
      <c r="I335" s="31"/>
      <c r="J335" s="60"/>
      <c r="K335" s="60"/>
      <c r="L335" s="60"/>
      <c r="M335" s="60">
        <v>114</v>
      </c>
      <c r="N335" s="60"/>
      <c r="O335" s="60"/>
      <c r="P335" s="60"/>
      <c r="Q335" s="60"/>
      <c r="R335" s="570"/>
      <c r="S335" s="60"/>
      <c r="T335" s="143">
        <f>IF(NFI_Expiration=1,IF($A335&lt;VLOOKUP(I$5,NFI,5,0),1,0)*Data_NFI_t[[#This Row],[Hygiene Kit]],0)</f>
        <v>0</v>
      </c>
      <c r="U335" s="143">
        <f>IF(NFI_Expiration=1,IF($A335&lt;VLOOKUP(J$5,NFI,5,0),1,0)*Data_NFI_t[[#This Row],[NFI Core Kit]],0)</f>
        <v>0</v>
      </c>
      <c r="V335" s="124">
        <f>IF(NFI_Expiration=1,IF($A335&lt;VLOOKUP(K$5,NFI,5,0),1,0)*Data_NFI_t[[#This Row],[Sanitary Kit]],0)</f>
        <v>0</v>
      </c>
      <c r="W335" s="124">
        <f>IF(NFI_Expiration=1,IF($A335&lt;VLOOKUP(L$5,NFI,5,0),1,0)*Data_NFI_t[[#This Row],[Mosquito net]],0)</f>
        <v>0</v>
      </c>
      <c r="X335" s="124">
        <f>IF(NFI_Expiration=1,IF($A335&lt;VLOOKUP(M$5,NFI,5,0),1,0)*Data_NFI_t[[#This Row],[Tarpaulin]],0)</f>
        <v>0</v>
      </c>
      <c r="Y335" s="124">
        <f>IF(NFI_Expiration=1,IF($A335&lt;VLOOKUP(N$5,NFI,5,0),1,0)*Data_NFI_t[[#This Row],[Blanket]],0)</f>
        <v>0</v>
      </c>
      <c r="Z335" s="124">
        <f>IF(NFI_Expiration=1,IF($A335&lt;VLOOKUP(O$5,NFI,5,0),1,0)*Data_NFI_t[[#This Row],[Kitchen Set]],0)</f>
        <v>0</v>
      </c>
      <c r="AA335" s="124">
        <f>IF(NFI_Expiration=1,IF($A335&lt;VLOOKUP(P$5,NFI,5,0),1,0)*Data_NFI_t[[#This Row],[Complementary Kit]],0)</f>
        <v>0</v>
      </c>
      <c r="AB335" s="124">
        <f>IF(NFI_Expiration=1,IF($A335&lt;VLOOKUP(Q$5,NFI,5,0),1,0)*Data_NFI_t[[#This Row],[Plastic Bucket]],0)</f>
        <v>0</v>
      </c>
      <c r="AC335" s="124">
        <f>IF(NFI_Expiration=1,IF($A335&lt;VLOOKUP(R$5,NFI,5,0),1,0)*Data_NFI_t[[#This Row],[Jerry Can]],0)</f>
        <v>0</v>
      </c>
      <c r="AD335" s="143">
        <f>IF(NFI_Expiration=1,IF($A335&lt;VLOOKUP(S$5,NFI,5,0),1,0)*Data_NFI_t[[#This Row],[Plastic Mat]],0)*IF(Data_NFI_t[[#This Row],[Distribution Date]]&gt;"01-06-2015",1,2.5)</f>
        <v>0</v>
      </c>
      <c r="AE335" s="143" t="str">
        <f ca="1">IFERROR(OFFSET(Camp_List[P_Code],MATCH(Data_NFI_t[[#This Row],[Camp Name]],Camp_List[Camp Name],0)-1,0,1,1),"")</f>
        <v>MMR012CMP027</v>
      </c>
      <c r="AF335" s="572" t="str">
        <f ca="1">IFERROR(OFFSET(Camp_List[Status],MATCH(Data_NFI_t[[#This Row],[Camp Name]],Camp_List[Camp Name],0)-1,0,1,1),"")</f>
        <v>Returned in Individual Housing</v>
      </c>
    </row>
    <row r="336" spans="1:32" s="100" customFormat="1" ht="15" customHeight="1">
      <c r="A336" s="254">
        <f t="shared" si="5"/>
        <v>45.866666666666667</v>
      </c>
      <c r="B336" s="254">
        <f>YEAR(Data_NFI_t[[#This Row],[Distribution Date]])</f>
        <v>2012</v>
      </c>
      <c r="C336" s="585">
        <v>41146</v>
      </c>
      <c r="D336" s="547" t="s">
        <v>287</v>
      </c>
      <c r="E336" s="546"/>
      <c r="F336" s="547" t="s">
        <v>7</v>
      </c>
      <c r="G336" s="31" t="s">
        <v>15</v>
      </c>
      <c r="H336" s="31" t="s">
        <v>50</v>
      </c>
      <c r="I336" s="31"/>
      <c r="J336" s="60"/>
      <c r="K336" s="60"/>
      <c r="L336" s="60"/>
      <c r="M336" s="60">
        <v>230</v>
      </c>
      <c r="N336" s="60"/>
      <c r="O336" s="60"/>
      <c r="P336" s="60">
        <v>230</v>
      </c>
      <c r="Q336" s="60"/>
      <c r="R336" s="570"/>
      <c r="S336" s="60"/>
      <c r="T336" s="143">
        <f>IF(NFI_Expiration=1,IF($A336&lt;VLOOKUP(I$5,NFI,5,0),1,0)*Data_NFI_t[[#This Row],[Hygiene Kit]],0)</f>
        <v>0</v>
      </c>
      <c r="U336" s="143">
        <f>IF(NFI_Expiration=1,IF($A336&lt;VLOOKUP(J$5,NFI,5,0),1,0)*Data_NFI_t[[#This Row],[NFI Core Kit]],0)</f>
        <v>0</v>
      </c>
      <c r="V336" s="124">
        <f>IF(NFI_Expiration=1,IF($A336&lt;VLOOKUP(K$5,NFI,5,0),1,0)*Data_NFI_t[[#This Row],[Sanitary Kit]],0)</f>
        <v>0</v>
      </c>
      <c r="W336" s="124">
        <f>IF(NFI_Expiration=1,IF($A336&lt;VLOOKUP(L$5,NFI,5,0),1,0)*Data_NFI_t[[#This Row],[Mosquito net]],0)</f>
        <v>0</v>
      </c>
      <c r="X336" s="124">
        <f>IF(NFI_Expiration=1,IF($A336&lt;VLOOKUP(M$5,NFI,5,0),1,0)*Data_NFI_t[[#This Row],[Tarpaulin]],0)</f>
        <v>0</v>
      </c>
      <c r="Y336" s="124">
        <f>IF(NFI_Expiration=1,IF($A336&lt;VLOOKUP(N$5,NFI,5,0),1,0)*Data_NFI_t[[#This Row],[Blanket]],0)</f>
        <v>0</v>
      </c>
      <c r="Z336" s="124">
        <f>IF(NFI_Expiration=1,IF($A336&lt;VLOOKUP(O$5,NFI,5,0),1,0)*Data_NFI_t[[#This Row],[Kitchen Set]],0)</f>
        <v>0</v>
      </c>
      <c r="AA336" s="124">
        <f>IF(NFI_Expiration=1,IF($A336&lt;VLOOKUP(P$5,NFI,5,0),1,0)*Data_NFI_t[[#This Row],[Complementary Kit]],0)</f>
        <v>0</v>
      </c>
      <c r="AB336" s="124">
        <f>IF(NFI_Expiration=1,IF($A336&lt;VLOOKUP(Q$5,NFI,5,0),1,0)*Data_NFI_t[[#This Row],[Plastic Bucket]],0)</f>
        <v>0</v>
      </c>
      <c r="AC336" s="124">
        <f>IF(NFI_Expiration=1,IF($A336&lt;VLOOKUP(R$5,NFI,5,0),1,0)*Data_NFI_t[[#This Row],[Jerry Can]],0)</f>
        <v>0</v>
      </c>
      <c r="AD336" s="143">
        <f>IF(NFI_Expiration=1,IF($A336&lt;VLOOKUP(S$5,NFI,5,0),1,0)*Data_NFI_t[[#This Row],[Plastic Mat]],0)*IF(Data_NFI_t[[#This Row],[Distribution Date]]&gt;"01-06-2015",1,2.5)</f>
        <v>0</v>
      </c>
      <c r="AE336" s="143" t="str">
        <f ca="1">IFERROR(OFFSET(Camp_List[P_Code],MATCH(Data_NFI_t[[#This Row],[Camp Name]],Camp_List[Camp Name],0)-1,0,1,1),"")</f>
        <v>MMR012CMP026</v>
      </c>
      <c r="AF336" s="572" t="str">
        <f ca="1">IFERROR(OFFSET(Camp_List[Status],MATCH(Data_NFI_t[[#This Row],[Camp Name]],Camp_List[Camp Name],0)-1,0,1,1),"")</f>
        <v>Returned in Individual Housing</v>
      </c>
    </row>
    <row r="337" spans="1:36" s="100" customFormat="1" ht="15" customHeight="1">
      <c r="A337" s="254">
        <f t="shared" si="5"/>
        <v>45.866666666666667</v>
      </c>
      <c r="B337" s="254">
        <f>YEAR(Data_NFI_t[[#This Row],[Distribution Date]])</f>
        <v>2012</v>
      </c>
      <c r="C337" s="585">
        <v>41146</v>
      </c>
      <c r="D337" s="547" t="s">
        <v>287</v>
      </c>
      <c r="E337" s="546"/>
      <c r="F337" s="547" t="s">
        <v>7</v>
      </c>
      <c r="G337" s="31" t="s">
        <v>15</v>
      </c>
      <c r="H337" s="31" t="s">
        <v>53</v>
      </c>
      <c r="I337" s="31"/>
      <c r="J337" s="60"/>
      <c r="K337" s="60"/>
      <c r="L337" s="60"/>
      <c r="M337" s="60">
        <v>144</v>
      </c>
      <c r="N337" s="60">
        <v>290</v>
      </c>
      <c r="O337" s="60">
        <v>40</v>
      </c>
      <c r="P337" s="60"/>
      <c r="Q337" s="60"/>
      <c r="R337" s="570"/>
      <c r="S337" s="60"/>
      <c r="T337" s="143">
        <f>IF(NFI_Expiration=1,IF($A337&lt;VLOOKUP(I$5,NFI,5,0),1,0)*Data_NFI_t[[#This Row],[Hygiene Kit]],0)</f>
        <v>0</v>
      </c>
      <c r="U337" s="143">
        <f>IF(NFI_Expiration=1,IF($A337&lt;VLOOKUP(J$5,NFI,5,0),1,0)*Data_NFI_t[[#This Row],[NFI Core Kit]],0)</f>
        <v>0</v>
      </c>
      <c r="V337" s="124">
        <f>IF(NFI_Expiration=1,IF($A337&lt;VLOOKUP(K$5,NFI,5,0),1,0)*Data_NFI_t[[#This Row],[Sanitary Kit]],0)</f>
        <v>0</v>
      </c>
      <c r="W337" s="124">
        <f>IF(NFI_Expiration=1,IF($A337&lt;VLOOKUP(L$5,NFI,5,0),1,0)*Data_NFI_t[[#This Row],[Mosquito net]],0)</f>
        <v>0</v>
      </c>
      <c r="X337" s="124">
        <f>IF(NFI_Expiration=1,IF($A337&lt;VLOOKUP(M$5,NFI,5,0),1,0)*Data_NFI_t[[#This Row],[Tarpaulin]],0)</f>
        <v>0</v>
      </c>
      <c r="Y337" s="124">
        <f>IF(NFI_Expiration=1,IF($A337&lt;VLOOKUP(N$5,NFI,5,0),1,0)*Data_NFI_t[[#This Row],[Blanket]],0)</f>
        <v>0</v>
      </c>
      <c r="Z337" s="124">
        <f>IF(NFI_Expiration=1,IF($A337&lt;VLOOKUP(O$5,NFI,5,0),1,0)*Data_NFI_t[[#This Row],[Kitchen Set]],0)</f>
        <v>0</v>
      </c>
      <c r="AA337" s="124">
        <f>IF(NFI_Expiration=1,IF($A337&lt;VLOOKUP(P$5,NFI,5,0),1,0)*Data_NFI_t[[#This Row],[Complementary Kit]],0)</f>
        <v>0</v>
      </c>
      <c r="AB337" s="124">
        <f>IF(NFI_Expiration=1,IF($A337&lt;VLOOKUP(Q$5,NFI,5,0),1,0)*Data_NFI_t[[#This Row],[Plastic Bucket]],0)</f>
        <v>0</v>
      </c>
      <c r="AC337" s="124">
        <f>IF(NFI_Expiration=1,IF($A337&lt;VLOOKUP(R$5,NFI,5,0),1,0)*Data_NFI_t[[#This Row],[Jerry Can]],0)</f>
        <v>0</v>
      </c>
      <c r="AD337" s="143">
        <f>IF(NFI_Expiration=1,IF($A337&lt;VLOOKUP(S$5,NFI,5,0),1,0)*Data_NFI_t[[#This Row],[Plastic Mat]],0)*IF(Data_NFI_t[[#This Row],[Distribution Date]]&gt;"01-06-2015",1,2.5)</f>
        <v>0</v>
      </c>
      <c r="AE337" s="143" t="str">
        <f ca="1">IFERROR(OFFSET(Camp_List[P_Code],MATCH(Data_NFI_t[[#This Row],[Camp Name]],Camp_List[Camp Name],0)-1,0,1,1),"")</f>
        <v>MMR012CMP029</v>
      </c>
      <c r="AF337" s="572" t="str">
        <f ca="1">IFERROR(OFFSET(Camp_List[Status],MATCH(Data_NFI_t[[#This Row],[Camp Name]],Camp_List[Camp Name],0)-1,0,1,1),"")</f>
        <v>Returned in Individual Housing</v>
      </c>
    </row>
    <row r="338" spans="1:36" s="100" customFormat="1" ht="15" customHeight="1">
      <c r="A338" s="254">
        <f t="shared" si="5"/>
        <v>45.866666666666667</v>
      </c>
      <c r="B338" s="254">
        <f>YEAR(Data_NFI_t[[#This Row],[Distribution Date]])</f>
        <v>2012</v>
      </c>
      <c r="C338" s="585">
        <v>41146</v>
      </c>
      <c r="D338" s="547" t="s">
        <v>287</v>
      </c>
      <c r="E338" s="546"/>
      <c r="F338" s="547" t="s">
        <v>7</v>
      </c>
      <c r="G338" s="31" t="s">
        <v>15</v>
      </c>
      <c r="H338" s="31" t="s">
        <v>52</v>
      </c>
      <c r="I338" s="31"/>
      <c r="J338" s="60"/>
      <c r="K338" s="60"/>
      <c r="L338" s="60"/>
      <c r="M338" s="60">
        <v>107</v>
      </c>
      <c r="N338" s="60"/>
      <c r="O338" s="60"/>
      <c r="P338" s="60"/>
      <c r="Q338" s="60"/>
      <c r="R338" s="570"/>
      <c r="S338" s="60"/>
      <c r="T338" s="143">
        <f>IF(NFI_Expiration=1,IF($A338&lt;VLOOKUP(I$5,NFI,5,0),1,0)*Data_NFI_t[[#This Row],[Hygiene Kit]],0)</f>
        <v>0</v>
      </c>
      <c r="U338" s="143">
        <f>IF(NFI_Expiration=1,IF($A338&lt;VLOOKUP(J$5,NFI,5,0),1,0)*Data_NFI_t[[#This Row],[NFI Core Kit]],0)</f>
        <v>0</v>
      </c>
      <c r="V338" s="124">
        <f>IF(NFI_Expiration=1,IF($A338&lt;VLOOKUP(K$5,NFI,5,0),1,0)*Data_NFI_t[[#This Row],[Sanitary Kit]],0)</f>
        <v>0</v>
      </c>
      <c r="W338" s="124">
        <f>IF(NFI_Expiration=1,IF($A338&lt;VLOOKUP(L$5,NFI,5,0),1,0)*Data_NFI_t[[#This Row],[Mosquito net]],0)</f>
        <v>0</v>
      </c>
      <c r="X338" s="124">
        <f>IF(NFI_Expiration=1,IF($A338&lt;VLOOKUP(M$5,NFI,5,0),1,0)*Data_NFI_t[[#This Row],[Tarpaulin]],0)</f>
        <v>0</v>
      </c>
      <c r="Y338" s="124">
        <f>IF(NFI_Expiration=1,IF($A338&lt;VLOOKUP(N$5,NFI,5,0),1,0)*Data_NFI_t[[#This Row],[Blanket]],0)</f>
        <v>0</v>
      </c>
      <c r="Z338" s="124">
        <f>IF(NFI_Expiration=1,IF($A338&lt;VLOOKUP(O$5,NFI,5,0),1,0)*Data_NFI_t[[#This Row],[Kitchen Set]],0)</f>
        <v>0</v>
      </c>
      <c r="AA338" s="124">
        <f>IF(NFI_Expiration=1,IF($A338&lt;VLOOKUP(P$5,NFI,5,0),1,0)*Data_NFI_t[[#This Row],[Complementary Kit]],0)</f>
        <v>0</v>
      </c>
      <c r="AB338" s="124">
        <f>IF(NFI_Expiration=1,IF($A338&lt;VLOOKUP(Q$5,NFI,5,0),1,0)*Data_NFI_t[[#This Row],[Plastic Bucket]],0)</f>
        <v>0</v>
      </c>
      <c r="AC338" s="124">
        <f>IF(NFI_Expiration=1,IF($A338&lt;VLOOKUP(R$5,NFI,5,0),1,0)*Data_NFI_t[[#This Row],[Jerry Can]],0)</f>
        <v>0</v>
      </c>
      <c r="AD338" s="143">
        <f>IF(NFI_Expiration=1,IF($A338&lt;VLOOKUP(S$5,NFI,5,0),1,0)*Data_NFI_t[[#This Row],[Plastic Mat]],0)*IF(Data_NFI_t[[#This Row],[Distribution Date]]&gt;"01-06-2015",1,2.5)</f>
        <v>0</v>
      </c>
      <c r="AE338" s="143" t="str">
        <f ca="1">IFERROR(OFFSET(Camp_List[P_Code],MATCH(Data_NFI_t[[#This Row],[Camp Name]],Camp_List[Camp Name],0)-1,0,1,1),"")</f>
        <v>MMR012CMP028</v>
      </c>
      <c r="AF338" s="572" t="str">
        <f ca="1">IFERROR(OFFSET(Camp_List[Status],MATCH(Data_NFI_t[[#This Row],[Camp Name]],Camp_List[Camp Name],0)-1,0,1,1),"")</f>
        <v>Returned in Individual Housing</v>
      </c>
    </row>
    <row r="339" spans="1:36" s="100" customFormat="1" ht="15" customHeight="1">
      <c r="A339" s="254">
        <f t="shared" si="5"/>
        <v>45.93333333333333</v>
      </c>
      <c r="B339" s="254">
        <f>YEAR(Data_NFI_t[[#This Row],[Distribution Date]])</f>
        <v>2012</v>
      </c>
      <c r="C339" s="585">
        <v>41144</v>
      </c>
      <c r="D339" s="547" t="s">
        <v>287</v>
      </c>
      <c r="E339" s="546"/>
      <c r="F339" s="547" t="s">
        <v>7</v>
      </c>
      <c r="G339" s="31" t="s">
        <v>19</v>
      </c>
      <c r="H339" s="31" t="s">
        <v>63</v>
      </c>
      <c r="I339" s="31"/>
      <c r="J339" s="60"/>
      <c r="K339" s="60"/>
      <c r="L339" s="60"/>
      <c r="M339" s="60">
        <v>805</v>
      </c>
      <c r="N339" s="60"/>
      <c r="O339" s="60"/>
      <c r="P339" s="60"/>
      <c r="Q339" s="60"/>
      <c r="R339" s="570"/>
      <c r="S339" s="60"/>
      <c r="T339" s="143">
        <f>IF(NFI_Expiration=1,IF($A339&lt;VLOOKUP(I$5,NFI,5,0),1,0)*Data_NFI_t[[#This Row],[Hygiene Kit]],0)</f>
        <v>0</v>
      </c>
      <c r="U339" s="143">
        <f>IF(NFI_Expiration=1,IF($A339&lt;VLOOKUP(J$5,NFI,5,0),1,0)*Data_NFI_t[[#This Row],[NFI Core Kit]],0)</f>
        <v>0</v>
      </c>
      <c r="V339" s="124">
        <f>IF(NFI_Expiration=1,IF($A339&lt;VLOOKUP(K$5,NFI,5,0),1,0)*Data_NFI_t[[#This Row],[Sanitary Kit]],0)</f>
        <v>0</v>
      </c>
      <c r="W339" s="124">
        <f>IF(NFI_Expiration=1,IF($A339&lt;VLOOKUP(L$5,NFI,5,0),1,0)*Data_NFI_t[[#This Row],[Mosquito net]],0)</f>
        <v>0</v>
      </c>
      <c r="X339" s="124">
        <f>IF(NFI_Expiration=1,IF($A339&lt;VLOOKUP(M$5,NFI,5,0),1,0)*Data_NFI_t[[#This Row],[Tarpaulin]],0)</f>
        <v>0</v>
      </c>
      <c r="Y339" s="124">
        <f>IF(NFI_Expiration=1,IF($A339&lt;VLOOKUP(N$5,NFI,5,0),1,0)*Data_NFI_t[[#This Row],[Blanket]],0)</f>
        <v>0</v>
      </c>
      <c r="Z339" s="124">
        <f>IF(NFI_Expiration=1,IF($A339&lt;VLOOKUP(O$5,NFI,5,0),1,0)*Data_NFI_t[[#This Row],[Kitchen Set]],0)</f>
        <v>0</v>
      </c>
      <c r="AA339" s="124">
        <f>IF(NFI_Expiration=1,IF($A339&lt;VLOOKUP(P$5,NFI,5,0),1,0)*Data_NFI_t[[#This Row],[Complementary Kit]],0)</f>
        <v>0</v>
      </c>
      <c r="AB339" s="124">
        <f>IF(NFI_Expiration=1,IF($A339&lt;VLOOKUP(Q$5,NFI,5,0),1,0)*Data_NFI_t[[#This Row],[Plastic Bucket]],0)</f>
        <v>0</v>
      </c>
      <c r="AC339" s="124">
        <f>IF(NFI_Expiration=1,IF($A339&lt;VLOOKUP(R$5,NFI,5,0),1,0)*Data_NFI_t[[#This Row],[Jerry Can]],0)</f>
        <v>0</v>
      </c>
      <c r="AD339" s="143">
        <f>IF(NFI_Expiration=1,IF($A339&lt;VLOOKUP(S$5,NFI,5,0),1,0)*Data_NFI_t[[#This Row],[Plastic Mat]],0)*IF(Data_NFI_t[[#This Row],[Distribution Date]]&gt;"01-06-2015",1,2.5)</f>
        <v>0</v>
      </c>
      <c r="AE339" s="143" t="str">
        <f ca="1">IFERROR(OFFSET(Camp_List[P_Code],MATCH(Data_NFI_t[[#This Row],[Camp Name]],Camp_List[Camp Name],0)-1,0,1,1),"")</f>
        <v>MMR012CMP041</v>
      </c>
      <c r="AF339" s="572" t="str">
        <f ca="1">IFERROR(OFFSET(Camp_List[Status],MATCH(Data_NFI_t[[#This Row],[Camp Name]],Camp_List[Camp Name],0)-1,0,1,1),"")</f>
        <v>Open</v>
      </c>
    </row>
    <row r="340" spans="1:36" s="100" customFormat="1" ht="15" customHeight="1">
      <c r="A340" s="254">
        <f t="shared" si="5"/>
        <v>46.533333333333331</v>
      </c>
      <c r="B340" s="254">
        <f>YEAR(Data_NFI_t[[#This Row],[Distribution Date]])</f>
        <v>2012</v>
      </c>
      <c r="C340" s="585">
        <v>41126</v>
      </c>
      <c r="D340" s="547" t="s">
        <v>287</v>
      </c>
      <c r="E340" s="546"/>
      <c r="F340" s="547" t="s">
        <v>7</v>
      </c>
      <c r="G340" s="31" t="s">
        <v>19</v>
      </c>
      <c r="H340" s="31" t="s">
        <v>70</v>
      </c>
      <c r="I340" s="31"/>
      <c r="J340" s="60"/>
      <c r="K340" s="60"/>
      <c r="L340" s="60"/>
      <c r="M340" s="60">
        <v>98</v>
      </c>
      <c r="N340" s="60"/>
      <c r="O340" s="60"/>
      <c r="P340" s="60"/>
      <c r="Q340" s="60"/>
      <c r="R340" s="570"/>
      <c r="S340" s="60"/>
      <c r="T340" s="143">
        <f>IF(NFI_Expiration=1,IF($A340&lt;VLOOKUP(I$5,NFI,5,0),1,0)*Data_NFI_t[[#This Row],[Hygiene Kit]],0)</f>
        <v>0</v>
      </c>
      <c r="U340" s="143">
        <f>IF(NFI_Expiration=1,IF($A340&lt;VLOOKUP(J$5,NFI,5,0),1,0)*Data_NFI_t[[#This Row],[NFI Core Kit]],0)</f>
        <v>0</v>
      </c>
      <c r="V340" s="124">
        <f>IF(NFI_Expiration=1,IF($A340&lt;VLOOKUP(K$5,NFI,5,0),1,0)*Data_NFI_t[[#This Row],[Sanitary Kit]],0)</f>
        <v>0</v>
      </c>
      <c r="W340" s="124">
        <f>IF(NFI_Expiration=1,IF($A340&lt;VLOOKUP(L$5,NFI,5,0),1,0)*Data_NFI_t[[#This Row],[Mosquito net]],0)</f>
        <v>0</v>
      </c>
      <c r="X340" s="124">
        <f>IF(NFI_Expiration=1,IF($A340&lt;VLOOKUP(M$5,NFI,5,0),1,0)*Data_NFI_t[[#This Row],[Tarpaulin]],0)</f>
        <v>0</v>
      </c>
      <c r="Y340" s="124">
        <f>IF(NFI_Expiration=1,IF($A340&lt;VLOOKUP(N$5,NFI,5,0),1,0)*Data_NFI_t[[#This Row],[Blanket]],0)</f>
        <v>0</v>
      </c>
      <c r="Z340" s="124">
        <f>IF(NFI_Expiration=1,IF($A340&lt;VLOOKUP(O$5,NFI,5,0),1,0)*Data_NFI_t[[#This Row],[Kitchen Set]],0)</f>
        <v>0</v>
      </c>
      <c r="AA340" s="124">
        <f>IF(NFI_Expiration=1,IF($A340&lt;VLOOKUP(P$5,NFI,5,0),1,0)*Data_NFI_t[[#This Row],[Complementary Kit]],0)</f>
        <v>0</v>
      </c>
      <c r="AB340" s="124">
        <f>IF(NFI_Expiration=1,IF($A340&lt;VLOOKUP(Q$5,NFI,5,0),1,0)*Data_NFI_t[[#This Row],[Plastic Bucket]],0)</f>
        <v>0</v>
      </c>
      <c r="AC340" s="124">
        <f>IF(NFI_Expiration=1,IF($A340&lt;VLOOKUP(R$5,NFI,5,0),1,0)*Data_NFI_t[[#This Row],[Jerry Can]],0)</f>
        <v>0</v>
      </c>
      <c r="AD340" s="143">
        <f>IF(NFI_Expiration=1,IF($A340&lt;VLOOKUP(S$5,NFI,5,0),1,0)*Data_NFI_t[[#This Row],[Plastic Mat]],0)*IF(Data_NFI_t[[#This Row],[Distribution Date]]&gt;"01-06-2015",1,2.5)</f>
        <v>0</v>
      </c>
      <c r="AE340" s="143" t="str">
        <f ca="1">IFERROR(OFFSET(Camp_List[P_Code],MATCH(Data_NFI_t[[#This Row],[Camp Name]],Camp_List[Camp Name],0)-1,0,1,1),"")</f>
        <v>MMR012CMP048</v>
      </c>
      <c r="AF340" s="572" t="str">
        <f ca="1">IFERROR(OFFSET(Camp_List[Status],MATCH(Data_NFI_t[[#This Row],[Camp Name]],Camp_List[Camp Name],0)-1,0,1,1),"")</f>
        <v>Open</v>
      </c>
    </row>
    <row r="341" spans="1:36" s="100" customFormat="1" ht="15" customHeight="1">
      <c r="A341" s="254">
        <f t="shared" si="5"/>
        <v>46.733333333333334</v>
      </c>
      <c r="B341" s="254">
        <f>YEAR(Data_NFI_t[[#This Row],[Distribution Date]])</f>
        <v>2012</v>
      </c>
      <c r="C341" s="585">
        <v>41120</v>
      </c>
      <c r="D341" s="547" t="s">
        <v>287</v>
      </c>
      <c r="E341" s="546"/>
      <c r="F341" s="547" t="s">
        <v>7</v>
      </c>
      <c r="G341" s="31" t="s">
        <v>19</v>
      </c>
      <c r="H341" s="31" t="s">
        <v>67</v>
      </c>
      <c r="I341" s="31"/>
      <c r="J341" s="60"/>
      <c r="K341" s="60"/>
      <c r="L341" s="60"/>
      <c r="M341" s="60">
        <v>461</v>
      </c>
      <c r="N341" s="60"/>
      <c r="O341" s="60"/>
      <c r="P341" s="60"/>
      <c r="Q341" s="60"/>
      <c r="R341" s="570"/>
      <c r="S341" s="60"/>
      <c r="T341" s="143">
        <f>IF(NFI_Expiration=1,IF($A341&lt;VLOOKUP(I$5,NFI,5,0),1,0)*Data_NFI_t[[#This Row],[Hygiene Kit]],0)</f>
        <v>0</v>
      </c>
      <c r="U341" s="143">
        <f>IF(NFI_Expiration=1,IF($A341&lt;VLOOKUP(J$5,NFI,5,0),1,0)*Data_NFI_t[[#This Row],[NFI Core Kit]],0)</f>
        <v>0</v>
      </c>
      <c r="V341" s="124">
        <f>IF(NFI_Expiration=1,IF($A341&lt;VLOOKUP(K$5,NFI,5,0),1,0)*Data_NFI_t[[#This Row],[Sanitary Kit]],0)</f>
        <v>0</v>
      </c>
      <c r="W341" s="124">
        <f>IF(NFI_Expiration=1,IF($A341&lt;VLOOKUP(L$5,NFI,5,0),1,0)*Data_NFI_t[[#This Row],[Mosquito net]],0)</f>
        <v>0</v>
      </c>
      <c r="X341" s="124">
        <f>IF(NFI_Expiration=1,IF($A341&lt;VLOOKUP(M$5,NFI,5,0),1,0)*Data_NFI_t[[#This Row],[Tarpaulin]],0)</f>
        <v>0</v>
      </c>
      <c r="Y341" s="124">
        <f>IF(NFI_Expiration=1,IF($A341&lt;VLOOKUP(N$5,NFI,5,0),1,0)*Data_NFI_t[[#This Row],[Blanket]],0)</f>
        <v>0</v>
      </c>
      <c r="Z341" s="124">
        <f>IF(NFI_Expiration=1,IF($A341&lt;VLOOKUP(O$5,NFI,5,0),1,0)*Data_NFI_t[[#This Row],[Kitchen Set]],0)</f>
        <v>0</v>
      </c>
      <c r="AA341" s="124">
        <f>IF(NFI_Expiration=1,IF($A341&lt;VLOOKUP(P$5,NFI,5,0),1,0)*Data_NFI_t[[#This Row],[Complementary Kit]],0)</f>
        <v>0</v>
      </c>
      <c r="AB341" s="124">
        <f>IF(NFI_Expiration=1,IF($A341&lt;VLOOKUP(Q$5,NFI,5,0),1,0)*Data_NFI_t[[#This Row],[Plastic Bucket]],0)</f>
        <v>0</v>
      </c>
      <c r="AC341" s="124">
        <f>IF(NFI_Expiration=1,IF($A341&lt;VLOOKUP(R$5,NFI,5,0),1,0)*Data_NFI_t[[#This Row],[Jerry Can]],0)</f>
        <v>0</v>
      </c>
      <c r="AD341" s="143">
        <f>IF(NFI_Expiration=1,IF($A341&lt;VLOOKUP(S$5,NFI,5,0),1,0)*Data_NFI_t[[#This Row],[Plastic Mat]],0)*IF(Data_NFI_t[[#This Row],[Distribution Date]]&gt;"01-06-2015",1,2.5)</f>
        <v>0</v>
      </c>
      <c r="AE341" s="143" t="str">
        <f ca="1">IFERROR(OFFSET(Camp_List[P_Code],MATCH(Data_NFI_t[[#This Row],[Camp Name]],Camp_List[Camp Name],0)-1,0,1,1),"")</f>
        <v>MMR012CMP045</v>
      </c>
      <c r="AF341" s="572" t="str">
        <f ca="1">IFERROR(OFFSET(Camp_List[Status],MATCH(Data_NFI_t[[#This Row],[Camp Name]],Camp_List[Camp Name],0)-1,0,1,1),"")</f>
        <v>Open</v>
      </c>
    </row>
    <row r="342" spans="1:36" s="100" customFormat="1" ht="15" customHeight="1">
      <c r="A342" s="254">
        <f t="shared" si="5"/>
        <v>46.733333333333334</v>
      </c>
      <c r="B342" s="254">
        <f>YEAR(Data_NFI_t[[#This Row],[Distribution Date]])</f>
        <v>2012</v>
      </c>
      <c r="C342" s="585">
        <v>41120</v>
      </c>
      <c r="D342" s="547" t="s">
        <v>287</v>
      </c>
      <c r="E342" s="546"/>
      <c r="F342" s="547" t="s">
        <v>7</v>
      </c>
      <c r="G342" s="31" t="s">
        <v>19</v>
      </c>
      <c r="H342" s="31" t="s">
        <v>70</v>
      </c>
      <c r="I342" s="31"/>
      <c r="J342" s="60"/>
      <c r="K342" s="60"/>
      <c r="L342" s="60"/>
      <c r="M342" s="60">
        <v>11</v>
      </c>
      <c r="N342" s="60"/>
      <c r="O342" s="60"/>
      <c r="P342" s="60"/>
      <c r="Q342" s="60"/>
      <c r="R342" s="570"/>
      <c r="S342" s="60"/>
      <c r="T342" s="143">
        <f>IF(NFI_Expiration=1,IF($A342&lt;VLOOKUP(I$5,NFI,5,0),1,0)*Data_NFI_t[[#This Row],[Hygiene Kit]],0)</f>
        <v>0</v>
      </c>
      <c r="U342" s="143">
        <f>IF(NFI_Expiration=1,IF($A342&lt;VLOOKUP(J$5,NFI,5,0),1,0)*Data_NFI_t[[#This Row],[NFI Core Kit]],0)</f>
        <v>0</v>
      </c>
      <c r="V342" s="124">
        <f>IF(NFI_Expiration=1,IF($A342&lt;VLOOKUP(K$5,NFI,5,0),1,0)*Data_NFI_t[[#This Row],[Sanitary Kit]],0)</f>
        <v>0</v>
      </c>
      <c r="W342" s="124">
        <f>IF(NFI_Expiration=1,IF($A342&lt;VLOOKUP(L$5,NFI,5,0),1,0)*Data_NFI_t[[#This Row],[Mosquito net]],0)</f>
        <v>0</v>
      </c>
      <c r="X342" s="124">
        <f>IF(NFI_Expiration=1,IF($A342&lt;VLOOKUP(M$5,NFI,5,0),1,0)*Data_NFI_t[[#This Row],[Tarpaulin]],0)</f>
        <v>0</v>
      </c>
      <c r="Y342" s="124">
        <f>IF(NFI_Expiration=1,IF($A342&lt;VLOOKUP(N$5,NFI,5,0),1,0)*Data_NFI_t[[#This Row],[Blanket]],0)</f>
        <v>0</v>
      </c>
      <c r="Z342" s="124">
        <f>IF(NFI_Expiration=1,IF($A342&lt;VLOOKUP(O$5,NFI,5,0),1,0)*Data_NFI_t[[#This Row],[Kitchen Set]],0)</f>
        <v>0</v>
      </c>
      <c r="AA342" s="124">
        <f>IF(NFI_Expiration=1,IF($A342&lt;VLOOKUP(P$5,NFI,5,0),1,0)*Data_NFI_t[[#This Row],[Complementary Kit]],0)</f>
        <v>0</v>
      </c>
      <c r="AB342" s="124">
        <f>IF(NFI_Expiration=1,IF($A342&lt;VLOOKUP(Q$5,NFI,5,0),1,0)*Data_NFI_t[[#This Row],[Plastic Bucket]],0)</f>
        <v>0</v>
      </c>
      <c r="AC342" s="124">
        <f>IF(NFI_Expiration=1,IF($A342&lt;VLOOKUP(R$5,NFI,5,0),1,0)*Data_NFI_t[[#This Row],[Jerry Can]],0)</f>
        <v>0</v>
      </c>
      <c r="AD342" s="143">
        <f>IF(NFI_Expiration=1,IF($A342&lt;VLOOKUP(S$5,NFI,5,0),1,0)*Data_NFI_t[[#This Row],[Plastic Mat]],0)*IF(Data_NFI_t[[#This Row],[Distribution Date]]&gt;"01-06-2015",1,2.5)</f>
        <v>0</v>
      </c>
      <c r="AE342" s="143" t="str">
        <f ca="1">IFERROR(OFFSET(Camp_List[P_Code],MATCH(Data_NFI_t[[#This Row],[Camp Name]],Camp_List[Camp Name],0)-1,0,1,1),"")</f>
        <v>MMR012CMP048</v>
      </c>
      <c r="AF342" s="572" t="str">
        <f ca="1">IFERROR(OFFSET(Camp_List[Status],MATCH(Data_NFI_t[[#This Row],[Camp Name]],Camp_List[Camp Name],0)-1,0,1,1),"")</f>
        <v>Open</v>
      </c>
    </row>
    <row r="343" spans="1:36" s="100" customFormat="1" ht="15" customHeight="1">
      <c r="A343" s="254">
        <f t="shared" si="5"/>
        <v>46.766666666666666</v>
      </c>
      <c r="B343" s="254">
        <f>YEAR(Data_NFI_t[[#This Row],[Distribution Date]])</f>
        <v>2012</v>
      </c>
      <c r="C343" s="585">
        <v>41119</v>
      </c>
      <c r="D343" s="547" t="s">
        <v>287</v>
      </c>
      <c r="E343" s="546"/>
      <c r="F343" s="547" t="s">
        <v>7</v>
      </c>
      <c r="G343" s="31" t="s">
        <v>19</v>
      </c>
      <c r="H343" s="31" t="s">
        <v>64</v>
      </c>
      <c r="I343" s="31"/>
      <c r="J343" s="60"/>
      <c r="K343" s="60"/>
      <c r="L343" s="60"/>
      <c r="M343" s="60">
        <v>22</v>
      </c>
      <c r="N343" s="60"/>
      <c r="O343" s="60"/>
      <c r="P343" s="60"/>
      <c r="Q343" s="60"/>
      <c r="R343" s="570"/>
      <c r="S343" s="60"/>
      <c r="T343" s="143">
        <f>IF(NFI_Expiration=1,IF($A343&lt;VLOOKUP(I$5,NFI,5,0),1,0)*Data_NFI_t[[#This Row],[Hygiene Kit]],0)</f>
        <v>0</v>
      </c>
      <c r="U343" s="143">
        <f>IF(NFI_Expiration=1,IF($A343&lt;VLOOKUP(J$5,NFI,5,0),1,0)*Data_NFI_t[[#This Row],[NFI Core Kit]],0)</f>
        <v>0</v>
      </c>
      <c r="V343" s="124">
        <f>IF(NFI_Expiration=1,IF($A343&lt;VLOOKUP(K$5,NFI,5,0),1,0)*Data_NFI_t[[#This Row],[Sanitary Kit]],0)</f>
        <v>0</v>
      </c>
      <c r="W343" s="124">
        <f>IF(NFI_Expiration=1,IF($A343&lt;VLOOKUP(L$5,NFI,5,0),1,0)*Data_NFI_t[[#This Row],[Mosquito net]],0)</f>
        <v>0</v>
      </c>
      <c r="X343" s="124">
        <f>IF(NFI_Expiration=1,IF($A343&lt;VLOOKUP(M$5,NFI,5,0),1,0)*Data_NFI_t[[#This Row],[Tarpaulin]],0)</f>
        <v>0</v>
      </c>
      <c r="Y343" s="124">
        <f>IF(NFI_Expiration=1,IF($A343&lt;VLOOKUP(N$5,NFI,5,0),1,0)*Data_NFI_t[[#This Row],[Blanket]],0)</f>
        <v>0</v>
      </c>
      <c r="Z343" s="124">
        <f>IF(NFI_Expiration=1,IF($A343&lt;VLOOKUP(O$5,NFI,5,0),1,0)*Data_NFI_t[[#This Row],[Kitchen Set]],0)</f>
        <v>0</v>
      </c>
      <c r="AA343" s="124">
        <f>IF(NFI_Expiration=1,IF($A343&lt;VLOOKUP(P$5,NFI,5,0),1,0)*Data_NFI_t[[#This Row],[Complementary Kit]],0)</f>
        <v>0</v>
      </c>
      <c r="AB343" s="124">
        <f>IF(NFI_Expiration=1,IF($A343&lt;VLOOKUP(Q$5,NFI,5,0),1,0)*Data_NFI_t[[#This Row],[Plastic Bucket]],0)</f>
        <v>0</v>
      </c>
      <c r="AC343" s="124">
        <f>IF(NFI_Expiration=1,IF($A343&lt;VLOOKUP(R$5,NFI,5,0),1,0)*Data_NFI_t[[#This Row],[Jerry Can]],0)</f>
        <v>0</v>
      </c>
      <c r="AD343" s="143">
        <f>IF(NFI_Expiration=1,IF($A343&lt;VLOOKUP(S$5,NFI,5,0),1,0)*Data_NFI_t[[#This Row],[Plastic Mat]],0)*IF(Data_NFI_t[[#This Row],[Distribution Date]]&gt;"01-06-2015",1,2.5)</f>
        <v>0</v>
      </c>
      <c r="AE343" s="143" t="str">
        <f ca="1">IFERROR(OFFSET(Camp_List[P_Code],MATCH(Data_NFI_t[[#This Row],[Camp Name]],Camp_List[Camp Name],0)-1,0,1,1),"")</f>
        <v>MMR012CMP042</v>
      </c>
      <c r="AF343" s="572" t="str">
        <f ca="1">IFERROR(OFFSET(Camp_List[Status],MATCH(Data_NFI_t[[#This Row],[Camp Name]],Camp_List[Camp Name],0)-1,0,1,1),"")</f>
        <v>Open</v>
      </c>
      <c r="AJ343" s="100" t="s">
        <v>923</v>
      </c>
    </row>
    <row r="344" spans="1:36" s="100" customFormat="1" ht="15" customHeight="1">
      <c r="A344" s="254">
        <f t="shared" si="5"/>
        <v>46.766666666666666</v>
      </c>
      <c r="B344" s="254">
        <f>YEAR(Data_NFI_t[[#This Row],[Distribution Date]])</f>
        <v>2012</v>
      </c>
      <c r="C344" s="585">
        <v>41119</v>
      </c>
      <c r="D344" s="547" t="s">
        <v>287</v>
      </c>
      <c r="E344" s="546"/>
      <c r="F344" s="547" t="s">
        <v>7</v>
      </c>
      <c r="G344" s="31" t="s">
        <v>19</v>
      </c>
      <c r="H344" s="31" t="s">
        <v>67</v>
      </c>
      <c r="I344" s="31"/>
      <c r="J344" s="60"/>
      <c r="K344" s="60"/>
      <c r="L344" s="60"/>
      <c r="M344" s="60">
        <v>456</v>
      </c>
      <c r="N344" s="60"/>
      <c r="O344" s="60"/>
      <c r="P344" s="60"/>
      <c r="Q344" s="60"/>
      <c r="R344" s="570"/>
      <c r="S344" s="60"/>
      <c r="T344" s="143">
        <f>IF(NFI_Expiration=1,IF($A344&lt;VLOOKUP(I$5,NFI,5,0),1,0)*Data_NFI_t[[#This Row],[Hygiene Kit]],0)</f>
        <v>0</v>
      </c>
      <c r="U344" s="143">
        <f>IF(NFI_Expiration=1,IF($A344&lt;VLOOKUP(J$5,NFI,5,0),1,0)*Data_NFI_t[[#This Row],[NFI Core Kit]],0)</f>
        <v>0</v>
      </c>
      <c r="V344" s="124">
        <f>IF(NFI_Expiration=1,IF($A344&lt;VLOOKUP(K$5,NFI,5,0),1,0)*Data_NFI_t[[#This Row],[Sanitary Kit]],0)</f>
        <v>0</v>
      </c>
      <c r="W344" s="124">
        <f>IF(NFI_Expiration=1,IF($A344&lt;VLOOKUP(L$5,NFI,5,0),1,0)*Data_NFI_t[[#This Row],[Mosquito net]],0)</f>
        <v>0</v>
      </c>
      <c r="X344" s="124">
        <f>IF(NFI_Expiration=1,IF($A344&lt;VLOOKUP(M$5,NFI,5,0),1,0)*Data_NFI_t[[#This Row],[Tarpaulin]],0)</f>
        <v>0</v>
      </c>
      <c r="Y344" s="124">
        <f>IF(NFI_Expiration=1,IF($A344&lt;VLOOKUP(N$5,NFI,5,0),1,0)*Data_NFI_t[[#This Row],[Blanket]],0)</f>
        <v>0</v>
      </c>
      <c r="Z344" s="124">
        <f>IF(NFI_Expiration=1,IF($A344&lt;VLOOKUP(O$5,NFI,5,0),1,0)*Data_NFI_t[[#This Row],[Kitchen Set]],0)</f>
        <v>0</v>
      </c>
      <c r="AA344" s="124">
        <f>IF(NFI_Expiration=1,IF($A344&lt;VLOOKUP(P$5,NFI,5,0),1,0)*Data_NFI_t[[#This Row],[Complementary Kit]],0)</f>
        <v>0</v>
      </c>
      <c r="AB344" s="124">
        <f>IF(NFI_Expiration=1,IF($A344&lt;VLOOKUP(Q$5,NFI,5,0),1,0)*Data_NFI_t[[#This Row],[Plastic Bucket]],0)</f>
        <v>0</v>
      </c>
      <c r="AC344" s="124">
        <f>IF(NFI_Expiration=1,IF($A344&lt;VLOOKUP(R$5,NFI,5,0),1,0)*Data_NFI_t[[#This Row],[Jerry Can]],0)</f>
        <v>0</v>
      </c>
      <c r="AD344" s="143">
        <f>IF(NFI_Expiration=1,IF($A344&lt;VLOOKUP(S$5,NFI,5,0),1,0)*Data_NFI_t[[#This Row],[Plastic Mat]],0)*IF(Data_NFI_t[[#This Row],[Distribution Date]]&gt;"01-06-2015",1,2.5)</f>
        <v>0</v>
      </c>
      <c r="AE344" s="143" t="str">
        <f ca="1">IFERROR(OFFSET(Camp_List[P_Code],MATCH(Data_NFI_t[[#This Row],[Camp Name]],Camp_List[Camp Name],0)-1,0,1,1),"")</f>
        <v>MMR012CMP045</v>
      </c>
      <c r="AF344" s="572" t="str">
        <f ca="1">IFERROR(OFFSET(Camp_List[Status],MATCH(Data_NFI_t[[#This Row],[Camp Name]],Camp_List[Camp Name],0)-1,0,1,1),"")</f>
        <v>Open</v>
      </c>
      <c r="AJ344" s="100" t="s">
        <v>923</v>
      </c>
    </row>
    <row r="345" spans="1:36" s="100" customFormat="1" ht="15" customHeight="1">
      <c r="A345" s="254">
        <f t="shared" si="5"/>
        <v>47.033333333333331</v>
      </c>
      <c r="B345" s="254">
        <f>YEAR(Data_NFI_t[[#This Row],[Distribution Date]])</f>
        <v>2012</v>
      </c>
      <c r="C345" s="585">
        <v>41111</v>
      </c>
      <c r="D345" s="547" t="s">
        <v>287</v>
      </c>
      <c r="E345" s="546"/>
      <c r="F345" s="547" t="s">
        <v>7</v>
      </c>
      <c r="G345" s="31" t="s">
        <v>19</v>
      </c>
      <c r="H345" s="31" t="s">
        <v>67</v>
      </c>
      <c r="I345" s="31"/>
      <c r="J345" s="60"/>
      <c r="K345" s="60"/>
      <c r="L345" s="60"/>
      <c r="M345" s="60">
        <v>117</v>
      </c>
      <c r="N345" s="60"/>
      <c r="O345" s="60"/>
      <c r="P345" s="60"/>
      <c r="Q345" s="60"/>
      <c r="R345" s="570"/>
      <c r="S345" s="60"/>
      <c r="T345" s="143">
        <f>IF(NFI_Expiration=1,IF($A345&lt;VLOOKUP(I$5,NFI,5,0),1,0)*Data_NFI_t[[#This Row],[Hygiene Kit]],0)</f>
        <v>0</v>
      </c>
      <c r="U345" s="143">
        <f>IF(NFI_Expiration=1,IF($A345&lt;VLOOKUP(J$5,NFI,5,0),1,0)*Data_NFI_t[[#This Row],[NFI Core Kit]],0)</f>
        <v>0</v>
      </c>
      <c r="V345" s="124">
        <f>IF(NFI_Expiration=1,IF($A345&lt;VLOOKUP(K$5,NFI,5,0),1,0)*Data_NFI_t[[#This Row],[Sanitary Kit]],0)</f>
        <v>0</v>
      </c>
      <c r="W345" s="124">
        <f>IF(NFI_Expiration=1,IF($A345&lt;VLOOKUP(L$5,NFI,5,0),1,0)*Data_NFI_t[[#This Row],[Mosquito net]],0)</f>
        <v>0</v>
      </c>
      <c r="X345" s="124">
        <f>IF(NFI_Expiration=1,IF($A345&lt;VLOOKUP(M$5,NFI,5,0),1,0)*Data_NFI_t[[#This Row],[Tarpaulin]],0)</f>
        <v>0</v>
      </c>
      <c r="Y345" s="124">
        <f>IF(NFI_Expiration=1,IF($A345&lt;VLOOKUP(N$5,NFI,5,0),1,0)*Data_NFI_t[[#This Row],[Blanket]],0)</f>
        <v>0</v>
      </c>
      <c r="Z345" s="124">
        <f>IF(NFI_Expiration=1,IF($A345&lt;VLOOKUP(O$5,NFI,5,0),1,0)*Data_NFI_t[[#This Row],[Kitchen Set]],0)</f>
        <v>0</v>
      </c>
      <c r="AA345" s="124">
        <f>IF(NFI_Expiration=1,IF($A345&lt;VLOOKUP(P$5,NFI,5,0),1,0)*Data_NFI_t[[#This Row],[Complementary Kit]],0)</f>
        <v>0</v>
      </c>
      <c r="AB345" s="124">
        <f>IF(NFI_Expiration=1,IF($A345&lt;VLOOKUP(Q$5,NFI,5,0),1,0)*Data_NFI_t[[#This Row],[Plastic Bucket]],0)</f>
        <v>0</v>
      </c>
      <c r="AC345" s="124">
        <f>IF(NFI_Expiration=1,IF($A345&lt;VLOOKUP(R$5,NFI,5,0),1,0)*Data_NFI_t[[#This Row],[Jerry Can]],0)</f>
        <v>0</v>
      </c>
      <c r="AD345" s="143">
        <f>IF(NFI_Expiration=1,IF($A345&lt;VLOOKUP(S$5,NFI,5,0),1,0)*Data_NFI_t[[#This Row],[Plastic Mat]],0)*IF(Data_NFI_t[[#This Row],[Distribution Date]]&gt;"01-06-2015",1,2.5)</f>
        <v>0</v>
      </c>
      <c r="AE345" s="143" t="str">
        <f ca="1">IFERROR(OFFSET(Camp_List[P_Code],MATCH(Data_NFI_t[[#This Row],[Camp Name]],Camp_List[Camp Name],0)-1,0,1,1),"")</f>
        <v>MMR012CMP045</v>
      </c>
      <c r="AF345" s="572" t="str">
        <f ca="1">IFERROR(OFFSET(Camp_List[Status],MATCH(Data_NFI_t[[#This Row],[Camp Name]],Camp_List[Camp Name],0)-1,0,1,1),"")</f>
        <v>Open</v>
      </c>
      <c r="AJ345" s="100" t="s">
        <v>923</v>
      </c>
    </row>
    <row r="346" spans="1:36" s="100" customFormat="1" ht="15" customHeight="1">
      <c r="A346" s="254">
        <f t="shared" si="5"/>
        <v>47.06666666666667</v>
      </c>
      <c r="B346" s="254">
        <f>YEAR(Data_NFI_t[[#This Row],[Distribution Date]])</f>
        <v>2012</v>
      </c>
      <c r="C346" s="585">
        <v>41110</v>
      </c>
      <c r="D346" s="547" t="s">
        <v>287</v>
      </c>
      <c r="E346" s="546"/>
      <c r="F346" s="547" t="s">
        <v>7</v>
      </c>
      <c r="G346" s="31" t="s">
        <v>19</v>
      </c>
      <c r="H346" s="31" t="s">
        <v>61</v>
      </c>
      <c r="I346" s="31"/>
      <c r="J346" s="60"/>
      <c r="K346" s="60"/>
      <c r="L346" s="60"/>
      <c r="M346" s="60">
        <v>383</v>
      </c>
      <c r="N346" s="60"/>
      <c r="O346" s="60"/>
      <c r="P346" s="60"/>
      <c r="Q346" s="60"/>
      <c r="R346" s="570"/>
      <c r="S346" s="60"/>
      <c r="T346" s="143">
        <f>IF(NFI_Expiration=1,IF($A346&lt;VLOOKUP(I$5,NFI,5,0),1,0)*Data_NFI_t[[#This Row],[Hygiene Kit]],0)</f>
        <v>0</v>
      </c>
      <c r="U346" s="143">
        <f>IF(NFI_Expiration=1,IF($A346&lt;VLOOKUP(J$5,NFI,5,0),1,0)*Data_NFI_t[[#This Row],[NFI Core Kit]],0)</f>
        <v>0</v>
      </c>
      <c r="V346" s="124">
        <f>IF(NFI_Expiration=1,IF($A346&lt;VLOOKUP(K$5,NFI,5,0),1,0)*Data_NFI_t[[#This Row],[Sanitary Kit]],0)</f>
        <v>0</v>
      </c>
      <c r="W346" s="124">
        <f>IF(NFI_Expiration=1,IF($A346&lt;VLOOKUP(L$5,NFI,5,0),1,0)*Data_NFI_t[[#This Row],[Mosquito net]],0)</f>
        <v>0</v>
      </c>
      <c r="X346" s="124">
        <f>IF(NFI_Expiration=1,IF($A346&lt;VLOOKUP(M$5,NFI,5,0),1,0)*Data_NFI_t[[#This Row],[Tarpaulin]],0)</f>
        <v>0</v>
      </c>
      <c r="Y346" s="124">
        <f>IF(NFI_Expiration=1,IF($A346&lt;VLOOKUP(N$5,NFI,5,0),1,0)*Data_NFI_t[[#This Row],[Blanket]],0)</f>
        <v>0</v>
      </c>
      <c r="Z346" s="124">
        <f>IF(NFI_Expiration=1,IF($A346&lt;VLOOKUP(O$5,NFI,5,0),1,0)*Data_NFI_t[[#This Row],[Kitchen Set]],0)</f>
        <v>0</v>
      </c>
      <c r="AA346" s="124">
        <f>IF(NFI_Expiration=1,IF($A346&lt;VLOOKUP(P$5,NFI,5,0),1,0)*Data_NFI_t[[#This Row],[Complementary Kit]],0)</f>
        <v>0</v>
      </c>
      <c r="AB346" s="124">
        <f>IF(NFI_Expiration=1,IF($A346&lt;VLOOKUP(Q$5,NFI,5,0),1,0)*Data_NFI_t[[#This Row],[Plastic Bucket]],0)</f>
        <v>0</v>
      </c>
      <c r="AC346" s="124">
        <f>IF(NFI_Expiration=1,IF($A346&lt;VLOOKUP(R$5,NFI,5,0),1,0)*Data_NFI_t[[#This Row],[Jerry Can]],0)</f>
        <v>0</v>
      </c>
      <c r="AD346" s="143">
        <f>IF(NFI_Expiration=1,IF($A346&lt;VLOOKUP(S$5,NFI,5,0),1,0)*Data_NFI_t[[#This Row],[Plastic Mat]],0)*IF(Data_NFI_t[[#This Row],[Distribution Date]]&gt;"01-06-2015",1,2.5)</f>
        <v>0</v>
      </c>
      <c r="AE346" s="143" t="str">
        <f ca="1">IFERROR(OFFSET(Camp_List[P_Code],MATCH(Data_NFI_t[[#This Row],[Camp Name]],Camp_List[Camp Name],0)-1,0,1,1),"")</f>
        <v>MMR012CMP039</v>
      </c>
      <c r="AF346" s="572" t="str">
        <f ca="1">IFERROR(OFFSET(Camp_List[Status],MATCH(Data_NFI_t[[#This Row],[Camp Name]],Camp_List[Camp Name],0)-1,0,1,1),"")</f>
        <v>Open</v>
      </c>
      <c r="AJ346" s="100" t="s">
        <v>923</v>
      </c>
    </row>
    <row r="347" spans="1:36" s="100" customFormat="1" ht="15" customHeight="1">
      <c r="A347" s="254">
        <f t="shared" si="5"/>
        <v>47.1</v>
      </c>
      <c r="B347" s="254">
        <f>YEAR(Data_NFI_t[[#This Row],[Distribution Date]])</f>
        <v>2012</v>
      </c>
      <c r="C347" s="585">
        <v>41109</v>
      </c>
      <c r="D347" s="547" t="s">
        <v>287</v>
      </c>
      <c r="E347" s="546"/>
      <c r="F347" s="547" t="s">
        <v>7</v>
      </c>
      <c r="G347" s="31" t="s">
        <v>19</v>
      </c>
      <c r="H347" s="31" t="s">
        <v>70</v>
      </c>
      <c r="I347" s="31"/>
      <c r="J347" s="60"/>
      <c r="K347" s="60"/>
      <c r="L347" s="60"/>
      <c r="M347" s="60">
        <v>572</v>
      </c>
      <c r="N347" s="60"/>
      <c r="O347" s="60"/>
      <c r="P347" s="60"/>
      <c r="Q347" s="60"/>
      <c r="R347" s="570"/>
      <c r="S347" s="60"/>
      <c r="T347" s="143">
        <f>IF(NFI_Expiration=1,IF($A347&lt;VLOOKUP(I$5,NFI,5,0),1,0)*Data_NFI_t[[#This Row],[Hygiene Kit]],0)</f>
        <v>0</v>
      </c>
      <c r="U347" s="143">
        <f>IF(NFI_Expiration=1,IF($A347&lt;VLOOKUP(J$5,NFI,5,0),1,0)*Data_NFI_t[[#This Row],[NFI Core Kit]],0)</f>
        <v>0</v>
      </c>
      <c r="V347" s="124">
        <f>IF(NFI_Expiration=1,IF($A347&lt;VLOOKUP(K$5,NFI,5,0),1,0)*Data_NFI_t[[#This Row],[Sanitary Kit]],0)</f>
        <v>0</v>
      </c>
      <c r="W347" s="124">
        <f>IF(NFI_Expiration=1,IF($A347&lt;VLOOKUP(L$5,NFI,5,0),1,0)*Data_NFI_t[[#This Row],[Mosquito net]],0)</f>
        <v>0</v>
      </c>
      <c r="X347" s="124">
        <f>IF(NFI_Expiration=1,IF($A347&lt;VLOOKUP(M$5,NFI,5,0),1,0)*Data_NFI_t[[#This Row],[Tarpaulin]],0)</f>
        <v>0</v>
      </c>
      <c r="Y347" s="124">
        <f>IF(NFI_Expiration=1,IF($A347&lt;VLOOKUP(N$5,NFI,5,0),1,0)*Data_NFI_t[[#This Row],[Blanket]],0)</f>
        <v>0</v>
      </c>
      <c r="Z347" s="124">
        <f>IF(NFI_Expiration=1,IF($A347&lt;VLOOKUP(O$5,NFI,5,0),1,0)*Data_NFI_t[[#This Row],[Kitchen Set]],0)</f>
        <v>0</v>
      </c>
      <c r="AA347" s="124">
        <f>IF(NFI_Expiration=1,IF($A347&lt;VLOOKUP(P$5,NFI,5,0),1,0)*Data_NFI_t[[#This Row],[Complementary Kit]],0)</f>
        <v>0</v>
      </c>
      <c r="AB347" s="124">
        <f>IF(NFI_Expiration=1,IF($A347&lt;VLOOKUP(Q$5,NFI,5,0),1,0)*Data_NFI_t[[#This Row],[Plastic Bucket]],0)</f>
        <v>0</v>
      </c>
      <c r="AC347" s="124">
        <f>IF(NFI_Expiration=1,IF($A347&lt;VLOOKUP(R$5,NFI,5,0),1,0)*Data_NFI_t[[#This Row],[Jerry Can]],0)</f>
        <v>0</v>
      </c>
      <c r="AD347" s="143">
        <f>IF(NFI_Expiration=1,IF($A347&lt;VLOOKUP(S$5,NFI,5,0),1,0)*Data_NFI_t[[#This Row],[Plastic Mat]],0)*IF(Data_NFI_t[[#This Row],[Distribution Date]]&gt;"01-06-2015",1,2.5)</f>
        <v>0</v>
      </c>
      <c r="AE347" s="143" t="str">
        <f ca="1">IFERROR(OFFSET(Camp_List[P_Code],MATCH(Data_NFI_t[[#This Row],[Camp Name]],Camp_List[Camp Name],0)-1,0,1,1),"")</f>
        <v>MMR012CMP048</v>
      </c>
      <c r="AF347" s="572" t="str">
        <f ca="1">IFERROR(OFFSET(Camp_List[Status],MATCH(Data_NFI_t[[#This Row],[Camp Name]],Camp_List[Camp Name],0)-1,0,1,1),"")</f>
        <v>Open</v>
      </c>
      <c r="AJ347" s="100" t="s">
        <v>923</v>
      </c>
    </row>
    <row r="348" spans="1:36" s="100" customFormat="1" ht="15" customHeight="1">
      <c r="A348" s="254">
        <f t="shared" si="5"/>
        <v>47.133333333333333</v>
      </c>
      <c r="B348" s="254">
        <f>YEAR(Data_NFI_t[[#This Row],[Distribution Date]])</f>
        <v>2012</v>
      </c>
      <c r="C348" s="585">
        <v>41108</v>
      </c>
      <c r="D348" s="547" t="s">
        <v>287</v>
      </c>
      <c r="E348" s="546"/>
      <c r="F348" s="547" t="s">
        <v>7</v>
      </c>
      <c r="G348" s="31" t="s">
        <v>19</v>
      </c>
      <c r="H348" s="31" t="s">
        <v>62</v>
      </c>
      <c r="I348" s="31"/>
      <c r="J348" s="60"/>
      <c r="K348" s="60"/>
      <c r="L348" s="60"/>
      <c r="M348" s="60">
        <v>248</v>
      </c>
      <c r="N348" s="60"/>
      <c r="O348" s="60"/>
      <c r="P348" s="60"/>
      <c r="Q348" s="60"/>
      <c r="R348" s="570"/>
      <c r="S348" s="60"/>
      <c r="T348" s="143">
        <f>IF(NFI_Expiration=1,IF($A348&lt;VLOOKUP(I$5,NFI,5,0),1,0)*Data_NFI_t[[#This Row],[Hygiene Kit]],0)</f>
        <v>0</v>
      </c>
      <c r="U348" s="143">
        <f>IF(NFI_Expiration=1,IF($A348&lt;VLOOKUP(J$5,NFI,5,0),1,0)*Data_NFI_t[[#This Row],[NFI Core Kit]],0)</f>
        <v>0</v>
      </c>
      <c r="V348" s="124">
        <f>IF(NFI_Expiration=1,IF($A348&lt;VLOOKUP(K$5,NFI,5,0),1,0)*Data_NFI_t[[#This Row],[Sanitary Kit]],0)</f>
        <v>0</v>
      </c>
      <c r="W348" s="124">
        <f>IF(NFI_Expiration=1,IF($A348&lt;VLOOKUP(L$5,NFI,5,0),1,0)*Data_NFI_t[[#This Row],[Mosquito net]],0)</f>
        <v>0</v>
      </c>
      <c r="X348" s="124">
        <f>IF(NFI_Expiration=1,IF($A348&lt;VLOOKUP(M$5,NFI,5,0),1,0)*Data_NFI_t[[#This Row],[Tarpaulin]],0)</f>
        <v>0</v>
      </c>
      <c r="Y348" s="124">
        <f>IF(NFI_Expiration=1,IF($A348&lt;VLOOKUP(N$5,NFI,5,0),1,0)*Data_NFI_t[[#This Row],[Blanket]],0)</f>
        <v>0</v>
      </c>
      <c r="Z348" s="124">
        <f>IF(NFI_Expiration=1,IF($A348&lt;VLOOKUP(O$5,NFI,5,0),1,0)*Data_NFI_t[[#This Row],[Kitchen Set]],0)</f>
        <v>0</v>
      </c>
      <c r="AA348" s="124">
        <f>IF(NFI_Expiration=1,IF($A348&lt;VLOOKUP(P$5,NFI,5,0),1,0)*Data_NFI_t[[#This Row],[Complementary Kit]],0)</f>
        <v>0</v>
      </c>
      <c r="AB348" s="124">
        <f>IF(NFI_Expiration=1,IF($A348&lt;VLOOKUP(Q$5,NFI,5,0),1,0)*Data_NFI_t[[#This Row],[Plastic Bucket]],0)</f>
        <v>0</v>
      </c>
      <c r="AC348" s="124">
        <f>IF(NFI_Expiration=1,IF($A348&lt;VLOOKUP(R$5,NFI,5,0),1,0)*Data_NFI_t[[#This Row],[Jerry Can]],0)</f>
        <v>0</v>
      </c>
      <c r="AD348" s="143">
        <f>IF(NFI_Expiration=1,IF($A348&lt;VLOOKUP(S$5,NFI,5,0),1,0)*Data_NFI_t[[#This Row],[Plastic Mat]],0)*IF(Data_NFI_t[[#This Row],[Distribution Date]]&gt;"01-06-2015",1,2.5)</f>
        <v>0</v>
      </c>
      <c r="AE348" s="143" t="str">
        <f ca="1">IFERROR(OFFSET(Camp_List[P_Code],MATCH(Data_NFI_t[[#This Row],[Camp Name]],Camp_List[Camp Name],0)-1,0,1,1),"")</f>
        <v>MMR012CMP040</v>
      </c>
      <c r="AF348" s="572" t="str">
        <f ca="1">IFERROR(OFFSET(Camp_List[Status],MATCH(Data_NFI_t[[#This Row],[Camp Name]],Camp_List[Camp Name],0)-1,0,1,1),"")</f>
        <v>Close</v>
      </c>
      <c r="AJ348" s="100" t="s">
        <v>923</v>
      </c>
    </row>
    <row r="349" spans="1:36" s="100" customFormat="1" ht="15" customHeight="1">
      <c r="A349" s="254">
        <f t="shared" si="5"/>
        <v>47.133333333333333</v>
      </c>
      <c r="B349" s="254">
        <f>YEAR(Data_NFI_t[[#This Row],[Distribution Date]])</f>
        <v>2012</v>
      </c>
      <c r="C349" s="585">
        <v>41108</v>
      </c>
      <c r="D349" s="547" t="s">
        <v>287</v>
      </c>
      <c r="E349" s="546"/>
      <c r="F349" s="547" t="s">
        <v>7</v>
      </c>
      <c r="G349" s="31" t="s">
        <v>19</v>
      </c>
      <c r="H349" s="31" t="s">
        <v>64</v>
      </c>
      <c r="I349" s="31"/>
      <c r="J349" s="60"/>
      <c r="K349" s="60"/>
      <c r="L349" s="60"/>
      <c r="M349" s="60">
        <v>121</v>
      </c>
      <c r="N349" s="60"/>
      <c r="O349" s="60"/>
      <c r="P349" s="60"/>
      <c r="Q349" s="60"/>
      <c r="R349" s="570"/>
      <c r="S349" s="60"/>
      <c r="T349" s="143">
        <f>IF(NFI_Expiration=1,IF($A349&lt;VLOOKUP(I$5,NFI,5,0),1,0)*Data_NFI_t[[#This Row],[Hygiene Kit]],0)</f>
        <v>0</v>
      </c>
      <c r="U349" s="143">
        <f>IF(NFI_Expiration=1,IF($A349&lt;VLOOKUP(J$5,NFI,5,0),1,0)*Data_NFI_t[[#This Row],[NFI Core Kit]],0)</f>
        <v>0</v>
      </c>
      <c r="V349" s="124">
        <f>IF(NFI_Expiration=1,IF($A349&lt;VLOOKUP(K$5,NFI,5,0),1,0)*Data_NFI_t[[#This Row],[Sanitary Kit]],0)</f>
        <v>0</v>
      </c>
      <c r="W349" s="124">
        <f>IF(NFI_Expiration=1,IF($A349&lt;VLOOKUP(L$5,NFI,5,0),1,0)*Data_NFI_t[[#This Row],[Mosquito net]],0)</f>
        <v>0</v>
      </c>
      <c r="X349" s="124">
        <f>IF(NFI_Expiration=1,IF($A349&lt;VLOOKUP(M$5,NFI,5,0),1,0)*Data_NFI_t[[#This Row],[Tarpaulin]],0)</f>
        <v>0</v>
      </c>
      <c r="Y349" s="124">
        <f>IF(NFI_Expiration=1,IF($A349&lt;VLOOKUP(N$5,NFI,5,0),1,0)*Data_NFI_t[[#This Row],[Blanket]],0)</f>
        <v>0</v>
      </c>
      <c r="Z349" s="124">
        <f>IF(NFI_Expiration=1,IF($A349&lt;VLOOKUP(O$5,NFI,5,0),1,0)*Data_NFI_t[[#This Row],[Kitchen Set]],0)</f>
        <v>0</v>
      </c>
      <c r="AA349" s="124">
        <f>IF(NFI_Expiration=1,IF($A349&lt;VLOOKUP(P$5,NFI,5,0),1,0)*Data_NFI_t[[#This Row],[Complementary Kit]],0)</f>
        <v>0</v>
      </c>
      <c r="AB349" s="124">
        <f>IF(NFI_Expiration=1,IF($A349&lt;VLOOKUP(Q$5,NFI,5,0),1,0)*Data_NFI_t[[#This Row],[Plastic Bucket]],0)</f>
        <v>0</v>
      </c>
      <c r="AC349" s="124">
        <f>IF(NFI_Expiration=1,IF($A349&lt;VLOOKUP(R$5,NFI,5,0),1,0)*Data_NFI_t[[#This Row],[Jerry Can]],0)</f>
        <v>0</v>
      </c>
      <c r="AD349" s="143">
        <f>IF(NFI_Expiration=1,IF($A349&lt;VLOOKUP(S$5,NFI,5,0),1,0)*Data_NFI_t[[#This Row],[Plastic Mat]],0)*IF(Data_NFI_t[[#This Row],[Distribution Date]]&gt;"01-06-2015",1,2.5)</f>
        <v>0</v>
      </c>
      <c r="AE349" s="143" t="str">
        <f ca="1">IFERROR(OFFSET(Camp_List[P_Code],MATCH(Data_NFI_t[[#This Row],[Camp Name]],Camp_List[Camp Name],0)-1,0,1,1),"")</f>
        <v>MMR012CMP042</v>
      </c>
      <c r="AF349" s="572" t="str">
        <f ca="1">IFERROR(OFFSET(Camp_List[Status],MATCH(Data_NFI_t[[#This Row],[Camp Name]],Camp_List[Camp Name],0)-1,0,1,1),"")</f>
        <v>Open</v>
      </c>
    </row>
    <row r="350" spans="1:36" s="100" customFormat="1" ht="15" customHeight="1">
      <c r="A350" s="254">
        <f t="shared" si="5"/>
        <v>47.166666666666664</v>
      </c>
      <c r="B350" s="254">
        <f>YEAR(Data_NFI_t[[#This Row],[Distribution Date]])</f>
        <v>2012</v>
      </c>
      <c r="C350" s="585">
        <v>41107</v>
      </c>
      <c r="D350" s="547" t="s">
        <v>287</v>
      </c>
      <c r="E350" s="546"/>
      <c r="F350" s="547" t="s">
        <v>7</v>
      </c>
      <c r="G350" s="31" t="s">
        <v>19</v>
      </c>
      <c r="H350" s="31" t="s">
        <v>62</v>
      </c>
      <c r="I350" s="31"/>
      <c r="J350" s="60"/>
      <c r="K350" s="60"/>
      <c r="L350" s="60"/>
      <c r="M350" s="60">
        <v>630</v>
      </c>
      <c r="N350" s="60"/>
      <c r="O350" s="60"/>
      <c r="P350" s="60"/>
      <c r="Q350" s="60"/>
      <c r="R350" s="570"/>
      <c r="S350" s="60"/>
      <c r="T350" s="143">
        <f>IF(NFI_Expiration=1,IF($A350&lt;VLOOKUP(I$5,NFI,5,0),1,0)*Data_NFI_t[[#This Row],[Hygiene Kit]],0)</f>
        <v>0</v>
      </c>
      <c r="U350" s="143">
        <f>IF(NFI_Expiration=1,IF($A350&lt;VLOOKUP(J$5,NFI,5,0),1,0)*Data_NFI_t[[#This Row],[NFI Core Kit]],0)</f>
        <v>0</v>
      </c>
      <c r="V350" s="124">
        <f>IF(NFI_Expiration=1,IF($A350&lt;VLOOKUP(K$5,NFI,5,0),1,0)*Data_NFI_t[[#This Row],[Sanitary Kit]],0)</f>
        <v>0</v>
      </c>
      <c r="W350" s="124">
        <f>IF(NFI_Expiration=1,IF($A350&lt;VLOOKUP(L$5,NFI,5,0),1,0)*Data_NFI_t[[#This Row],[Mosquito net]],0)</f>
        <v>0</v>
      </c>
      <c r="X350" s="124">
        <f>IF(NFI_Expiration=1,IF($A350&lt;VLOOKUP(M$5,NFI,5,0),1,0)*Data_NFI_t[[#This Row],[Tarpaulin]],0)</f>
        <v>0</v>
      </c>
      <c r="Y350" s="124">
        <f>IF(NFI_Expiration=1,IF($A350&lt;VLOOKUP(N$5,NFI,5,0),1,0)*Data_NFI_t[[#This Row],[Blanket]],0)</f>
        <v>0</v>
      </c>
      <c r="Z350" s="124">
        <f>IF(NFI_Expiration=1,IF($A350&lt;VLOOKUP(O$5,NFI,5,0),1,0)*Data_NFI_t[[#This Row],[Kitchen Set]],0)</f>
        <v>0</v>
      </c>
      <c r="AA350" s="124">
        <f>IF(NFI_Expiration=1,IF($A350&lt;VLOOKUP(P$5,NFI,5,0),1,0)*Data_NFI_t[[#This Row],[Complementary Kit]],0)</f>
        <v>0</v>
      </c>
      <c r="AB350" s="124">
        <f>IF(NFI_Expiration=1,IF($A350&lt;VLOOKUP(Q$5,NFI,5,0),1,0)*Data_NFI_t[[#This Row],[Plastic Bucket]],0)</f>
        <v>0</v>
      </c>
      <c r="AC350" s="124">
        <f>IF(NFI_Expiration=1,IF($A350&lt;VLOOKUP(R$5,NFI,5,0),1,0)*Data_NFI_t[[#This Row],[Jerry Can]],0)</f>
        <v>0</v>
      </c>
      <c r="AD350" s="143">
        <f>IF(NFI_Expiration=1,IF($A350&lt;VLOOKUP(S$5,NFI,5,0),1,0)*Data_NFI_t[[#This Row],[Plastic Mat]],0)*IF(Data_NFI_t[[#This Row],[Distribution Date]]&gt;"01-06-2015",1,2.5)</f>
        <v>0</v>
      </c>
      <c r="AE350" s="143" t="str">
        <f ca="1">IFERROR(OFFSET(Camp_List[P_Code],MATCH(Data_NFI_t[[#This Row],[Camp Name]],Camp_List[Camp Name],0)-1,0,1,1),"")</f>
        <v>MMR012CMP040</v>
      </c>
      <c r="AF350" s="572" t="str">
        <f ca="1">IFERROR(OFFSET(Camp_List[Status],MATCH(Data_NFI_t[[#This Row],[Camp Name]],Camp_List[Camp Name],0)-1,0,1,1),"")</f>
        <v>Close</v>
      </c>
    </row>
    <row r="351" spans="1:36" s="100" customFormat="1" ht="15" customHeight="1">
      <c r="A351" s="254">
        <f t="shared" si="5"/>
        <v>47.2</v>
      </c>
      <c r="B351" s="254">
        <f>YEAR(Data_NFI_t[[#This Row],[Distribution Date]])</f>
        <v>2012</v>
      </c>
      <c r="C351" s="585">
        <v>41106</v>
      </c>
      <c r="D351" s="547" t="s">
        <v>287</v>
      </c>
      <c r="E351" s="546"/>
      <c r="F351" s="547" t="s">
        <v>7</v>
      </c>
      <c r="G351" s="31" t="s">
        <v>19</v>
      </c>
      <c r="H351" s="31" t="s">
        <v>62</v>
      </c>
      <c r="I351" s="31"/>
      <c r="J351" s="60"/>
      <c r="K351" s="60"/>
      <c r="L351" s="60"/>
      <c r="M351" s="60">
        <v>120</v>
      </c>
      <c r="N351" s="60"/>
      <c r="O351" s="60"/>
      <c r="P351" s="60"/>
      <c r="Q351" s="60"/>
      <c r="R351" s="570"/>
      <c r="S351" s="60"/>
      <c r="T351" s="143">
        <f>IF(NFI_Expiration=1,IF($A351&lt;VLOOKUP(I$5,NFI,5,0),1,0)*Data_NFI_t[[#This Row],[Hygiene Kit]],0)</f>
        <v>0</v>
      </c>
      <c r="U351" s="143">
        <f>IF(NFI_Expiration=1,IF($A351&lt;VLOOKUP(J$5,NFI,5,0),1,0)*Data_NFI_t[[#This Row],[NFI Core Kit]],0)</f>
        <v>0</v>
      </c>
      <c r="V351" s="124">
        <f>IF(NFI_Expiration=1,IF($A351&lt;VLOOKUP(K$5,NFI,5,0),1,0)*Data_NFI_t[[#This Row],[Sanitary Kit]],0)</f>
        <v>0</v>
      </c>
      <c r="W351" s="124">
        <f>IF(NFI_Expiration=1,IF($A351&lt;VLOOKUP(L$5,NFI,5,0),1,0)*Data_NFI_t[[#This Row],[Mosquito net]],0)</f>
        <v>0</v>
      </c>
      <c r="X351" s="124">
        <f>IF(NFI_Expiration=1,IF($A351&lt;VLOOKUP(M$5,NFI,5,0),1,0)*Data_NFI_t[[#This Row],[Tarpaulin]],0)</f>
        <v>0</v>
      </c>
      <c r="Y351" s="124">
        <f>IF(NFI_Expiration=1,IF($A351&lt;VLOOKUP(N$5,NFI,5,0),1,0)*Data_NFI_t[[#This Row],[Blanket]],0)</f>
        <v>0</v>
      </c>
      <c r="Z351" s="124">
        <f>IF(NFI_Expiration=1,IF($A351&lt;VLOOKUP(O$5,NFI,5,0),1,0)*Data_NFI_t[[#This Row],[Kitchen Set]],0)</f>
        <v>0</v>
      </c>
      <c r="AA351" s="124">
        <f>IF(NFI_Expiration=1,IF($A351&lt;VLOOKUP(P$5,NFI,5,0),1,0)*Data_NFI_t[[#This Row],[Complementary Kit]],0)</f>
        <v>0</v>
      </c>
      <c r="AB351" s="124">
        <f>IF(NFI_Expiration=1,IF($A351&lt;VLOOKUP(Q$5,NFI,5,0),1,0)*Data_NFI_t[[#This Row],[Plastic Bucket]],0)</f>
        <v>0</v>
      </c>
      <c r="AC351" s="124">
        <f>IF(NFI_Expiration=1,IF($A351&lt;VLOOKUP(R$5,NFI,5,0),1,0)*Data_NFI_t[[#This Row],[Jerry Can]],0)</f>
        <v>0</v>
      </c>
      <c r="AD351" s="143">
        <f>IF(NFI_Expiration=1,IF($A351&lt;VLOOKUP(S$5,NFI,5,0),1,0)*Data_NFI_t[[#This Row],[Plastic Mat]],0)*IF(Data_NFI_t[[#This Row],[Distribution Date]]&gt;"01-06-2015",1,2.5)</f>
        <v>0</v>
      </c>
      <c r="AE351" s="143" t="str">
        <f ca="1">IFERROR(OFFSET(Camp_List[P_Code],MATCH(Data_NFI_t[[#This Row],[Camp Name]],Camp_List[Camp Name],0)-1,0,1,1),"")</f>
        <v>MMR012CMP040</v>
      </c>
      <c r="AF351" s="572" t="str">
        <f ca="1">IFERROR(OFFSET(Camp_List[Status],MATCH(Data_NFI_t[[#This Row],[Camp Name]],Camp_List[Camp Name],0)-1,0,1,1),"")</f>
        <v>Close</v>
      </c>
    </row>
    <row r="352" spans="1:36" s="100" customFormat="1" ht="15" customHeight="1">
      <c r="A352" s="254">
        <f t="shared" si="5"/>
        <v>47.233333333333334</v>
      </c>
      <c r="B352" s="254">
        <f>YEAR(Data_NFI_t[[#This Row],[Distribution Date]])</f>
        <v>2012</v>
      </c>
      <c r="C352" s="585">
        <v>41105</v>
      </c>
      <c r="D352" s="547" t="s">
        <v>287</v>
      </c>
      <c r="E352" s="546"/>
      <c r="F352" s="547" t="s">
        <v>7</v>
      </c>
      <c r="G352" s="31" t="s">
        <v>19</v>
      </c>
      <c r="H352" s="31" t="s">
        <v>62</v>
      </c>
      <c r="I352" s="31"/>
      <c r="J352" s="60"/>
      <c r="K352" s="60"/>
      <c r="L352" s="60"/>
      <c r="M352" s="60">
        <v>150</v>
      </c>
      <c r="N352" s="60"/>
      <c r="O352" s="60"/>
      <c r="P352" s="60"/>
      <c r="Q352" s="60"/>
      <c r="R352" s="570"/>
      <c r="S352" s="60"/>
      <c r="T352" s="143">
        <f>IF(NFI_Expiration=1,IF($A352&lt;VLOOKUP(I$5,NFI,5,0),1,0)*Data_NFI_t[[#This Row],[Hygiene Kit]],0)</f>
        <v>0</v>
      </c>
      <c r="U352" s="143">
        <f>IF(NFI_Expiration=1,IF($A352&lt;VLOOKUP(J$5,NFI,5,0),1,0)*Data_NFI_t[[#This Row],[NFI Core Kit]],0)</f>
        <v>0</v>
      </c>
      <c r="V352" s="124">
        <f>IF(NFI_Expiration=1,IF($A352&lt;VLOOKUP(K$5,NFI,5,0),1,0)*Data_NFI_t[[#This Row],[Sanitary Kit]],0)</f>
        <v>0</v>
      </c>
      <c r="W352" s="124">
        <f>IF(NFI_Expiration=1,IF($A352&lt;VLOOKUP(L$5,NFI,5,0),1,0)*Data_NFI_t[[#This Row],[Mosquito net]],0)</f>
        <v>0</v>
      </c>
      <c r="X352" s="124">
        <f>IF(NFI_Expiration=1,IF($A352&lt;VLOOKUP(M$5,NFI,5,0),1,0)*Data_NFI_t[[#This Row],[Tarpaulin]],0)</f>
        <v>0</v>
      </c>
      <c r="Y352" s="124">
        <f>IF(NFI_Expiration=1,IF($A352&lt;VLOOKUP(N$5,NFI,5,0),1,0)*Data_NFI_t[[#This Row],[Blanket]],0)</f>
        <v>0</v>
      </c>
      <c r="Z352" s="124">
        <f>IF(NFI_Expiration=1,IF($A352&lt;VLOOKUP(O$5,NFI,5,0),1,0)*Data_NFI_t[[#This Row],[Kitchen Set]],0)</f>
        <v>0</v>
      </c>
      <c r="AA352" s="124">
        <f>IF(NFI_Expiration=1,IF($A352&lt;VLOOKUP(P$5,NFI,5,0),1,0)*Data_NFI_t[[#This Row],[Complementary Kit]],0)</f>
        <v>0</v>
      </c>
      <c r="AB352" s="124">
        <f>IF(NFI_Expiration=1,IF($A352&lt;VLOOKUP(Q$5,NFI,5,0),1,0)*Data_NFI_t[[#This Row],[Plastic Bucket]],0)</f>
        <v>0</v>
      </c>
      <c r="AC352" s="124">
        <f>IF(NFI_Expiration=1,IF($A352&lt;VLOOKUP(R$5,NFI,5,0),1,0)*Data_NFI_t[[#This Row],[Jerry Can]],0)</f>
        <v>0</v>
      </c>
      <c r="AD352" s="143">
        <f>IF(NFI_Expiration=1,IF($A352&lt;VLOOKUP(S$5,NFI,5,0),1,0)*Data_NFI_t[[#This Row],[Plastic Mat]],0)*IF(Data_NFI_t[[#This Row],[Distribution Date]]&gt;"01-06-2015",1,2.5)</f>
        <v>0</v>
      </c>
      <c r="AE352" s="143" t="str">
        <f ca="1">IFERROR(OFFSET(Camp_List[P_Code],MATCH(Data_NFI_t[[#This Row],[Camp Name]],Camp_List[Camp Name],0)-1,0,1,1),"")</f>
        <v>MMR012CMP040</v>
      </c>
      <c r="AF352" s="572" t="str">
        <f ca="1">IFERROR(OFFSET(Camp_List[Status],MATCH(Data_NFI_t[[#This Row],[Camp Name]],Camp_List[Camp Name],0)-1,0,1,1),"")</f>
        <v>Close</v>
      </c>
    </row>
    <row r="353" spans="1:32" s="100" customFormat="1" ht="15" customHeight="1">
      <c r="A353" s="254">
        <f t="shared" si="5"/>
        <v>47.233333333333334</v>
      </c>
      <c r="B353" s="254">
        <f>YEAR(Data_NFI_t[[#This Row],[Distribution Date]])</f>
        <v>2012</v>
      </c>
      <c r="C353" s="585">
        <v>41105</v>
      </c>
      <c r="D353" s="547" t="s">
        <v>287</v>
      </c>
      <c r="E353" s="546"/>
      <c r="F353" s="547" t="s">
        <v>7</v>
      </c>
      <c r="G353" s="31" t="s">
        <v>19</v>
      </c>
      <c r="H353" s="31" t="s">
        <v>70</v>
      </c>
      <c r="I353" s="31"/>
      <c r="J353" s="60"/>
      <c r="K353" s="60"/>
      <c r="L353" s="60"/>
      <c r="M353" s="60">
        <v>200</v>
      </c>
      <c r="N353" s="60"/>
      <c r="O353" s="60"/>
      <c r="P353" s="60"/>
      <c r="Q353" s="60"/>
      <c r="R353" s="570"/>
      <c r="S353" s="60"/>
      <c r="T353" s="143">
        <f>IF(NFI_Expiration=1,IF($A353&lt;VLOOKUP(I$5,NFI,5,0),1,0)*Data_NFI_t[[#This Row],[Hygiene Kit]],0)</f>
        <v>0</v>
      </c>
      <c r="U353" s="143">
        <f>IF(NFI_Expiration=1,IF($A353&lt;VLOOKUP(J$5,NFI,5,0),1,0)*Data_NFI_t[[#This Row],[NFI Core Kit]],0)</f>
        <v>0</v>
      </c>
      <c r="V353" s="124">
        <f>IF(NFI_Expiration=1,IF($A353&lt;VLOOKUP(K$5,NFI,5,0),1,0)*Data_NFI_t[[#This Row],[Sanitary Kit]],0)</f>
        <v>0</v>
      </c>
      <c r="W353" s="124">
        <f>IF(NFI_Expiration=1,IF($A353&lt;VLOOKUP(L$5,NFI,5,0),1,0)*Data_NFI_t[[#This Row],[Mosquito net]],0)</f>
        <v>0</v>
      </c>
      <c r="X353" s="124">
        <f>IF(NFI_Expiration=1,IF($A353&lt;VLOOKUP(M$5,NFI,5,0),1,0)*Data_NFI_t[[#This Row],[Tarpaulin]],0)</f>
        <v>0</v>
      </c>
      <c r="Y353" s="124">
        <f>IF(NFI_Expiration=1,IF($A353&lt;VLOOKUP(N$5,NFI,5,0),1,0)*Data_NFI_t[[#This Row],[Blanket]],0)</f>
        <v>0</v>
      </c>
      <c r="Z353" s="124">
        <f>IF(NFI_Expiration=1,IF($A353&lt;VLOOKUP(O$5,NFI,5,0),1,0)*Data_NFI_t[[#This Row],[Kitchen Set]],0)</f>
        <v>0</v>
      </c>
      <c r="AA353" s="124">
        <f>IF(NFI_Expiration=1,IF($A353&lt;VLOOKUP(P$5,NFI,5,0),1,0)*Data_NFI_t[[#This Row],[Complementary Kit]],0)</f>
        <v>0</v>
      </c>
      <c r="AB353" s="124">
        <f>IF(NFI_Expiration=1,IF($A353&lt;VLOOKUP(Q$5,NFI,5,0),1,0)*Data_NFI_t[[#This Row],[Plastic Bucket]],0)</f>
        <v>0</v>
      </c>
      <c r="AC353" s="124">
        <f>IF(NFI_Expiration=1,IF($A353&lt;VLOOKUP(R$5,NFI,5,0),1,0)*Data_NFI_t[[#This Row],[Jerry Can]],0)</f>
        <v>0</v>
      </c>
      <c r="AD353" s="143">
        <f>IF(NFI_Expiration=1,IF($A353&lt;VLOOKUP(S$5,NFI,5,0),1,0)*Data_NFI_t[[#This Row],[Plastic Mat]],0)*IF(Data_NFI_t[[#This Row],[Distribution Date]]&gt;"01-06-2015",1,2.5)</f>
        <v>0</v>
      </c>
      <c r="AE353" s="143" t="str">
        <f ca="1">IFERROR(OFFSET(Camp_List[P_Code],MATCH(Data_NFI_t[[#This Row],[Camp Name]],Camp_List[Camp Name],0)-1,0,1,1),"")</f>
        <v>MMR012CMP048</v>
      </c>
      <c r="AF353" s="572" t="str">
        <f ca="1">IFERROR(OFFSET(Camp_List[Status],MATCH(Data_NFI_t[[#This Row],[Camp Name]],Camp_List[Camp Name],0)-1,0,1,1),"")</f>
        <v>Open</v>
      </c>
    </row>
    <row r="354" spans="1:32" s="100" customFormat="1" ht="15" customHeight="1">
      <c r="A354" s="254">
        <f t="shared" si="5"/>
        <v>47.333333333333336</v>
      </c>
      <c r="B354" s="254">
        <f>YEAR(Data_NFI_t[[#This Row],[Distribution Date]])</f>
        <v>2012</v>
      </c>
      <c r="C354" s="585">
        <v>41102</v>
      </c>
      <c r="D354" s="547" t="s">
        <v>287</v>
      </c>
      <c r="E354" s="546"/>
      <c r="F354" s="547" t="s">
        <v>7</v>
      </c>
      <c r="G354" s="31" t="s">
        <v>19</v>
      </c>
      <c r="H354" s="31" t="s">
        <v>275</v>
      </c>
      <c r="I354" s="31"/>
      <c r="J354" s="60"/>
      <c r="K354" s="60"/>
      <c r="L354" s="60"/>
      <c r="M354" s="60">
        <v>4</v>
      </c>
      <c r="N354" s="60"/>
      <c r="O354" s="60"/>
      <c r="P354" s="60"/>
      <c r="Q354" s="60"/>
      <c r="R354" s="570"/>
      <c r="S354" s="60"/>
      <c r="T354" s="143">
        <f>IF(NFI_Expiration=1,IF($A354&lt;VLOOKUP(I$5,NFI,5,0),1,0)*Data_NFI_t[[#This Row],[Hygiene Kit]],0)</f>
        <v>0</v>
      </c>
      <c r="U354" s="143">
        <f>IF(NFI_Expiration=1,IF($A354&lt;VLOOKUP(J$5,NFI,5,0),1,0)*Data_NFI_t[[#This Row],[NFI Core Kit]],0)</f>
        <v>0</v>
      </c>
      <c r="V354" s="124">
        <f>IF(NFI_Expiration=1,IF($A354&lt;VLOOKUP(K$5,NFI,5,0),1,0)*Data_NFI_t[[#This Row],[Sanitary Kit]],0)</f>
        <v>0</v>
      </c>
      <c r="W354" s="124">
        <f>IF(NFI_Expiration=1,IF($A354&lt;VLOOKUP(L$5,NFI,5,0),1,0)*Data_NFI_t[[#This Row],[Mosquito net]],0)</f>
        <v>0</v>
      </c>
      <c r="X354" s="124">
        <f>IF(NFI_Expiration=1,IF($A354&lt;VLOOKUP(M$5,NFI,5,0),1,0)*Data_NFI_t[[#This Row],[Tarpaulin]],0)</f>
        <v>0</v>
      </c>
      <c r="Y354" s="124">
        <f>IF(NFI_Expiration=1,IF($A354&lt;VLOOKUP(N$5,NFI,5,0),1,0)*Data_NFI_t[[#This Row],[Blanket]],0)</f>
        <v>0</v>
      </c>
      <c r="Z354" s="124">
        <f>IF(NFI_Expiration=1,IF($A354&lt;VLOOKUP(O$5,NFI,5,0),1,0)*Data_NFI_t[[#This Row],[Kitchen Set]],0)</f>
        <v>0</v>
      </c>
      <c r="AA354" s="124">
        <f>IF(NFI_Expiration=1,IF($A354&lt;VLOOKUP(P$5,NFI,5,0),1,0)*Data_NFI_t[[#This Row],[Complementary Kit]],0)</f>
        <v>0</v>
      </c>
      <c r="AB354" s="124">
        <f>IF(NFI_Expiration=1,IF($A354&lt;VLOOKUP(Q$5,NFI,5,0),1,0)*Data_NFI_t[[#This Row],[Plastic Bucket]],0)</f>
        <v>0</v>
      </c>
      <c r="AC354" s="124">
        <f>IF(NFI_Expiration=1,IF($A354&lt;VLOOKUP(R$5,NFI,5,0),1,0)*Data_NFI_t[[#This Row],[Jerry Can]],0)</f>
        <v>0</v>
      </c>
      <c r="AD354" s="143">
        <f>IF(NFI_Expiration=1,IF($A354&lt;VLOOKUP(S$5,NFI,5,0),1,0)*Data_NFI_t[[#This Row],[Plastic Mat]],0)*IF(Data_NFI_t[[#This Row],[Distribution Date]]&gt;"01-06-2015",1,2.5)</f>
        <v>0</v>
      </c>
      <c r="AE354" s="143" t="str">
        <f ca="1">IFERROR(OFFSET(Camp_List[P_Code],MATCH(Data_NFI_t[[#This Row],[Camp Name]],Camp_List[Camp Name],0)-1,0,1,1),"")</f>
        <v/>
      </c>
      <c r="AF354" s="572" t="str">
        <f ca="1">IFERROR(OFFSET(Camp_List[Status],MATCH(Data_NFI_t[[#This Row],[Camp Name]],Camp_List[Camp Name],0)-1,0,1,1),"")</f>
        <v/>
      </c>
    </row>
    <row r="355" spans="1:32" s="100" customFormat="1" ht="15" customHeight="1">
      <c r="A355" s="254">
        <f t="shared" si="5"/>
        <v>47.366666666666667</v>
      </c>
      <c r="B355" s="254">
        <f>YEAR(Data_NFI_t[[#This Row],[Distribution Date]])</f>
        <v>2012</v>
      </c>
      <c r="C355" s="585">
        <v>41101</v>
      </c>
      <c r="D355" s="547" t="s">
        <v>287</v>
      </c>
      <c r="E355" s="546"/>
      <c r="F355" s="547" t="s">
        <v>7</v>
      </c>
      <c r="G355" s="31" t="s">
        <v>19</v>
      </c>
      <c r="H355" s="31" t="s">
        <v>274</v>
      </c>
      <c r="I355" s="31"/>
      <c r="J355" s="60"/>
      <c r="K355" s="60"/>
      <c r="L355" s="60"/>
      <c r="M355" s="60">
        <v>492</v>
      </c>
      <c r="N355" s="60"/>
      <c r="O355" s="60"/>
      <c r="P355" s="60"/>
      <c r="Q355" s="60"/>
      <c r="R355" s="570"/>
      <c r="S355" s="60"/>
      <c r="T355" s="143">
        <f>IF(NFI_Expiration=1,IF($A355&lt;VLOOKUP(I$5,NFI,5,0),1,0)*Data_NFI_t[[#This Row],[Hygiene Kit]],0)</f>
        <v>0</v>
      </c>
      <c r="U355" s="143">
        <f>IF(NFI_Expiration=1,IF($A355&lt;VLOOKUP(J$5,NFI,5,0),1,0)*Data_NFI_t[[#This Row],[NFI Core Kit]],0)</f>
        <v>0</v>
      </c>
      <c r="V355" s="124">
        <f>IF(NFI_Expiration=1,IF($A355&lt;VLOOKUP(K$5,NFI,5,0),1,0)*Data_NFI_t[[#This Row],[Sanitary Kit]],0)</f>
        <v>0</v>
      </c>
      <c r="W355" s="124">
        <f>IF(NFI_Expiration=1,IF($A355&lt;VLOOKUP(L$5,NFI,5,0),1,0)*Data_NFI_t[[#This Row],[Mosquito net]],0)</f>
        <v>0</v>
      </c>
      <c r="X355" s="124">
        <f>IF(NFI_Expiration=1,IF($A355&lt;VLOOKUP(M$5,NFI,5,0),1,0)*Data_NFI_t[[#This Row],[Tarpaulin]],0)</f>
        <v>0</v>
      </c>
      <c r="Y355" s="124">
        <f>IF(NFI_Expiration=1,IF($A355&lt;VLOOKUP(N$5,NFI,5,0),1,0)*Data_NFI_t[[#This Row],[Blanket]],0)</f>
        <v>0</v>
      </c>
      <c r="Z355" s="124">
        <f>IF(NFI_Expiration=1,IF($A355&lt;VLOOKUP(O$5,NFI,5,0),1,0)*Data_NFI_t[[#This Row],[Kitchen Set]],0)</f>
        <v>0</v>
      </c>
      <c r="AA355" s="124">
        <f>IF(NFI_Expiration=1,IF($A355&lt;VLOOKUP(P$5,NFI,5,0),1,0)*Data_NFI_t[[#This Row],[Complementary Kit]],0)</f>
        <v>0</v>
      </c>
      <c r="AB355" s="124">
        <f>IF(NFI_Expiration=1,IF($A355&lt;VLOOKUP(Q$5,NFI,5,0),1,0)*Data_NFI_t[[#This Row],[Plastic Bucket]],0)</f>
        <v>0</v>
      </c>
      <c r="AC355" s="124">
        <f>IF(NFI_Expiration=1,IF($A355&lt;VLOOKUP(R$5,NFI,5,0),1,0)*Data_NFI_t[[#This Row],[Jerry Can]],0)</f>
        <v>0</v>
      </c>
      <c r="AD355" s="143">
        <f>IF(NFI_Expiration=1,IF($A355&lt;VLOOKUP(S$5,NFI,5,0),1,0)*Data_NFI_t[[#This Row],[Plastic Mat]],0)*IF(Data_NFI_t[[#This Row],[Distribution Date]]&gt;"01-06-2015",1,2.5)</f>
        <v>0</v>
      </c>
      <c r="AE355" s="143" t="str">
        <f ca="1">IFERROR(OFFSET(Camp_List[P_Code],MATCH(Data_NFI_t[[#This Row],[Camp Name]],Camp_List[Camp Name],0)-1,0,1,1),"")</f>
        <v/>
      </c>
      <c r="AF355" s="572" t="str">
        <f ca="1">IFERROR(OFFSET(Camp_List[Status],MATCH(Data_NFI_t[[#This Row],[Camp Name]],Camp_List[Camp Name],0)-1,0,1,1),"")</f>
        <v/>
      </c>
    </row>
    <row r="356" spans="1:32" s="100" customFormat="1" ht="15" customHeight="1">
      <c r="A356" s="254">
        <f t="shared" si="5"/>
        <v>47.4</v>
      </c>
      <c r="B356" s="254">
        <f>YEAR(Data_NFI_t[[#This Row],[Distribution Date]])</f>
        <v>2012</v>
      </c>
      <c r="C356" s="585">
        <v>41100</v>
      </c>
      <c r="D356" s="547" t="s">
        <v>287</v>
      </c>
      <c r="E356" s="546"/>
      <c r="F356" s="547" t="s">
        <v>7</v>
      </c>
      <c r="G356" s="31" t="s">
        <v>19</v>
      </c>
      <c r="H356" s="31" t="s">
        <v>269</v>
      </c>
      <c r="I356" s="31"/>
      <c r="J356" s="60"/>
      <c r="K356" s="60"/>
      <c r="L356" s="60"/>
      <c r="M356" s="60">
        <v>32</v>
      </c>
      <c r="N356" s="60"/>
      <c r="O356" s="60"/>
      <c r="P356" s="60"/>
      <c r="Q356" s="60"/>
      <c r="R356" s="570"/>
      <c r="S356" s="60"/>
      <c r="T356" s="143">
        <f>IF(NFI_Expiration=1,IF($A356&lt;VLOOKUP(I$5,NFI,5,0),1,0)*Data_NFI_t[[#This Row],[Hygiene Kit]],0)</f>
        <v>0</v>
      </c>
      <c r="U356" s="143">
        <f>IF(NFI_Expiration=1,IF($A356&lt;VLOOKUP(J$5,NFI,5,0),1,0)*Data_NFI_t[[#This Row],[NFI Core Kit]],0)</f>
        <v>0</v>
      </c>
      <c r="V356" s="124">
        <f>IF(NFI_Expiration=1,IF($A356&lt;VLOOKUP(K$5,NFI,5,0),1,0)*Data_NFI_t[[#This Row],[Sanitary Kit]],0)</f>
        <v>0</v>
      </c>
      <c r="W356" s="124">
        <f>IF(NFI_Expiration=1,IF($A356&lt;VLOOKUP(L$5,NFI,5,0),1,0)*Data_NFI_t[[#This Row],[Mosquito net]],0)</f>
        <v>0</v>
      </c>
      <c r="X356" s="124">
        <f>IF(NFI_Expiration=1,IF($A356&lt;VLOOKUP(M$5,NFI,5,0),1,0)*Data_NFI_t[[#This Row],[Tarpaulin]],0)</f>
        <v>0</v>
      </c>
      <c r="Y356" s="124">
        <f>IF(NFI_Expiration=1,IF($A356&lt;VLOOKUP(N$5,NFI,5,0),1,0)*Data_NFI_t[[#This Row],[Blanket]],0)</f>
        <v>0</v>
      </c>
      <c r="Z356" s="124">
        <f>IF(NFI_Expiration=1,IF($A356&lt;VLOOKUP(O$5,NFI,5,0),1,0)*Data_NFI_t[[#This Row],[Kitchen Set]],0)</f>
        <v>0</v>
      </c>
      <c r="AA356" s="124">
        <f>IF(NFI_Expiration=1,IF($A356&lt;VLOOKUP(P$5,NFI,5,0),1,0)*Data_NFI_t[[#This Row],[Complementary Kit]],0)</f>
        <v>0</v>
      </c>
      <c r="AB356" s="124">
        <f>IF(NFI_Expiration=1,IF($A356&lt;VLOOKUP(Q$5,NFI,5,0),1,0)*Data_NFI_t[[#This Row],[Plastic Bucket]],0)</f>
        <v>0</v>
      </c>
      <c r="AC356" s="124">
        <f>IF(NFI_Expiration=1,IF($A356&lt;VLOOKUP(R$5,NFI,5,0),1,0)*Data_NFI_t[[#This Row],[Jerry Can]],0)</f>
        <v>0</v>
      </c>
      <c r="AD356" s="143">
        <f>IF(NFI_Expiration=1,IF($A356&lt;VLOOKUP(S$5,NFI,5,0),1,0)*Data_NFI_t[[#This Row],[Plastic Mat]],0)*IF(Data_NFI_t[[#This Row],[Distribution Date]]&gt;"01-06-2015",1,2.5)</f>
        <v>0</v>
      </c>
      <c r="AE356" s="143" t="str">
        <f ca="1">IFERROR(OFFSET(Camp_List[P_Code],MATCH(Data_NFI_t[[#This Row],[Camp Name]],Camp_List[Camp Name],0)-1,0,1,1),"")</f>
        <v/>
      </c>
      <c r="AF356" s="572" t="str">
        <f ca="1">IFERROR(OFFSET(Camp_List[Status],MATCH(Data_NFI_t[[#This Row],[Camp Name]],Camp_List[Camp Name],0)-1,0,1,1),"")</f>
        <v/>
      </c>
    </row>
    <row r="357" spans="1:32" s="100" customFormat="1" ht="15" customHeight="1">
      <c r="A357" s="254">
        <f t="shared" si="5"/>
        <v>47.4</v>
      </c>
      <c r="B357" s="254">
        <f>YEAR(Data_NFI_t[[#This Row],[Distribution Date]])</f>
        <v>2012</v>
      </c>
      <c r="C357" s="585">
        <v>41100</v>
      </c>
      <c r="D357" s="547" t="s">
        <v>287</v>
      </c>
      <c r="E357" s="546"/>
      <c r="F357" s="547" t="s">
        <v>7</v>
      </c>
      <c r="G357" s="31" t="s">
        <v>19</v>
      </c>
      <c r="H357" s="31" t="s">
        <v>272</v>
      </c>
      <c r="I357" s="31"/>
      <c r="J357" s="60"/>
      <c r="K357" s="60"/>
      <c r="L357" s="60"/>
      <c r="M357" s="60">
        <v>5</v>
      </c>
      <c r="N357" s="60"/>
      <c r="O357" s="60"/>
      <c r="P357" s="60"/>
      <c r="Q357" s="60"/>
      <c r="R357" s="570"/>
      <c r="S357" s="60"/>
      <c r="T357" s="143">
        <f>IF(NFI_Expiration=1,IF($A357&lt;VLOOKUP(I$5,NFI,5,0),1,0)*Data_NFI_t[[#This Row],[Hygiene Kit]],0)</f>
        <v>0</v>
      </c>
      <c r="U357" s="143">
        <f>IF(NFI_Expiration=1,IF($A357&lt;VLOOKUP(J$5,NFI,5,0),1,0)*Data_NFI_t[[#This Row],[NFI Core Kit]],0)</f>
        <v>0</v>
      </c>
      <c r="V357" s="124">
        <f>IF(NFI_Expiration=1,IF($A357&lt;VLOOKUP(K$5,NFI,5,0),1,0)*Data_NFI_t[[#This Row],[Sanitary Kit]],0)</f>
        <v>0</v>
      </c>
      <c r="W357" s="124">
        <f>IF(NFI_Expiration=1,IF($A357&lt;VLOOKUP(L$5,NFI,5,0),1,0)*Data_NFI_t[[#This Row],[Mosquito net]],0)</f>
        <v>0</v>
      </c>
      <c r="X357" s="124">
        <f>IF(NFI_Expiration=1,IF($A357&lt;VLOOKUP(M$5,NFI,5,0),1,0)*Data_NFI_t[[#This Row],[Tarpaulin]],0)</f>
        <v>0</v>
      </c>
      <c r="Y357" s="124">
        <f>IF(NFI_Expiration=1,IF($A357&lt;VLOOKUP(N$5,NFI,5,0),1,0)*Data_NFI_t[[#This Row],[Blanket]],0)</f>
        <v>0</v>
      </c>
      <c r="Z357" s="124">
        <f>IF(NFI_Expiration=1,IF($A357&lt;VLOOKUP(O$5,NFI,5,0),1,0)*Data_NFI_t[[#This Row],[Kitchen Set]],0)</f>
        <v>0</v>
      </c>
      <c r="AA357" s="124">
        <f>IF(NFI_Expiration=1,IF($A357&lt;VLOOKUP(P$5,NFI,5,0),1,0)*Data_NFI_t[[#This Row],[Complementary Kit]],0)</f>
        <v>0</v>
      </c>
      <c r="AB357" s="124">
        <f>IF(NFI_Expiration=1,IF($A357&lt;VLOOKUP(Q$5,NFI,5,0),1,0)*Data_NFI_t[[#This Row],[Plastic Bucket]],0)</f>
        <v>0</v>
      </c>
      <c r="AC357" s="124">
        <f>IF(NFI_Expiration=1,IF($A357&lt;VLOOKUP(R$5,NFI,5,0),1,0)*Data_NFI_t[[#This Row],[Jerry Can]],0)</f>
        <v>0</v>
      </c>
      <c r="AD357" s="143">
        <f>IF(NFI_Expiration=1,IF($A357&lt;VLOOKUP(S$5,NFI,5,0),1,0)*Data_NFI_t[[#This Row],[Plastic Mat]],0)*IF(Data_NFI_t[[#This Row],[Distribution Date]]&gt;"01-06-2015",1,2.5)</f>
        <v>0</v>
      </c>
      <c r="AE357" s="143" t="str">
        <f ca="1">IFERROR(OFFSET(Camp_List[P_Code],MATCH(Data_NFI_t[[#This Row],[Camp Name]],Camp_List[Camp Name],0)-1,0,1,1),"")</f>
        <v/>
      </c>
      <c r="AF357" s="572" t="str">
        <f ca="1">IFERROR(OFFSET(Camp_List[Status],MATCH(Data_NFI_t[[#This Row],[Camp Name]],Camp_List[Camp Name],0)-1,0,1,1),"")</f>
        <v/>
      </c>
    </row>
    <row r="358" spans="1:32" s="100" customFormat="1" ht="15" customHeight="1">
      <c r="A358" s="254">
        <f t="shared" si="5"/>
        <v>47.4</v>
      </c>
      <c r="B358" s="254">
        <f>YEAR(Data_NFI_t[[#This Row],[Distribution Date]])</f>
        <v>2012</v>
      </c>
      <c r="C358" s="585">
        <v>41100</v>
      </c>
      <c r="D358" s="547" t="s">
        <v>287</v>
      </c>
      <c r="E358" s="546"/>
      <c r="F358" s="547" t="s">
        <v>7</v>
      </c>
      <c r="G358" s="31" t="s">
        <v>19</v>
      </c>
      <c r="H358" s="31" t="s">
        <v>271</v>
      </c>
      <c r="I358" s="31"/>
      <c r="J358" s="60"/>
      <c r="K358" s="60"/>
      <c r="L358" s="60"/>
      <c r="M358" s="60">
        <v>16</v>
      </c>
      <c r="N358" s="60"/>
      <c r="O358" s="60"/>
      <c r="P358" s="60"/>
      <c r="Q358" s="60"/>
      <c r="R358" s="570"/>
      <c r="S358" s="60"/>
      <c r="T358" s="143">
        <f>IF(NFI_Expiration=1,IF($A358&lt;VLOOKUP(I$5,NFI,5,0),1,0)*Data_NFI_t[[#This Row],[Hygiene Kit]],0)</f>
        <v>0</v>
      </c>
      <c r="U358" s="143">
        <f>IF(NFI_Expiration=1,IF($A358&lt;VLOOKUP(J$5,NFI,5,0),1,0)*Data_NFI_t[[#This Row],[NFI Core Kit]],0)</f>
        <v>0</v>
      </c>
      <c r="V358" s="124">
        <f>IF(NFI_Expiration=1,IF($A358&lt;VLOOKUP(K$5,NFI,5,0),1,0)*Data_NFI_t[[#This Row],[Sanitary Kit]],0)</f>
        <v>0</v>
      </c>
      <c r="W358" s="124">
        <f>IF(NFI_Expiration=1,IF($A358&lt;VLOOKUP(L$5,NFI,5,0),1,0)*Data_NFI_t[[#This Row],[Mosquito net]],0)</f>
        <v>0</v>
      </c>
      <c r="X358" s="124">
        <f>IF(NFI_Expiration=1,IF($A358&lt;VLOOKUP(M$5,NFI,5,0),1,0)*Data_NFI_t[[#This Row],[Tarpaulin]],0)</f>
        <v>0</v>
      </c>
      <c r="Y358" s="124">
        <f>IF(NFI_Expiration=1,IF($A358&lt;VLOOKUP(N$5,NFI,5,0),1,0)*Data_NFI_t[[#This Row],[Blanket]],0)</f>
        <v>0</v>
      </c>
      <c r="Z358" s="124">
        <f>IF(NFI_Expiration=1,IF($A358&lt;VLOOKUP(O$5,NFI,5,0),1,0)*Data_NFI_t[[#This Row],[Kitchen Set]],0)</f>
        <v>0</v>
      </c>
      <c r="AA358" s="124">
        <f>IF(NFI_Expiration=1,IF($A358&lt;VLOOKUP(P$5,NFI,5,0),1,0)*Data_NFI_t[[#This Row],[Complementary Kit]],0)</f>
        <v>0</v>
      </c>
      <c r="AB358" s="124">
        <f>IF(NFI_Expiration=1,IF($A358&lt;VLOOKUP(Q$5,NFI,5,0),1,0)*Data_NFI_t[[#This Row],[Plastic Bucket]],0)</f>
        <v>0</v>
      </c>
      <c r="AC358" s="124">
        <f>IF(NFI_Expiration=1,IF($A358&lt;VLOOKUP(R$5,NFI,5,0),1,0)*Data_NFI_t[[#This Row],[Jerry Can]],0)</f>
        <v>0</v>
      </c>
      <c r="AD358" s="143">
        <f>IF(NFI_Expiration=1,IF($A358&lt;VLOOKUP(S$5,NFI,5,0),1,0)*Data_NFI_t[[#This Row],[Plastic Mat]],0)*IF(Data_NFI_t[[#This Row],[Distribution Date]]&gt;"01-06-2015",1,2.5)</f>
        <v>0</v>
      </c>
      <c r="AE358" s="143" t="str">
        <f ca="1">IFERROR(OFFSET(Camp_List[P_Code],MATCH(Data_NFI_t[[#This Row],[Camp Name]],Camp_List[Camp Name],0)-1,0,1,1),"")</f>
        <v/>
      </c>
      <c r="AF358" s="572" t="str">
        <f ca="1">IFERROR(OFFSET(Camp_List[Status],MATCH(Data_NFI_t[[#This Row],[Camp Name]],Camp_List[Camp Name],0)-1,0,1,1),"")</f>
        <v/>
      </c>
    </row>
    <row r="359" spans="1:32" s="100" customFormat="1" ht="15" customHeight="1">
      <c r="A359" s="254">
        <f t="shared" si="5"/>
        <v>47.4</v>
      </c>
      <c r="B359" s="254">
        <f>YEAR(Data_NFI_t[[#This Row],[Distribution Date]])</f>
        <v>2012</v>
      </c>
      <c r="C359" s="585">
        <v>41100</v>
      </c>
      <c r="D359" s="547" t="s">
        <v>287</v>
      </c>
      <c r="E359" s="546"/>
      <c r="F359" s="547" t="s">
        <v>7</v>
      </c>
      <c r="G359" s="31" t="s">
        <v>19</v>
      </c>
      <c r="H359" s="31" t="s">
        <v>270</v>
      </c>
      <c r="I359" s="31"/>
      <c r="J359" s="60"/>
      <c r="K359" s="60"/>
      <c r="L359" s="60"/>
      <c r="M359" s="60">
        <v>11</v>
      </c>
      <c r="N359" s="60"/>
      <c r="O359" s="60"/>
      <c r="P359" s="60"/>
      <c r="Q359" s="60"/>
      <c r="R359" s="570"/>
      <c r="S359" s="60"/>
      <c r="T359" s="143">
        <f>IF(NFI_Expiration=1,IF($A359&lt;VLOOKUP(I$5,NFI,5,0),1,0)*Data_NFI_t[[#This Row],[Hygiene Kit]],0)</f>
        <v>0</v>
      </c>
      <c r="U359" s="143">
        <f>IF(NFI_Expiration=1,IF($A359&lt;VLOOKUP(J$5,NFI,5,0),1,0)*Data_NFI_t[[#This Row],[NFI Core Kit]],0)</f>
        <v>0</v>
      </c>
      <c r="V359" s="124">
        <f>IF(NFI_Expiration=1,IF($A359&lt;VLOOKUP(K$5,NFI,5,0),1,0)*Data_NFI_t[[#This Row],[Sanitary Kit]],0)</f>
        <v>0</v>
      </c>
      <c r="W359" s="124">
        <f>IF(NFI_Expiration=1,IF($A359&lt;VLOOKUP(L$5,NFI,5,0),1,0)*Data_NFI_t[[#This Row],[Mosquito net]],0)</f>
        <v>0</v>
      </c>
      <c r="X359" s="124">
        <f>IF(NFI_Expiration=1,IF($A359&lt;VLOOKUP(M$5,NFI,5,0),1,0)*Data_NFI_t[[#This Row],[Tarpaulin]],0)</f>
        <v>0</v>
      </c>
      <c r="Y359" s="124">
        <f>IF(NFI_Expiration=1,IF($A359&lt;VLOOKUP(N$5,NFI,5,0),1,0)*Data_NFI_t[[#This Row],[Blanket]],0)</f>
        <v>0</v>
      </c>
      <c r="Z359" s="124">
        <f>IF(NFI_Expiration=1,IF($A359&lt;VLOOKUP(O$5,NFI,5,0),1,0)*Data_NFI_t[[#This Row],[Kitchen Set]],0)</f>
        <v>0</v>
      </c>
      <c r="AA359" s="124">
        <f>IF(NFI_Expiration=1,IF($A359&lt;VLOOKUP(P$5,NFI,5,0),1,0)*Data_NFI_t[[#This Row],[Complementary Kit]],0)</f>
        <v>0</v>
      </c>
      <c r="AB359" s="124">
        <f>IF(NFI_Expiration=1,IF($A359&lt;VLOOKUP(Q$5,NFI,5,0),1,0)*Data_NFI_t[[#This Row],[Plastic Bucket]],0)</f>
        <v>0</v>
      </c>
      <c r="AC359" s="124">
        <f>IF(NFI_Expiration=1,IF($A359&lt;VLOOKUP(R$5,NFI,5,0),1,0)*Data_NFI_t[[#This Row],[Jerry Can]],0)</f>
        <v>0</v>
      </c>
      <c r="AD359" s="143">
        <f>IF(NFI_Expiration=1,IF($A359&lt;VLOOKUP(S$5,NFI,5,0),1,0)*Data_NFI_t[[#This Row],[Plastic Mat]],0)*IF(Data_NFI_t[[#This Row],[Distribution Date]]&gt;"01-06-2015",1,2.5)</f>
        <v>0</v>
      </c>
      <c r="AE359" s="143" t="str">
        <f ca="1">IFERROR(OFFSET(Camp_List[P_Code],MATCH(Data_NFI_t[[#This Row],[Camp Name]],Camp_List[Camp Name],0)-1,0,1,1),"")</f>
        <v/>
      </c>
      <c r="AF359" s="572" t="str">
        <f ca="1">IFERROR(OFFSET(Camp_List[Status],MATCH(Data_NFI_t[[#This Row],[Camp Name]],Camp_List[Camp Name],0)-1,0,1,1),"")</f>
        <v/>
      </c>
    </row>
    <row r="360" spans="1:32" s="100" customFormat="1" ht="15" customHeight="1">
      <c r="A360" s="254">
        <f t="shared" si="5"/>
        <v>47.4</v>
      </c>
      <c r="B360" s="254">
        <f>YEAR(Data_NFI_t[[#This Row],[Distribution Date]])</f>
        <v>2012</v>
      </c>
      <c r="C360" s="585">
        <v>41100</v>
      </c>
      <c r="D360" s="547" t="s">
        <v>287</v>
      </c>
      <c r="E360" s="546"/>
      <c r="F360" s="547" t="s">
        <v>7</v>
      </c>
      <c r="G360" s="31" t="s">
        <v>19</v>
      </c>
      <c r="H360" s="31" t="s">
        <v>97</v>
      </c>
      <c r="I360" s="31"/>
      <c r="J360" s="60"/>
      <c r="K360" s="60"/>
      <c r="L360" s="60"/>
      <c r="M360" s="60">
        <v>20</v>
      </c>
      <c r="N360" s="60"/>
      <c r="O360" s="60"/>
      <c r="P360" s="60"/>
      <c r="Q360" s="60"/>
      <c r="R360" s="570"/>
      <c r="S360" s="60"/>
      <c r="T360" s="143">
        <f>IF(NFI_Expiration=1,IF($A360&lt;VLOOKUP(I$5,NFI,5,0),1,0)*Data_NFI_t[[#This Row],[Hygiene Kit]],0)</f>
        <v>0</v>
      </c>
      <c r="U360" s="143">
        <f>IF(NFI_Expiration=1,IF($A360&lt;VLOOKUP(J$5,NFI,5,0),1,0)*Data_NFI_t[[#This Row],[NFI Core Kit]],0)</f>
        <v>0</v>
      </c>
      <c r="V360" s="124">
        <f>IF(NFI_Expiration=1,IF($A360&lt;VLOOKUP(K$5,NFI,5,0),1,0)*Data_NFI_t[[#This Row],[Sanitary Kit]],0)</f>
        <v>0</v>
      </c>
      <c r="W360" s="124">
        <f>IF(NFI_Expiration=1,IF($A360&lt;VLOOKUP(L$5,NFI,5,0),1,0)*Data_NFI_t[[#This Row],[Mosquito net]],0)</f>
        <v>0</v>
      </c>
      <c r="X360" s="124">
        <f>IF(NFI_Expiration=1,IF($A360&lt;VLOOKUP(M$5,NFI,5,0),1,0)*Data_NFI_t[[#This Row],[Tarpaulin]],0)</f>
        <v>0</v>
      </c>
      <c r="Y360" s="124">
        <f>IF(NFI_Expiration=1,IF($A360&lt;VLOOKUP(N$5,NFI,5,0),1,0)*Data_NFI_t[[#This Row],[Blanket]],0)</f>
        <v>0</v>
      </c>
      <c r="Z360" s="124">
        <f>IF(NFI_Expiration=1,IF($A360&lt;VLOOKUP(O$5,NFI,5,0),1,0)*Data_NFI_t[[#This Row],[Kitchen Set]],0)</f>
        <v>0</v>
      </c>
      <c r="AA360" s="124">
        <f>IF(NFI_Expiration=1,IF($A360&lt;VLOOKUP(P$5,NFI,5,0),1,0)*Data_NFI_t[[#This Row],[Complementary Kit]],0)</f>
        <v>0</v>
      </c>
      <c r="AB360" s="124">
        <f>IF(NFI_Expiration=1,IF($A360&lt;VLOOKUP(Q$5,NFI,5,0),1,0)*Data_NFI_t[[#This Row],[Plastic Bucket]],0)</f>
        <v>0</v>
      </c>
      <c r="AC360" s="124">
        <f>IF(NFI_Expiration=1,IF($A360&lt;VLOOKUP(R$5,NFI,5,0),1,0)*Data_NFI_t[[#This Row],[Jerry Can]],0)</f>
        <v>0</v>
      </c>
      <c r="AD360" s="143">
        <f>IF(NFI_Expiration=1,IF($A360&lt;VLOOKUP(S$5,NFI,5,0),1,0)*Data_NFI_t[[#This Row],[Plastic Mat]],0)*IF(Data_NFI_t[[#This Row],[Distribution Date]]&gt;"01-06-2015",1,2.5)</f>
        <v>0</v>
      </c>
      <c r="AE360" s="143" t="str">
        <f ca="1">IFERROR(OFFSET(Camp_List[P_Code],MATCH(Data_NFI_t[[#This Row],[Camp Name]],Camp_List[Camp Name],0)-1,0,1,1),"")</f>
        <v>MMR012CMP075</v>
      </c>
      <c r="AF360" s="572" t="str">
        <f ca="1">IFERROR(OFFSET(Camp_List[Status],MATCH(Data_NFI_t[[#This Row],[Camp Name]],Camp_List[Camp Name],0)-1,0,1,1),"")</f>
        <v>Close</v>
      </c>
    </row>
    <row r="361" spans="1:32" s="100" customFormat="1" ht="15" customHeight="1">
      <c r="A361" s="254">
        <f t="shared" si="5"/>
        <v>47.4</v>
      </c>
      <c r="B361" s="254">
        <f>YEAR(Data_NFI_t[[#This Row],[Distribution Date]])</f>
        <v>2012</v>
      </c>
      <c r="C361" s="585">
        <v>41100</v>
      </c>
      <c r="D361" s="547" t="s">
        <v>287</v>
      </c>
      <c r="E361" s="546"/>
      <c r="F361" s="547" t="s">
        <v>7</v>
      </c>
      <c r="G361" s="31" t="s">
        <v>19</v>
      </c>
      <c r="H361" s="31" t="s">
        <v>273</v>
      </c>
      <c r="I361" s="31"/>
      <c r="J361" s="60"/>
      <c r="K361" s="60"/>
      <c r="L361" s="60"/>
      <c r="M361" s="60">
        <v>2</v>
      </c>
      <c r="N361" s="60"/>
      <c r="O361" s="60"/>
      <c r="P361" s="60"/>
      <c r="Q361" s="60"/>
      <c r="R361" s="570"/>
      <c r="S361" s="60"/>
      <c r="T361" s="143">
        <f>IF(NFI_Expiration=1,IF($A361&lt;VLOOKUP(I$5,NFI,5,0),1,0)*Data_NFI_t[[#This Row],[Hygiene Kit]],0)</f>
        <v>0</v>
      </c>
      <c r="U361" s="143">
        <f>IF(NFI_Expiration=1,IF($A361&lt;VLOOKUP(J$5,NFI,5,0),1,0)*Data_NFI_t[[#This Row],[NFI Core Kit]],0)</f>
        <v>0</v>
      </c>
      <c r="V361" s="124">
        <f>IF(NFI_Expiration=1,IF($A361&lt;VLOOKUP(K$5,NFI,5,0),1,0)*Data_NFI_t[[#This Row],[Sanitary Kit]],0)</f>
        <v>0</v>
      </c>
      <c r="W361" s="124">
        <f>IF(NFI_Expiration=1,IF($A361&lt;VLOOKUP(L$5,NFI,5,0),1,0)*Data_NFI_t[[#This Row],[Mosquito net]],0)</f>
        <v>0</v>
      </c>
      <c r="X361" s="124">
        <f>IF(NFI_Expiration=1,IF($A361&lt;VLOOKUP(M$5,NFI,5,0),1,0)*Data_NFI_t[[#This Row],[Tarpaulin]],0)</f>
        <v>0</v>
      </c>
      <c r="Y361" s="124">
        <f>IF(NFI_Expiration=1,IF($A361&lt;VLOOKUP(N$5,NFI,5,0),1,0)*Data_NFI_t[[#This Row],[Blanket]],0)</f>
        <v>0</v>
      </c>
      <c r="Z361" s="124">
        <f>IF(NFI_Expiration=1,IF($A361&lt;VLOOKUP(O$5,NFI,5,0),1,0)*Data_NFI_t[[#This Row],[Kitchen Set]],0)</f>
        <v>0</v>
      </c>
      <c r="AA361" s="124">
        <f>IF(NFI_Expiration=1,IF($A361&lt;VLOOKUP(P$5,NFI,5,0),1,0)*Data_NFI_t[[#This Row],[Complementary Kit]],0)</f>
        <v>0</v>
      </c>
      <c r="AB361" s="124">
        <f>IF(NFI_Expiration=1,IF($A361&lt;VLOOKUP(Q$5,NFI,5,0),1,0)*Data_NFI_t[[#This Row],[Plastic Bucket]],0)</f>
        <v>0</v>
      </c>
      <c r="AC361" s="124">
        <f>IF(NFI_Expiration=1,IF($A361&lt;VLOOKUP(R$5,NFI,5,0),1,0)*Data_NFI_t[[#This Row],[Jerry Can]],0)</f>
        <v>0</v>
      </c>
      <c r="AD361" s="143">
        <f>IF(NFI_Expiration=1,IF($A361&lt;VLOOKUP(S$5,NFI,5,0),1,0)*Data_NFI_t[[#This Row],[Plastic Mat]],0)*IF(Data_NFI_t[[#This Row],[Distribution Date]]&gt;"01-06-2015",1,2.5)</f>
        <v>0</v>
      </c>
      <c r="AE361" s="143" t="str">
        <f ca="1">IFERROR(OFFSET(Camp_List[P_Code],MATCH(Data_NFI_t[[#This Row],[Camp Name]],Camp_List[Camp Name],0)-1,0,1,1),"")</f>
        <v/>
      </c>
      <c r="AF361" s="572" t="str">
        <f ca="1">IFERROR(OFFSET(Camp_List[Status],MATCH(Data_NFI_t[[#This Row],[Camp Name]],Camp_List[Camp Name],0)-1,0,1,1),"")</f>
        <v/>
      </c>
    </row>
    <row r="362" spans="1:32" s="100" customFormat="1" ht="15" customHeight="1">
      <c r="A362" s="254">
        <f t="shared" si="5"/>
        <v>47.43333333333333</v>
      </c>
      <c r="B362" s="254">
        <f>YEAR(Data_NFI_t[[#This Row],[Distribution Date]])</f>
        <v>2012</v>
      </c>
      <c r="C362" s="585">
        <v>41099</v>
      </c>
      <c r="D362" s="547" t="s">
        <v>287</v>
      </c>
      <c r="E362" s="546"/>
      <c r="F362" s="547" t="s">
        <v>7</v>
      </c>
      <c r="G362" s="31" t="s">
        <v>19</v>
      </c>
      <c r="H362" s="31" t="s">
        <v>268</v>
      </c>
      <c r="I362" s="31"/>
      <c r="J362" s="60"/>
      <c r="K362" s="60"/>
      <c r="L362" s="60"/>
      <c r="M362" s="60">
        <v>5</v>
      </c>
      <c r="N362" s="60"/>
      <c r="O362" s="60"/>
      <c r="P362" s="60"/>
      <c r="Q362" s="60"/>
      <c r="R362" s="570"/>
      <c r="S362" s="60"/>
      <c r="T362" s="143">
        <f>IF(NFI_Expiration=1,IF($A362&lt;VLOOKUP(I$5,NFI,5,0),1,0)*Data_NFI_t[[#This Row],[Hygiene Kit]],0)</f>
        <v>0</v>
      </c>
      <c r="U362" s="143">
        <f>IF(NFI_Expiration=1,IF($A362&lt;VLOOKUP(J$5,NFI,5,0),1,0)*Data_NFI_t[[#This Row],[NFI Core Kit]],0)</f>
        <v>0</v>
      </c>
      <c r="V362" s="124">
        <f>IF(NFI_Expiration=1,IF($A362&lt;VLOOKUP(K$5,NFI,5,0),1,0)*Data_NFI_t[[#This Row],[Sanitary Kit]],0)</f>
        <v>0</v>
      </c>
      <c r="W362" s="124">
        <f>IF(NFI_Expiration=1,IF($A362&lt;VLOOKUP(L$5,NFI,5,0),1,0)*Data_NFI_t[[#This Row],[Mosquito net]],0)</f>
        <v>0</v>
      </c>
      <c r="X362" s="124">
        <f>IF(NFI_Expiration=1,IF($A362&lt;VLOOKUP(M$5,NFI,5,0),1,0)*Data_NFI_t[[#This Row],[Tarpaulin]],0)</f>
        <v>0</v>
      </c>
      <c r="Y362" s="124">
        <f>IF(NFI_Expiration=1,IF($A362&lt;VLOOKUP(N$5,NFI,5,0),1,0)*Data_NFI_t[[#This Row],[Blanket]],0)</f>
        <v>0</v>
      </c>
      <c r="Z362" s="124">
        <f>IF(NFI_Expiration=1,IF($A362&lt;VLOOKUP(O$5,NFI,5,0),1,0)*Data_NFI_t[[#This Row],[Kitchen Set]],0)</f>
        <v>0</v>
      </c>
      <c r="AA362" s="124">
        <f>IF(NFI_Expiration=1,IF($A362&lt;VLOOKUP(P$5,NFI,5,0),1,0)*Data_NFI_t[[#This Row],[Complementary Kit]],0)</f>
        <v>0</v>
      </c>
      <c r="AB362" s="124">
        <f>IF(NFI_Expiration=1,IF($A362&lt;VLOOKUP(Q$5,NFI,5,0),1,0)*Data_NFI_t[[#This Row],[Plastic Bucket]],0)</f>
        <v>0</v>
      </c>
      <c r="AC362" s="124">
        <f>IF(NFI_Expiration=1,IF($A362&lt;VLOOKUP(R$5,NFI,5,0),1,0)*Data_NFI_t[[#This Row],[Jerry Can]],0)</f>
        <v>0</v>
      </c>
      <c r="AD362" s="143">
        <f>IF(NFI_Expiration=1,IF($A362&lt;VLOOKUP(S$5,NFI,5,0),1,0)*Data_NFI_t[[#This Row],[Plastic Mat]],0)*IF(Data_NFI_t[[#This Row],[Distribution Date]]&gt;"01-06-2015",1,2.5)</f>
        <v>0</v>
      </c>
      <c r="AE362" s="143" t="str">
        <f ca="1">IFERROR(OFFSET(Camp_List[P_Code],MATCH(Data_NFI_t[[#This Row],[Camp Name]],Camp_List[Camp Name],0)-1,0,1,1),"")</f>
        <v/>
      </c>
      <c r="AF362" s="572" t="str">
        <f ca="1">IFERROR(OFFSET(Camp_List[Status],MATCH(Data_NFI_t[[#This Row],[Camp Name]],Camp_List[Camp Name],0)-1,0,1,1),"")</f>
        <v/>
      </c>
    </row>
    <row r="363" spans="1:32" s="100" customFormat="1" ht="15" customHeight="1">
      <c r="A363" s="254">
        <f t="shared" si="5"/>
        <v>47.43333333333333</v>
      </c>
      <c r="B363" s="254">
        <f>YEAR(Data_NFI_t[[#This Row],[Distribution Date]])</f>
        <v>2012</v>
      </c>
      <c r="C363" s="585">
        <v>41099</v>
      </c>
      <c r="D363" s="547" t="s">
        <v>287</v>
      </c>
      <c r="E363" s="546"/>
      <c r="F363" s="547" t="s">
        <v>7</v>
      </c>
      <c r="G363" s="31" t="s">
        <v>19</v>
      </c>
      <c r="H363" s="31" t="s">
        <v>260</v>
      </c>
      <c r="I363" s="31"/>
      <c r="J363" s="60"/>
      <c r="K363" s="60"/>
      <c r="L363" s="60"/>
      <c r="M363" s="60">
        <v>10</v>
      </c>
      <c r="N363" s="60"/>
      <c r="O363" s="60"/>
      <c r="P363" s="60"/>
      <c r="Q363" s="60"/>
      <c r="R363" s="570"/>
      <c r="S363" s="60"/>
      <c r="T363" s="143">
        <f>IF(NFI_Expiration=1,IF($A363&lt;VLOOKUP(I$5,NFI,5,0),1,0)*Data_NFI_t[[#This Row],[Hygiene Kit]],0)</f>
        <v>0</v>
      </c>
      <c r="U363" s="143">
        <f>IF(NFI_Expiration=1,IF($A363&lt;VLOOKUP(J$5,NFI,5,0),1,0)*Data_NFI_t[[#This Row],[NFI Core Kit]],0)</f>
        <v>0</v>
      </c>
      <c r="V363" s="124">
        <f>IF(NFI_Expiration=1,IF($A363&lt;VLOOKUP(K$5,NFI,5,0),1,0)*Data_NFI_t[[#This Row],[Sanitary Kit]],0)</f>
        <v>0</v>
      </c>
      <c r="W363" s="124">
        <f>IF(NFI_Expiration=1,IF($A363&lt;VLOOKUP(L$5,NFI,5,0),1,0)*Data_NFI_t[[#This Row],[Mosquito net]],0)</f>
        <v>0</v>
      </c>
      <c r="X363" s="124">
        <f>IF(NFI_Expiration=1,IF($A363&lt;VLOOKUP(M$5,NFI,5,0),1,0)*Data_NFI_t[[#This Row],[Tarpaulin]],0)</f>
        <v>0</v>
      </c>
      <c r="Y363" s="124">
        <f>IF(NFI_Expiration=1,IF($A363&lt;VLOOKUP(N$5,NFI,5,0),1,0)*Data_NFI_t[[#This Row],[Blanket]],0)</f>
        <v>0</v>
      </c>
      <c r="Z363" s="124">
        <f>IF(NFI_Expiration=1,IF($A363&lt;VLOOKUP(O$5,NFI,5,0),1,0)*Data_NFI_t[[#This Row],[Kitchen Set]],0)</f>
        <v>0</v>
      </c>
      <c r="AA363" s="124">
        <f>IF(NFI_Expiration=1,IF($A363&lt;VLOOKUP(P$5,NFI,5,0),1,0)*Data_NFI_t[[#This Row],[Complementary Kit]],0)</f>
        <v>0</v>
      </c>
      <c r="AB363" s="124">
        <f>IF(NFI_Expiration=1,IF($A363&lt;VLOOKUP(Q$5,NFI,5,0),1,0)*Data_NFI_t[[#This Row],[Plastic Bucket]],0)</f>
        <v>0</v>
      </c>
      <c r="AC363" s="124">
        <f>IF(NFI_Expiration=1,IF($A363&lt;VLOOKUP(R$5,NFI,5,0),1,0)*Data_NFI_t[[#This Row],[Jerry Can]],0)</f>
        <v>0</v>
      </c>
      <c r="AD363" s="143">
        <f>IF(NFI_Expiration=1,IF($A363&lt;VLOOKUP(S$5,NFI,5,0),1,0)*Data_NFI_t[[#This Row],[Plastic Mat]],0)*IF(Data_NFI_t[[#This Row],[Distribution Date]]&gt;"01-06-2015",1,2.5)</f>
        <v>0</v>
      </c>
      <c r="AE363" s="143" t="str">
        <f ca="1">IFERROR(OFFSET(Camp_List[P_Code],MATCH(Data_NFI_t[[#This Row],[Camp Name]],Camp_List[Camp Name],0)-1,0,1,1),"")</f>
        <v/>
      </c>
      <c r="AF363" s="572" t="str">
        <f ca="1">IFERROR(OFFSET(Camp_List[Status],MATCH(Data_NFI_t[[#This Row],[Camp Name]],Camp_List[Camp Name],0)-1,0,1,1),"")</f>
        <v/>
      </c>
    </row>
    <row r="364" spans="1:32" s="100" customFormat="1" ht="15" customHeight="1">
      <c r="A364" s="254">
        <f t="shared" si="5"/>
        <v>47.43333333333333</v>
      </c>
      <c r="B364" s="254">
        <f>YEAR(Data_NFI_t[[#This Row],[Distribution Date]])</f>
        <v>2012</v>
      </c>
      <c r="C364" s="585">
        <v>41099</v>
      </c>
      <c r="D364" s="547" t="s">
        <v>287</v>
      </c>
      <c r="E364" s="546"/>
      <c r="F364" s="547" t="s">
        <v>7</v>
      </c>
      <c r="G364" s="31" t="s">
        <v>19</v>
      </c>
      <c r="H364" s="31" t="s">
        <v>265</v>
      </c>
      <c r="I364" s="31"/>
      <c r="J364" s="60"/>
      <c r="K364" s="60"/>
      <c r="L364" s="60"/>
      <c r="M364" s="60">
        <v>26</v>
      </c>
      <c r="N364" s="60"/>
      <c r="O364" s="60"/>
      <c r="P364" s="60"/>
      <c r="Q364" s="60"/>
      <c r="R364" s="570"/>
      <c r="S364" s="60"/>
      <c r="T364" s="143">
        <f>IF(NFI_Expiration=1,IF($A364&lt;VLOOKUP(I$5,NFI,5,0),1,0)*Data_NFI_t[[#This Row],[Hygiene Kit]],0)</f>
        <v>0</v>
      </c>
      <c r="U364" s="143">
        <f>IF(NFI_Expiration=1,IF($A364&lt;VLOOKUP(J$5,NFI,5,0),1,0)*Data_NFI_t[[#This Row],[NFI Core Kit]],0)</f>
        <v>0</v>
      </c>
      <c r="V364" s="124">
        <f>IF(NFI_Expiration=1,IF($A364&lt;VLOOKUP(K$5,NFI,5,0),1,0)*Data_NFI_t[[#This Row],[Sanitary Kit]],0)</f>
        <v>0</v>
      </c>
      <c r="W364" s="124">
        <f>IF(NFI_Expiration=1,IF($A364&lt;VLOOKUP(L$5,NFI,5,0),1,0)*Data_NFI_t[[#This Row],[Mosquito net]],0)</f>
        <v>0</v>
      </c>
      <c r="X364" s="124">
        <f>IF(NFI_Expiration=1,IF($A364&lt;VLOOKUP(M$5,NFI,5,0),1,0)*Data_NFI_t[[#This Row],[Tarpaulin]],0)</f>
        <v>0</v>
      </c>
      <c r="Y364" s="124">
        <f>IF(NFI_Expiration=1,IF($A364&lt;VLOOKUP(N$5,NFI,5,0),1,0)*Data_NFI_t[[#This Row],[Blanket]],0)</f>
        <v>0</v>
      </c>
      <c r="Z364" s="124">
        <f>IF(NFI_Expiration=1,IF($A364&lt;VLOOKUP(O$5,NFI,5,0),1,0)*Data_NFI_t[[#This Row],[Kitchen Set]],0)</f>
        <v>0</v>
      </c>
      <c r="AA364" s="124">
        <f>IF(NFI_Expiration=1,IF($A364&lt;VLOOKUP(P$5,NFI,5,0),1,0)*Data_NFI_t[[#This Row],[Complementary Kit]],0)</f>
        <v>0</v>
      </c>
      <c r="AB364" s="124">
        <f>IF(NFI_Expiration=1,IF($A364&lt;VLOOKUP(Q$5,NFI,5,0),1,0)*Data_NFI_t[[#This Row],[Plastic Bucket]],0)</f>
        <v>0</v>
      </c>
      <c r="AC364" s="124">
        <f>IF(NFI_Expiration=1,IF($A364&lt;VLOOKUP(R$5,NFI,5,0),1,0)*Data_NFI_t[[#This Row],[Jerry Can]],0)</f>
        <v>0</v>
      </c>
      <c r="AD364" s="143">
        <f>IF(NFI_Expiration=1,IF($A364&lt;VLOOKUP(S$5,NFI,5,0),1,0)*Data_NFI_t[[#This Row],[Plastic Mat]],0)*IF(Data_NFI_t[[#This Row],[Distribution Date]]&gt;"01-06-2015",1,2.5)</f>
        <v>0</v>
      </c>
      <c r="AE364" s="143" t="str">
        <f ca="1">IFERROR(OFFSET(Camp_List[P_Code],MATCH(Data_NFI_t[[#This Row],[Camp Name]],Camp_List[Camp Name],0)-1,0,1,1),"")</f>
        <v/>
      </c>
      <c r="AF364" s="572" t="str">
        <f ca="1">IFERROR(OFFSET(Camp_List[Status],MATCH(Data_NFI_t[[#This Row],[Camp Name]],Camp_List[Camp Name],0)-1,0,1,1),"")</f>
        <v/>
      </c>
    </row>
    <row r="365" spans="1:32" s="100" customFormat="1" ht="15" customHeight="1">
      <c r="A365" s="254">
        <f t="shared" si="5"/>
        <v>47.43333333333333</v>
      </c>
      <c r="B365" s="254">
        <f>YEAR(Data_NFI_t[[#This Row],[Distribution Date]])</f>
        <v>2012</v>
      </c>
      <c r="C365" s="585">
        <v>41099</v>
      </c>
      <c r="D365" s="547" t="s">
        <v>287</v>
      </c>
      <c r="E365" s="546"/>
      <c r="F365" s="547" t="s">
        <v>7</v>
      </c>
      <c r="G365" s="31" t="s">
        <v>19</v>
      </c>
      <c r="H365" s="31" t="s">
        <v>264</v>
      </c>
      <c r="I365" s="31"/>
      <c r="J365" s="60"/>
      <c r="K365" s="60"/>
      <c r="L365" s="60"/>
      <c r="M365" s="60">
        <v>12</v>
      </c>
      <c r="N365" s="60"/>
      <c r="O365" s="60"/>
      <c r="P365" s="60"/>
      <c r="Q365" s="60"/>
      <c r="R365" s="570"/>
      <c r="S365" s="60"/>
      <c r="T365" s="143">
        <f>IF(NFI_Expiration=1,IF($A365&lt;VLOOKUP(I$5,NFI,5,0),1,0)*Data_NFI_t[[#This Row],[Hygiene Kit]],0)</f>
        <v>0</v>
      </c>
      <c r="U365" s="143">
        <f>IF(NFI_Expiration=1,IF($A365&lt;VLOOKUP(J$5,NFI,5,0),1,0)*Data_NFI_t[[#This Row],[NFI Core Kit]],0)</f>
        <v>0</v>
      </c>
      <c r="V365" s="124">
        <f>IF(NFI_Expiration=1,IF($A365&lt;VLOOKUP(K$5,NFI,5,0),1,0)*Data_NFI_t[[#This Row],[Sanitary Kit]],0)</f>
        <v>0</v>
      </c>
      <c r="W365" s="124">
        <f>IF(NFI_Expiration=1,IF($A365&lt;VLOOKUP(L$5,NFI,5,0),1,0)*Data_NFI_t[[#This Row],[Mosquito net]],0)</f>
        <v>0</v>
      </c>
      <c r="X365" s="124">
        <f>IF(NFI_Expiration=1,IF($A365&lt;VLOOKUP(M$5,NFI,5,0),1,0)*Data_NFI_t[[#This Row],[Tarpaulin]],0)</f>
        <v>0</v>
      </c>
      <c r="Y365" s="124">
        <f>IF(NFI_Expiration=1,IF($A365&lt;VLOOKUP(N$5,NFI,5,0),1,0)*Data_NFI_t[[#This Row],[Blanket]],0)</f>
        <v>0</v>
      </c>
      <c r="Z365" s="124">
        <f>IF(NFI_Expiration=1,IF($A365&lt;VLOOKUP(O$5,NFI,5,0),1,0)*Data_NFI_t[[#This Row],[Kitchen Set]],0)</f>
        <v>0</v>
      </c>
      <c r="AA365" s="124">
        <f>IF(NFI_Expiration=1,IF($A365&lt;VLOOKUP(P$5,NFI,5,0),1,0)*Data_NFI_t[[#This Row],[Complementary Kit]],0)</f>
        <v>0</v>
      </c>
      <c r="AB365" s="124">
        <f>IF(NFI_Expiration=1,IF($A365&lt;VLOOKUP(Q$5,NFI,5,0),1,0)*Data_NFI_t[[#This Row],[Plastic Bucket]],0)</f>
        <v>0</v>
      </c>
      <c r="AC365" s="124">
        <f>IF(NFI_Expiration=1,IF($A365&lt;VLOOKUP(R$5,NFI,5,0),1,0)*Data_NFI_t[[#This Row],[Jerry Can]],0)</f>
        <v>0</v>
      </c>
      <c r="AD365" s="143">
        <f>IF(NFI_Expiration=1,IF($A365&lt;VLOOKUP(S$5,NFI,5,0),1,0)*Data_NFI_t[[#This Row],[Plastic Mat]],0)*IF(Data_NFI_t[[#This Row],[Distribution Date]]&gt;"01-06-2015",1,2.5)</f>
        <v>0</v>
      </c>
      <c r="AE365" s="143" t="str">
        <f ca="1">IFERROR(OFFSET(Camp_List[P_Code],MATCH(Data_NFI_t[[#This Row],[Camp Name]],Camp_List[Camp Name],0)-1,0,1,1),"")</f>
        <v/>
      </c>
      <c r="AF365" s="572" t="str">
        <f ca="1">IFERROR(OFFSET(Camp_List[Status],MATCH(Data_NFI_t[[#This Row],[Camp Name]],Camp_List[Camp Name],0)-1,0,1,1),"")</f>
        <v/>
      </c>
    </row>
    <row r="366" spans="1:32" s="100" customFormat="1" ht="15" customHeight="1">
      <c r="A366" s="254">
        <f t="shared" si="5"/>
        <v>47.43333333333333</v>
      </c>
      <c r="B366" s="254">
        <f>YEAR(Data_NFI_t[[#This Row],[Distribution Date]])</f>
        <v>2012</v>
      </c>
      <c r="C366" s="585">
        <v>41099</v>
      </c>
      <c r="D366" s="547" t="s">
        <v>287</v>
      </c>
      <c r="E366" s="546"/>
      <c r="F366" s="547" t="s">
        <v>7</v>
      </c>
      <c r="G366" s="31" t="s">
        <v>19</v>
      </c>
      <c r="H366" s="31" t="s">
        <v>261</v>
      </c>
      <c r="I366" s="31"/>
      <c r="J366" s="60"/>
      <c r="K366" s="60"/>
      <c r="L366" s="60"/>
      <c r="M366" s="60">
        <v>23</v>
      </c>
      <c r="N366" s="60"/>
      <c r="O366" s="60"/>
      <c r="P366" s="60"/>
      <c r="Q366" s="60"/>
      <c r="R366" s="570"/>
      <c r="S366" s="60"/>
      <c r="T366" s="143">
        <f>IF(NFI_Expiration=1,IF($A366&lt;VLOOKUP(I$5,NFI,5,0),1,0)*Data_NFI_t[[#This Row],[Hygiene Kit]],0)</f>
        <v>0</v>
      </c>
      <c r="U366" s="143">
        <f>IF(NFI_Expiration=1,IF($A366&lt;VLOOKUP(J$5,NFI,5,0),1,0)*Data_NFI_t[[#This Row],[NFI Core Kit]],0)</f>
        <v>0</v>
      </c>
      <c r="V366" s="124">
        <f>IF(NFI_Expiration=1,IF($A366&lt;VLOOKUP(K$5,NFI,5,0),1,0)*Data_NFI_t[[#This Row],[Sanitary Kit]],0)</f>
        <v>0</v>
      </c>
      <c r="W366" s="124">
        <f>IF(NFI_Expiration=1,IF($A366&lt;VLOOKUP(L$5,NFI,5,0),1,0)*Data_NFI_t[[#This Row],[Mosquito net]],0)</f>
        <v>0</v>
      </c>
      <c r="X366" s="124">
        <f>IF(NFI_Expiration=1,IF($A366&lt;VLOOKUP(M$5,NFI,5,0),1,0)*Data_NFI_t[[#This Row],[Tarpaulin]],0)</f>
        <v>0</v>
      </c>
      <c r="Y366" s="124">
        <f>IF(NFI_Expiration=1,IF($A366&lt;VLOOKUP(N$5,NFI,5,0),1,0)*Data_NFI_t[[#This Row],[Blanket]],0)</f>
        <v>0</v>
      </c>
      <c r="Z366" s="124">
        <f>IF(NFI_Expiration=1,IF($A366&lt;VLOOKUP(O$5,NFI,5,0),1,0)*Data_NFI_t[[#This Row],[Kitchen Set]],0)</f>
        <v>0</v>
      </c>
      <c r="AA366" s="124">
        <f>IF(NFI_Expiration=1,IF($A366&lt;VLOOKUP(P$5,NFI,5,0),1,0)*Data_NFI_t[[#This Row],[Complementary Kit]],0)</f>
        <v>0</v>
      </c>
      <c r="AB366" s="124">
        <f>IF(NFI_Expiration=1,IF($A366&lt;VLOOKUP(Q$5,NFI,5,0),1,0)*Data_NFI_t[[#This Row],[Plastic Bucket]],0)</f>
        <v>0</v>
      </c>
      <c r="AC366" s="124">
        <f>IF(NFI_Expiration=1,IF($A366&lt;VLOOKUP(R$5,NFI,5,0),1,0)*Data_NFI_t[[#This Row],[Jerry Can]],0)</f>
        <v>0</v>
      </c>
      <c r="AD366" s="143">
        <f>IF(NFI_Expiration=1,IF($A366&lt;VLOOKUP(S$5,NFI,5,0),1,0)*Data_NFI_t[[#This Row],[Plastic Mat]],0)*IF(Data_NFI_t[[#This Row],[Distribution Date]]&gt;"01-06-2015",1,2.5)</f>
        <v>0</v>
      </c>
      <c r="AE366" s="143" t="str">
        <f ca="1">IFERROR(OFFSET(Camp_List[P_Code],MATCH(Data_NFI_t[[#This Row],[Camp Name]],Camp_List[Camp Name],0)-1,0,1,1),"")</f>
        <v/>
      </c>
      <c r="AF366" s="572" t="str">
        <f ca="1">IFERROR(OFFSET(Camp_List[Status],MATCH(Data_NFI_t[[#This Row],[Camp Name]],Camp_List[Camp Name],0)-1,0,1,1),"")</f>
        <v/>
      </c>
    </row>
    <row r="367" spans="1:32" s="100" customFormat="1" ht="15" customHeight="1">
      <c r="A367" s="254">
        <f t="shared" si="5"/>
        <v>47.43333333333333</v>
      </c>
      <c r="B367" s="254">
        <f>YEAR(Data_NFI_t[[#This Row],[Distribution Date]])</f>
        <v>2012</v>
      </c>
      <c r="C367" s="585">
        <v>41099</v>
      </c>
      <c r="D367" s="547" t="s">
        <v>287</v>
      </c>
      <c r="E367" s="546"/>
      <c r="F367" s="547" t="s">
        <v>7</v>
      </c>
      <c r="G367" s="31" t="s">
        <v>19</v>
      </c>
      <c r="H367" s="31" t="s">
        <v>262</v>
      </c>
      <c r="I367" s="31"/>
      <c r="J367" s="60"/>
      <c r="K367" s="60"/>
      <c r="L367" s="60"/>
      <c r="M367" s="60">
        <v>36</v>
      </c>
      <c r="N367" s="60"/>
      <c r="O367" s="60"/>
      <c r="P367" s="60"/>
      <c r="Q367" s="60"/>
      <c r="R367" s="570"/>
      <c r="S367" s="60"/>
      <c r="T367" s="143">
        <f>IF(NFI_Expiration=1,IF($A367&lt;VLOOKUP(I$5,NFI,5,0),1,0)*Data_NFI_t[[#This Row],[Hygiene Kit]],0)</f>
        <v>0</v>
      </c>
      <c r="U367" s="143">
        <f>IF(NFI_Expiration=1,IF($A367&lt;VLOOKUP(J$5,NFI,5,0),1,0)*Data_NFI_t[[#This Row],[NFI Core Kit]],0)</f>
        <v>0</v>
      </c>
      <c r="V367" s="124">
        <f>IF(NFI_Expiration=1,IF($A367&lt;VLOOKUP(K$5,NFI,5,0),1,0)*Data_NFI_t[[#This Row],[Sanitary Kit]],0)</f>
        <v>0</v>
      </c>
      <c r="W367" s="124">
        <f>IF(NFI_Expiration=1,IF($A367&lt;VLOOKUP(L$5,NFI,5,0),1,0)*Data_NFI_t[[#This Row],[Mosquito net]],0)</f>
        <v>0</v>
      </c>
      <c r="X367" s="124">
        <f>IF(NFI_Expiration=1,IF($A367&lt;VLOOKUP(M$5,NFI,5,0),1,0)*Data_NFI_t[[#This Row],[Tarpaulin]],0)</f>
        <v>0</v>
      </c>
      <c r="Y367" s="124">
        <f>IF(NFI_Expiration=1,IF($A367&lt;VLOOKUP(N$5,NFI,5,0),1,0)*Data_NFI_t[[#This Row],[Blanket]],0)</f>
        <v>0</v>
      </c>
      <c r="Z367" s="124">
        <f>IF(NFI_Expiration=1,IF($A367&lt;VLOOKUP(O$5,NFI,5,0),1,0)*Data_NFI_t[[#This Row],[Kitchen Set]],0)</f>
        <v>0</v>
      </c>
      <c r="AA367" s="124">
        <f>IF(NFI_Expiration=1,IF($A367&lt;VLOOKUP(P$5,NFI,5,0),1,0)*Data_NFI_t[[#This Row],[Complementary Kit]],0)</f>
        <v>0</v>
      </c>
      <c r="AB367" s="124">
        <f>IF(NFI_Expiration=1,IF($A367&lt;VLOOKUP(Q$5,NFI,5,0),1,0)*Data_NFI_t[[#This Row],[Plastic Bucket]],0)</f>
        <v>0</v>
      </c>
      <c r="AC367" s="124">
        <f>IF(NFI_Expiration=1,IF($A367&lt;VLOOKUP(R$5,NFI,5,0),1,0)*Data_NFI_t[[#This Row],[Jerry Can]],0)</f>
        <v>0</v>
      </c>
      <c r="AD367" s="143">
        <f>IF(NFI_Expiration=1,IF($A367&lt;VLOOKUP(S$5,NFI,5,0),1,0)*Data_NFI_t[[#This Row],[Plastic Mat]],0)*IF(Data_NFI_t[[#This Row],[Distribution Date]]&gt;"01-06-2015",1,2.5)</f>
        <v>0</v>
      </c>
      <c r="AE367" s="143" t="str">
        <f ca="1">IFERROR(OFFSET(Camp_List[P_Code],MATCH(Data_NFI_t[[#This Row],[Camp Name]],Camp_List[Camp Name],0)-1,0,1,1),"")</f>
        <v/>
      </c>
      <c r="AF367" s="572" t="str">
        <f ca="1">IFERROR(OFFSET(Camp_List[Status],MATCH(Data_NFI_t[[#This Row],[Camp Name]],Camp_List[Camp Name],0)-1,0,1,1),"")</f>
        <v/>
      </c>
    </row>
    <row r="368" spans="1:32" s="100" customFormat="1" ht="15" customHeight="1">
      <c r="A368" s="254">
        <f t="shared" si="5"/>
        <v>47.43333333333333</v>
      </c>
      <c r="B368" s="254">
        <f>YEAR(Data_NFI_t[[#This Row],[Distribution Date]])</f>
        <v>2012</v>
      </c>
      <c r="C368" s="585">
        <v>41099</v>
      </c>
      <c r="D368" s="547" t="s">
        <v>287</v>
      </c>
      <c r="E368" s="546"/>
      <c r="F368" s="547" t="s">
        <v>7</v>
      </c>
      <c r="G368" s="31" t="s">
        <v>19</v>
      </c>
      <c r="H368" s="31" t="s">
        <v>263</v>
      </c>
      <c r="I368" s="31"/>
      <c r="J368" s="60"/>
      <c r="K368" s="60"/>
      <c r="L368" s="60"/>
      <c r="M368" s="60">
        <v>33</v>
      </c>
      <c r="N368" s="60"/>
      <c r="O368" s="60"/>
      <c r="P368" s="60"/>
      <c r="Q368" s="60"/>
      <c r="R368" s="570"/>
      <c r="S368" s="60"/>
      <c r="T368" s="143">
        <f>IF(NFI_Expiration=1,IF($A368&lt;VLOOKUP(I$5,NFI,5,0),1,0)*Data_NFI_t[[#This Row],[Hygiene Kit]],0)</f>
        <v>0</v>
      </c>
      <c r="U368" s="143">
        <f>IF(NFI_Expiration=1,IF($A368&lt;VLOOKUP(J$5,NFI,5,0),1,0)*Data_NFI_t[[#This Row],[NFI Core Kit]],0)</f>
        <v>0</v>
      </c>
      <c r="V368" s="124">
        <f>IF(NFI_Expiration=1,IF($A368&lt;VLOOKUP(K$5,NFI,5,0),1,0)*Data_NFI_t[[#This Row],[Sanitary Kit]],0)</f>
        <v>0</v>
      </c>
      <c r="W368" s="124">
        <f>IF(NFI_Expiration=1,IF($A368&lt;VLOOKUP(L$5,NFI,5,0),1,0)*Data_NFI_t[[#This Row],[Mosquito net]],0)</f>
        <v>0</v>
      </c>
      <c r="X368" s="124">
        <f>IF(NFI_Expiration=1,IF($A368&lt;VLOOKUP(M$5,NFI,5,0),1,0)*Data_NFI_t[[#This Row],[Tarpaulin]],0)</f>
        <v>0</v>
      </c>
      <c r="Y368" s="124">
        <f>IF(NFI_Expiration=1,IF($A368&lt;VLOOKUP(N$5,NFI,5,0),1,0)*Data_NFI_t[[#This Row],[Blanket]],0)</f>
        <v>0</v>
      </c>
      <c r="Z368" s="124">
        <f>IF(NFI_Expiration=1,IF($A368&lt;VLOOKUP(O$5,NFI,5,0),1,0)*Data_NFI_t[[#This Row],[Kitchen Set]],0)</f>
        <v>0</v>
      </c>
      <c r="AA368" s="124">
        <f>IF(NFI_Expiration=1,IF($A368&lt;VLOOKUP(P$5,NFI,5,0),1,0)*Data_NFI_t[[#This Row],[Complementary Kit]],0)</f>
        <v>0</v>
      </c>
      <c r="AB368" s="124">
        <f>IF(NFI_Expiration=1,IF($A368&lt;VLOOKUP(Q$5,NFI,5,0),1,0)*Data_NFI_t[[#This Row],[Plastic Bucket]],0)</f>
        <v>0</v>
      </c>
      <c r="AC368" s="124">
        <f>IF(NFI_Expiration=1,IF($A368&lt;VLOOKUP(R$5,NFI,5,0),1,0)*Data_NFI_t[[#This Row],[Jerry Can]],0)</f>
        <v>0</v>
      </c>
      <c r="AD368" s="143">
        <f>IF(NFI_Expiration=1,IF($A368&lt;VLOOKUP(S$5,NFI,5,0),1,0)*Data_NFI_t[[#This Row],[Plastic Mat]],0)*IF(Data_NFI_t[[#This Row],[Distribution Date]]&gt;"01-06-2015",1,2.5)</f>
        <v>0</v>
      </c>
      <c r="AE368" s="143" t="str">
        <f ca="1">IFERROR(OFFSET(Camp_List[P_Code],MATCH(Data_NFI_t[[#This Row],[Camp Name]],Camp_List[Camp Name],0)-1,0,1,1),"")</f>
        <v/>
      </c>
      <c r="AF368" s="572" t="str">
        <f ca="1">IFERROR(OFFSET(Camp_List[Status],MATCH(Data_NFI_t[[#This Row],[Camp Name]],Camp_List[Camp Name],0)-1,0,1,1),"")</f>
        <v/>
      </c>
    </row>
    <row r="369" spans="1:32" s="100" customFormat="1" ht="15" customHeight="1">
      <c r="A369" s="254">
        <f t="shared" si="5"/>
        <v>47.43333333333333</v>
      </c>
      <c r="B369" s="254">
        <f>YEAR(Data_NFI_t[[#This Row],[Distribution Date]])</f>
        <v>2012</v>
      </c>
      <c r="C369" s="585">
        <v>41099</v>
      </c>
      <c r="D369" s="547" t="s">
        <v>287</v>
      </c>
      <c r="E369" s="546"/>
      <c r="F369" s="547" t="s">
        <v>7</v>
      </c>
      <c r="G369" s="31" t="s">
        <v>19</v>
      </c>
      <c r="H369" s="31" t="s">
        <v>267</v>
      </c>
      <c r="I369" s="31"/>
      <c r="J369" s="60"/>
      <c r="K369" s="60"/>
      <c r="L369" s="60"/>
      <c r="M369" s="60">
        <v>3</v>
      </c>
      <c r="N369" s="60"/>
      <c r="O369" s="60"/>
      <c r="P369" s="60"/>
      <c r="Q369" s="60"/>
      <c r="R369" s="570"/>
      <c r="S369" s="60"/>
      <c r="T369" s="143">
        <f>IF(NFI_Expiration=1,IF($A369&lt;VLOOKUP(I$5,NFI,5,0),1,0)*Data_NFI_t[[#This Row],[Hygiene Kit]],0)</f>
        <v>0</v>
      </c>
      <c r="U369" s="143">
        <f>IF(NFI_Expiration=1,IF($A369&lt;VLOOKUP(J$5,NFI,5,0),1,0)*Data_NFI_t[[#This Row],[NFI Core Kit]],0)</f>
        <v>0</v>
      </c>
      <c r="V369" s="124">
        <f>IF(NFI_Expiration=1,IF($A369&lt;VLOOKUP(K$5,NFI,5,0),1,0)*Data_NFI_t[[#This Row],[Sanitary Kit]],0)</f>
        <v>0</v>
      </c>
      <c r="W369" s="124">
        <f>IF(NFI_Expiration=1,IF($A369&lt;VLOOKUP(L$5,NFI,5,0),1,0)*Data_NFI_t[[#This Row],[Mosquito net]],0)</f>
        <v>0</v>
      </c>
      <c r="X369" s="124">
        <f>IF(NFI_Expiration=1,IF($A369&lt;VLOOKUP(M$5,NFI,5,0),1,0)*Data_NFI_t[[#This Row],[Tarpaulin]],0)</f>
        <v>0</v>
      </c>
      <c r="Y369" s="124">
        <f>IF(NFI_Expiration=1,IF($A369&lt;VLOOKUP(N$5,NFI,5,0),1,0)*Data_NFI_t[[#This Row],[Blanket]],0)</f>
        <v>0</v>
      </c>
      <c r="Z369" s="124">
        <f>IF(NFI_Expiration=1,IF($A369&lt;VLOOKUP(O$5,NFI,5,0),1,0)*Data_NFI_t[[#This Row],[Kitchen Set]],0)</f>
        <v>0</v>
      </c>
      <c r="AA369" s="124">
        <f>IF(NFI_Expiration=1,IF($A369&lt;VLOOKUP(P$5,NFI,5,0),1,0)*Data_NFI_t[[#This Row],[Complementary Kit]],0)</f>
        <v>0</v>
      </c>
      <c r="AB369" s="124">
        <f>IF(NFI_Expiration=1,IF($A369&lt;VLOOKUP(Q$5,NFI,5,0),1,0)*Data_NFI_t[[#This Row],[Plastic Bucket]],0)</f>
        <v>0</v>
      </c>
      <c r="AC369" s="124">
        <f>IF(NFI_Expiration=1,IF($A369&lt;VLOOKUP(R$5,NFI,5,0),1,0)*Data_NFI_t[[#This Row],[Jerry Can]],0)</f>
        <v>0</v>
      </c>
      <c r="AD369" s="143">
        <f>IF(NFI_Expiration=1,IF($A369&lt;VLOOKUP(S$5,NFI,5,0),1,0)*Data_NFI_t[[#This Row],[Plastic Mat]],0)*IF(Data_NFI_t[[#This Row],[Distribution Date]]&gt;"01-06-2015",1,2.5)</f>
        <v>0</v>
      </c>
      <c r="AE369" s="143" t="str">
        <f ca="1">IFERROR(OFFSET(Camp_List[P_Code],MATCH(Data_NFI_t[[#This Row],[Camp Name]],Camp_List[Camp Name],0)-1,0,1,1),"")</f>
        <v/>
      </c>
      <c r="AF369" s="572" t="str">
        <f ca="1">IFERROR(OFFSET(Camp_List[Status],MATCH(Data_NFI_t[[#This Row],[Camp Name]],Camp_List[Camp Name],0)-1,0,1,1),"")</f>
        <v/>
      </c>
    </row>
    <row r="370" spans="1:32" s="100" customFormat="1" ht="15" customHeight="1">
      <c r="A370" s="254">
        <f t="shared" si="5"/>
        <v>47.43333333333333</v>
      </c>
      <c r="B370" s="254">
        <f>YEAR(Data_NFI_t[[#This Row],[Distribution Date]])</f>
        <v>2012</v>
      </c>
      <c r="C370" s="585">
        <v>41099</v>
      </c>
      <c r="D370" s="547" t="s">
        <v>287</v>
      </c>
      <c r="E370" s="546"/>
      <c r="F370" s="547" t="s">
        <v>7</v>
      </c>
      <c r="G370" s="31" t="s">
        <v>19</v>
      </c>
      <c r="H370" s="31" t="s">
        <v>89</v>
      </c>
      <c r="I370" s="31"/>
      <c r="J370" s="60"/>
      <c r="K370" s="60"/>
      <c r="L370" s="60"/>
      <c r="M370" s="60">
        <v>27</v>
      </c>
      <c r="N370" s="60"/>
      <c r="O370" s="60"/>
      <c r="P370" s="60"/>
      <c r="Q370" s="60"/>
      <c r="R370" s="570"/>
      <c r="S370" s="60"/>
      <c r="T370" s="143">
        <f>IF(NFI_Expiration=1,IF($A370&lt;VLOOKUP(I$5,NFI,5,0),1,0)*Data_NFI_t[[#This Row],[Hygiene Kit]],0)</f>
        <v>0</v>
      </c>
      <c r="U370" s="143">
        <f>IF(NFI_Expiration=1,IF($A370&lt;VLOOKUP(J$5,NFI,5,0),1,0)*Data_NFI_t[[#This Row],[NFI Core Kit]],0)</f>
        <v>0</v>
      </c>
      <c r="V370" s="124">
        <f>IF(NFI_Expiration=1,IF($A370&lt;VLOOKUP(K$5,NFI,5,0),1,0)*Data_NFI_t[[#This Row],[Sanitary Kit]],0)</f>
        <v>0</v>
      </c>
      <c r="W370" s="124">
        <f>IF(NFI_Expiration=1,IF($A370&lt;VLOOKUP(L$5,NFI,5,0),1,0)*Data_NFI_t[[#This Row],[Mosquito net]],0)</f>
        <v>0</v>
      </c>
      <c r="X370" s="124">
        <f>IF(NFI_Expiration=1,IF($A370&lt;VLOOKUP(M$5,NFI,5,0),1,0)*Data_NFI_t[[#This Row],[Tarpaulin]],0)</f>
        <v>0</v>
      </c>
      <c r="Y370" s="124">
        <f>IF(NFI_Expiration=1,IF($A370&lt;VLOOKUP(N$5,NFI,5,0),1,0)*Data_NFI_t[[#This Row],[Blanket]],0)</f>
        <v>0</v>
      </c>
      <c r="Z370" s="124">
        <f>IF(NFI_Expiration=1,IF($A370&lt;VLOOKUP(O$5,NFI,5,0),1,0)*Data_NFI_t[[#This Row],[Kitchen Set]],0)</f>
        <v>0</v>
      </c>
      <c r="AA370" s="124">
        <f>IF(NFI_Expiration=1,IF($A370&lt;VLOOKUP(P$5,NFI,5,0),1,0)*Data_NFI_t[[#This Row],[Complementary Kit]],0)</f>
        <v>0</v>
      </c>
      <c r="AB370" s="124">
        <f>IF(NFI_Expiration=1,IF($A370&lt;VLOOKUP(Q$5,NFI,5,0),1,0)*Data_NFI_t[[#This Row],[Plastic Bucket]],0)</f>
        <v>0</v>
      </c>
      <c r="AC370" s="124">
        <f>IF(NFI_Expiration=1,IF($A370&lt;VLOOKUP(R$5,NFI,5,0),1,0)*Data_NFI_t[[#This Row],[Jerry Can]],0)</f>
        <v>0</v>
      </c>
      <c r="AD370" s="143">
        <f>IF(NFI_Expiration=1,IF($A370&lt;VLOOKUP(S$5,NFI,5,0),1,0)*Data_NFI_t[[#This Row],[Plastic Mat]],0)*IF(Data_NFI_t[[#This Row],[Distribution Date]]&gt;"01-06-2015",1,2.5)</f>
        <v>0</v>
      </c>
      <c r="AE370" s="143" t="str">
        <f ca="1">IFERROR(OFFSET(Camp_List[P_Code],MATCH(Data_NFI_t[[#This Row],[Camp Name]],Camp_List[Camp Name],0)-1,0,1,1),"")</f>
        <v>MMR012CMP067</v>
      </c>
      <c r="AF370" s="572" t="str">
        <f ca="1">IFERROR(OFFSET(Camp_List[Status],MATCH(Data_NFI_t[[#This Row],[Camp Name]],Camp_List[Camp Name],0)-1,0,1,1),"")</f>
        <v>Close</v>
      </c>
    </row>
    <row r="371" spans="1:32" s="100" customFormat="1" ht="15" customHeight="1">
      <c r="A371" s="254">
        <f t="shared" si="5"/>
        <v>47.43333333333333</v>
      </c>
      <c r="B371" s="254">
        <f>YEAR(Data_NFI_t[[#This Row],[Distribution Date]])</f>
        <v>2012</v>
      </c>
      <c r="C371" s="585">
        <v>41099</v>
      </c>
      <c r="D371" s="547" t="s">
        <v>287</v>
      </c>
      <c r="E371" s="546"/>
      <c r="F371" s="547" t="s">
        <v>7</v>
      </c>
      <c r="G371" s="31" t="s">
        <v>19</v>
      </c>
      <c r="H371" s="31" t="s">
        <v>266</v>
      </c>
      <c r="I371" s="31"/>
      <c r="J371" s="60"/>
      <c r="K371" s="60"/>
      <c r="L371" s="60"/>
      <c r="M371" s="60">
        <v>19</v>
      </c>
      <c r="N371" s="60"/>
      <c r="O371" s="60"/>
      <c r="P371" s="60"/>
      <c r="Q371" s="60"/>
      <c r="R371" s="570"/>
      <c r="S371" s="60"/>
      <c r="T371" s="143">
        <f>IF(NFI_Expiration=1,IF($A371&lt;VLOOKUP(I$5,NFI,5,0),1,0)*Data_NFI_t[[#This Row],[Hygiene Kit]],0)</f>
        <v>0</v>
      </c>
      <c r="U371" s="143">
        <f>IF(NFI_Expiration=1,IF($A371&lt;VLOOKUP(J$5,NFI,5,0),1,0)*Data_NFI_t[[#This Row],[NFI Core Kit]],0)</f>
        <v>0</v>
      </c>
      <c r="V371" s="124">
        <f>IF(NFI_Expiration=1,IF($A371&lt;VLOOKUP(K$5,NFI,5,0),1,0)*Data_NFI_t[[#This Row],[Sanitary Kit]],0)</f>
        <v>0</v>
      </c>
      <c r="W371" s="124">
        <f>IF(NFI_Expiration=1,IF($A371&lt;VLOOKUP(L$5,NFI,5,0),1,0)*Data_NFI_t[[#This Row],[Mosquito net]],0)</f>
        <v>0</v>
      </c>
      <c r="X371" s="124">
        <f>IF(NFI_Expiration=1,IF($A371&lt;VLOOKUP(M$5,NFI,5,0),1,0)*Data_NFI_t[[#This Row],[Tarpaulin]],0)</f>
        <v>0</v>
      </c>
      <c r="Y371" s="124">
        <f>IF(NFI_Expiration=1,IF($A371&lt;VLOOKUP(N$5,NFI,5,0),1,0)*Data_NFI_t[[#This Row],[Blanket]],0)</f>
        <v>0</v>
      </c>
      <c r="Z371" s="124">
        <f>IF(NFI_Expiration=1,IF($A371&lt;VLOOKUP(O$5,NFI,5,0),1,0)*Data_NFI_t[[#This Row],[Kitchen Set]],0)</f>
        <v>0</v>
      </c>
      <c r="AA371" s="124">
        <f>IF(NFI_Expiration=1,IF($A371&lt;VLOOKUP(P$5,NFI,5,0),1,0)*Data_NFI_t[[#This Row],[Complementary Kit]],0)</f>
        <v>0</v>
      </c>
      <c r="AB371" s="124">
        <f>IF(NFI_Expiration=1,IF($A371&lt;VLOOKUP(Q$5,NFI,5,0),1,0)*Data_NFI_t[[#This Row],[Plastic Bucket]],0)</f>
        <v>0</v>
      </c>
      <c r="AC371" s="124">
        <f>IF(NFI_Expiration=1,IF($A371&lt;VLOOKUP(R$5,NFI,5,0),1,0)*Data_NFI_t[[#This Row],[Jerry Can]],0)</f>
        <v>0</v>
      </c>
      <c r="AD371" s="143">
        <f>IF(NFI_Expiration=1,IF($A371&lt;VLOOKUP(S$5,NFI,5,0),1,0)*Data_NFI_t[[#This Row],[Plastic Mat]],0)*IF(Data_NFI_t[[#This Row],[Distribution Date]]&gt;"01-06-2015",1,2.5)</f>
        <v>0</v>
      </c>
      <c r="AE371" s="143" t="str">
        <f ca="1">IFERROR(OFFSET(Camp_List[P_Code],MATCH(Data_NFI_t[[#This Row],[Camp Name]],Camp_List[Camp Name],0)-1,0,1,1),"")</f>
        <v/>
      </c>
      <c r="AF371" s="572" t="str">
        <f ca="1">IFERROR(OFFSET(Camp_List[Status],MATCH(Data_NFI_t[[#This Row],[Camp Name]],Camp_List[Camp Name],0)-1,0,1,1),"")</f>
        <v/>
      </c>
    </row>
    <row r="372" spans="1:32" s="100" customFormat="1" ht="15" customHeight="1">
      <c r="A372" s="254">
        <f t="shared" si="5"/>
        <v>47.5</v>
      </c>
      <c r="B372" s="254">
        <f>YEAR(Data_NFI_t[[#This Row],[Distribution Date]])</f>
        <v>2012</v>
      </c>
      <c r="C372" s="585">
        <v>41097</v>
      </c>
      <c r="D372" s="547" t="s">
        <v>287</v>
      </c>
      <c r="E372" s="546"/>
      <c r="F372" s="547" t="s">
        <v>7</v>
      </c>
      <c r="G372" s="31" t="s">
        <v>19</v>
      </c>
      <c r="H372" s="31" t="s">
        <v>259</v>
      </c>
      <c r="I372" s="31"/>
      <c r="J372" s="60"/>
      <c r="K372" s="60"/>
      <c r="L372" s="60"/>
      <c r="M372" s="60">
        <v>33</v>
      </c>
      <c r="N372" s="60"/>
      <c r="O372" s="60"/>
      <c r="P372" s="60"/>
      <c r="Q372" s="60"/>
      <c r="R372" s="570"/>
      <c r="S372" s="60"/>
      <c r="T372" s="143">
        <f>IF(NFI_Expiration=1,IF($A372&lt;VLOOKUP(I$5,NFI,5,0),1,0)*Data_NFI_t[[#This Row],[Hygiene Kit]],0)</f>
        <v>0</v>
      </c>
      <c r="U372" s="143">
        <f>IF(NFI_Expiration=1,IF($A372&lt;VLOOKUP(J$5,NFI,5,0),1,0)*Data_NFI_t[[#This Row],[NFI Core Kit]],0)</f>
        <v>0</v>
      </c>
      <c r="V372" s="124">
        <f>IF(NFI_Expiration=1,IF($A372&lt;VLOOKUP(K$5,NFI,5,0),1,0)*Data_NFI_t[[#This Row],[Sanitary Kit]],0)</f>
        <v>0</v>
      </c>
      <c r="W372" s="124">
        <f>IF(NFI_Expiration=1,IF($A372&lt;VLOOKUP(L$5,NFI,5,0),1,0)*Data_NFI_t[[#This Row],[Mosquito net]],0)</f>
        <v>0</v>
      </c>
      <c r="X372" s="124">
        <f>IF(NFI_Expiration=1,IF($A372&lt;VLOOKUP(M$5,NFI,5,0),1,0)*Data_NFI_t[[#This Row],[Tarpaulin]],0)</f>
        <v>0</v>
      </c>
      <c r="Y372" s="124">
        <f>IF(NFI_Expiration=1,IF($A372&lt;VLOOKUP(N$5,NFI,5,0),1,0)*Data_NFI_t[[#This Row],[Blanket]],0)</f>
        <v>0</v>
      </c>
      <c r="Z372" s="124">
        <f>IF(NFI_Expiration=1,IF($A372&lt;VLOOKUP(O$5,NFI,5,0),1,0)*Data_NFI_t[[#This Row],[Kitchen Set]],0)</f>
        <v>0</v>
      </c>
      <c r="AA372" s="124">
        <f>IF(NFI_Expiration=1,IF($A372&lt;VLOOKUP(P$5,NFI,5,0),1,0)*Data_NFI_t[[#This Row],[Complementary Kit]],0)</f>
        <v>0</v>
      </c>
      <c r="AB372" s="124">
        <f>IF(NFI_Expiration=1,IF($A372&lt;VLOOKUP(Q$5,NFI,5,0),1,0)*Data_NFI_t[[#This Row],[Plastic Bucket]],0)</f>
        <v>0</v>
      </c>
      <c r="AC372" s="124">
        <f>IF(NFI_Expiration=1,IF($A372&lt;VLOOKUP(R$5,NFI,5,0),1,0)*Data_NFI_t[[#This Row],[Jerry Can]],0)</f>
        <v>0</v>
      </c>
      <c r="AD372" s="143">
        <f>IF(NFI_Expiration=1,IF($A372&lt;VLOOKUP(S$5,NFI,5,0),1,0)*Data_NFI_t[[#This Row],[Plastic Mat]],0)*IF(Data_NFI_t[[#This Row],[Distribution Date]]&gt;"01-06-2015",1,2.5)</f>
        <v>0</v>
      </c>
      <c r="AE372" s="143" t="str">
        <f ca="1">IFERROR(OFFSET(Camp_List[P_Code],MATCH(Data_NFI_t[[#This Row],[Camp Name]],Camp_List[Camp Name],0)-1,0,1,1),"")</f>
        <v/>
      </c>
      <c r="AF372" s="572" t="str">
        <f ca="1">IFERROR(OFFSET(Camp_List[Status],MATCH(Data_NFI_t[[#This Row],[Camp Name]],Camp_List[Camp Name],0)-1,0,1,1),"")</f>
        <v/>
      </c>
    </row>
    <row r="373" spans="1:32" s="100" customFormat="1" ht="15" customHeight="1">
      <c r="A373" s="254">
        <f t="shared" si="5"/>
        <v>47.5</v>
      </c>
      <c r="B373" s="254">
        <f>YEAR(Data_NFI_t[[#This Row],[Distribution Date]])</f>
        <v>2012</v>
      </c>
      <c r="C373" s="585">
        <v>41097</v>
      </c>
      <c r="D373" s="547" t="s">
        <v>287</v>
      </c>
      <c r="E373" s="546"/>
      <c r="F373" s="547" t="s">
        <v>7</v>
      </c>
      <c r="G373" s="31" t="s">
        <v>19</v>
      </c>
      <c r="H373" s="31" t="s">
        <v>84</v>
      </c>
      <c r="I373" s="31"/>
      <c r="J373" s="60"/>
      <c r="K373" s="60"/>
      <c r="L373" s="60"/>
      <c r="M373" s="60">
        <v>9</v>
      </c>
      <c r="N373" s="60"/>
      <c r="O373" s="60"/>
      <c r="P373" s="60"/>
      <c r="Q373" s="60"/>
      <c r="R373" s="570"/>
      <c r="S373" s="60"/>
      <c r="T373" s="143">
        <f>IF(NFI_Expiration=1,IF($A373&lt;VLOOKUP(I$5,NFI,5,0),1,0)*Data_NFI_t[[#This Row],[Hygiene Kit]],0)</f>
        <v>0</v>
      </c>
      <c r="U373" s="143">
        <f>IF(NFI_Expiration=1,IF($A373&lt;VLOOKUP(J$5,NFI,5,0),1,0)*Data_NFI_t[[#This Row],[NFI Core Kit]],0)</f>
        <v>0</v>
      </c>
      <c r="V373" s="124">
        <f>IF(NFI_Expiration=1,IF($A373&lt;VLOOKUP(K$5,NFI,5,0),1,0)*Data_NFI_t[[#This Row],[Sanitary Kit]],0)</f>
        <v>0</v>
      </c>
      <c r="W373" s="124">
        <f>IF(NFI_Expiration=1,IF($A373&lt;VLOOKUP(L$5,NFI,5,0),1,0)*Data_NFI_t[[#This Row],[Mosquito net]],0)</f>
        <v>0</v>
      </c>
      <c r="X373" s="124">
        <f>IF(NFI_Expiration=1,IF($A373&lt;VLOOKUP(M$5,NFI,5,0),1,0)*Data_NFI_t[[#This Row],[Tarpaulin]],0)</f>
        <v>0</v>
      </c>
      <c r="Y373" s="124">
        <f>IF(NFI_Expiration=1,IF($A373&lt;VLOOKUP(N$5,NFI,5,0),1,0)*Data_NFI_t[[#This Row],[Blanket]],0)</f>
        <v>0</v>
      </c>
      <c r="Z373" s="124">
        <f>IF(NFI_Expiration=1,IF($A373&lt;VLOOKUP(O$5,NFI,5,0),1,0)*Data_NFI_t[[#This Row],[Kitchen Set]],0)</f>
        <v>0</v>
      </c>
      <c r="AA373" s="124">
        <f>IF(NFI_Expiration=1,IF($A373&lt;VLOOKUP(P$5,NFI,5,0),1,0)*Data_NFI_t[[#This Row],[Complementary Kit]],0)</f>
        <v>0</v>
      </c>
      <c r="AB373" s="124">
        <f>IF(NFI_Expiration=1,IF($A373&lt;VLOOKUP(Q$5,NFI,5,0),1,0)*Data_NFI_t[[#This Row],[Plastic Bucket]],0)</f>
        <v>0</v>
      </c>
      <c r="AC373" s="124">
        <f>IF(NFI_Expiration=1,IF($A373&lt;VLOOKUP(R$5,NFI,5,0),1,0)*Data_NFI_t[[#This Row],[Jerry Can]],0)</f>
        <v>0</v>
      </c>
      <c r="AD373" s="143">
        <f>IF(NFI_Expiration=1,IF($A373&lt;VLOOKUP(S$5,NFI,5,0),1,0)*Data_NFI_t[[#This Row],[Plastic Mat]],0)*IF(Data_NFI_t[[#This Row],[Distribution Date]]&gt;"01-06-2015",1,2.5)</f>
        <v>0</v>
      </c>
      <c r="AE373" s="143" t="str">
        <f ca="1">IFERROR(OFFSET(Camp_List[P_Code],MATCH(Data_NFI_t[[#This Row],[Camp Name]],Camp_List[Camp Name],0)-1,0,1,1),"")</f>
        <v>MMR012CMP062</v>
      </c>
      <c r="AF373" s="572" t="str">
        <f ca="1">IFERROR(OFFSET(Camp_List[Status],MATCH(Data_NFI_t[[#This Row],[Camp Name]],Camp_List[Camp Name],0)-1,0,1,1),"")</f>
        <v>Close</v>
      </c>
    </row>
    <row r="374" spans="1:32" s="100" customFormat="1" ht="15" customHeight="1">
      <c r="A374" s="254">
        <f t="shared" si="5"/>
        <v>47.5</v>
      </c>
      <c r="B374" s="254">
        <f>YEAR(Data_NFI_t[[#This Row],[Distribution Date]])</f>
        <v>2012</v>
      </c>
      <c r="C374" s="585">
        <v>41097</v>
      </c>
      <c r="D374" s="547" t="s">
        <v>287</v>
      </c>
      <c r="E374" s="546"/>
      <c r="F374" s="547" t="s">
        <v>7</v>
      </c>
      <c r="G374" s="31" t="s">
        <v>19</v>
      </c>
      <c r="H374" s="31" t="s">
        <v>87</v>
      </c>
      <c r="I374" s="31"/>
      <c r="J374" s="60"/>
      <c r="K374" s="60"/>
      <c r="L374" s="60"/>
      <c r="M374" s="60">
        <v>201</v>
      </c>
      <c r="N374" s="60"/>
      <c r="O374" s="60"/>
      <c r="P374" s="60"/>
      <c r="Q374" s="60"/>
      <c r="R374" s="570"/>
      <c r="S374" s="60"/>
      <c r="T374" s="143">
        <f>IF(NFI_Expiration=1,IF($A374&lt;VLOOKUP(I$5,NFI,5,0),1,0)*Data_NFI_t[[#This Row],[Hygiene Kit]],0)</f>
        <v>0</v>
      </c>
      <c r="U374" s="143">
        <f>IF(NFI_Expiration=1,IF($A374&lt;VLOOKUP(J$5,NFI,5,0),1,0)*Data_NFI_t[[#This Row],[NFI Core Kit]],0)</f>
        <v>0</v>
      </c>
      <c r="V374" s="124">
        <f>IF(NFI_Expiration=1,IF($A374&lt;VLOOKUP(K$5,NFI,5,0),1,0)*Data_NFI_t[[#This Row],[Sanitary Kit]],0)</f>
        <v>0</v>
      </c>
      <c r="W374" s="124">
        <f>IF(NFI_Expiration=1,IF($A374&lt;VLOOKUP(L$5,NFI,5,0),1,0)*Data_NFI_t[[#This Row],[Mosquito net]],0)</f>
        <v>0</v>
      </c>
      <c r="X374" s="124">
        <f>IF(NFI_Expiration=1,IF($A374&lt;VLOOKUP(M$5,NFI,5,0),1,0)*Data_NFI_t[[#This Row],[Tarpaulin]],0)</f>
        <v>0</v>
      </c>
      <c r="Y374" s="124">
        <f>IF(NFI_Expiration=1,IF($A374&lt;VLOOKUP(N$5,NFI,5,0),1,0)*Data_NFI_t[[#This Row],[Blanket]],0)</f>
        <v>0</v>
      </c>
      <c r="Z374" s="124">
        <f>IF(NFI_Expiration=1,IF($A374&lt;VLOOKUP(O$5,NFI,5,0),1,0)*Data_NFI_t[[#This Row],[Kitchen Set]],0)</f>
        <v>0</v>
      </c>
      <c r="AA374" s="124">
        <f>IF(NFI_Expiration=1,IF($A374&lt;VLOOKUP(P$5,NFI,5,0),1,0)*Data_NFI_t[[#This Row],[Complementary Kit]],0)</f>
        <v>0</v>
      </c>
      <c r="AB374" s="124">
        <f>IF(NFI_Expiration=1,IF($A374&lt;VLOOKUP(Q$5,NFI,5,0),1,0)*Data_NFI_t[[#This Row],[Plastic Bucket]],0)</f>
        <v>0</v>
      </c>
      <c r="AC374" s="124">
        <f>IF(NFI_Expiration=1,IF($A374&lt;VLOOKUP(R$5,NFI,5,0),1,0)*Data_NFI_t[[#This Row],[Jerry Can]],0)</f>
        <v>0</v>
      </c>
      <c r="AD374" s="143">
        <f>IF(NFI_Expiration=1,IF($A374&lt;VLOOKUP(S$5,NFI,5,0),1,0)*Data_NFI_t[[#This Row],[Plastic Mat]],0)*IF(Data_NFI_t[[#This Row],[Distribution Date]]&gt;"01-06-2015",1,2.5)</f>
        <v>0</v>
      </c>
      <c r="AE374" s="143" t="str">
        <f ca="1">IFERROR(OFFSET(Camp_List[P_Code],MATCH(Data_NFI_t[[#This Row],[Camp Name]],Camp_List[Camp Name],0)-1,0,1,1),"")</f>
        <v>MMR012CMP065</v>
      </c>
      <c r="AF374" s="572" t="str">
        <f ca="1">IFERROR(OFFSET(Camp_List[Status],MATCH(Data_NFI_t[[#This Row],[Camp Name]],Camp_List[Camp Name],0)-1,0,1,1),"")</f>
        <v>Close</v>
      </c>
    </row>
    <row r="375" spans="1:32" s="100" customFormat="1" ht="15" customHeight="1">
      <c r="A375" s="254">
        <f t="shared" si="5"/>
        <v>47.5</v>
      </c>
      <c r="B375" s="254">
        <f>YEAR(Data_NFI_t[[#This Row],[Distribution Date]])</f>
        <v>2012</v>
      </c>
      <c r="C375" s="585">
        <v>41097</v>
      </c>
      <c r="D375" s="547" t="s">
        <v>287</v>
      </c>
      <c r="E375" s="546"/>
      <c r="F375" s="547" t="s">
        <v>7</v>
      </c>
      <c r="G375" s="31" t="s">
        <v>19</v>
      </c>
      <c r="H375" s="31" t="s">
        <v>96</v>
      </c>
      <c r="I375" s="31"/>
      <c r="J375" s="60"/>
      <c r="K375" s="60"/>
      <c r="L375" s="60"/>
      <c r="M375" s="60">
        <v>52</v>
      </c>
      <c r="N375" s="60"/>
      <c r="O375" s="60"/>
      <c r="P375" s="60"/>
      <c r="Q375" s="60"/>
      <c r="R375" s="570"/>
      <c r="S375" s="60"/>
      <c r="T375" s="143">
        <f>IF(NFI_Expiration=1,IF($A375&lt;VLOOKUP(I$5,NFI,5,0),1,0)*Data_NFI_t[[#This Row],[Hygiene Kit]],0)</f>
        <v>0</v>
      </c>
      <c r="U375" s="143">
        <f>IF(NFI_Expiration=1,IF($A375&lt;VLOOKUP(J$5,NFI,5,0),1,0)*Data_NFI_t[[#This Row],[NFI Core Kit]],0)</f>
        <v>0</v>
      </c>
      <c r="V375" s="124">
        <f>IF(NFI_Expiration=1,IF($A375&lt;VLOOKUP(K$5,NFI,5,0),1,0)*Data_NFI_t[[#This Row],[Sanitary Kit]],0)</f>
        <v>0</v>
      </c>
      <c r="W375" s="124">
        <f>IF(NFI_Expiration=1,IF($A375&lt;VLOOKUP(L$5,NFI,5,0),1,0)*Data_NFI_t[[#This Row],[Mosquito net]],0)</f>
        <v>0</v>
      </c>
      <c r="X375" s="124">
        <f>IF(NFI_Expiration=1,IF($A375&lt;VLOOKUP(M$5,NFI,5,0),1,0)*Data_NFI_t[[#This Row],[Tarpaulin]],0)</f>
        <v>0</v>
      </c>
      <c r="Y375" s="124">
        <f>IF(NFI_Expiration=1,IF($A375&lt;VLOOKUP(N$5,NFI,5,0),1,0)*Data_NFI_t[[#This Row],[Blanket]],0)</f>
        <v>0</v>
      </c>
      <c r="Z375" s="124">
        <f>IF(NFI_Expiration=1,IF($A375&lt;VLOOKUP(O$5,NFI,5,0),1,0)*Data_NFI_t[[#This Row],[Kitchen Set]],0)</f>
        <v>0</v>
      </c>
      <c r="AA375" s="124">
        <f>IF(NFI_Expiration=1,IF($A375&lt;VLOOKUP(P$5,NFI,5,0),1,0)*Data_NFI_t[[#This Row],[Complementary Kit]],0)</f>
        <v>0</v>
      </c>
      <c r="AB375" s="124">
        <f>IF(NFI_Expiration=1,IF($A375&lt;VLOOKUP(Q$5,NFI,5,0),1,0)*Data_NFI_t[[#This Row],[Plastic Bucket]],0)</f>
        <v>0</v>
      </c>
      <c r="AC375" s="124">
        <f>IF(NFI_Expiration=1,IF($A375&lt;VLOOKUP(R$5,NFI,5,0),1,0)*Data_NFI_t[[#This Row],[Jerry Can]],0)</f>
        <v>0</v>
      </c>
      <c r="AD375" s="143">
        <f>IF(NFI_Expiration=1,IF($A375&lt;VLOOKUP(S$5,NFI,5,0),1,0)*Data_NFI_t[[#This Row],[Plastic Mat]],0)*IF(Data_NFI_t[[#This Row],[Distribution Date]]&gt;"01-06-2015",1,2.5)</f>
        <v>0</v>
      </c>
      <c r="AE375" s="143" t="str">
        <f ca="1">IFERROR(OFFSET(Camp_List[P_Code],MATCH(Data_NFI_t[[#This Row],[Camp Name]],Camp_List[Camp Name],0)-1,0,1,1),"")</f>
        <v>MMR012CMP074</v>
      </c>
      <c r="AF375" s="572" t="str">
        <f ca="1">IFERROR(OFFSET(Camp_List[Status],MATCH(Data_NFI_t[[#This Row],[Camp Name]],Camp_List[Camp Name],0)-1,0,1,1),"")</f>
        <v>Close</v>
      </c>
    </row>
    <row r="376" spans="1:32" s="100" customFormat="1" ht="15" customHeight="1">
      <c r="A376" s="254">
        <f t="shared" si="5"/>
        <v>47.56666666666667</v>
      </c>
      <c r="B376" s="254">
        <f>YEAR(Data_NFI_t[[#This Row],[Distribution Date]])</f>
        <v>2012</v>
      </c>
      <c r="C376" s="585">
        <v>41095</v>
      </c>
      <c r="D376" s="547" t="s">
        <v>287</v>
      </c>
      <c r="E376" s="546"/>
      <c r="F376" s="547" t="s">
        <v>7</v>
      </c>
      <c r="G376" s="31" t="s">
        <v>19</v>
      </c>
      <c r="H376" s="31" t="s">
        <v>91</v>
      </c>
      <c r="I376" s="31"/>
      <c r="J376" s="60"/>
      <c r="K376" s="60"/>
      <c r="L376" s="60"/>
      <c r="M376" s="60">
        <v>43</v>
      </c>
      <c r="N376" s="60"/>
      <c r="O376" s="60"/>
      <c r="P376" s="60"/>
      <c r="Q376" s="60"/>
      <c r="R376" s="570"/>
      <c r="S376" s="60"/>
      <c r="T376" s="143">
        <f>IF(NFI_Expiration=1,IF($A376&lt;VLOOKUP(I$5,NFI,5,0),1,0)*Data_NFI_t[[#This Row],[Hygiene Kit]],0)</f>
        <v>0</v>
      </c>
      <c r="U376" s="143">
        <f>IF(NFI_Expiration=1,IF($A376&lt;VLOOKUP(J$5,NFI,5,0),1,0)*Data_NFI_t[[#This Row],[NFI Core Kit]],0)</f>
        <v>0</v>
      </c>
      <c r="V376" s="124">
        <f>IF(NFI_Expiration=1,IF($A376&lt;VLOOKUP(K$5,NFI,5,0),1,0)*Data_NFI_t[[#This Row],[Sanitary Kit]],0)</f>
        <v>0</v>
      </c>
      <c r="W376" s="124">
        <f>IF(NFI_Expiration=1,IF($A376&lt;VLOOKUP(L$5,NFI,5,0),1,0)*Data_NFI_t[[#This Row],[Mosquito net]],0)</f>
        <v>0</v>
      </c>
      <c r="X376" s="124">
        <f>IF(NFI_Expiration=1,IF($A376&lt;VLOOKUP(M$5,NFI,5,0),1,0)*Data_NFI_t[[#This Row],[Tarpaulin]],0)</f>
        <v>0</v>
      </c>
      <c r="Y376" s="124">
        <f>IF(NFI_Expiration=1,IF($A376&lt;VLOOKUP(N$5,NFI,5,0),1,0)*Data_NFI_t[[#This Row],[Blanket]],0)</f>
        <v>0</v>
      </c>
      <c r="Z376" s="124">
        <f>IF(NFI_Expiration=1,IF($A376&lt;VLOOKUP(O$5,NFI,5,0),1,0)*Data_NFI_t[[#This Row],[Kitchen Set]],0)</f>
        <v>0</v>
      </c>
      <c r="AA376" s="124">
        <f>IF(NFI_Expiration=1,IF($A376&lt;VLOOKUP(P$5,NFI,5,0),1,0)*Data_NFI_t[[#This Row],[Complementary Kit]],0)</f>
        <v>0</v>
      </c>
      <c r="AB376" s="124">
        <f>IF(NFI_Expiration=1,IF($A376&lt;VLOOKUP(Q$5,NFI,5,0),1,0)*Data_NFI_t[[#This Row],[Plastic Bucket]],0)</f>
        <v>0</v>
      </c>
      <c r="AC376" s="124">
        <f>IF(NFI_Expiration=1,IF($A376&lt;VLOOKUP(R$5,NFI,5,0),1,0)*Data_NFI_t[[#This Row],[Jerry Can]],0)</f>
        <v>0</v>
      </c>
      <c r="AD376" s="143">
        <f>IF(NFI_Expiration=1,IF($A376&lt;VLOOKUP(S$5,NFI,5,0),1,0)*Data_NFI_t[[#This Row],[Plastic Mat]],0)*IF(Data_NFI_t[[#This Row],[Distribution Date]]&gt;"01-06-2015",1,2.5)</f>
        <v>0</v>
      </c>
      <c r="AE376" s="143" t="str">
        <f ca="1">IFERROR(OFFSET(Camp_List[P_Code],MATCH(Data_NFI_t[[#This Row],[Camp Name]],Camp_List[Camp Name],0)-1,0,1,1),"")</f>
        <v>MMR012CMP069</v>
      </c>
      <c r="AF376" s="572" t="str">
        <f ca="1">IFERROR(OFFSET(Camp_List[Status],MATCH(Data_NFI_t[[#This Row],[Camp Name]],Camp_List[Camp Name],0)-1,0,1,1),"")</f>
        <v>Close</v>
      </c>
    </row>
    <row r="377" spans="1:32" s="100" customFormat="1" ht="15" customHeight="1">
      <c r="A377" s="254">
        <f t="shared" si="5"/>
        <v>47.56666666666667</v>
      </c>
      <c r="B377" s="254">
        <f>YEAR(Data_NFI_t[[#This Row],[Distribution Date]])</f>
        <v>2012</v>
      </c>
      <c r="C377" s="585">
        <v>41095</v>
      </c>
      <c r="D377" s="547" t="s">
        <v>287</v>
      </c>
      <c r="E377" s="546"/>
      <c r="F377" s="547" t="s">
        <v>7</v>
      </c>
      <c r="G377" s="31" t="s">
        <v>19</v>
      </c>
      <c r="H377" s="31" t="s">
        <v>258</v>
      </c>
      <c r="I377" s="31"/>
      <c r="J377" s="60"/>
      <c r="K377" s="60"/>
      <c r="L377" s="60"/>
      <c r="M377" s="60">
        <v>171</v>
      </c>
      <c r="N377" s="60"/>
      <c r="O377" s="60"/>
      <c r="P377" s="60"/>
      <c r="Q377" s="60"/>
      <c r="R377" s="570"/>
      <c r="S377" s="60"/>
      <c r="T377" s="143">
        <f>IF(NFI_Expiration=1,IF($A377&lt;VLOOKUP(I$5,NFI,5,0),1,0)*Data_NFI_t[[#This Row],[Hygiene Kit]],0)</f>
        <v>0</v>
      </c>
      <c r="U377" s="143">
        <f>IF(NFI_Expiration=1,IF($A377&lt;VLOOKUP(J$5,NFI,5,0),1,0)*Data_NFI_t[[#This Row],[NFI Core Kit]],0)</f>
        <v>0</v>
      </c>
      <c r="V377" s="124">
        <f>IF(NFI_Expiration=1,IF($A377&lt;VLOOKUP(K$5,NFI,5,0),1,0)*Data_NFI_t[[#This Row],[Sanitary Kit]],0)</f>
        <v>0</v>
      </c>
      <c r="W377" s="124">
        <f>IF(NFI_Expiration=1,IF($A377&lt;VLOOKUP(L$5,NFI,5,0),1,0)*Data_NFI_t[[#This Row],[Mosquito net]],0)</f>
        <v>0</v>
      </c>
      <c r="X377" s="124">
        <f>IF(NFI_Expiration=1,IF($A377&lt;VLOOKUP(M$5,NFI,5,0),1,0)*Data_NFI_t[[#This Row],[Tarpaulin]],0)</f>
        <v>0</v>
      </c>
      <c r="Y377" s="124">
        <f>IF(NFI_Expiration=1,IF($A377&lt;VLOOKUP(N$5,NFI,5,0),1,0)*Data_NFI_t[[#This Row],[Blanket]],0)</f>
        <v>0</v>
      </c>
      <c r="Z377" s="124">
        <f>IF(NFI_Expiration=1,IF($A377&lt;VLOOKUP(O$5,NFI,5,0),1,0)*Data_NFI_t[[#This Row],[Kitchen Set]],0)</f>
        <v>0</v>
      </c>
      <c r="AA377" s="124">
        <f>IF(NFI_Expiration=1,IF($A377&lt;VLOOKUP(P$5,NFI,5,0),1,0)*Data_NFI_t[[#This Row],[Complementary Kit]],0)</f>
        <v>0</v>
      </c>
      <c r="AB377" s="124">
        <f>IF(NFI_Expiration=1,IF($A377&lt;VLOOKUP(Q$5,NFI,5,0),1,0)*Data_NFI_t[[#This Row],[Plastic Bucket]],0)</f>
        <v>0</v>
      </c>
      <c r="AC377" s="124">
        <f>IF(NFI_Expiration=1,IF($A377&lt;VLOOKUP(R$5,NFI,5,0),1,0)*Data_NFI_t[[#This Row],[Jerry Can]],0)</f>
        <v>0</v>
      </c>
      <c r="AD377" s="143">
        <f>IF(NFI_Expiration=1,IF($A377&lt;VLOOKUP(S$5,NFI,5,0),1,0)*Data_NFI_t[[#This Row],[Plastic Mat]],0)*IF(Data_NFI_t[[#This Row],[Distribution Date]]&gt;"01-06-2015",1,2.5)</f>
        <v>0</v>
      </c>
      <c r="AE377" s="143" t="str">
        <f ca="1">IFERROR(OFFSET(Camp_List[P_Code],MATCH(Data_NFI_t[[#This Row],[Camp Name]],Camp_List[Camp Name],0)-1,0,1,1),"")</f>
        <v/>
      </c>
      <c r="AF377" s="572" t="str">
        <f ca="1">IFERROR(OFFSET(Camp_List[Status],MATCH(Data_NFI_t[[#This Row],[Camp Name]],Camp_List[Camp Name],0)-1,0,1,1),"")</f>
        <v/>
      </c>
    </row>
    <row r="378" spans="1:32" s="100" customFormat="1" ht="15" customHeight="1">
      <c r="A378" s="254">
        <f t="shared" si="5"/>
        <v>47.56666666666667</v>
      </c>
      <c r="B378" s="254">
        <f>YEAR(Data_NFI_t[[#This Row],[Distribution Date]])</f>
        <v>2012</v>
      </c>
      <c r="C378" s="585">
        <v>41095</v>
      </c>
      <c r="D378" s="547" t="s">
        <v>287</v>
      </c>
      <c r="E378" s="546"/>
      <c r="F378" s="547" t="s">
        <v>7</v>
      </c>
      <c r="G378" s="31" t="s">
        <v>19</v>
      </c>
      <c r="H378" s="31" t="s">
        <v>63</v>
      </c>
      <c r="I378" s="31"/>
      <c r="J378" s="60"/>
      <c r="K378" s="60"/>
      <c r="L378" s="60"/>
      <c r="M378" s="60">
        <v>18</v>
      </c>
      <c r="N378" s="60"/>
      <c r="O378" s="60"/>
      <c r="P378" s="60"/>
      <c r="Q378" s="60"/>
      <c r="R378" s="570"/>
      <c r="S378" s="60"/>
      <c r="T378" s="143">
        <f>IF(NFI_Expiration=1,IF($A378&lt;VLOOKUP(I$5,NFI,5,0),1,0)*Data_NFI_t[[#This Row],[Hygiene Kit]],0)</f>
        <v>0</v>
      </c>
      <c r="U378" s="143">
        <f>IF(NFI_Expiration=1,IF($A378&lt;VLOOKUP(J$5,NFI,5,0),1,0)*Data_NFI_t[[#This Row],[NFI Core Kit]],0)</f>
        <v>0</v>
      </c>
      <c r="V378" s="124">
        <f>IF(NFI_Expiration=1,IF($A378&lt;VLOOKUP(K$5,NFI,5,0),1,0)*Data_NFI_t[[#This Row],[Sanitary Kit]],0)</f>
        <v>0</v>
      </c>
      <c r="W378" s="124">
        <f>IF(NFI_Expiration=1,IF($A378&lt;VLOOKUP(L$5,NFI,5,0),1,0)*Data_NFI_t[[#This Row],[Mosquito net]],0)</f>
        <v>0</v>
      </c>
      <c r="X378" s="124">
        <f>IF(NFI_Expiration=1,IF($A378&lt;VLOOKUP(M$5,NFI,5,0),1,0)*Data_NFI_t[[#This Row],[Tarpaulin]],0)</f>
        <v>0</v>
      </c>
      <c r="Y378" s="124">
        <f>IF(NFI_Expiration=1,IF($A378&lt;VLOOKUP(N$5,NFI,5,0),1,0)*Data_NFI_t[[#This Row],[Blanket]],0)</f>
        <v>0</v>
      </c>
      <c r="Z378" s="124">
        <f>IF(NFI_Expiration=1,IF($A378&lt;VLOOKUP(O$5,NFI,5,0),1,0)*Data_NFI_t[[#This Row],[Kitchen Set]],0)</f>
        <v>0</v>
      </c>
      <c r="AA378" s="124">
        <f>IF(NFI_Expiration=1,IF($A378&lt;VLOOKUP(P$5,NFI,5,0),1,0)*Data_NFI_t[[#This Row],[Complementary Kit]],0)</f>
        <v>0</v>
      </c>
      <c r="AB378" s="124">
        <f>IF(NFI_Expiration=1,IF($A378&lt;VLOOKUP(Q$5,NFI,5,0),1,0)*Data_NFI_t[[#This Row],[Plastic Bucket]],0)</f>
        <v>0</v>
      </c>
      <c r="AC378" s="124">
        <f>IF(NFI_Expiration=1,IF($A378&lt;VLOOKUP(R$5,NFI,5,0),1,0)*Data_NFI_t[[#This Row],[Jerry Can]],0)</f>
        <v>0</v>
      </c>
      <c r="AD378" s="143">
        <f>IF(NFI_Expiration=1,IF($A378&lt;VLOOKUP(S$5,NFI,5,0),1,0)*Data_NFI_t[[#This Row],[Plastic Mat]],0)*IF(Data_NFI_t[[#This Row],[Distribution Date]]&gt;"01-06-2015",1,2.5)</f>
        <v>0</v>
      </c>
      <c r="AE378" s="143" t="str">
        <f ca="1">IFERROR(OFFSET(Camp_List[P_Code],MATCH(Data_NFI_t[[#This Row],[Camp Name]],Camp_List[Camp Name],0)-1,0,1,1),"")</f>
        <v>MMR012CMP041</v>
      </c>
      <c r="AF378" s="572" t="str">
        <f ca="1">IFERROR(OFFSET(Camp_List[Status],MATCH(Data_NFI_t[[#This Row],[Camp Name]],Camp_List[Camp Name],0)-1,0,1,1),"")</f>
        <v>Open</v>
      </c>
    </row>
    <row r="379" spans="1:32" s="100" customFormat="1" ht="15" customHeight="1">
      <c r="A379" s="254">
        <f t="shared" si="5"/>
        <v>47.56666666666667</v>
      </c>
      <c r="B379" s="254">
        <f>YEAR(Data_NFI_t[[#This Row],[Distribution Date]])</f>
        <v>2012</v>
      </c>
      <c r="C379" s="585">
        <v>41095</v>
      </c>
      <c r="D379" s="547" t="s">
        <v>287</v>
      </c>
      <c r="E379" s="546"/>
      <c r="F379" s="547" t="s">
        <v>7</v>
      </c>
      <c r="G379" s="31" t="s">
        <v>19</v>
      </c>
      <c r="H379" s="31" t="s">
        <v>95</v>
      </c>
      <c r="I379" s="31"/>
      <c r="J379" s="60"/>
      <c r="K379" s="60"/>
      <c r="L379" s="60"/>
      <c r="M379" s="60">
        <v>36</v>
      </c>
      <c r="N379" s="60"/>
      <c r="O379" s="60"/>
      <c r="P379" s="60"/>
      <c r="Q379" s="60"/>
      <c r="R379" s="570"/>
      <c r="S379" s="60"/>
      <c r="T379" s="143">
        <f>IF(NFI_Expiration=1,IF($A379&lt;VLOOKUP(I$5,NFI,5,0),1,0)*Data_NFI_t[[#This Row],[Hygiene Kit]],0)</f>
        <v>0</v>
      </c>
      <c r="U379" s="143">
        <f>IF(NFI_Expiration=1,IF($A379&lt;VLOOKUP(J$5,NFI,5,0),1,0)*Data_NFI_t[[#This Row],[NFI Core Kit]],0)</f>
        <v>0</v>
      </c>
      <c r="V379" s="124">
        <f>IF(NFI_Expiration=1,IF($A379&lt;VLOOKUP(K$5,NFI,5,0),1,0)*Data_NFI_t[[#This Row],[Sanitary Kit]],0)</f>
        <v>0</v>
      </c>
      <c r="W379" s="124">
        <f>IF(NFI_Expiration=1,IF($A379&lt;VLOOKUP(L$5,NFI,5,0),1,0)*Data_NFI_t[[#This Row],[Mosquito net]],0)</f>
        <v>0</v>
      </c>
      <c r="X379" s="124">
        <f>IF(NFI_Expiration=1,IF($A379&lt;VLOOKUP(M$5,NFI,5,0),1,0)*Data_NFI_t[[#This Row],[Tarpaulin]],0)</f>
        <v>0</v>
      </c>
      <c r="Y379" s="124">
        <f>IF(NFI_Expiration=1,IF($A379&lt;VLOOKUP(N$5,NFI,5,0),1,0)*Data_NFI_t[[#This Row],[Blanket]],0)</f>
        <v>0</v>
      </c>
      <c r="Z379" s="124">
        <f>IF(NFI_Expiration=1,IF($A379&lt;VLOOKUP(O$5,NFI,5,0),1,0)*Data_NFI_t[[#This Row],[Kitchen Set]],0)</f>
        <v>0</v>
      </c>
      <c r="AA379" s="124">
        <f>IF(NFI_Expiration=1,IF($A379&lt;VLOOKUP(P$5,NFI,5,0),1,0)*Data_NFI_t[[#This Row],[Complementary Kit]],0)</f>
        <v>0</v>
      </c>
      <c r="AB379" s="124">
        <f>IF(NFI_Expiration=1,IF($A379&lt;VLOOKUP(Q$5,NFI,5,0),1,0)*Data_NFI_t[[#This Row],[Plastic Bucket]],0)</f>
        <v>0</v>
      </c>
      <c r="AC379" s="124">
        <f>IF(NFI_Expiration=1,IF($A379&lt;VLOOKUP(R$5,NFI,5,0),1,0)*Data_NFI_t[[#This Row],[Jerry Can]],0)</f>
        <v>0</v>
      </c>
      <c r="AD379" s="143">
        <f>IF(NFI_Expiration=1,IF($A379&lt;VLOOKUP(S$5,NFI,5,0),1,0)*Data_NFI_t[[#This Row],[Plastic Mat]],0)*IF(Data_NFI_t[[#This Row],[Distribution Date]]&gt;"01-06-2015",1,2.5)</f>
        <v>0</v>
      </c>
      <c r="AE379" s="143" t="str">
        <f ca="1">IFERROR(OFFSET(Camp_List[P_Code],MATCH(Data_NFI_t[[#This Row],[Camp Name]],Camp_List[Camp Name],0)-1,0,1,1),"")</f>
        <v>MMR012CMP073</v>
      </c>
      <c r="AF379" s="572" t="str">
        <f ca="1">IFERROR(OFFSET(Camp_List[Status],MATCH(Data_NFI_t[[#This Row],[Camp Name]],Camp_List[Camp Name],0)-1,0,1,1),"")</f>
        <v>Close</v>
      </c>
    </row>
    <row r="380" spans="1:32" s="100" customFormat="1" ht="15" customHeight="1">
      <c r="A380" s="254">
        <f t="shared" si="5"/>
        <v>47.56666666666667</v>
      </c>
      <c r="B380" s="254">
        <f>YEAR(Data_NFI_t[[#This Row],[Distribution Date]])</f>
        <v>2012</v>
      </c>
      <c r="C380" s="585">
        <v>41095</v>
      </c>
      <c r="D380" s="547" t="s">
        <v>287</v>
      </c>
      <c r="E380" s="546"/>
      <c r="F380" s="547" t="s">
        <v>7</v>
      </c>
      <c r="G380" s="31" t="s">
        <v>19</v>
      </c>
      <c r="H380" s="31" t="s">
        <v>83</v>
      </c>
      <c r="I380" s="31"/>
      <c r="J380" s="60"/>
      <c r="K380" s="60"/>
      <c r="L380" s="60"/>
      <c r="M380" s="60">
        <v>69</v>
      </c>
      <c r="N380" s="60"/>
      <c r="O380" s="60"/>
      <c r="P380" s="60"/>
      <c r="Q380" s="60"/>
      <c r="R380" s="570"/>
      <c r="S380" s="60"/>
      <c r="T380" s="143">
        <f>IF(NFI_Expiration=1,IF($A380&lt;VLOOKUP(I$5,NFI,5,0),1,0)*Data_NFI_t[[#This Row],[Hygiene Kit]],0)</f>
        <v>0</v>
      </c>
      <c r="U380" s="143">
        <f>IF(NFI_Expiration=1,IF($A380&lt;VLOOKUP(J$5,NFI,5,0),1,0)*Data_NFI_t[[#This Row],[NFI Core Kit]],0)</f>
        <v>0</v>
      </c>
      <c r="V380" s="124">
        <f>IF(NFI_Expiration=1,IF($A380&lt;VLOOKUP(K$5,NFI,5,0),1,0)*Data_NFI_t[[#This Row],[Sanitary Kit]],0)</f>
        <v>0</v>
      </c>
      <c r="W380" s="124">
        <f>IF(NFI_Expiration=1,IF($A380&lt;VLOOKUP(L$5,NFI,5,0),1,0)*Data_NFI_t[[#This Row],[Mosquito net]],0)</f>
        <v>0</v>
      </c>
      <c r="X380" s="124">
        <f>IF(NFI_Expiration=1,IF($A380&lt;VLOOKUP(M$5,NFI,5,0),1,0)*Data_NFI_t[[#This Row],[Tarpaulin]],0)</f>
        <v>0</v>
      </c>
      <c r="Y380" s="124">
        <f>IF(NFI_Expiration=1,IF($A380&lt;VLOOKUP(N$5,NFI,5,0),1,0)*Data_NFI_t[[#This Row],[Blanket]],0)</f>
        <v>0</v>
      </c>
      <c r="Z380" s="124">
        <f>IF(NFI_Expiration=1,IF($A380&lt;VLOOKUP(O$5,NFI,5,0),1,0)*Data_NFI_t[[#This Row],[Kitchen Set]],0)</f>
        <v>0</v>
      </c>
      <c r="AA380" s="124">
        <f>IF(NFI_Expiration=1,IF($A380&lt;VLOOKUP(P$5,NFI,5,0),1,0)*Data_NFI_t[[#This Row],[Complementary Kit]],0)</f>
        <v>0</v>
      </c>
      <c r="AB380" s="124">
        <f>IF(NFI_Expiration=1,IF($A380&lt;VLOOKUP(Q$5,NFI,5,0),1,0)*Data_NFI_t[[#This Row],[Plastic Bucket]],0)</f>
        <v>0</v>
      </c>
      <c r="AC380" s="124">
        <f>IF(NFI_Expiration=1,IF($A380&lt;VLOOKUP(R$5,NFI,5,0),1,0)*Data_NFI_t[[#This Row],[Jerry Can]],0)</f>
        <v>0</v>
      </c>
      <c r="AD380" s="143">
        <f>IF(NFI_Expiration=1,IF($A380&lt;VLOOKUP(S$5,NFI,5,0),1,0)*Data_NFI_t[[#This Row],[Plastic Mat]],0)*IF(Data_NFI_t[[#This Row],[Distribution Date]]&gt;"01-06-2015",1,2.5)</f>
        <v>0</v>
      </c>
      <c r="AE380" s="143" t="str">
        <f ca="1">IFERROR(OFFSET(Camp_List[P_Code],MATCH(Data_NFI_t[[#This Row],[Camp Name]],Camp_List[Camp Name],0)-1,0,1,1),"")</f>
        <v>MMR012CMP061</v>
      </c>
      <c r="AF380" s="572" t="str">
        <f ca="1">IFERROR(OFFSET(Camp_List[Status],MATCH(Data_NFI_t[[#This Row],[Camp Name]],Camp_List[Camp Name],0)-1,0,1,1),"")</f>
        <v>Close</v>
      </c>
    </row>
    <row r="381" spans="1:32" s="100" customFormat="1" ht="15" customHeight="1">
      <c r="A381" s="254">
        <f t="shared" si="5"/>
        <v>47.56666666666667</v>
      </c>
      <c r="B381" s="254">
        <f>YEAR(Data_NFI_t[[#This Row],[Distribution Date]])</f>
        <v>2012</v>
      </c>
      <c r="C381" s="585">
        <v>41095</v>
      </c>
      <c r="D381" s="547" t="s">
        <v>287</v>
      </c>
      <c r="E381" s="546"/>
      <c r="F381" s="547" t="s">
        <v>7</v>
      </c>
      <c r="G381" s="31" t="s">
        <v>19</v>
      </c>
      <c r="H381" s="31" t="s">
        <v>64</v>
      </c>
      <c r="I381" s="31"/>
      <c r="J381" s="60"/>
      <c r="K381" s="60"/>
      <c r="L381" s="60"/>
      <c r="M381" s="60">
        <v>132</v>
      </c>
      <c r="N381" s="60"/>
      <c r="O381" s="60"/>
      <c r="P381" s="60"/>
      <c r="Q381" s="60"/>
      <c r="R381" s="570"/>
      <c r="S381" s="60"/>
      <c r="T381" s="143">
        <f>IF(NFI_Expiration=1,IF($A381&lt;VLOOKUP(I$5,NFI,5,0),1,0)*Data_NFI_t[[#This Row],[Hygiene Kit]],0)</f>
        <v>0</v>
      </c>
      <c r="U381" s="143">
        <f>IF(NFI_Expiration=1,IF($A381&lt;VLOOKUP(J$5,NFI,5,0),1,0)*Data_NFI_t[[#This Row],[NFI Core Kit]],0)</f>
        <v>0</v>
      </c>
      <c r="V381" s="124">
        <f>IF(NFI_Expiration=1,IF($A381&lt;VLOOKUP(K$5,NFI,5,0),1,0)*Data_NFI_t[[#This Row],[Sanitary Kit]],0)</f>
        <v>0</v>
      </c>
      <c r="W381" s="124">
        <f>IF(NFI_Expiration=1,IF($A381&lt;VLOOKUP(L$5,NFI,5,0),1,0)*Data_NFI_t[[#This Row],[Mosquito net]],0)</f>
        <v>0</v>
      </c>
      <c r="X381" s="124">
        <f>IF(NFI_Expiration=1,IF($A381&lt;VLOOKUP(M$5,NFI,5,0),1,0)*Data_NFI_t[[#This Row],[Tarpaulin]],0)</f>
        <v>0</v>
      </c>
      <c r="Y381" s="124">
        <f>IF(NFI_Expiration=1,IF($A381&lt;VLOOKUP(N$5,NFI,5,0),1,0)*Data_NFI_t[[#This Row],[Blanket]],0)</f>
        <v>0</v>
      </c>
      <c r="Z381" s="124">
        <f>IF(NFI_Expiration=1,IF($A381&lt;VLOOKUP(O$5,NFI,5,0),1,0)*Data_NFI_t[[#This Row],[Kitchen Set]],0)</f>
        <v>0</v>
      </c>
      <c r="AA381" s="124">
        <f>IF(NFI_Expiration=1,IF($A381&lt;VLOOKUP(P$5,NFI,5,0),1,0)*Data_NFI_t[[#This Row],[Complementary Kit]],0)</f>
        <v>0</v>
      </c>
      <c r="AB381" s="124">
        <f>IF(NFI_Expiration=1,IF($A381&lt;VLOOKUP(Q$5,NFI,5,0),1,0)*Data_NFI_t[[#This Row],[Plastic Bucket]],0)</f>
        <v>0</v>
      </c>
      <c r="AC381" s="124">
        <f>IF(NFI_Expiration=1,IF($A381&lt;VLOOKUP(R$5,NFI,5,0),1,0)*Data_NFI_t[[#This Row],[Jerry Can]],0)</f>
        <v>0</v>
      </c>
      <c r="AD381" s="143">
        <f>IF(NFI_Expiration=1,IF($A381&lt;VLOOKUP(S$5,NFI,5,0),1,0)*Data_NFI_t[[#This Row],[Plastic Mat]],0)*IF(Data_NFI_t[[#This Row],[Distribution Date]]&gt;"01-06-2015",1,2.5)</f>
        <v>0</v>
      </c>
      <c r="AE381" s="143" t="str">
        <f ca="1">IFERROR(OFFSET(Camp_List[P_Code],MATCH(Data_NFI_t[[#This Row],[Camp Name]],Camp_List[Camp Name],0)-1,0,1,1),"")</f>
        <v>MMR012CMP042</v>
      </c>
      <c r="AF381" s="572" t="str">
        <f ca="1">IFERROR(OFFSET(Camp_List[Status],MATCH(Data_NFI_t[[#This Row],[Camp Name]],Camp_List[Camp Name],0)-1,0,1,1),"")</f>
        <v>Open</v>
      </c>
    </row>
    <row r="382" spans="1:32" s="100" customFormat="1" ht="15" customHeight="1">
      <c r="A382" s="254">
        <f t="shared" si="5"/>
        <v>47.56666666666667</v>
      </c>
      <c r="B382" s="254">
        <f>YEAR(Data_NFI_t[[#This Row],[Distribution Date]])</f>
        <v>2012</v>
      </c>
      <c r="C382" s="585">
        <v>41095</v>
      </c>
      <c r="D382" s="547" t="s">
        <v>287</v>
      </c>
      <c r="E382" s="546"/>
      <c r="F382" s="547" t="s">
        <v>7</v>
      </c>
      <c r="G382" s="31" t="s">
        <v>19</v>
      </c>
      <c r="H382" s="31" t="s">
        <v>88</v>
      </c>
      <c r="I382" s="31"/>
      <c r="J382" s="60"/>
      <c r="K382" s="60"/>
      <c r="L382" s="60"/>
      <c r="M382" s="60">
        <v>280</v>
      </c>
      <c r="N382" s="60"/>
      <c r="O382" s="60"/>
      <c r="P382" s="60"/>
      <c r="Q382" s="60"/>
      <c r="R382" s="570"/>
      <c r="S382" s="60"/>
      <c r="T382" s="143">
        <f>IF(NFI_Expiration=1,IF($A382&lt;VLOOKUP(I$5,NFI,5,0),1,0)*Data_NFI_t[[#This Row],[Hygiene Kit]],0)</f>
        <v>0</v>
      </c>
      <c r="U382" s="143">
        <f>IF(NFI_Expiration=1,IF($A382&lt;VLOOKUP(J$5,NFI,5,0),1,0)*Data_NFI_t[[#This Row],[NFI Core Kit]],0)</f>
        <v>0</v>
      </c>
      <c r="V382" s="124">
        <f>IF(NFI_Expiration=1,IF($A382&lt;VLOOKUP(K$5,NFI,5,0),1,0)*Data_NFI_t[[#This Row],[Sanitary Kit]],0)</f>
        <v>0</v>
      </c>
      <c r="W382" s="124">
        <f>IF(NFI_Expiration=1,IF($A382&lt;VLOOKUP(L$5,NFI,5,0),1,0)*Data_NFI_t[[#This Row],[Mosquito net]],0)</f>
        <v>0</v>
      </c>
      <c r="X382" s="124">
        <f>IF(NFI_Expiration=1,IF($A382&lt;VLOOKUP(M$5,NFI,5,0),1,0)*Data_NFI_t[[#This Row],[Tarpaulin]],0)</f>
        <v>0</v>
      </c>
      <c r="Y382" s="124">
        <f>IF(NFI_Expiration=1,IF($A382&lt;VLOOKUP(N$5,NFI,5,0),1,0)*Data_NFI_t[[#This Row],[Blanket]],0)</f>
        <v>0</v>
      </c>
      <c r="Z382" s="124">
        <f>IF(NFI_Expiration=1,IF($A382&lt;VLOOKUP(O$5,NFI,5,0),1,0)*Data_NFI_t[[#This Row],[Kitchen Set]],0)</f>
        <v>0</v>
      </c>
      <c r="AA382" s="124">
        <f>IF(NFI_Expiration=1,IF($A382&lt;VLOOKUP(P$5,NFI,5,0),1,0)*Data_NFI_t[[#This Row],[Complementary Kit]],0)</f>
        <v>0</v>
      </c>
      <c r="AB382" s="124">
        <f>IF(NFI_Expiration=1,IF($A382&lt;VLOOKUP(Q$5,NFI,5,0),1,0)*Data_NFI_t[[#This Row],[Plastic Bucket]],0)</f>
        <v>0</v>
      </c>
      <c r="AC382" s="124">
        <f>IF(NFI_Expiration=1,IF($A382&lt;VLOOKUP(R$5,NFI,5,0),1,0)*Data_NFI_t[[#This Row],[Jerry Can]],0)</f>
        <v>0</v>
      </c>
      <c r="AD382" s="143">
        <f>IF(NFI_Expiration=1,IF($A382&lt;VLOOKUP(S$5,NFI,5,0),1,0)*Data_NFI_t[[#This Row],[Plastic Mat]],0)*IF(Data_NFI_t[[#This Row],[Distribution Date]]&gt;"01-06-2015",1,2.5)</f>
        <v>0</v>
      </c>
      <c r="AE382" s="143" t="str">
        <f ca="1">IFERROR(OFFSET(Camp_List[P_Code],MATCH(Data_NFI_t[[#This Row],[Camp Name]],Camp_List[Camp Name],0)-1,0,1,1),"")</f>
        <v>MMR012CMP066</v>
      </c>
      <c r="AF382" s="572" t="str">
        <f ca="1">IFERROR(OFFSET(Camp_List[Status],MATCH(Data_NFI_t[[#This Row],[Camp Name]],Camp_List[Camp Name],0)-1,0,1,1),"")</f>
        <v>Close</v>
      </c>
    </row>
    <row r="383" spans="1:32" s="100" customFormat="1" ht="15" customHeight="1">
      <c r="A383" s="254">
        <f t="shared" si="5"/>
        <v>47.733333333333334</v>
      </c>
      <c r="B383" s="254">
        <f>YEAR(Data_NFI_t[[#This Row],[Distribution Date]])</f>
        <v>2012</v>
      </c>
      <c r="C383" s="585">
        <v>41090</v>
      </c>
      <c r="D383" s="547" t="s">
        <v>287</v>
      </c>
      <c r="E383" s="546"/>
      <c r="F383" s="547" t="s">
        <v>7</v>
      </c>
      <c r="G383" s="31" t="s">
        <v>19</v>
      </c>
      <c r="H383" s="31" t="s">
        <v>77</v>
      </c>
      <c r="I383" s="31"/>
      <c r="J383" s="60"/>
      <c r="K383" s="60"/>
      <c r="L383" s="60"/>
      <c r="M383" s="60">
        <v>103</v>
      </c>
      <c r="N383" s="60"/>
      <c r="O383" s="60"/>
      <c r="P383" s="60"/>
      <c r="Q383" s="60"/>
      <c r="R383" s="570"/>
      <c r="S383" s="60"/>
      <c r="T383" s="143">
        <f>IF(NFI_Expiration=1,IF($A383&lt;VLOOKUP(I$5,NFI,5,0),1,0)*Data_NFI_t[[#This Row],[Hygiene Kit]],0)</f>
        <v>0</v>
      </c>
      <c r="U383" s="143">
        <f>IF(NFI_Expiration=1,IF($A383&lt;VLOOKUP(J$5,NFI,5,0),1,0)*Data_NFI_t[[#This Row],[NFI Core Kit]],0)</f>
        <v>0</v>
      </c>
      <c r="V383" s="124">
        <f>IF(NFI_Expiration=1,IF($A383&lt;VLOOKUP(K$5,NFI,5,0),1,0)*Data_NFI_t[[#This Row],[Sanitary Kit]],0)</f>
        <v>0</v>
      </c>
      <c r="W383" s="124">
        <f>IF(NFI_Expiration=1,IF($A383&lt;VLOOKUP(L$5,NFI,5,0),1,0)*Data_NFI_t[[#This Row],[Mosquito net]],0)</f>
        <v>0</v>
      </c>
      <c r="X383" s="124">
        <f>IF(NFI_Expiration=1,IF($A383&lt;VLOOKUP(M$5,NFI,5,0),1,0)*Data_NFI_t[[#This Row],[Tarpaulin]],0)</f>
        <v>0</v>
      </c>
      <c r="Y383" s="124">
        <f>IF(NFI_Expiration=1,IF($A383&lt;VLOOKUP(N$5,NFI,5,0),1,0)*Data_NFI_t[[#This Row],[Blanket]],0)</f>
        <v>0</v>
      </c>
      <c r="Z383" s="124">
        <f>IF(NFI_Expiration=1,IF($A383&lt;VLOOKUP(O$5,NFI,5,0),1,0)*Data_NFI_t[[#This Row],[Kitchen Set]],0)</f>
        <v>0</v>
      </c>
      <c r="AA383" s="124">
        <f>IF(NFI_Expiration=1,IF($A383&lt;VLOOKUP(P$5,NFI,5,0),1,0)*Data_NFI_t[[#This Row],[Complementary Kit]],0)</f>
        <v>0</v>
      </c>
      <c r="AB383" s="124">
        <f>IF(NFI_Expiration=1,IF($A383&lt;VLOOKUP(Q$5,NFI,5,0),1,0)*Data_NFI_t[[#This Row],[Plastic Bucket]],0)</f>
        <v>0</v>
      </c>
      <c r="AC383" s="124">
        <f>IF(NFI_Expiration=1,IF($A383&lt;VLOOKUP(R$5,NFI,5,0),1,0)*Data_NFI_t[[#This Row],[Jerry Can]],0)</f>
        <v>0</v>
      </c>
      <c r="AD383" s="143">
        <f>IF(NFI_Expiration=1,IF($A383&lt;VLOOKUP(S$5,NFI,5,0),1,0)*Data_NFI_t[[#This Row],[Plastic Mat]],0)*IF(Data_NFI_t[[#This Row],[Distribution Date]]&gt;"01-06-2015",1,2.5)</f>
        <v>0</v>
      </c>
      <c r="AE383" s="143" t="str">
        <f ca="1">IFERROR(OFFSET(Camp_List[P_Code],MATCH(Data_NFI_t[[#This Row],[Camp Name]],Camp_List[Camp Name],0)-1,0,1,1),"")</f>
        <v>MMR012CMP055</v>
      </c>
      <c r="AF383" s="572" t="str">
        <f ca="1">IFERROR(OFFSET(Camp_List[Status],MATCH(Data_NFI_t[[#This Row],[Camp Name]],Camp_List[Camp Name],0)-1,0,1,1),"")</f>
        <v>Close</v>
      </c>
    </row>
    <row r="384" spans="1:32" s="100" customFormat="1" ht="15" customHeight="1">
      <c r="A384" s="254">
        <f t="shared" si="5"/>
        <v>47.733333333333334</v>
      </c>
      <c r="B384" s="254">
        <f>YEAR(Data_NFI_t[[#This Row],[Distribution Date]])</f>
        <v>2012</v>
      </c>
      <c r="C384" s="585">
        <v>41090</v>
      </c>
      <c r="D384" s="547" t="s">
        <v>287</v>
      </c>
      <c r="E384" s="546"/>
      <c r="F384" s="547" t="s">
        <v>7</v>
      </c>
      <c r="G384" s="31" t="s">
        <v>19</v>
      </c>
      <c r="H384" s="31" t="s">
        <v>255</v>
      </c>
      <c r="I384" s="31"/>
      <c r="J384" s="60"/>
      <c r="K384" s="60"/>
      <c r="L384" s="60"/>
      <c r="M384" s="60">
        <v>36</v>
      </c>
      <c r="N384" s="60"/>
      <c r="O384" s="60"/>
      <c r="P384" s="60"/>
      <c r="Q384" s="60"/>
      <c r="R384" s="570"/>
      <c r="S384" s="60"/>
      <c r="T384" s="143">
        <f>IF(NFI_Expiration=1,IF($A384&lt;VLOOKUP(I$5,NFI,5,0),1,0)*Data_NFI_t[[#This Row],[Hygiene Kit]],0)</f>
        <v>0</v>
      </c>
      <c r="U384" s="143">
        <f>IF(NFI_Expiration=1,IF($A384&lt;VLOOKUP(J$5,NFI,5,0),1,0)*Data_NFI_t[[#This Row],[NFI Core Kit]],0)</f>
        <v>0</v>
      </c>
      <c r="V384" s="124">
        <f>IF(NFI_Expiration=1,IF($A384&lt;VLOOKUP(K$5,NFI,5,0),1,0)*Data_NFI_t[[#This Row],[Sanitary Kit]],0)</f>
        <v>0</v>
      </c>
      <c r="W384" s="124">
        <f>IF(NFI_Expiration=1,IF($A384&lt;VLOOKUP(L$5,NFI,5,0),1,0)*Data_NFI_t[[#This Row],[Mosquito net]],0)</f>
        <v>0</v>
      </c>
      <c r="X384" s="124">
        <f>IF(NFI_Expiration=1,IF($A384&lt;VLOOKUP(M$5,NFI,5,0),1,0)*Data_NFI_t[[#This Row],[Tarpaulin]],0)</f>
        <v>0</v>
      </c>
      <c r="Y384" s="124">
        <f>IF(NFI_Expiration=1,IF($A384&lt;VLOOKUP(N$5,NFI,5,0),1,0)*Data_NFI_t[[#This Row],[Blanket]],0)</f>
        <v>0</v>
      </c>
      <c r="Z384" s="124">
        <f>IF(NFI_Expiration=1,IF($A384&lt;VLOOKUP(O$5,NFI,5,0),1,0)*Data_NFI_t[[#This Row],[Kitchen Set]],0)</f>
        <v>0</v>
      </c>
      <c r="AA384" s="124">
        <f>IF(NFI_Expiration=1,IF($A384&lt;VLOOKUP(P$5,NFI,5,0),1,0)*Data_NFI_t[[#This Row],[Complementary Kit]],0)</f>
        <v>0</v>
      </c>
      <c r="AB384" s="124">
        <f>IF(NFI_Expiration=1,IF($A384&lt;VLOOKUP(Q$5,NFI,5,0),1,0)*Data_NFI_t[[#This Row],[Plastic Bucket]],0)</f>
        <v>0</v>
      </c>
      <c r="AC384" s="124">
        <f>IF(NFI_Expiration=1,IF($A384&lt;VLOOKUP(R$5,NFI,5,0),1,0)*Data_NFI_t[[#This Row],[Jerry Can]],0)</f>
        <v>0</v>
      </c>
      <c r="AD384" s="143">
        <f>IF(NFI_Expiration=1,IF($A384&lt;VLOOKUP(S$5,NFI,5,0),1,0)*Data_NFI_t[[#This Row],[Plastic Mat]],0)*IF(Data_NFI_t[[#This Row],[Distribution Date]]&gt;"01-06-2015",1,2.5)</f>
        <v>0</v>
      </c>
      <c r="AE384" s="143" t="str">
        <f ca="1">IFERROR(OFFSET(Camp_List[P_Code],MATCH(Data_NFI_t[[#This Row],[Camp Name]],Camp_List[Camp Name],0)-1,0,1,1),"")</f>
        <v/>
      </c>
      <c r="AF384" s="572" t="str">
        <f ca="1">IFERROR(OFFSET(Camp_List[Status],MATCH(Data_NFI_t[[#This Row],[Camp Name]],Camp_List[Camp Name],0)-1,0,1,1),"")</f>
        <v/>
      </c>
    </row>
    <row r="385" spans="1:32" s="100" customFormat="1" ht="15" customHeight="1">
      <c r="A385" s="254">
        <f t="shared" si="5"/>
        <v>47.733333333333334</v>
      </c>
      <c r="B385" s="254">
        <f>YEAR(Data_NFI_t[[#This Row],[Distribution Date]])</f>
        <v>2012</v>
      </c>
      <c r="C385" s="585">
        <v>41090</v>
      </c>
      <c r="D385" s="547" t="s">
        <v>287</v>
      </c>
      <c r="E385" s="546"/>
      <c r="F385" s="547" t="s">
        <v>7</v>
      </c>
      <c r="G385" s="31" t="s">
        <v>19</v>
      </c>
      <c r="H385" s="31" t="s">
        <v>257</v>
      </c>
      <c r="I385" s="31"/>
      <c r="J385" s="60"/>
      <c r="K385" s="60"/>
      <c r="L385" s="60"/>
      <c r="M385" s="60">
        <v>36</v>
      </c>
      <c r="N385" s="60"/>
      <c r="O385" s="60"/>
      <c r="P385" s="60"/>
      <c r="Q385" s="60"/>
      <c r="R385" s="570"/>
      <c r="S385" s="60"/>
      <c r="T385" s="143">
        <f>IF(NFI_Expiration=1,IF($A385&lt;VLOOKUP(I$5,NFI,5,0),1,0)*Data_NFI_t[[#This Row],[Hygiene Kit]],0)</f>
        <v>0</v>
      </c>
      <c r="U385" s="143">
        <f>IF(NFI_Expiration=1,IF($A385&lt;VLOOKUP(J$5,NFI,5,0),1,0)*Data_NFI_t[[#This Row],[NFI Core Kit]],0)</f>
        <v>0</v>
      </c>
      <c r="V385" s="124">
        <f>IF(NFI_Expiration=1,IF($A385&lt;VLOOKUP(K$5,NFI,5,0),1,0)*Data_NFI_t[[#This Row],[Sanitary Kit]],0)</f>
        <v>0</v>
      </c>
      <c r="W385" s="124">
        <f>IF(NFI_Expiration=1,IF($A385&lt;VLOOKUP(L$5,NFI,5,0),1,0)*Data_NFI_t[[#This Row],[Mosquito net]],0)</f>
        <v>0</v>
      </c>
      <c r="X385" s="124">
        <f>IF(NFI_Expiration=1,IF($A385&lt;VLOOKUP(M$5,NFI,5,0),1,0)*Data_NFI_t[[#This Row],[Tarpaulin]],0)</f>
        <v>0</v>
      </c>
      <c r="Y385" s="124">
        <f>IF(NFI_Expiration=1,IF($A385&lt;VLOOKUP(N$5,NFI,5,0),1,0)*Data_NFI_t[[#This Row],[Blanket]],0)</f>
        <v>0</v>
      </c>
      <c r="Z385" s="124">
        <f>IF(NFI_Expiration=1,IF($A385&lt;VLOOKUP(O$5,NFI,5,0),1,0)*Data_NFI_t[[#This Row],[Kitchen Set]],0)</f>
        <v>0</v>
      </c>
      <c r="AA385" s="124">
        <f>IF(NFI_Expiration=1,IF($A385&lt;VLOOKUP(P$5,NFI,5,0),1,0)*Data_NFI_t[[#This Row],[Complementary Kit]],0)</f>
        <v>0</v>
      </c>
      <c r="AB385" s="124">
        <f>IF(NFI_Expiration=1,IF($A385&lt;VLOOKUP(Q$5,NFI,5,0),1,0)*Data_NFI_t[[#This Row],[Plastic Bucket]],0)</f>
        <v>0</v>
      </c>
      <c r="AC385" s="124">
        <f>IF(NFI_Expiration=1,IF($A385&lt;VLOOKUP(R$5,NFI,5,0),1,0)*Data_NFI_t[[#This Row],[Jerry Can]],0)</f>
        <v>0</v>
      </c>
      <c r="AD385" s="143">
        <f>IF(NFI_Expiration=1,IF($A385&lt;VLOOKUP(S$5,NFI,5,0),1,0)*Data_NFI_t[[#This Row],[Plastic Mat]],0)*IF(Data_NFI_t[[#This Row],[Distribution Date]]&gt;"01-06-2015",1,2.5)</f>
        <v>0</v>
      </c>
      <c r="AE385" s="143" t="str">
        <f ca="1">IFERROR(OFFSET(Camp_List[P_Code],MATCH(Data_NFI_t[[#This Row],[Camp Name]],Camp_List[Camp Name],0)-1,0,1,1),"")</f>
        <v/>
      </c>
      <c r="AF385" s="572" t="str">
        <f ca="1">IFERROR(OFFSET(Camp_List[Status],MATCH(Data_NFI_t[[#This Row],[Camp Name]],Camp_List[Camp Name],0)-1,0,1,1),"")</f>
        <v/>
      </c>
    </row>
    <row r="386" spans="1:32" s="100" customFormat="1" ht="15" customHeight="1">
      <c r="A386" s="254">
        <f t="shared" si="5"/>
        <v>47.733333333333334</v>
      </c>
      <c r="B386" s="254">
        <f>YEAR(Data_NFI_t[[#This Row],[Distribution Date]])</f>
        <v>2012</v>
      </c>
      <c r="C386" s="585">
        <v>41090</v>
      </c>
      <c r="D386" s="547" t="s">
        <v>287</v>
      </c>
      <c r="E386" s="546"/>
      <c r="F386" s="547" t="s">
        <v>7</v>
      </c>
      <c r="G386" s="31" t="s">
        <v>19</v>
      </c>
      <c r="H386" s="31" t="s">
        <v>86</v>
      </c>
      <c r="I386" s="31"/>
      <c r="J386" s="60"/>
      <c r="K386" s="60"/>
      <c r="L386" s="60"/>
      <c r="M386" s="60">
        <v>9</v>
      </c>
      <c r="N386" s="60"/>
      <c r="O386" s="60"/>
      <c r="P386" s="60"/>
      <c r="Q386" s="60"/>
      <c r="R386" s="570"/>
      <c r="S386" s="60"/>
      <c r="T386" s="143">
        <f>IF(NFI_Expiration=1,IF($A386&lt;VLOOKUP(I$5,NFI,5,0),1,0)*Data_NFI_t[[#This Row],[Hygiene Kit]],0)</f>
        <v>0</v>
      </c>
      <c r="U386" s="143">
        <f>IF(NFI_Expiration=1,IF($A386&lt;VLOOKUP(J$5,NFI,5,0),1,0)*Data_NFI_t[[#This Row],[NFI Core Kit]],0)</f>
        <v>0</v>
      </c>
      <c r="V386" s="124">
        <f>IF(NFI_Expiration=1,IF($A386&lt;VLOOKUP(K$5,NFI,5,0),1,0)*Data_NFI_t[[#This Row],[Sanitary Kit]],0)</f>
        <v>0</v>
      </c>
      <c r="W386" s="124">
        <f>IF(NFI_Expiration=1,IF($A386&lt;VLOOKUP(L$5,NFI,5,0),1,0)*Data_NFI_t[[#This Row],[Mosquito net]],0)</f>
        <v>0</v>
      </c>
      <c r="X386" s="124">
        <f>IF(NFI_Expiration=1,IF($A386&lt;VLOOKUP(M$5,NFI,5,0),1,0)*Data_NFI_t[[#This Row],[Tarpaulin]],0)</f>
        <v>0</v>
      </c>
      <c r="Y386" s="124">
        <f>IF(NFI_Expiration=1,IF($A386&lt;VLOOKUP(N$5,NFI,5,0),1,0)*Data_NFI_t[[#This Row],[Blanket]],0)</f>
        <v>0</v>
      </c>
      <c r="Z386" s="124">
        <f>IF(NFI_Expiration=1,IF($A386&lt;VLOOKUP(O$5,NFI,5,0),1,0)*Data_NFI_t[[#This Row],[Kitchen Set]],0)</f>
        <v>0</v>
      </c>
      <c r="AA386" s="124">
        <f>IF(NFI_Expiration=1,IF($A386&lt;VLOOKUP(P$5,NFI,5,0),1,0)*Data_NFI_t[[#This Row],[Complementary Kit]],0)</f>
        <v>0</v>
      </c>
      <c r="AB386" s="124">
        <f>IF(NFI_Expiration=1,IF($A386&lt;VLOOKUP(Q$5,NFI,5,0),1,0)*Data_NFI_t[[#This Row],[Plastic Bucket]],0)</f>
        <v>0</v>
      </c>
      <c r="AC386" s="124">
        <f>IF(NFI_Expiration=1,IF($A386&lt;VLOOKUP(R$5,NFI,5,0),1,0)*Data_NFI_t[[#This Row],[Jerry Can]],0)</f>
        <v>0</v>
      </c>
      <c r="AD386" s="143">
        <f>IF(NFI_Expiration=1,IF($A386&lt;VLOOKUP(S$5,NFI,5,0),1,0)*Data_NFI_t[[#This Row],[Plastic Mat]],0)*IF(Data_NFI_t[[#This Row],[Distribution Date]]&gt;"01-06-2015",1,2.5)</f>
        <v>0</v>
      </c>
      <c r="AE386" s="143" t="str">
        <f ca="1">IFERROR(OFFSET(Camp_List[P_Code],MATCH(Data_NFI_t[[#This Row],[Camp Name]],Camp_List[Camp Name],0)-1,0,1,1),"")</f>
        <v>MMR012CMP064</v>
      </c>
      <c r="AF386" s="572" t="str">
        <f ca="1">IFERROR(OFFSET(Camp_List[Status],MATCH(Data_NFI_t[[#This Row],[Camp Name]],Camp_List[Camp Name],0)-1,0,1,1),"")</f>
        <v>Close</v>
      </c>
    </row>
    <row r="387" spans="1:32" s="100" customFormat="1" ht="15" customHeight="1">
      <c r="A387" s="254">
        <f t="shared" si="5"/>
        <v>47.733333333333334</v>
      </c>
      <c r="B387" s="254">
        <f>YEAR(Data_NFI_t[[#This Row],[Distribution Date]])</f>
        <v>2012</v>
      </c>
      <c r="C387" s="585">
        <v>41090</v>
      </c>
      <c r="D387" s="547" t="s">
        <v>287</v>
      </c>
      <c r="E387" s="546"/>
      <c r="F387" s="547" t="s">
        <v>7</v>
      </c>
      <c r="G387" s="31" t="s">
        <v>19</v>
      </c>
      <c r="H387" s="31" t="s">
        <v>256</v>
      </c>
      <c r="I387" s="31"/>
      <c r="J387" s="60"/>
      <c r="K387" s="60"/>
      <c r="L387" s="60"/>
      <c r="M387" s="60">
        <v>20</v>
      </c>
      <c r="N387" s="60"/>
      <c r="O387" s="60"/>
      <c r="P387" s="60"/>
      <c r="Q387" s="60"/>
      <c r="R387" s="570"/>
      <c r="S387" s="60"/>
      <c r="T387" s="143">
        <f>IF(NFI_Expiration=1,IF($A387&lt;VLOOKUP(I$5,NFI,5,0),1,0)*Data_NFI_t[[#This Row],[Hygiene Kit]],0)</f>
        <v>0</v>
      </c>
      <c r="U387" s="143">
        <f>IF(NFI_Expiration=1,IF($A387&lt;VLOOKUP(J$5,NFI,5,0),1,0)*Data_NFI_t[[#This Row],[NFI Core Kit]],0)</f>
        <v>0</v>
      </c>
      <c r="V387" s="124">
        <f>IF(NFI_Expiration=1,IF($A387&lt;VLOOKUP(K$5,NFI,5,0),1,0)*Data_NFI_t[[#This Row],[Sanitary Kit]],0)</f>
        <v>0</v>
      </c>
      <c r="W387" s="124">
        <f>IF(NFI_Expiration=1,IF($A387&lt;VLOOKUP(L$5,NFI,5,0),1,0)*Data_NFI_t[[#This Row],[Mosquito net]],0)</f>
        <v>0</v>
      </c>
      <c r="X387" s="124">
        <f>IF(NFI_Expiration=1,IF($A387&lt;VLOOKUP(M$5,NFI,5,0),1,0)*Data_NFI_t[[#This Row],[Tarpaulin]],0)</f>
        <v>0</v>
      </c>
      <c r="Y387" s="124">
        <f>IF(NFI_Expiration=1,IF($A387&lt;VLOOKUP(N$5,NFI,5,0),1,0)*Data_NFI_t[[#This Row],[Blanket]],0)</f>
        <v>0</v>
      </c>
      <c r="Z387" s="124">
        <f>IF(NFI_Expiration=1,IF($A387&lt;VLOOKUP(O$5,NFI,5,0),1,0)*Data_NFI_t[[#This Row],[Kitchen Set]],0)</f>
        <v>0</v>
      </c>
      <c r="AA387" s="124">
        <f>IF(NFI_Expiration=1,IF($A387&lt;VLOOKUP(P$5,NFI,5,0),1,0)*Data_NFI_t[[#This Row],[Complementary Kit]],0)</f>
        <v>0</v>
      </c>
      <c r="AB387" s="124">
        <f>IF(NFI_Expiration=1,IF($A387&lt;VLOOKUP(Q$5,NFI,5,0),1,0)*Data_NFI_t[[#This Row],[Plastic Bucket]],0)</f>
        <v>0</v>
      </c>
      <c r="AC387" s="124">
        <f>IF(NFI_Expiration=1,IF($A387&lt;VLOOKUP(R$5,NFI,5,0),1,0)*Data_NFI_t[[#This Row],[Jerry Can]],0)</f>
        <v>0</v>
      </c>
      <c r="AD387" s="143">
        <f>IF(NFI_Expiration=1,IF($A387&lt;VLOOKUP(S$5,NFI,5,0),1,0)*Data_NFI_t[[#This Row],[Plastic Mat]],0)*IF(Data_NFI_t[[#This Row],[Distribution Date]]&gt;"01-06-2015",1,2.5)</f>
        <v>0</v>
      </c>
      <c r="AE387" s="143" t="str">
        <f ca="1">IFERROR(OFFSET(Camp_List[P_Code],MATCH(Data_NFI_t[[#This Row],[Camp Name]],Camp_List[Camp Name],0)-1,0,1,1),"")</f>
        <v/>
      </c>
      <c r="AF387" s="572" t="str">
        <f ca="1">IFERROR(OFFSET(Camp_List[Status],MATCH(Data_NFI_t[[#This Row],[Camp Name]],Camp_List[Camp Name],0)-1,0,1,1),"")</f>
        <v/>
      </c>
    </row>
    <row r="388" spans="1:32" s="100" customFormat="1" ht="15" customHeight="1">
      <c r="A388" s="254">
        <f t="shared" si="5"/>
        <v>47.733333333333334</v>
      </c>
      <c r="B388" s="254">
        <f>YEAR(Data_NFI_t[[#This Row],[Distribution Date]])</f>
        <v>2012</v>
      </c>
      <c r="C388" s="585">
        <v>41090</v>
      </c>
      <c r="D388" s="547" t="s">
        <v>287</v>
      </c>
      <c r="E388" s="546"/>
      <c r="F388" s="547" t="s">
        <v>7</v>
      </c>
      <c r="G388" s="31" t="s">
        <v>19</v>
      </c>
      <c r="H388" s="31" t="s">
        <v>254</v>
      </c>
      <c r="I388" s="31"/>
      <c r="J388" s="60"/>
      <c r="K388" s="60"/>
      <c r="L388" s="60"/>
      <c r="M388" s="60">
        <v>35</v>
      </c>
      <c r="N388" s="60"/>
      <c r="O388" s="60"/>
      <c r="P388" s="60"/>
      <c r="Q388" s="60"/>
      <c r="R388" s="570"/>
      <c r="S388" s="60"/>
      <c r="T388" s="143">
        <f>IF(NFI_Expiration=1,IF($A388&lt;VLOOKUP(I$5,NFI,5,0),1,0)*Data_NFI_t[[#This Row],[Hygiene Kit]],0)</f>
        <v>0</v>
      </c>
      <c r="U388" s="143">
        <f>IF(NFI_Expiration=1,IF($A388&lt;VLOOKUP(J$5,NFI,5,0),1,0)*Data_NFI_t[[#This Row],[NFI Core Kit]],0)</f>
        <v>0</v>
      </c>
      <c r="V388" s="124">
        <f>IF(NFI_Expiration=1,IF($A388&lt;VLOOKUP(K$5,NFI,5,0),1,0)*Data_NFI_t[[#This Row],[Sanitary Kit]],0)</f>
        <v>0</v>
      </c>
      <c r="W388" s="124">
        <f>IF(NFI_Expiration=1,IF($A388&lt;VLOOKUP(L$5,NFI,5,0),1,0)*Data_NFI_t[[#This Row],[Mosquito net]],0)</f>
        <v>0</v>
      </c>
      <c r="X388" s="124">
        <f>IF(NFI_Expiration=1,IF($A388&lt;VLOOKUP(M$5,NFI,5,0),1,0)*Data_NFI_t[[#This Row],[Tarpaulin]],0)</f>
        <v>0</v>
      </c>
      <c r="Y388" s="124">
        <f>IF(NFI_Expiration=1,IF($A388&lt;VLOOKUP(N$5,NFI,5,0),1,0)*Data_NFI_t[[#This Row],[Blanket]],0)</f>
        <v>0</v>
      </c>
      <c r="Z388" s="124">
        <f>IF(NFI_Expiration=1,IF($A388&lt;VLOOKUP(O$5,NFI,5,0),1,0)*Data_NFI_t[[#This Row],[Kitchen Set]],0)</f>
        <v>0</v>
      </c>
      <c r="AA388" s="124">
        <f>IF(NFI_Expiration=1,IF($A388&lt;VLOOKUP(P$5,NFI,5,0),1,0)*Data_NFI_t[[#This Row],[Complementary Kit]],0)</f>
        <v>0</v>
      </c>
      <c r="AB388" s="124">
        <f>IF(NFI_Expiration=1,IF($A388&lt;VLOOKUP(Q$5,NFI,5,0),1,0)*Data_NFI_t[[#This Row],[Plastic Bucket]],0)</f>
        <v>0</v>
      </c>
      <c r="AC388" s="124">
        <f>IF(NFI_Expiration=1,IF($A388&lt;VLOOKUP(R$5,NFI,5,0),1,0)*Data_NFI_t[[#This Row],[Jerry Can]],0)</f>
        <v>0</v>
      </c>
      <c r="AD388" s="143">
        <f>IF(NFI_Expiration=1,IF($A388&lt;VLOOKUP(S$5,NFI,5,0),1,0)*Data_NFI_t[[#This Row],[Plastic Mat]],0)*IF(Data_NFI_t[[#This Row],[Distribution Date]]&gt;"01-06-2015",1,2.5)</f>
        <v>0</v>
      </c>
      <c r="AE388" s="143" t="str">
        <f ca="1">IFERROR(OFFSET(Camp_List[P_Code],MATCH(Data_NFI_t[[#This Row],[Camp Name]],Camp_List[Camp Name],0)-1,0,1,1),"")</f>
        <v/>
      </c>
      <c r="AF388" s="572" t="str">
        <f ca="1">IFERROR(OFFSET(Camp_List[Status],MATCH(Data_NFI_t[[#This Row],[Camp Name]],Camp_List[Camp Name],0)-1,0,1,1),"")</f>
        <v/>
      </c>
    </row>
    <row r="389" spans="1:32" s="100" customFormat="1" ht="15" customHeight="1">
      <c r="A389" s="254">
        <f t="shared" si="5"/>
        <v>47.766666666666666</v>
      </c>
      <c r="B389" s="254">
        <f>YEAR(Data_NFI_t[[#This Row],[Distribution Date]])</f>
        <v>2012</v>
      </c>
      <c r="C389" s="585">
        <v>41089</v>
      </c>
      <c r="D389" s="547" t="s">
        <v>287</v>
      </c>
      <c r="E389" s="546"/>
      <c r="F389" s="547" t="s">
        <v>7</v>
      </c>
      <c r="G389" s="31" t="s">
        <v>19</v>
      </c>
      <c r="H389" s="31" t="s">
        <v>81</v>
      </c>
      <c r="I389" s="31"/>
      <c r="J389" s="60"/>
      <c r="K389" s="60"/>
      <c r="L389" s="60"/>
      <c r="M389" s="60">
        <v>66</v>
      </c>
      <c r="N389" s="60"/>
      <c r="O389" s="60"/>
      <c r="P389" s="60"/>
      <c r="Q389" s="60"/>
      <c r="R389" s="570"/>
      <c r="S389" s="60"/>
      <c r="T389" s="143">
        <f>IF(NFI_Expiration=1,IF($A389&lt;VLOOKUP(I$5,NFI,5,0),1,0)*Data_NFI_t[[#This Row],[Hygiene Kit]],0)</f>
        <v>0</v>
      </c>
      <c r="U389" s="143">
        <f>IF(NFI_Expiration=1,IF($A389&lt;VLOOKUP(J$5,NFI,5,0),1,0)*Data_NFI_t[[#This Row],[NFI Core Kit]],0)</f>
        <v>0</v>
      </c>
      <c r="V389" s="124">
        <f>IF(NFI_Expiration=1,IF($A389&lt;VLOOKUP(K$5,NFI,5,0),1,0)*Data_NFI_t[[#This Row],[Sanitary Kit]],0)</f>
        <v>0</v>
      </c>
      <c r="W389" s="124">
        <f>IF(NFI_Expiration=1,IF($A389&lt;VLOOKUP(L$5,NFI,5,0),1,0)*Data_NFI_t[[#This Row],[Mosquito net]],0)</f>
        <v>0</v>
      </c>
      <c r="X389" s="124">
        <f>IF(NFI_Expiration=1,IF($A389&lt;VLOOKUP(M$5,NFI,5,0),1,0)*Data_NFI_t[[#This Row],[Tarpaulin]],0)</f>
        <v>0</v>
      </c>
      <c r="Y389" s="124">
        <f>IF(NFI_Expiration=1,IF($A389&lt;VLOOKUP(N$5,NFI,5,0),1,0)*Data_NFI_t[[#This Row],[Blanket]],0)</f>
        <v>0</v>
      </c>
      <c r="Z389" s="124">
        <f>IF(NFI_Expiration=1,IF($A389&lt;VLOOKUP(O$5,NFI,5,0),1,0)*Data_NFI_t[[#This Row],[Kitchen Set]],0)</f>
        <v>0</v>
      </c>
      <c r="AA389" s="124">
        <f>IF(NFI_Expiration=1,IF($A389&lt;VLOOKUP(P$5,NFI,5,0),1,0)*Data_NFI_t[[#This Row],[Complementary Kit]],0)</f>
        <v>0</v>
      </c>
      <c r="AB389" s="124">
        <f>IF(NFI_Expiration=1,IF($A389&lt;VLOOKUP(Q$5,NFI,5,0),1,0)*Data_NFI_t[[#This Row],[Plastic Bucket]],0)</f>
        <v>0</v>
      </c>
      <c r="AC389" s="124">
        <f>IF(NFI_Expiration=1,IF($A389&lt;VLOOKUP(R$5,NFI,5,0),1,0)*Data_NFI_t[[#This Row],[Jerry Can]],0)</f>
        <v>0</v>
      </c>
      <c r="AD389" s="143">
        <f>IF(NFI_Expiration=1,IF($A389&lt;VLOOKUP(S$5,NFI,5,0),1,0)*Data_NFI_t[[#This Row],[Plastic Mat]],0)*IF(Data_NFI_t[[#This Row],[Distribution Date]]&gt;"01-06-2015",1,2.5)</f>
        <v>0</v>
      </c>
      <c r="AE389" s="143" t="str">
        <f ca="1">IFERROR(OFFSET(Camp_List[P_Code],MATCH(Data_NFI_t[[#This Row],[Camp Name]],Camp_List[Camp Name],0)-1,0,1,1),"")</f>
        <v>MMR012CMP059</v>
      </c>
      <c r="AF389" s="572" t="str">
        <f ca="1">IFERROR(OFFSET(Camp_List[Status],MATCH(Data_NFI_t[[#This Row],[Camp Name]],Camp_List[Camp Name],0)-1,0,1,1),"")</f>
        <v>Close</v>
      </c>
    </row>
    <row r="390" spans="1:32" s="100" customFormat="1" ht="15" customHeight="1">
      <c r="A390" s="254">
        <f t="shared" si="5"/>
        <v>47.766666666666666</v>
      </c>
      <c r="B390" s="254">
        <f>YEAR(Data_NFI_t[[#This Row],[Distribution Date]])</f>
        <v>2012</v>
      </c>
      <c r="C390" s="585">
        <v>41089</v>
      </c>
      <c r="D390" s="547" t="s">
        <v>287</v>
      </c>
      <c r="E390" s="546"/>
      <c r="F390" s="547" t="s">
        <v>7</v>
      </c>
      <c r="G390" s="31" t="s">
        <v>19</v>
      </c>
      <c r="H390" s="31" t="s">
        <v>253</v>
      </c>
      <c r="I390" s="31"/>
      <c r="J390" s="60"/>
      <c r="K390" s="60"/>
      <c r="L390" s="60"/>
      <c r="M390" s="60">
        <v>37</v>
      </c>
      <c r="N390" s="60"/>
      <c r="O390" s="60"/>
      <c r="P390" s="60"/>
      <c r="Q390" s="60"/>
      <c r="R390" s="570"/>
      <c r="S390" s="60"/>
      <c r="T390" s="143">
        <f>IF(NFI_Expiration=1,IF($A390&lt;VLOOKUP(I$5,NFI,5,0),1,0)*Data_NFI_t[[#This Row],[Hygiene Kit]],0)</f>
        <v>0</v>
      </c>
      <c r="U390" s="143">
        <f>IF(NFI_Expiration=1,IF($A390&lt;VLOOKUP(J$5,NFI,5,0),1,0)*Data_NFI_t[[#This Row],[NFI Core Kit]],0)</f>
        <v>0</v>
      </c>
      <c r="V390" s="124">
        <f>IF(NFI_Expiration=1,IF($A390&lt;VLOOKUP(K$5,NFI,5,0),1,0)*Data_NFI_t[[#This Row],[Sanitary Kit]],0)</f>
        <v>0</v>
      </c>
      <c r="W390" s="124">
        <f>IF(NFI_Expiration=1,IF($A390&lt;VLOOKUP(L$5,NFI,5,0),1,0)*Data_NFI_t[[#This Row],[Mosquito net]],0)</f>
        <v>0</v>
      </c>
      <c r="X390" s="124">
        <f>IF(NFI_Expiration=1,IF($A390&lt;VLOOKUP(M$5,NFI,5,0),1,0)*Data_NFI_t[[#This Row],[Tarpaulin]],0)</f>
        <v>0</v>
      </c>
      <c r="Y390" s="124">
        <f>IF(NFI_Expiration=1,IF($A390&lt;VLOOKUP(N$5,NFI,5,0),1,0)*Data_NFI_t[[#This Row],[Blanket]],0)</f>
        <v>0</v>
      </c>
      <c r="Z390" s="124">
        <f>IF(NFI_Expiration=1,IF($A390&lt;VLOOKUP(O$5,NFI,5,0),1,0)*Data_NFI_t[[#This Row],[Kitchen Set]],0)</f>
        <v>0</v>
      </c>
      <c r="AA390" s="124">
        <f>IF(NFI_Expiration=1,IF($A390&lt;VLOOKUP(P$5,NFI,5,0),1,0)*Data_NFI_t[[#This Row],[Complementary Kit]],0)</f>
        <v>0</v>
      </c>
      <c r="AB390" s="124">
        <f>IF(NFI_Expiration=1,IF($A390&lt;VLOOKUP(Q$5,NFI,5,0),1,0)*Data_NFI_t[[#This Row],[Plastic Bucket]],0)</f>
        <v>0</v>
      </c>
      <c r="AC390" s="124">
        <f>IF(NFI_Expiration=1,IF($A390&lt;VLOOKUP(R$5,NFI,5,0),1,0)*Data_NFI_t[[#This Row],[Jerry Can]],0)</f>
        <v>0</v>
      </c>
      <c r="AD390" s="143">
        <f>IF(NFI_Expiration=1,IF($A390&lt;VLOOKUP(S$5,NFI,5,0),1,0)*Data_NFI_t[[#This Row],[Plastic Mat]],0)*IF(Data_NFI_t[[#This Row],[Distribution Date]]&gt;"01-06-2015",1,2.5)</f>
        <v>0</v>
      </c>
      <c r="AE390" s="143" t="str">
        <f ca="1">IFERROR(OFFSET(Camp_List[P_Code],MATCH(Data_NFI_t[[#This Row],[Camp Name]],Camp_List[Camp Name],0)-1,0,1,1),"")</f>
        <v/>
      </c>
      <c r="AF390" s="572" t="str">
        <f ca="1">IFERROR(OFFSET(Camp_List[Status],MATCH(Data_NFI_t[[#This Row],[Camp Name]],Camp_List[Camp Name],0)-1,0,1,1),"")</f>
        <v/>
      </c>
    </row>
    <row r="391" spans="1:32" s="100" customFormat="1" ht="15" customHeight="1">
      <c r="A391" s="254">
        <f t="shared" si="5"/>
        <v>47.766666666666666</v>
      </c>
      <c r="B391" s="254">
        <f>YEAR(Data_NFI_t[[#This Row],[Distribution Date]])</f>
        <v>2012</v>
      </c>
      <c r="C391" s="585">
        <v>41089</v>
      </c>
      <c r="D391" s="547" t="s">
        <v>287</v>
      </c>
      <c r="E391" s="546"/>
      <c r="F391" s="547" t="s">
        <v>7</v>
      </c>
      <c r="G391" s="31" t="s">
        <v>19</v>
      </c>
      <c r="H391" s="31" t="s">
        <v>85</v>
      </c>
      <c r="I391" s="31"/>
      <c r="J391" s="60"/>
      <c r="K391" s="60"/>
      <c r="L391" s="60"/>
      <c r="M391" s="60">
        <v>66</v>
      </c>
      <c r="N391" s="60"/>
      <c r="O391" s="60"/>
      <c r="P391" s="60"/>
      <c r="Q391" s="60"/>
      <c r="R391" s="570"/>
      <c r="S391" s="60"/>
      <c r="T391" s="143">
        <f>IF(NFI_Expiration=1,IF($A391&lt;VLOOKUP(I$5,NFI,5,0),1,0)*Data_NFI_t[[#This Row],[Hygiene Kit]],0)</f>
        <v>0</v>
      </c>
      <c r="U391" s="143">
        <f>IF(NFI_Expiration=1,IF($A391&lt;VLOOKUP(J$5,NFI,5,0),1,0)*Data_NFI_t[[#This Row],[NFI Core Kit]],0)</f>
        <v>0</v>
      </c>
      <c r="V391" s="124">
        <f>IF(NFI_Expiration=1,IF($A391&lt;VLOOKUP(K$5,NFI,5,0),1,0)*Data_NFI_t[[#This Row],[Sanitary Kit]],0)</f>
        <v>0</v>
      </c>
      <c r="W391" s="124">
        <f>IF(NFI_Expiration=1,IF($A391&lt;VLOOKUP(L$5,NFI,5,0),1,0)*Data_NFI_t[[#This Row],[Mosquito net]],0)</f>
        <v>0</v>
      </c>
      <c r="X391" s="124">
        <f>IF(NFI_Expiration=1,IF($A391&lt;VLOOKUP(M$5,NFI,5,0),1,0)*Data_NFI_t[[#This Row],[Tarpaulin]],0)</f>
        <v>0</v>
      </c>
      <c r="Y391" s="124">
        <f>IF(NFI_Expiration=1,IF($A391&lt;VLOOKUP(N$5,NFI,5,0),1,0)*Data_NFI_t[[#This Row],[Blanket]],0)</f>
        <v>0</v>
      </c>
      <c r="Z391" s="124">
        <f>IF(NFI_Expiration=1,IF($A391&lt;VLOOKUP(O$5,NFI,5,0),1,0)*Data_NFI_t[[#This Row],[Kitchen Set]],0)</f>
        <v>0</v>
      </c>
      <c r="AA391" s="124">
        <f>IF(NFI_Expiration=1,IF($A391&lt;VLOOKUP(P$5,NFI,5,0),1,0)*Data_NFI_t[[#This Row],[Complementary Kit]],0)</f>
        <v>0</v>
      </c>
      <c r="AB391" s="124">
        <f>IF(NFI_Expiration=1,IF($A391&lt;VLOOKUP(Q$5,NFI,5,0),1,0)*Data_NFI_t[[#This Row],[Plastic Bucket]],0)</f>
        <v>0</v>
      </c>
      <c r="AC391" s="124">
        <f>IF(NFI_Expiration=1,IF($A391&lt;VLOOKUP(R$5,NFI,5,0),1,0)*Data_NFI_t[[#This Row],[Jerry Can]],0)</f>
        <v>0</v>
      </c>
      <c r="AD391" s="143">
        <f>IF(NFI_Expiration=1,IF($A391&lt;VLOOKUP(S$5,NFI,5,0),1,0)*Data_NFI_t[[#This Row],[Plastic Mat]],0)*IF(Data_NFI_t[[#This Row],[Distribution Date]]&gt;"01-06-2015",1,2.5)</f>
        <v>0</v>
      </c>
      <c r="AE391" s="143" t="str">
        <f ca="1">IFERROR(OFFSET(Camp_List[P_Code],MATCH(Data_NFI_t[[#This Row],[Camp Name]],Camp_List[Camp Name],0)-1,0,1,1),"")</f>
        <v>MMR012CMP063</v>
      </c>
      <c r="AF391" s="572" t="str">
        <f ca="1">IFERROR(OFFSET(Camp_List[Status],MATCH(Data_NFI_t[[#This Row],[Camp Name]],Camp_List[Camp Name],0)-1,0,1,1),"")</f>
        <v>Close</v>
      </c>
    </row>
    <row r="392" spans="1:32" s="100" customFormat="1" ht="15" customHeight="1">
      <c r="A392" s="254">
        <f t="shared" ref="A392:A401" si="6">IF(ISBLANK(C392),"",(Report_Date-C392)/30)</f>
        <v>47.766666666666666</v>
      </c>
      <c r="B392" s="254">
        <f>YEAR(Data_NFI_t[[#This Row],[Distribution Date]])</f>
        <v>2012</v>
      </c>
      <c r="C392" s="585">
        <v>41089</v>
      </c>
      <c r="D392" s="547" t="s">
        <v>287</v>
      </c>
      <c r="E392" s="546"/>
      <c r="F392" s="547" t="s">
        <v>7</v>
      </c>
      <c r="G392" s="31" t="s">
        <v>19</v>
      </c>
      <c r="H392" s="31" t="s">
        <v>90</v>
      </c>
      <c r="I392" s="31"/>
      <c r="J392" s="60"/>
      <c r="K392" s="60"/>
      <c r="L392" s="60"/>
      <c r="M392" s="60">
        <v>62</v>
      </c>
      <c r="N392" s="60"/>
      <c r="O392" s="60"/>
      <c r="P392" s="60"/>
      <c r="Q392" s="60"/>
      <c r="R392" s="570"/>
      <c r="S392" s="60"/>
      <c r="T392" s="143">
        <f>IF(NFI_Expiration=1,IF($A392&lt;VLOOKUP(I$5,NFI,5,0),1,0)*Data_NFI_t[[#This Row],[Hygiene Kit]],0)</f>
        <v>0</v>
      </c>
      <c r="U392" s="143">
        <f>IF(NFI_Expiration=1,IF($A392&lt;VLOOKUP(J$5,NFI,5,0),1,0)*Data_NFI_t[[#This Row],[NFI Core Kit]],0)</f>
        <v>0</v>
      </c>
      <c r="V392" s="124">
        <f>IF(NFI_Expiration=1,IF($A392&lt;VLOOKUP(K$5,NFI,5,0),1,0)*Data_NFI_t[[#This Row],[Sanitary Kit]],0)</f>
        <v>0</v>
      </c>
      <c r="W392" s="124">
        <f>IF(NFI_Expiration=1,IF($A392&lt;VLOOKUP(L$5,NFI,5,0),1,0)*Data_NFI_t[[#This Row],[Mosquito net]],0)</f>
        <v>0</v>
      </c>
      <c r="X392" s="124">
        <f>IF(NFI_Expiration=1,IF($A392&lt;VLOOKUP(M$5,NFI,5,0),1,0)*Data_NFI_t[[#This Row],[Tarpaulin]],0)</f>
        <v>0</v>
      </c>
      <c r="Y392" s="124">
        <f>IF(NFI_Expiration=1,IF($A392&lt;VLOOKUP(N$5,NFI,5,0),1,0)*Data_NFI_t[[#This Row],[Blanket]],0)</f>
        <v>0</v>
      </c>
      <c r="Z392" s="124">
        <f>IF(NFI_Expiration=1,IF($A392&lt;VLOOKUP(O$5,NFI,5,0),1,0)*Data_NFI_t[[#This Row],[Kitchen Set]],0)</f>
        <v>0</v>
      </c>
      <c r="AA392" s="124">
        <f>IF(NFI_Expiration=1,IF($A392&lt;VLOOKUP(P$5,NFI,5,0),1,0)*Data_NFI_t[[#This Row],[Complementary Kit]],0)</f>
        <v>0</v>
      </c>
      <c r="AB392" s="124">
        <f>IF(NFI_Expiration=1,IF($A392&lt;VLOOKUP(Q$5,NFI,5,0),1,0)*Data_NFI_t[[#This Row],[Plastic Bucket]],0)</f>
        <v>0</v>
      </c>
      <c r="AC392" s="124">
        <f>IF(NFI_Expiration=1,IF($A392&lt;VLOOKUP(R$5,NFI,5,0),1,0)*Data_NFI_t[[#This Row],[Jerry Can]],0)</f>
        <v>0</v>
      </c>
      <c r="AD392" s="143">
        <f>IF(NFI_Expiration=1,IF($A392&lt;VLOOKUP(S$5,NFI,5,0),1,0)*Data_NFI_t[[#This Row],[Plastic Mat]],0)*IF(Data_NFI_t[[#This Row],[Distribution Date]]&gt;"01-06-2015",1,2.5)</f>
        <v>0</v>
      </c>
      <c r="AE392" s="143" t="str">
        <f ca="1">IFERROR(OFFSET(Camp_List[P_Code],MATCH(Data_NFI_t[[#This Row],[Camp Name]],Camp_List[Camp Name],0)-1,0,1,1),"")</f>
        <v>MMR012CMP068</v>
      </c>
      <c r="AF392" s="572" t="str">
        <f ca="1">IFERROR(OFFSET(Camp_List[Status],MATCH(Data_NFI_t[[#This Row],[Camp Name]],Camp_List[Camp Name],0)-1,0,1,1),"")</f>
        <v>Close</v>
      </c>
    </row>
    <row r="393" spans="1:32" s="100" customFormat="1" ht="15" customHeight="1">
      <c r="A393" s="254">
        <f t="shared" si="6"/>
        <v>47.766666666666666</v>
      </c>
      <c r="B393" s="254">
        <f>YEAR(Data_NFI_t[[#This Row],[Distribution Date]])</f>
        <v>2012</v>
      </c>
      <c r="C393" s="585">
        <v>41089</v>
      </c>
      <c r="D393" s="547" t="s">
        <v>287</v>
      </c>
      <c r="E393" s="546"/>
      <c r="F393" s="547" t="s">
        <v>7</v>
      </c>
      <c r="G393" s="31" t="s">
        <v>19</v>
      </c>
      <c r="H393" s="31" t="s">
        <v>70</v>
      </c>
      <c r="I393" s="31"/>
      <c r="J393" s="60"/>
      <c r="K393" s="60"/>
      <c r="L393" s="60"/>
      <c r="M393" s="60">
        <v>200</v>
      </c>
      <c r="N393" s="60"/>
      <c r="O393" s="60"/>
      <c r="P393" s="60"/>
      <c r="Q393" s="60"/>
      <c r="R393" s="570"/>
      <c r="S393" s="60"/>
      <c r="T393" s="143">
        <f>IF(NFI_Expiration=1,IF($A393&lt;VLOOKUP(I$5,NFI,5,0),1,0)*Data_NFI_t[[#This Row],[Hygiene Kit]],0)</f>
        <v>0</v>
      </c>
      <c r="U393" s="143">
        <f>IF(NFI_Expiration=1,IF($A393&lt;VLOOKUP(J$5,NFI,5,0),1,0)*Data_NFI_t[[#This Row],[NFI Core Kit]],0)</f>
        <v>0</v>
      </c>
      <c r="V393" s="124">
        <f>IF(NFI_Expiration=1,IF($A393&lt;VLOOKUP(K$5,NFI,5,0),1,0)*Data_NFI_t[[#This Row],[Sanitary Kit]],0)</f>
        <v>0</v>
      </c>
      <c r="W393" s="124">
        <f>IF(NFI_Expiration=1,IF($A393&lt;VLOOKUP(L$5,NFI,5,0),1,0)*Data_NFI_t[[#This Row],[Mosquito net]],0)</f>
        <v>0</v>
      </c>
      <c r="X393" s="124">
        <f>IF(NFI_Expiration=1,IF($A393&lt;VLOOKUP(M$5,NFI,5,0),1,0)*Data_NFI_t[[#This Row],[Tarpaulin]],0)</f>
        <v>0</v>
      </c>
      <c r="Y393" s="124">
        <f>IF(NFI_Expiration=1,IF($A393&lt;VLOOKUP(N$5,NFI,5,0),1,0)*Data_NFI_t[[#This Row],[Blanket]],0)</f>
        <v>0</v>
      </c>
      <c r="Z393" s="124">
        <f>IF(NFI_Expiration=1,IF($A393&lt;VLOOKUP(O$5,NFI,5,0),1,0)*Data_NFI_t[[#This Row],[Kitchen Set]],0)</f>
        <v>0</v>
      </c>
      <c r="AA393" s="124">
        <f>IF(NFI_Expiration=1,IF($A393&lt;VLOOKUP(P$5,NFI,5,0),1,0)*Data_NFI_t[[#This Row],[Complementary Kit]],0)</f>
        <v>0</v>
      </c>
      <c r="AB393" s="124">
        <f>IF(NFI_Expiration=1,IF($A393&lt;VLOOKUP(Q$5,NFI,5,0),1,0)*Data_NFI_t[[#This Row],[Plastic Bucket]],0)</f>
        <v>0</v>
      </c>
      <c r="AC393" s="124">
        <f>IF(NFI_Expiration=1,IF($A393&lt;VLOOKUP(R$5,NFI,5,0),1,0)*Data_NFI_t[[#This Row],[Jerry Can]],0)</f>
        <v>0</v>
      </c>
      <c r="AD393" s="143">
        <f>IF(NFI_Expiration=1,IF($A393&lt;VLOOKUP(S$5,NFI,5,0),1,0)*Data_NFI_t[[#This Row],[Plastic Mat]],0)*IF(Data_NFI_t[[#This Row],[Distribution Date]]&gt;"01-06-2015",1,2.5)</f>
        <v>0</v>
      </c>
      <c r="AE393" s="143" t="str">
        <f ca="1">IFERROR(OFFSET(Camp_List[P_Code],MATCH(Data_NFI_t[[#This Row],[Camp Name]],Camp_List[Camp Name],0)-1,0,1,1),"")</f>
        <v>MMR012CMP048</v>
      </c>
      <c r="AF393" s="572" t="str">
        <f ca="1">IFERROR(OFFSET(Camp_List[Status],MATCH(Data_NFI_t[[#This Row],[Camp Name]],Camp_List[Camp Name],0)-1,0,1,1),"")</f>
        <v>Open</v>
      </c>
    </row>
    <row r="394" spans="1:32" s="100" customFormat="1" ht="15" customHeight="1">
      <c r="A394" s="254">
        <f t="shared" si="6"/>
        <v>47.8</v>
      </c>
      <c r="B394" s="254">
        <f>YEAR(Data_NFI_t[[#This Row],[Distribution Date]])</f>
        <v>2012</v>
      </c>
      <c r="C394" s="585">
        <v>41088</v>
      </c>
      <c r="D394" s="547" t="s">
        <v>287</v>
      </c>
      <c r="E394" s="546"/>
      <c r="F394" s="547" t="s">
        <v>7</v>
      </c>
      <c r="G394" s="31" t="s">
        <v>19</v>
      </c>
      <c r="H394" s="31" t="s">
        <v>292</v>
      </c>
      <c r="I394" s="31"/>
      <c r="J394" s="60"/>
      <c r="K394" s="60"/>
      <c r="L394" s="60"/>
      <c r="M394" s="60">
        <v>52</v>
      </c>
      <c r="N394" s="60"/>
      <c r="O394" s="60"/>
      <c r="P394" s="60"/>
      <c r="Q394" s="60"/>
      <c r="R394" s="570"/>
      <c r="S394" s="60"/>
      <c r="T394" s="143">
        <f>IF(NFI_Expiration=1,IF($A394&lt;VLOOKUP(I$5,NFI,5,0),1,0)*Data_NFI_t[[#This Row],[Hygiene Kit]],0)</f>
        <v>0</v>
      </c>
      <c r="U394" s="143">
        <f>IF(NFI_Expiration=1,IF($A394&lt;VLOOKUP(J$5,NFI,5,0),1,0)*Data_NFI_t[[#This Row],[NFI Core Kit]],0)</f>
        <v>0</v>
      </c>
      <c r="V394" s="124">
        <f>IF(NFI_Expiration=1,IF($A394&lt;VLOOKUP(K$5,NFI,5,0),1,0)*Data_NFI_t[[#This Row],[Sanitary Kit]],0)</f>
        <v>0</v>
      </c>
      <c r="W394" s="124">
        <f>IF(NFI_Expiration=1,IF($A394&lt;VLOOKUP(L$5,NFI,5,0),1,0)*Data_NFI_t[[#This Row],[Mosquito net]],0)</f>
        <v>0</v>
      </c>
      <c r="X394" s="124">
        <f>IF(NFI_Expiration=1,IF($A394&lt;VLOOKUP(M$5,NFI,5,0),1,0)*Data_NFI_t[[#This Row],[Tarpaulin]],0)</f>
        <v>0</v>
      </c>
      <c r="Y394" s="124">
        <f>IF(NFI_Expiration=1,IF($A394&lt;VLOOKUP(N$5,NFI,5,0),1,0)*Data_NFI_t[[#This Row],[Blanket]],0)</f>
        <v>0</v>
      </c>
      <c r="Z394" s="124">
        <f>IF(NFI_Expiration=1,IF($A394&lt;VLOOKUP(O$5,NFI,5,0),1,0)*Data_NFI_t[[#This Row],[Kitchen Set]],0)</f>
        <v>0</v>
      </c>
      <c r="AA394" s="124">
        <f>IF(NFI_Expiration=1,IF($A394&lt;VLOOKUP(P$5,NFI,5,0),1,0)*Data_NFI_t[[#This Row],[Complementary Kit]],0)</f>
        <v>0</v>
      </c>
      <c r="AB394" s="124">
        <f>IF(NFI_Expiration=1,IF($A394&lt;VLOOKUP(Q$5,NFI,5,0),1,0)*Data_NFI_t[[#This Row],[Plastic Bucket]],0)</f>
        <v>0</v>
      </c>
      <c r="AC394" s="124">
        <f>IF(NFI_Expiration=1,IF($A394&lt;VLOOKUP(R$5,NFI,5,0),1,0)*Data_NFI_t[[#This Row],[Jerry Can]],0)</f>
        <v>0</v>
      </c>
      <c r="AD394" s="143">
        <f>IF(NFI_Expiration=1,IF($A394&lt;VLOOKUP(S$5,NFI,5,0),1,0)*Data_NFI_t[[#This Row],[Plastic Mat]],0)*IF(Data_NFI_t[[#This Row],[Distribution Date]]&gt;"01-06-2015",1,2.5)</f>
        <v>0</v>
      </c>
      <c r="AE394" s="143" t="str">
        <f ca="1">IFERROR(OFFSET(Camp_List[P_Code],MATCH(Data_NFI_t[[#This Row],[Camp Name]],Camp_List[Camp Name],0)-1,0,1,1),"")</f>
        <v/>
      </c>
      <c r="AF394" s="572" t="str">
        <f ca="1">IFERROR(OFFSET(Camp_List[Status],MATCH(Data_NFI_t[[#This Row],[Camp Name]],Camp_List[Camp Name],0)-1,0,1,1),"")</f>
        <v/>
      </c>
    </row>
    <row r="395" spans="1:32" s="100" customFormat="1" ht="15" customHeight="1">
      <c r="A395" s="254">
        <f t="shared" si="6"/>
        <v>47.8</v>
      </c>
      <c r="B395" s="254">
        <f>YEAR(Data_NFI_t[[#This Row],[Distribution Date]])</f>
        <v>2012</v>
      </c>
      <c r="C395" s="585">
        <v>41088</v>
      </c>
      <c r="D395" s="547" t="s">
        <v>287</v>
      </c>
      <c r="E395" s="546"/>
      <c r="F395" s="547" t="s">
        <v>7</v>
      </c>
      <c r="G395" s="31" t="s">
        <v>19</v>
      </c>
      <c r="H395" s="31" t="s">
        <v>63</v>
      </c>
      <c r="I395" s="31"/>
      <c r="J395" s="60"/>
      <c r="K395" s="60"/>
      <c r="L395" s="60"/>
      <c r="M395" s="60">
        <v>300</v>
      </c>
      <c r="N395" s="60"/>
      <c r="O395" s="60"/>
      <c r="P395" s="60"/>
      <c r="Q395" s="60"/>
      <c r="R395" s="570"/>
      <c r="S395" s="60"/>
      <c r="T395" s="143">
        <f>IF(NFI_Expiration=1,IF($A395&lt;VLOOKUP(I$5,NFI,5,0),1,0)*Data_NFI_t[[#This Row],[Hygiene Kit]],0)</f>
        <v>0</v>
      </c>
      <c r="U395" s="143">
        <f>IF(NFI_Expiration=1,IF($A395&lt;VLOOKUP(J$5,NFI,5,0),1,0)*Data_NFI_t[[#This Row],[NFI Core Kit]],0)</f>
        <v>0</v>
      </c>
      <c r="V395" s="124">
        <f>IF(NFI_Expiration=1,IF($A395&lt;VLOOKUP(K$5,NFI,5,0),1,0)*Data_NFI_t[[#This Row],[Sanitary Kit]],0)</f>
        <v>0</v>
      </c>
      <c r="W395" s="124">
        <f>IF(NFI_Expiration=1,IF($A395&lt;VLOOKUP(L$5,NFI,5,0),1,0)*Data_NFI_t[[#This Row],[Mosquito net]],0)</f>
        <v>0</v>
      </c>
      <c r="X395" s="124">
        <f>IF(NFI_Expiration=1,IF($A395&lt;VLOOKUP(M$5,NFI,5,0),1,0)*Data_NFI_t[[#This Row],[Tarpaulin]],0)</f>
        <v>0</v>
      </c>
      <c r="Y395" s="124">
        <f>IF(NFI_Expiration=1,IF($A395&lt;VLOOKUP(N$5,NFI,5,0),1,0)*Data_NFI_t[[#This Row],[Blanket]],0)</f>
        <v>0</v>
      </c>
      <c r="Z395" s="124">
        <f>IF(NFI_Expiration=1,IF($A395&lt;VLOOKUP(O$5,NFI,5,0),1,0)*Data_NFI_t[[#This Row],[Kitchen Set]],0)</f>
        <v>0</v>
      </c>
      <c r="AA395" s="124">
        <f>IF(NFI_Expiration=1,IF($A395&lt;VLOOKUP(P$5,NFI,5,0),1,0)*Data_NFI_t[[#This Row],[Complementary Kit]],0)</f>
        <v>0</v>
      </c>
      <c r="AB395" s="124">
        <f>IF(NFI_Expiration=1,IF($A395&lt;VLOOKUP(Q$5,NFI,5,0),1,0)*Data_NFI_t[[#This Row],[Plastic Bucket]],0)</f>
        <v>0</v>
      </c>
      <c r="AC395" s="124">
        <f>IF(NFI_Expiration=1,IF($A395&lt;VLOOKUP(R$5,NFI,5,0),1,0)*Data_NFI_t[[#This Row],[Jerry Can]],0)</f>
        <v>0</v>
      </c>
      <c r="AD395" s="143">
        <f>IF(NFI_Expiration=1,IF($A395&lt;VLOOKUP(S$5,NFI,5,0),1,0)*Data_NFI_t[[#This Row],[Plastic Mat]],0)*IF(Data_NFI_t[[#This Row],[Distribution Date]]&gt;"01-06-2015",1,2.5)</f>
        <v>0</v>
      </c>
      <c r="AE395" s="143" t="str">
        <f ca="1">IFERROR(OFFSET(Camp_List[P_Code],MATCH(Data_NFI_t[[#This Row],[Camp Name]],Camp_List[Camp Name],0)-1,0,1,1),"")</f>
        <v>MMR012CMP041</v>
      </c>
      <c r="AF395" s="572" t="str">
        <f ca="1">IFERROR(OFFSET(Camp_List[Status],MATCH(Data_NFI_t[[#This Row],[Camp Name]],Camp_List[Camp Name],0)-1,0,1,1),"")</f>
        <v>Open</v>
      </c>
    </row>
    <row r="396" spans="1:32" s="100" customFormat="1" ht="15" customHeight="1">
      <c r="A396" s="254">
        <f t="shared" si="6"/>
        <v>47.8</v>
      </c>
      <c r="B396" s="254">
        <f>YEAR(Data_NFI_t[[#This Row],[Distribution Date]])</f>
        <v>2012</v>
      </c>
      <c r="C396" s="585">
        <v>41088</v>
      </c>
      <c r="D396" s="547" t="s">
        <v>287</v>
      </c>
      <c r="E396" s="546"/>
      <c r="F396" s="547" t="s">
        <v>7</v>
      </c>
      <c r="G396" s="31" t="s">
        <v>19</v>
      </c>
      <c r="H396" s="31" t="s">
        <v>252</v>
      </c>
      <c r="I396" s="31"/>
      <c r="J396" s="60"/>
      <c r="K396" s="60"/>
      <c r="L396" s="60"/>
      <c r="M396" s="60">
        <v>9</v>
      </c>
      <c r="N396" s="60"/>
      <c r="O396" s="60"/>
      <c r="P396" s="60"/>
      <c r="Q396" s="60"/>
      <c r="R396" s="570"/>
      <c r="S396" s="60"/>
      <c r="T396" s="143">
        <f>IF(NFI_Expiration=1,IF($A396&lt;VLOOKUP(I$5,NFI,5,0),1,0)*Data_NFI_t[[#This Row],[Hygiene Kit]],0)</f>
        <v>0</v>
      </c>
      <c r="U396" s="143">
        <f>IF(NFI_Expiration=1,IF($A396&lt;VLOOKUP(J$5,NFI,5,0),1,0)*Data_NFI_t[[#This Row],[NFI Core Kit]],0)</f>
        <v>0</v>
      </c>
      <c r="V396" s="124">
        <f>IF(NFI_Expiration=1,IF($A396&lt;VLOOKUP(K$5,NFI,5,0),1,0)*Data_NFI_t[[#This Row],[Sanitary Kit]],0)</f>
        <v>0</v>
      </c>
      <c r="W396" s="124">
        <f>IF(NFI_Expiration=1,IF($A396&lt;VLOOKUP(L$5,NFI,5,0),1,0)*Data_NFI_t[[#This Row],[Mosquito net]],0)</f>
        <v>0</v>
      </c>
      <c r="X396" s="124">
        <f>IF(NFI_Expiration=1,IF($A396&lt;VLOOKUP(M$5,NFI,5,0),1,0)*Data_NFI_t[[#This Row],[Tarpaulin]],0)</f>
        <v>0</v>
      </c>
      <c r="Y396" s="124">
        <f>IF(NFI_Expiration=1,IF($A396&lt;VLOOKUP(N$5,NFI,5,0),1,0)*Data_NFI_t[[#This Row],[Blanket]],0)</f>
        <v>0</v>
      </c>
      <c r="Z396" s="124">
        <f>IF(NFI_Expiration=1,IF($A396&lt;VLOOKUP(O$5,NFI,5,0),1,0)*Data_NFI_t[[#This Row],[Kitchen Set]],0)</f>
        <v>0</v>
      </c>
      <c r="AA396" s="124">
        <f>IF(NFI_Expiration=1,IF($A396&lt;VLOOKUP(P$5,NFI,5,0),1,0)*Data_NFI_t[[#This Row],[Complementary Kit]],0)</f>
        <v>0</v>
      </c>
      <c r="AB396" s="124">
        <f>IF(NFI_Expiration=1,IF($A396&lt;VLOOKUP(Q$5,NFI,5,0),1,0)*Data_NFI_t[[#This Row],[Plastic Bucket]],0)</f>
        <v>0</v>
      </c>
      <c r="AC396" s="124">
        <f>IF(NFI_Expiration=1,IF($A396&lt;VLOOKUP(R$5,NFI,5,0),1,0)*Data_NFI_t[[#This Row],[Jerry Can]],0)</f>
        <v>0</v>
      </c>
      <c r="AD396" s="143">
        <f>IF(NFI_Expiration=1,IF($A396&lt;VLOOKUP(S$5,NFI,5,0),1,0)*Data_NFI_t[[#This Row],[Plastic Mat]],0)*IF(Data_NFI_t[[#This Row],[Distribution Date]]&gt;"01-06-2015",1,2.5)</f>
        <v>0</v>
      </c>
      <c r="AE396" s="143" t="str">
        <f ca="1">IFERROR(OFFSET(Camp_List[P_Code],MATCH(Data_NFI_t[[#This Row],[Camp Name]],Camp_List[Camp Name],0)-1,0,1,1),"")</f>
        <v/>
      </c>
      <c r="AF396" s="572" t="str">
        <f ca="1">IFERROR(OFFSET(Camp_List[Status],MATCH(Data_NFI_t[[#This Row],[Camp Name]],Camp_List[Camp Name],0)-1,0,1,1),"")</f>
        <v/>
      </c>
    </row>
    <row r="397" spans="1:32">
      <c r="A397" s="254">
        <f t="shared" si="6"/>
        <v>47.8</v>
      </c>
      <c r="B397" s="591">
        <f>YEAR(Data_NFI_t[[#This Row],[Distribution Date]])</f>
        <v>2012</v>
      </c>
      <c r="C397" s="585">
        <v>41088</v>
      </c>
      <c r="D397" s="547" t="s">
        <v>287</v>
      </c>
      <c r="E397" s="546"/>
      <c r="F397" s="547" t="s">
        <v>7</v>
      </c>
      <c r="G397" s="31" t="s">
        <v>19</v>
      </c>
      <c r="H397" s="31" t="s">
        <v>251</v>
      </c>
      <c r="I397" s="31"/>
      <c r="J397" s="60"/>
      <c r="K397" s="60"/>
      <c r="L397" s="131"/>
      <c r="M397" s="131">
        <v>11</v>
      </c>
      <c r="N397" s="131"/>
      <c r="O397" s="131"/>
      <c r="P397" s="131"/>
      <c r="Q397" s="131"/>
      <c r="R397" s="571"/>
      <c r="S397" s="131"/>
      <c r="T397" s="143">
        <f>IF(NFI_Expiration=1,IF($A397&lt;VLOOKUP(I$5,NFI,5,0),1,0)*Data_NFI_t[[#This Row],[Hygiene Kit]],0)</f>
        <v>0</v>
      </c>
      <c r="U397" s="143">
        <f>IF(NFI_Expiration=1,IF($A397&lt;VLOOKUP(J$5,NFI,5,0),1,0)*Data_NFI_t[[#This Row],[NFI Core Kit]],0)</f>
        <v>0</v>
      </c>
      <c r="V397" s="124">
        <f>IF(NFI_Expiration=1,IF($A397&lt;VLOOKUP(K$5,NFI,5,0),1,0)*Data_NFI_t[[#This Row],[Sanitary Kit]],0)</f>
        <v>0</v>
      </c>
      <c r="W397" s="124">
        <f>IF(NFI_Expiration=1,IF($A397&lt;VLOOKUP(L$5,NFI,5,0),1,0)*Data_NFI_t[[#This Row],[Mosquito net]],0)</f>
        <v>0</v>
      </c>
      <c r="X397" s="124">
        <f>IF(NFI_Expiration=1,IF($A397&lt;VLOOKUP(M$5,NFI,5,0),1,0)*Data_NFI_t[[#This Row],[Tarpaulin]],0)</f>
        <v>0</v>
      </c>
      <c r="Y397" s="124">
        <f>IF(NFI_Expiration=1,IF($A397&lt;VLOOKUP(N$5,NFI,5,0),1,0)*Data_NFI_t[[#This Row],[Blanket]],0)</f>
        <v>0</v>
      </c>
      <c r="Z397" s="124">
        <f>IF(NFI_Expiration=1,IF($A397&lt;VLOOKUP(O$5,NFI,5,0),1,0)*Data_NFI_t[[#This Row],[Kitchen Set]],0)</f>
        <v>0</v>
      </c>
      <c r="AA397" s="124">
        <f>IF(NFI_Expiration=1,IF($A397&lt;VLOOKUP(P$5,NFI,5,0),1,0)*Data_NFI_t[[#This Row],[Complementary Kit]],0)</f>
        <v>0</v>
      </c>
      <c r="AB397" s="124">
        <f>IF(NFI_Expiration=1,IF($A397&lt;VLOOKUP(Q$5,NFI,5,0),1,0)*Data_NFI_t[[#This Row],[Plastic Bucket]],0)</f>
        <v>0</v>
      </c>
      <c r="AC397" s="124">
        <f>IF(NFI_Expiration=1,IF($A397&lt;VLOOKUP(R$5,NFI,5,0),1,0)*Data_NFI_t[[#This Row],[Jerry Can]],0)</f>
        <v>0</v>
      </c>
      <c r="AD397" s="143">
        <f>IF(NFI_Expiration=1,IF($A397&lt;VLOOKUP(S$5,NFI,5,0),1,0)*Data_NFI_t[[#This Row],[Plastic Mat]],0)*IF(Data_NFI_t[[#This Row],[Distribution Date]]&gt;"01-06-2015",1,2.5)</f>
        <v>0</v>
      </c>
      <c r="AE397" s="143" t="str">
        <f ca="1">IFERROR(OFFSET(Camp_List[P_Code],MATCH(Data_NFI_t[[#This Row],[Camp Name]],Camp_List[Camp Name],0)-1,0,1,1),"")</f>
        <v/>
      </c>
      <c r="AF397" s="572" t="str">
        <f ca="1">IFERROR(OFFSET(Camp_List[Status],MATCH(Data_NFI_t[[#This Row],[Camp Name]],Camp_List[Camp Name],0)-1,0,1,1),"")</f>
        <v/>
      </c>
    </row>
    <row r="398" spans="1:32">
      <c r="A398" s="254">
        <f t="shared" si="6"/>
        <v>47.8</v>
      </c>
      <c r="B398" s="591">
        <f>YEAR(Data_NFI_t[[#This Row],[Distribution Date]])</f>
        <v>2012</v>
      </c>
      <c r="C398" s="585">
        <v>41088</v>
      </c>
      <c r="D398" s="547" t="s">
        <v>287</v>
      </c>
      <c r="E398" s="546"/>
      <c r="F398" s="547" t="s">
        <v>7</v>
      </c>
      <c r="G398" s="31" t="s">
        <v>19</v>
      </c>
      <c r="H398" s="31" t="s">
        <v>250</v>
      </c>
      <c r="I398" s="31"/>
      <c r="J398" s="60"/>
      <c r="K398" s="60"/>
      <c r="L398" s="131"/>
      <c r="M398" s="131">
        <v>89</v>
      </c>
      <c r="N398" s="131"/>
      <c r="O398" s="131"/>
      <c r="P398" s="131"/>
      <c r="Q398" s="131"/>
      <c r="R398" s="571"/>
      <c r="S398" s="131"/>
      <c r="T398" s="143">
        <f>IF(NFI_Expiration=1,IF($A398&lt;VLOOKUP(I$5,NFI,5,0),1,0)*Data_NFI_t[[#This Row],[Hygiene Kit]],0)</f>
        <v>0</v>
      </c>
      <c r="U398" s="143">
        <f>IF(NFI_Expiration=1,IF($A398&lt;VLOOKUP(J$5,NFI,5,0),1,0)*Data_NFI_t[[#This Row],[NFI Core Kit]],0)</f>
        <v>0</v>
      </c>
      <c r="V398" s="124">
        <f>IF(NFI_Expiration=1,IF($A398&lt;VLOOKUP(K$5,NFI,5,0),1,0)*Data_NFI_t[[#This Row],[Sanitary Kit]],0)</f>
        <v>0</v>
      </c>
      <c r="W398" s="124">
        <f>IF(NFI_Expiration=1,IF($A398&lt;VLOOKUP(L$5,NFI,5,0),1,0)*Data_NFI_t[[#This Row],[Mosquito net]],0)</f>
        <v>0</v>
      </c>
      <c r="X398" s="124">
        <f>IF(NFI_Expiration=1,IF($A398&lt;VLOOKUP(M$5,NFI,5,0),1,0)*Data_NFI_t[[#This Row],[Tarpaulin]],0)</f>
        <v>0</v>
      </c>
      <c r="Y398" s="124">
        <f>IF(NFI_Expiration=1,IF($A398&lt;VLOOKUP(N$5,NFI,5,0),1,0)*Data_NFI_t[[#This Row],[Blanket]],0)</f>
        <v>0</v>
      </c>
      <c r="Z398" s="124">
        <f>IF(NFI_Expiration=1,IF($A398&lt;VLOOKUP(O$5,NFI,5,0),1,0)*Data_NFI_t[[#This Row],[Kitchen Set]],0)</f>
        <v>0</v>
      </c>
      <c r="AA398" s="124">
        <f>IF(NFI_Expiration=1,IF($A398&lt;VLOOKUP(P$5,NFI,5,0),1,0)*Data_NFI_t[[#This Row],[Complementary Kit]],0)</f>
        <v>0</v>
      </c>
      <c r="AB398" s="124">
        <f>IF(NFI_Expiration=1,IF($A398&lt;VLOOKUP(Q$5,NFI,5,0),1,0)*Data_NFI_t[[#This Row],[Plastic Bucket]],0)</f>
        <v>0</v>
      </c>
      <c r="AC398" s="124">
        <f>IF(NFI_Expiration=1,IF($A398&lt;VLOOKUP(R$5,NFI,5,0),1,0)*Data_NFI_t[[#This Row],[Jerry Can]],0)</f>
        <v>0</v>
      </c>
      <c r="AD398" s="143">
        <f>IF(NFI_Expiration=1,IF($A398&lt;VLOOKUP(S$5,NFI,5,0),1,0)*Data_NFI_t[[#This Row],[Plastic Mat]],0)*IF(Data_NFI_t[[#This Row],[Distribution Date]]&gt;"01-06-2015",1,2.5)</f>
        <v>0</v>
      </c>
      <c r="AE398" s="143" t="str">
        <f ca="1">IFERROR(OFFSET(Camp_List[P_Code],MATCH(Data_NFI_t[[#This Row],[Camp Name]],Camp_List[Camp Name],0)-1,0,1,1),"")</f>
        <v/>
      </c>
      <c r="AF398" s="572" t="str">
        <f ca="1">IFERROR(OFFSET(Camp_List[Status],MATCH(Data_NFI_t[[#This Row],[Camp Name]],Camp_List[Camp Name],0)-1,0,1,1),"")</f>
        <v/>
      </c>
    </row>
    <row r="399" spans="1:32">
      <c r="A399" s="254">
        <f t="shared" si="6"/>
        <v>47.833333333333336</v>
      </c>
      <c r="B399" s="591">
        <f>YEAR(Data_NFI_t[[#This Row],[Distribution Date]])</f>
        <v>2012</v>
      </c>
      <c r="C399" s="585">
        <v>41087</v>
      </c>
      <c r="D399" s="547" t="s">
        <v>287</v>
      </c>
      <c r="E399" s="546"/>
      <c r="F399" s="547" t="s">
        <v>7</v>
      </c>
      <c r="G399" s="31" t="s">
        <v>19</v>
      </c>
      <c r="H399" s="31" t="s">
        <v>94</v>
      </c>
      <c r="I399" s="31"/>
      <c r="J399" s="60"/>
      <c r="K399" s="60"/>
      <c r="L399" s="131"/>
      <c r="M399" s="131">
        <v>120</v>
      </c>
      <c r="N399" s="131"/>
      <c r="O399" s="131"/>
      <c r="P399" s="131"/>
      <c r="Q399" s="131"/>
      <c r="R399" s="571"/>
      <c r="S399" s="131"/>
      <c r="T399" s="143">
        <f>IF(NFI_Expiration=1,IF($A399&lt;VLOOKUP(I$5,NFI,5,0),1,0)*Data_NFI_t[[#This Row],[Hygiene Kit]],0)</f>
        <v>0</v>
      </c>
      <c r="U399" s="143">
        <f>IF(NFI_Expiration=1,IF($A399&lt;VLOOKUP(J$5,NFI,5,0),1,0)*Data_NFI_t[[#This Row],[NFI Core Kit]],0)</f>
        <v>0</v>
      </c>
      <c r="V399" s="124">
        <f>IF(NFI_Expiration=1,IF($A399&lt;VLOOKUP(K$5,NFI,5,0),1,0)*Data_NFI_t[[#This Row],[Sanitary Kit]],0)</f>
        <v>0</v>
      </c>
      <c r="W399" s="124">
        <f>IF(NFI_Expiration=1,IF($A399&lt;VLOOKUP(L$5,NFI,5,0),1,0)*Data_NFI_t[[#This Row],[Mosquito net]],0)</f>
        <v>0</v>
      </c>
      <c r="X399" s="124">
        <f>IF(NFI_Expiration=1,IF($A399&lt;VLOOKUP(M$5,NFI,5,0),1,0)*Data_NFI_t[[#This Row],[Tarpaulin]],0)</f>
        <v>0</v>
      </c>
      <c r="Y399" s="124">
        <f>IF(NFI_Expiration=1,IF($A399&lt;VLOOKUP(N$5,NFI,5,0),1,0)*Data_NFI_t[[#This Row],[Blanket]],0)</f>
        <v>0</v>
      </c>
      <c r="Z399" s="124">
        <f>IF(NFI_Expiration=1,IF($A399&lt;VLOOKUP(O$5,NFI,5,0),1,0)*Data_NFI_t[[#This Row],[Kitchen Set]],0)</f>
        <v>0</v>
      </c>
      <c r="AA399" s="124">
        <f>IF(NFI_Expiration=1,IF($A399&lt;VLOOKUP(P$5,NFI,5,0),1,0)*Data_NFI_t[[#This Row],[Complementary Kit]],0)</f>
        <v>0</v>
      </c>
      <c r="AB399" s="124">
        <f>IF(NFI_Expiration=1,IF($A399&lt;VLOOKUP(Q$5,NFI,5,0),1,0)*Data_NFI_t[[#This Row],[Plastic Bucket]],0)</f>
        <v>0</v>
      </c>
      <c r="AC399" s="124">
        <f>IF(NFI_Expiration=1,IF($A399&lt;VLOOKUP(R$5,NFI,5,0),1,0)*Data_NFI_t[[#This Row],[Jerry Can]],0)</f>
        <v>0</v>
      </c>
      <c r="AD399" s="143">
        <f>IF(NFI_Expiration=1,IF($A399&lt;VLOOKUP(S$5,NFI,5,0),1,0)*Data_NFI_t[[#This Row],[Plastic Mat]],0)*IF(Data_NFI_t[[#This Row],[Distribution Date]]&gt;"01-06-2015",1,2.5)</f>
        <v>0</v>
      </c>
      <c r="AE399" s="143" t="str">
        <f ca="1">IFERROR(OFFSET(Camp_List[P_Code],MATCH(Data_NFI_t[[#This Row],[Camp Name]],Camp_List[Camp Name],0)-1,0,1,1),"")</f>
        <v>MMR012CMP072</v>
      </c>
      <c r="AF399" s="572" t="str">
        <f ca="1">IFERROR(OFFSET(Camp_List[Status],MATCH(Data_NFI_t[[#This Row],[Camp Name]],Camp_List[Camp Name],0)-1,0,1,1),"")</f>
        <v>Close</v>
      </c>
    </row>
    <row r="400" spans="1:32">
      <c r="A400" s="254">
        <f t="shared" si="6"/>
        <v>47.833333333333336</v>
      </c>
      <c r="B400" s="591">
        <f>YEAR(Data_NFI_t[[#This Row],[Distribution Date]])</f>
        <v>2012</v>
      </c>
      <c r="C400" s="585">
        <v>41087</v>
      </c>
      <c r="D400" s="547" t="s">
        <v>287</v>
      </c>
      <c r="E400" s="546"/>
      <c r="F400" s="547" t="s">
        <v>7</v>
      </c>
      <c r="G400" s="31" t="s">
        <v>19</v>
      </c>
      <c r="H400" s="31" t="s">
        <v>248</v>
      </c>
      <c r="I400" s="31"/>
      <c r="J400" s="60"/>
      <c r="K400" s="60"/>
      <c r="L400" s="131"/>
      <c r="M400" s="131">
        <v>11</v>
      </c>
      <c r="N400" s="131"/>
      <c r="O400" s="131"/>
      <c r="P400" s="131"/>
      <c r="Q400" s="131"/>
      <c r="R400" s="571"/>
      <c r="S400" s="131"/>
      <c r="T400" s="143">
        <f>IF(NFI_Expiration=1,IF($A400&lt;VLOOKUP(I$5,NFI,5,0),1,0)*Data_NFI_t[[#This Row],[Hygiene Kit]],0)</f>
        <v>0</v>
      </c>
      <c r="U400" s="143">
        <f>IF(NFI_Expiration=1,IF($A400&lt;VLOOKUP(J$5,NFI,5,0),1,0)*Data_NFI_t[[#This Row],[NFI Core Kit]],0)</f>
        <v>0</v>
      </c>
      <c r="V400" s="124">
        <f>IF(NFI_Expiration=1,IF($A400&lt;VLOOKUP(K$5,NFI,5,0),1,0)*Data_NFI_t[[#This Row],[Sanitary Kit]],0)</f>
        <v>0</v>
      </c>
      <c r="W400" s="124">
        <f>IF(NFI_Expiration=1,IF($A400&lt;VLOOKUP(L$5,NFI,5,0),1,0)*Data_NFI_t[[#This Row],[Mosquito net]],0)</f>
        <v>0</v>
      </c>
      <c r="X400" s="124">
        <f>IF(NFI_Expiration=1,IF($A400&lt;VLOOKUP(M$5,NFI,5,0),1,0)*Data_NFI_t[[#This Row],[Tarpaulin]],0)</f>
        <v>0</v>
      </c>
      <c r="Y400" s="124">
        <f>IF(NFI_Expiration=1,IF($A400&lt;VLOOKUP(N$5,NFI,5,0),1,0)*Data_NFI_t[[#This Row],[Blanket]],0)</f>
        <v>0</v>
      </c>
      <c r="Z400" s="124">
        <f>IF(NFI_Expiration=1,IF($A400&lt;VLOOKUP(O$5,NFI,5,0),1,0)*Data_NFI_t[[#This Row],[Kitchen Set]],0)</f>
        <v>0</v>
      </c>
      <c r="AA400" s="124">
        <f>IF(NFI_Expiration=1,IF($A400&lt;VLOOKUP(P$5,NFI,5,0),1,0)*Data_NFI_t[[#This Row],[Complementary Kit]],0)</f>
        <v>0</v>
      </c>
      <c r="AB400" s="124">
        <f>IF(NFI_Expiration=1,IF($A400&lt;VLOOKUP(Q$5,NFI,5,0),1,0)*Data_NFI_t[[#This Row],[Plastic Bucket]],0)</f>
        <v>0</v>
      </c>
      <c r="AC400" s="124">
        <f>IF(NFI_Expiration=1,IF($A400&lt;VLOOKUP(R$5,NFI,5,0),1,0)*Data_NFI_t[[#This Row],[Jerry Can]],0)</f>
        <v>0</v>
      </c>
      <c r="AD400" s="143">
        <f>IF(NFI_Expiration=1,IF($A400&lt;VLOOKUP(S$5,NFI,5,0),1,0)*Data_NFI_t[[#This Row],[Plastic Mat]],0)*IF(Data_NFI_t[[#This Row],[Distribution Date]]&gt;"01-06-2015",1,2.5)</f>
        <v>0</v>
      </c>
      <c r="AE400" s="143" t="str">
        <f ca="1">IFERROR(OFFSET(Camp_List[P_Code],MATCH(Data_NFI_t[[#This Row],[Camp Name]],Camp_List[Camp Name],0)-1,0,1,1),"")</f>
        <v/>
      </c>
      <c r="AF400" s="572" t="str">
        <f ca="1">IFERROR(OFFSET(Camp_List[Status],MATCH(Data_NFI_t[[#This Row],[Camp Name]],Camp_List[Camp Name],0)-1,0,1,1),"")</f>
        <v/>
      </c>
    </row>
    <row r="401" spans="1:32">
      <c r="A401" s="254">
        <f t="shared" si="6"/>
        <v>47.833333333333336</v>
      </c>
      <c r="B401" s="591">
        <f>YEAR(Data_NFI_t[[#This Row],[Distribution Date]])</f>
        <v>2012</v>
      </c>
      <c r="C401" s="585">
        <v>41087</v>
      </c>
      <c r="D401" s="547" t="s">
        <v>287</v>
      </c>
      <c r="E401" s="546"/>
      <c r="F401" s="547" t="s">
        <v>7</v>
      </c>
      <c r="G401" s="31" t="s">
        <v>19</v>
      </c>
      <c r="H401" s="31" t="s">
        <v>249</v>
      </c>
      <c r="I401" s="31"/>
      <c r="J401" s="60"/>
      <c r="K401" s="60"/>
      <c r="L401" s="131"/>
      <c r="M401" s="131">
        <v>200</v>
      </c>
      <c r="N401" s="131"/>
      <c r="O401" s="131"/>
      <c r="P401" s="131"/>
      <c r="Q401" s="131"/>
      <c r="R401" s="571"/>
      <c r="S401" s="131"/>
      <c r="T401" s="143">
        <f>IF(NFI_Expiration=1,IF($A401&lt;VLOOKUP(I$5,NFI,5,0),1,0)*Data_NFI_t[[#This Row],[Hygiene Kit]],0)</f>
        <v>0</v>
      </c>
      <c r="U401" s="143">
        <f>IF(NFI_Expiration=1,IF($A401&lt;VLOOKUP(J$5,NFI,5,0),1,0)*Data_NFI_t[[#This Row],[NFI Core Kit]],0)</f>
        <v>0</v>
      </c>
      <c r="V401" s="124">
        <f>IF(NFI_Expiration=1,IF($A401&lt;VLOOKUP(K$5,NFI,5,0),1,0)*Data_NFI_t[[#This Row],[Sanitary Kit]],0)</f>
        <v>0</v>
      </c>
      <c r="W401" s="124">
        <f>IF(NFI_Expiration=1,IF($A401&lt;VLOOKUP(L$5,NFI,5,0),1,0)*Data_NFI_t[[#This Row],[Mosquito net]],0)</f>
        <v>0</v>
      </c>
      <c r="X401" s="124">
        <f>IF(NFI_Expiration=1,IF($A401&lt;VLOOKUP(M$5,NFI,5,0),1,0)*Data_NFI_t[[#This Row],[Tarpaulin]],0)</f>
        <v>0</v>
      </c>
      <c r="Y401" s="124">
        <f>IF(NFI_Expiration=1,IF($A401&lt;VLOOKUP(N$5,NFI,5,0),1,0)*Data_NFI_t[[#This Row],[Blanket]],0)</f>
        <v>0</v>
      </c>
      <c r="Z401" s="124">
        <f>IF(NFI_Expiration=1,IF($A401&lt;VLOOKUP(O$5,NFI,5,0),1,0)*Data_NFI_t[[#This Row],[Kitchen Set]],0)</f>
        <v>0</v>
      </c>
      <c r="AA401" s="124">
        <f>IF(NFI_Expiration=1,IF($A401&lt;VLOOKUP(P$5,NFI,5,0),1,0)*Data_NFI_t[[#This Row],[Complementary Kit]],0)</f>
        <v>0</v>
      </c>
      <c r="AB401" s="124">
        <f>IF(NFI_Expiration=1,IF($A401&lt;VLOOKUP(Q$5,NFI,5,0),1,0)*Data_NFI_t[[#This Row],[Plastic Bucket]],0)</f>
        <v>0</v>
      </c>
      <c r="AC401" s="124">
        <f>IF(NFI_Expiration=1,IF($A401&lt;VLOOKUP(R$5,NFI,5,0),1,0)*Data_NFI_t[[#This Row],[Jerry Can]],0)</f>
        <v>0</v>
      </c>
      <c r="AD401" s="143">
        <f>IF(NFI_Expiration=1,IF($A401&lt;VLOOKUP(S$5,NFI,5,0),1,0)*Data_NFI_t[[#This Row],[Plastic Mat]],0)*IF(Data_NFI_t[[#This Row],[Distribution Date]]&gt;"01-06-2015",1,2.5)</f>
        <v>0</v>
      </c>
      <c r="AE401" s="143" t="str">
        <f ca="1">IFERROR(OFFSET(Camp_List[P_Code],MATCH(Data_NFI_t[[#This Row],[Camp Name]],Camp_List[Camp Name],0)-1,0,1,1),"")</f>
        <v/>
      </c>
      <c r="AF401" s="572" t="str">
        <f ca="1">IFERROR(OFFSET(Camp_List[Status],MATCH(Data_NFI_t[[#This Row],[Camp Name]],Camp_List[Camp Name],0)-1,0,1,1),"")</f>
        <v/>
      </c>
    </row>
    <row r="402" spans="1:32">
      <c r="A402"/>
      <c r="B402" s="42"/>
      <c r="C402"/>
      <c r="E402" s="130"/>
      <c r="I402" s="130"/>
      <c r="J402" s="131"/>
      <c r="K402" s="131"/>
      <c r="L402" s="131"/>
      <c r="M402" s="131"/>
      <c r="N402" s="131"/>
      <c r="O402" s="131"/>
      <c r="P402" s="131"/>
      <c r="Q402" s="131"/>
      <c r="R402" s="571"/>
      <c r="S402" s="131"/>
      <c r="T402"/>
      <c r="U402"/>
      <c r="V402"/>
      <c r="W402"/>
      <c r="X402"/>
      <c r="Y402"/>
      <c r="Z402"/>
      <c r="AA402"/>
      <c r="AB402"/>
      <c r="AC402" s="100"/>
      <c r="AD402"/>
    </row>
  </sheetData>
  <sortState ref="A5:A1000">
    <sortCondition descending="1" ref="A8"/>
  </sortState>
  <mergeCells count="3">
    <mergeCell ref="A4:D4"/>
    <mergeCell ref="A2:I2"/>
    <mergeCell ref="A3:I3"/>
  </mergeCells>
  <conditionalFormatting sqref="AF402 AF6:AF8">
    <cfRule type="cellIs" dxfId="421" priority="3" operator="equal">
      <formula>"close"</formula>
    </cfRule>
  </conditionalFormatting>
  <conditionalFormatting sqref="AF9:AF396">
    <cfRule type="cellIs" dxfId="420" priority="1" operator="equal">
      <formula>"close"</formula>
    </cfRule>
  </conditionalFormatting>
  <dataValidations count="5">
    <dataValidation type="list" allowBlank="1" showInputMessage="1" showErrorMessage="1" sqref="D67:D78">
      <formula1>Agency1</formula1>
    </dataValidation>
    <dataValidation type="list" showInputMessage="1" showErrorMessage="1" sqref="JB51 WVN51 WLR51 WBV51 VRZ51 VID51 UYH51 UOL51 UEP51 TUT51 TKX51 TBB51 SRF51 SHJ51 RXN51 RNR51 RDV51 QTZ51 QKD51 QAH51 PQL51 PGP51 OWT51 OMX51 ODB51 NTF51 NJJ51 MZN51 MPR51 MFV51 LVZ51 LMD51 LCH51 KSL51 KIP51 JYT51 JOX51 JFB51 IVF51 ILJ51 IBN51 HRR51 HHV51 GXZ51 GOD51 GEH51 FUL51 FKP51 FAT51 EQX51 EHB51 DXF51 DNJ51 DDN51 CTR51 CJV51 BZZ51 BQD51 BGH51 AWL51 AMP51 ACT51 SX51">
      <formula1>INDIRECT(#REF!)</formula1>
    </dataValidation>
    <dataValidation type="list" allowBlank="1" showInputMessage="1" showErrorMessage="1" sqref="F9:F401 F6:F8">
      <formula1>State</formula1>
    </dataValidation>
    <dataValidation type="list" showInputMessage="1" showErrorMessage="1" sqref="G9:G401 G6:G8">
      <formula1>INDIRECT(F6)</formula1>
    </dataValidation>
    <dataValidation type="list" errorStyle="warning" showInputMessage="1" showErrorMessage="1" sqref="H9:H401 H6:H8">
      <formula1>OFFSET(TCL_T1,MATCH(G6,TCL_T,0)-1,1,COUNTIF(TCL_T,G6),1)</formula1>
    </dataValidation>
  </dataValidations>
  <printOptions gridLines="1"/>
  <pageMargins left="0.25" right="0.25" top="0.75" bottom="0.75" header="0.3" footer="0.3"/>
  <pageSetup paperSize="9" scale="67"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60" zoomScaleNormal="60" workbookViewId="0">
      <selection activeCell="S13" sqref="S13"/>
    </sheetView>
  </sheetViews>
  <sheetFormatPr defaultColWidth="5" defaultRowHeight="51.75" customHeight="1"/>
  <cols>
    <col min="1" max="4" width="11.140625" customWidth="1"/>
    <col min="5" max="5" width="12.7109375" bestFit="1" customWidth="1"/>
    <col min="6" max="6" width="6.140625" style="67" hidden="1" customWidth="1"/>
    <col min="7" max="7" width="6.140625" style="1" hidden="1" customWidth="1"/>
    <col min="8" max="8" width="6.140625" style="68" hidden="1" customWidth="1"/>
    <col min="9" max="9" width="6.140625" style="67" hidden="1" customWidth="1"/>
    <col min="10" max="10" width="6.140625" style="1" hidden="1" customWidth="1"/>
    <col min="11" max="11" width="6.140625" style="68" hidden="1" customWidth="1"/>
    <col min="12" max="12" width="6.140625" style="67" hidden="1" customWidth="1"/>
    <col min="13" max="13" width="6.140625" style="1" hidden="1" customWidth="1"/>
    <col min="14" max="14" width="6.140625" style="68" hidden="1" customWidth="1"/>
    <col min="15" max="15" width="11.7109375" style="67" customWidth="1"/>
    <col min="16" max="16" width="10.5703125" style="1" customWidth="1"/>
    <col min="17" max="17" width="6.28515625" style="1" customWidth="1"/>
    <col min="18" max="18" width="10.28515625" style="67" customWidth="1"/>
    <col min="19" max="19" width="10.140625" style="1" customWidth="1"/>
    <col min="20" max="20" width="6.140625" style="68" bestFit="1" customWidth="1"/>
    <col min="21" max="21" width="10.5703125" bestFit="1" customWidth="1"/>
    <col min="22" max="22" width="9.85546875" style="45" customWidth="1"/>
    <col min="23" max="23" width="8.140625" style="45" customWidth="1"/>
    <col min="24" max="24" width="9.140625" style="67" customWidth="1"/>
    <col min="25" max="25" width="9.42578125" style="1" customWidth="1"/>
    <col min="26" max="26" width="6.140625" style="68" bestFit="1" customWidth="1"/>
    <col min="27" max="27" width="10.140625" style="67" bestFit="1" customWidth="1"/>
    <col min="28" max="28" width="10.5703125" style="1" bestFit="1" customWidth="1"/>
    <col min="29" max="29" width="6.140625" style="68" bestFit="1" customWidth="1"/>
    <col min="30" max="30" width="9.7109375" style="67" customWidth="1"/>
    <col min="31" max="31" width="9.42578125" style="1" customWidth="1"/>
    <col min="32" max="32" width="6.140625" style="68" customWidth="1"/>
    <col min="33" max="33" width="9.7109375" style="67" customWidth="1"/>
    <col min="34" max="34" width="9.7109375" style="1" customWidth="1"/>
    <col min="35" max="35" width="9.7109375" style="68" customWidth="1"/>
    <col min="36" max="36" width="9.7109375" style="67" customWidth="1"/>
    <col min="37" max="37" width="9.42578125" style="1" customWidth="1"/>
    <col min="38" max="38" width="6.140625" style="68" customWidth="1"/>
  </cols>
  <sheetData>
    <row r="1" spans="1:59" s="1" customFormat="1" ht="36">
      <c r="A1" s="198"/>
      <c r="B1" s="199"/>
      <c r="C1" s="199"/>
      <c r="D1" s="199"/>
      <c r="E1" s="199"/>
      <c r="F1" s="199"/>
      <c r="G1" s="199"/>
      <c r="H1" s="199"/>
      <c r="I1" s="25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215"/>
      <c r="BF1" s="78"/>
      <c r="BG1" s="78"/>
    </row>
    <row r="2" spans="1:59" s="1" customFormat="1" ht="86.25" customHeight="1">
      <c r="A2" s="256" t="s">
        <v>536</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223"/>
      <c r="BF2" s="78"/>
      <c r="BG2" s="78"/>
    </row>
    <row r="3" spans="1:59" s="21" customFormat="1" ht="18" customHeight="1">
      <c r="A3" s="850">
        <f>Report_Date</f>
        <v>42522</v>
      </c>
      <c r="B3" s="851"/>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217"/>
      <c r="AH3" s="217"/>
      <c r="AI3" s="217"/>
      <c r="AJ3" s="217"/>
      <c r="AK3" s="217"/>
      <c r="AL3" s="218"/>
      <c r="BF3" s="79"/>
      <c r="BG3" s="79"/>
    </row>
    <row r="4" spans="1:59" s="69" customFormat="1" ht="15.75" customHeight="1" thickBot="1">
      <c r="AA4" s="100"/>
      <c r="AB4" s="100"/>
      <c r="AC4" s="100"/>
      <c r="AD4" s="100"/>
      <c r="AE4" s="100"/>
      <c r="AF4" s="100"/>
      <c r="AG4" s="100"/>
      <c r="AH4" s="100"/>
      <c r="AI4" s="100"/>
      <c r="AJ4" s="100"/>
      <c r="AK4" s="100"/>
      <c r="AL4" s="100"/>
    </row>
    <row r="5" spans="1:59" s="61" customFormat="1" ht="51.75" customHeight="1" thickBot="1">
      <c r="A5" s="895" t="s">
        <v>209</v>
      </c>
      <c r="B5" s="895" t="s">
        <v>202</v>
      </c>
      <c r="C5" s="257"/>
      <c r="D5" s="895" t="s">
        <v>10</v>
      </c>
      <c r="E5" s="895" t="s">
        <v>1</v>
      </c>
      <c r="F5" s="906" t="s">
        <v>203</v>
      </c>
      <c r="G5" s="907"/>
      <c r="H5" s="908"/>
      <c r="I5" s="909" t="s">
        <v>204</v>
      </c>
      <c r="J5" s="910"/>
      <c r="K5" s="911"/>
      <c r="L5" s="903" t="s">
        <v>205</v>
      </c>
      <c r="M5" s="904"/>
      <c r="N5" s="905"/>
      <c r="O5" s="900" t="s">
        <v>206</v>
      </c>
      <c r="P5" s="901"/>
      <c r="Q5" s="902"/>
      <c r="R5" s="897" t="s">
        <v>207</v>
      </c>
      <c r="S5" s="898"/>
      <c r="T5" s="899"/>
      <c r="U5" s="915" t="s">
        <v>230</v>
      </c>
      <c r="V5" s="915"/>
      <c r="W5" s="915"/>
      <c r="X5" s="912" t="s">
        <v>231</v>
      </c>
      <c r="Y5" s="913"/>
      <c r="Z5" s="914"/>
      <c r="AA5" s="918" t="s">
        <v>910</v>
      </c>
      <c r="AB5" s="919"/>
      <c r="AC5" s="920"/>
      <c r="AD5" s="889" t="s">
        <v>595</v>
      </c>
      <c r="AE5" s="916"/>
      <c r="AF5" s="917"/>
      <c r="AG5" s="892" t="s">
        <v>596</v>
      </c>
      <c r="AH5" s="893"/>
      <c r="AI5" s="894"/>
      <c r="AJ5" s="889" t="s">
        <v>963</v>
      </c>
      <c r="AK5" s="890"/>
      <c r="AL5" s="891"/>
    </row>
    <row r="6" spans="1:59" s="61" customFormat="1" ht="51.75" customHeight="1" thickBot="1">
      <c r="A6" s="896"/>
      <c r="B6" s="896"/>
      <c r="C6" s="258" t="s">
        <v>213</v>
      </c>
      <c r="D6" s="896"/>
      <c r="E6" s="896"/>
      <c r="F6" s="259" t="s">
        <v>208</v>
      </c>
      <c r="G6" s="260" t="s">
        <v>210</v>
      </c>
      <c r="H6" s="261" t="s">
        <v>211</v>
      </c>
      <c r="I6" s="259" t="s">
        <v>208</v>
      </c>
      <c r="J6" s="260" t="s">
        <v>210</v>
      </c>
      <c r="K6" s="261" t="s">
        <v>211</v>
      </c>
      <c r="L6" s="259" t="s">
        <v>208</v>
      </c>
      <c r="M6" s="260" t="s">
        <v>210</v>
      </c>
      <c r="N6" s="261" t="s">
        <v>211</v>
      </c>
      <c r="O6" s="188" t="s">
        <v>208</v>
      </c>
      <c r="P6" s="188" t="s">
        <v>210</v>
      </c>
      <c r="Q6" s="188" t="s">
        <v>211</v>
      </c>
      <c r="R6" s="188" t="s">
        <v>208</v>
      </c>
      <c r="S6" s="188" t="s">
        <v>210</v>
      </c>
      <c r="T6" s="188" t="s">
        <v>211</v>
      </c>
      <c r="U6" s="188" t="s">
        <v>208</v>
      </c>
      <c r="V6" s="188" t="s">
        <v>210</v>
      </c>
      <c r="W6" s="188" t="s">
        <v>211</v>
      </c>
      <c r="X6" s="188" t="s">
        <v>208</v>
      </c>
      <c r="Y6" s="188" t="s">
        <v>210</v>
      </c>
      <c r="Z6" s="188" t="s">
        <v>211</v>
      </c>
      <c r="AA6" s="188" t="s">
        <v>208</v>
      </c>
      <c r="AB6" s="188" t="s">
        <v>210</v>
      </c>
      <c r="AC6" s="188" t="s">
        <v>211</v>
      </c>
      <c r="AD6" s="188" t="s">
        <v>208</v>
      </c>
      <c r="AE6" s="188" t="s">
        <v>210</v>
      </c>
      <c r="AF6" s="188" t="s">
        <v>211</v>
      </c>
      <c r="AG6" s="188" t="s">
        <v>208</v>
      </c>
      <c r="AH6" s="188" t="s">
        <v>210</v>
      </c>
      <c r="AI6" s="188" t="s">
        <v>211</v>
      </c>
      <c r="AJ6" s="188" t="s">
        <v>208</v>
      </c>
      <c r="AK6" s="766" t="s">
        <v>210</v>
      </c>
      <c r="AL6" s="771" t="s">
        <v>211</v>
      </c>
    </row>
    <row r="7" spans="1:59" s="5" customFormat="1" ht="23.25" customHeight="1">
      <c r="A7" s="132">
        <v>42488</v>
      </c>
      <c r="B7" s="133" t="s">
        <v>287</v>
      </c>
      <c r="C7" s="133" t="s">
        <v>287</v>
      </c>
      <c r="D7" s="133" t="s">
        <v>7</v>
      </c>
      <c r="E7" s="133" t="s">
        <v>20</v>
      </c>
      <c r="F7" s="134"/>
      <c r="G7" s="21"/>
      <c r="H7" s="135"/>
      <c r="I7" s="134"/>
      <c r="J7" s="21"/>
      <c r="K7" s="135"/>
      <c r="L7" s="134"/>
      <c r="M7" s="21"/>
      <c r="N7" s="135"/>
      <c r="O7" s="770">
        <v>848</v>
      </c>
      <c r="P7" s="265">
        <v>0</v>
      </c>
      <c r="Q7" s="266">
        <v>0</v>
      </c>
      <c r="R7" s="770">
        <v>421</v>
      </c>
      <c r="S7" s="265">
        <v>0</v>
      </c>
      <c r="T7" s="266">
        <v>0</v>
      </c>
      <c r="U7" s="770">
        <v>119</v>
      </c>
      <c r="V7" s="265">
        <v>0</v>
      </c>
      <c r="W7" s="266">
        <v>0</v>
      </c>
      <c r="X7" s="768">
        <v>806</v>
      </c>
      <c r="Y7" s="262">
        <v>0</v>
      </c>
      <c r="Z7" s="263">
        <v>0</v>
      </c>
      <c r="AA7" s="264">
        <v>0</v>
      </c>
      <c r="AB7" s="262">
        <v>0</v>
      </c>
      <c r="AC7" s="263">
        <v>0</v>
      </c>
      <c r="AD7" s="768">
        <v>408</v>
      </c>
      <c r="AE7" s="262">
        <v>0</v>
      </c>
      <c r="AF7" s="263">
        <v>0</v>
      </c>
      <c r="AG7" s="769">
        <v>2113</v>
      </c>
      <c r="AH7" s="262">
        <v>0</v>
      </c>
      <c r="AI7" s="263">
        <v>0</v>
      </c>
      <c r="AJ7" s="768">
        <v>403</v>
      </c>
      <c r="AK7" s="262">
        <v>0</v>
      </c>
      <c r="AL7" s="263">
        <v>0</v>
      </c>
    </row>
    <row r="8" spans="1:59" s="5" customFormat="1" ht="23.25" customHeight="1">
      <c r="A8" s="132">
        <v>42488</v>
      </c>
      <c r="B8" s="133" t="s">
        <v>287</v>
      </c>
      <c r="C8" s="133" t="s">
        <v>287</v>
      </c>
      <c r="D8" s="133" t="s">
        <v>7</v>
      </c>
      <c r="E8" s="133" t="s">
        <v>615</v>
      </c>
      <c r="F8" s="134"/>
      <c r="G8" s="21"/>
      <c r="H8" s="135"/>
      <c r="I8" s="134"/>
      <c r="J8" s="21"/>
      <c r="K8" s="135"/>
      <c r="L8" s="134"/>
      <c r="M8" s="21"/>
      <c r="N8" s="135"/>
      <c r="O8" s="767">
        <v>939</v>
      </c>
      <c r="P8" s="322">
        <v>0</v>
      </c>
      <c r="Q8" s="263">
        <v>0</v>
      </c>
      <c r="R8" s="767">
        <v>1095</v>
      </c>
      <c r="S8" s="322">
        <v>0</v>
      </c>
      <c r="T8" s="263">
        <v>0</v>
      </c>
      <c r="U8" s="767">
        <v>599</v>
      </c>
      <c r="V8" s="322">
        <v>0</v>
      </c>
      <c r="W8" s="263">
        <v>0</v>
      </c>
      <c r="X8" s="768">
        <v>646</v>
      </c>
      <c r="Y8" s="320">
        <v>0</v>
      </c>
      <c r="Z8" s="263">
        <v>0</v>
      </c>
      <c r="AA8" s="264">
        <v>0</v>
      </c>
      <c r="AB8" s="320">
        <v>0</v>
      </c>
      <c r="AC8" s="263">
        <v>0</v>
      </c>
      <c r="AD8" s="768">
        <v>556</v>
      </c>
      <c r="AE8" s="320">
        <v>0</v>
      </c>
      <c r="AF8" s="263">
        <v>0</v>
      </c>
      <c r="AG8" s="769">
        <v>686</v>
      </c>
      <c r="AH8" s="262">
        <v>0</v>
      </c>
      <c r="AI8" s="263">
        <v>0</v>
      </c>
      <c r="AJ8" s="768">
        <v>382</v>
      </c>
      <c r="AK8" s="320">
        <v>0</v>
      </c>
      <c r="AL8" s="263">
        <v>0</v>
      </c>
    </row>
    <row r="9" spans="1:59" s="5" customFormat="1" ht="23.25" customHeight="1">
      <c r="A9" s="132">
        <v>42488</v>
      </c>
      <c r="B9" s="133" t="s">
        <v>287</v>
      </c>
      <c r="C9" s="133" t="s">
        <v>287</v>
      </c>
      <c r="D9" s="133" t="s">
        <v>7</v>
      </c>
      <c r="E9" s="133" t="s">
        <v>19</v>
      </c>
      <c r="F9" s="134"/>
      <c r="G9" s="21"/>
      <c r="H9" s="135"/>
      <c r="I9" s="134"/>
      <c r="J9" s="21"/>
      <c r="K9" s="135"/>
      <c r="L9" s="134"/>
      <c r="M9" s="21"/>
      <c r="N9" s="135"/>
      <c r="O9" s="321">
        <v>288</v>
      </c>
      <c r="P9" s="262">
        <v>0</v>
      </c>
      <c r="Q9" s="263">
        <v>0</v>
      </c>
      <c r="R9" s="321">
        <v>168</v>
      </c>
      <c r="S9" s="262">
        <v>0</v>
      </c>
      <c r="T9" s="263">
        <v>0</v>
      </c>
      <c r="U9" s="321">
        <v>1328</v>
      </c>
      <c r="V9" s="262">
        <v>0</v>
      </c>
      <c r="W9" s="263">
        <v>0</v>
      </c>
      <c r="X9" s="320">
        <v>194</v>
      </c>
      <c r="Y9" s="262">
        <v>0</v>
      </c>
      <c r="Z9" s="263">
        <v>0</v>
      </c>
      <c r="AA9" s="264">
        <v>8</v>
      </c>
      <c r="AB9" s="262">
        <v>0</v>
      </c>
      <c r="AC9" s="263">
        <v>0</v>
      </c>
      <c r="AD9" s="320">
        <v>194</v>
      </c>
      <c r="AE9" s="262">
        <v>0</v>
      </c>
      <c r="AF9" s="263">
        <v>0</v>
      </c>
      <c r="AG9" s="584">
        <v>967</v>
      </c>
      <c r="AH9" s="262">
        <v>0</v>
      </c>
      <c r="AI9" s="263">
        <v>0</v>
      </c>
      <c r="AJ9" s="320">
        <v>194</v>
      </c>
      <c r="AK9" s="262">
        <v>0</v>
      </c>
      <c r="AL9" s="263">
        <v>0</v>
      </c>
    </row>
    <row r="10" spans="1:59" s="100" customFormat="1" ht="23.25" customHeight="1">
      <c r="A10" s="132"/>
      <c r="B10" s="133"/>
      <c r="C10" s="133"/>
      <c r="D10" s="133"/>
      <c r="E10" s="133"/>
      <c r="F10" s="67"/>
      <c r="G10" s="1"/>
      <c r="H10" s="68"/>
      <c r="I10" s="67"/>
      <c r="J10" s="1"/>
      <c r="K10" s="68"/>
      <c r="L10" s="67"/>
      <c r="M10" s="1"/>
      <c r="N10" s="68"/>
      <c r="O10" s="323"/>
      <c r="P10" s="324"/>
      <c r="Q10" s="325"/>
      <c r="R10" s="323"/>
      <c r="S10" s="322"/>
      <c r="T10" s="325"/>
      <c r="U10" s="323"/>
      <c r="V10" s="322"/>
      <c r="W10" s="325"/>
      <c r="X10" s="322"/>
      <c r="Y10" s="322"/>
      <c r="Z10" s="325"/>
      <c r="AA10" s="323"/>
      <c r="AB10" s="322"/>
      <c r="AC10" s="325"/>
      <c r="AD10" s="323"/>
      <c r="AE10" s="322"/>
      <c r="AF10" s="325"/>
      <c r="AG10" s="323"/>
      <c r="AH10" s="324"/>
      <c r="AI10" s="325"/>
      <c r="AJ10" s="323"/>
      <c r="AK10" s="322"/>
      <c r="AL10" s="325"/>
    </row>
    <row r="11" spans="1:59" ht="23.25" customHeight="1">
      <c r="A11" s="80" t="s">
        <v>800</v>
      </c>
      <c r="B11" s="80"/>
      <c r="C11" s="80"/>
      <c r="D11" s="80"/>
      <c r="E11" s="80"/>
      <c r="Q11" s="68"/>
      <c r="U11" s="67"/>
      <c r="V11" s="1"/>
      <c r="W11" s="68"/>
      <c r="X11" s="1"/>
    </row>
    <row r="12" spans="1:59" ht="23.25" customHeight="1">
      <c r="A12" s="80"/>
      <c r="B12" s="80"/>
      <c r="C12" s="80"/>
      <c r="D12" s="80"/>
      <c r="E12" s="80"/>
      <c r="Q12" s="68"/>
      <c r="U12" s="67"/>
      <c r="V12" s="1"/>
      <c r="W12" s="68"/>
      <c r="X12" s="1"/>
    </row>
    <row r="13" spans="1:59" ht="23.25" customHeight="1">
      <c r="A13" s="80"/>
      <c r="B13" s="80"/>
      <c r="C13" s="80"/>
      <c r="D13" s="80"/>
      <c r="E13" s="80"/>
      <c r="Q13" s="68"/>
      <c r="U13" s="67"/>
      <c r="V13" s="1"/>
      <c r="W13" s="68"/>
      <c r="X13" s="1"/>
    </row>
    <row r="14" spans="1:59" ht="23.25" customHeight="1">
      <c r="A14" s="80"/>
      <c r="B14" s="80"/>
      <c r="C14" s="80"/>
      <c r="D14" s="80"/>
      <c r="E14" s="80"/>
      <c r="Q14" s="68"/>
      <c r="U14" s="67"/>
      <c r="V14" s="1"/>
      <c r="W14" s="68"/>
      <c r="X14" s="1"/>
    </row>
    <row r="15" spans="1:59" ht="23.25" customHeight="1">
      <c r="A15" s="80"/>
      <c r="B15" s="80"/>
      <c r="C15" s="80"/>
      <c r="D15" s="80"/>
      <c r="E15" s="80"/>
      <c r="Q15" s="68"/>
      <c r="U15" s="67"/>
      <c r="V15" s="1"/>
      <c r="W15" s="68"/>
      <c r="X15" s="1"/>
    </row>
    <row r="16" spans="1:59" ht="23.25" customHeight="1">
      <c r="A16" s="80"/>
      <c r="B16" s="80"/>
      <c r="C16" s="80"/>
      <c r="D16" s="80"/>
      <c r="E16" s="80"/>
      <c r="Q16" s="68"/>
      <c r="U16" s="67"/>
      <c r="V16" s="1"/>
      <c r="W16" s="68"/>
      <c r="X16" s="1"/>
    </row>
    <row r="17" spans="1:24" ht="23.25" customHeight="1">
      <c r="A17" s="80"/>
      <c r="B17" s="80"/>
      <c r="C17" s="80"/>
      <c r="D17" s="80"/>
      <c r="E17" s="80"/>
      <c r="Q17" s="68"/>
      <c r="U17" s="67"/>
      <c r="V17" s="1"/>
      <c r="W17" s="68"/>
      <c r="X17" s="1"/>
    </row>
    <row r="18" spans="1:24" ht="23.25" customHeight="1">
      <c r="A18" s="80"/>
      <c r="B18" s="80"/>
      <c r="C18" s="80"/>
      <c r="D18" s="80"/>
      <c r="E18" s="80"/>
      <c r="Q18" s="68"/>
      <c r="U18" s="67"/>
      <c r="V18" s="1"/>
      <c r="W18" s="68"/>
      <c r="X18" s="1"/>
    </row>
    <row r="19" spans="1:24" ht="51.75" customHeight="1">
      <c r="A19" s="80"/>
      <c r="B19" s="80"/>
      <c r="C19" s="80"/>
      <c r="D19" s="80"/>
      <c r="E19" s="80"/>
      <c r="Q19" s="68"/>
      <c r="U19" s="67"/>
      <c r="V19" s="1"/>
      <c r="W19" s="68"/>
      <c r="X19" s="1"/>
    </row>
    <row r="20" spans="1:24" ht="51.75" customHeight="1">
      <c r="A20" s="80"/>
      <c r="B20" s="80"/>
      <c r="C20" s="80"/>
      <c r="D20" s="80"/>
      <c r="E20" s="80"/>
      <c r="Q20" s="68"/>
      <c r="U20" s="67"/>
      <c r="V20" s="1"/>
      <c r="W20" s="68"/>
      <c r="X20" s="1"/>
    </row>
    <row r="21" spans="1:24" ht="51.75" customHeight="1">
      <c r="A21" s="80"/>
      <c r="B21" s="80"/>
      <c r="C21" s="80"/>
      <c r="D21" s="80"/>
      <c r="E21" s="80"/>
      <c r="Q21" s="68"/>
      <c r="U21" s="67"/>
      <c r="V21" s="1"/>
      <c r="W21" s="68"/>
      <c r="X21" s="1"/>
    </row>
    <row r="22" spans="1:24" ht="51.75" customHeight="1">
      <c r="A22" s="80"/>
      <c r="B22" s="80"/>
      <c r="C22" s="80"/>
      <c r="D22" s="80"/>
      <c r="E22" s="80"/>
      <c r="Q22" s="68"/>
      <c r="U22" s="67"/>
      <c r="V22" s="1"/>
      <c r="W22" s="68"/>
      <c r="X22" s="1"/>
    </row>
    <row r="23" spans="1:24" ht="51.75" customHeight="1">
      <c r="A23" s="80"/>
      <c r="B23" s="80"/>
      <c r="C23" s="80"/>
      <c r="D23" s="80"/>
      <c r="E23" s="80"/>
      <c r="Q23" s="68"/>
      <c r="U23" s="67"/>
      <c r="V23" s="1"/>
      <c r="W23" s="68"/>
      <c r="X23" s="1"/>
    </row>
    <row r="24" spans="1:24" ht="51.75" customHeight="1">
      <c r="Q24" s="68"/>
      <c r="U24" s="67"/>
      <c r="V24" s="1"/>
      <c r="W24" s="68"/>
      <c r="X24" s="1"/>
    </row>
    <row r="25" spans="1:24" ht="51.75" customHeight="1">
      <c r="Q25" s="68"/>
      <c r="U25" s="67"/>
      <c r="V25" s="1"/>
      <c r="W25" s="68"/>
      <c r="X25" s="1"/>
    </row>
    <row r="26" spans="1:24" ht="51.75" customHeight="1">
      <c r="Q26" s="68"/>
      <c r="U26" s="67"/>
      <c r="V26" s="1"/>
      <c r="W26" s="68"/>
      <c r="X26" s="1"/>
    </row>
    <row r="27" spans="1:24" ht="51.75" customHeight="1">
      <c r="Q27" s="68"/>
      <c r="U27" s="67"/>
      <c r="V27" s="1"/>
      <c r="W27" s="68"/>
      <c r="X27" s="1"/>
    </row>
    <row r="28" spans="1:24" ht="51.75" customHeight="1">
      <c r="Q28" s="68"/>
      <c r="U28" s="67"/>
      <c r="V28" s="1"/>
      <c r="W28" s="68"/>
      <c r="X28" s="1"/>
    </row>
    <row r="29" spans="1:24" ht="51.75" customHeight="1">
      <c r="Q29" s="68"/>
      <c r="U29" s="67"/>
      <c r="V29" s="1"/>
      <c r="W29" s="68"/>
      <c r="X29" s="1"/>
    </row>
    <row r="30" spans="1:24" ht="51.75" customHeight="1">
      <c r="Q30" s="68"/>
      <c r="U30" s="67"/>
      <c r="V30" s="1"/>
      <c r="W30" s="68"/>
      <c r="X30" s="1"/>
    </row>
    <row r="31" spans="1:24" ht="51.75" customHeight="1">
      <c r="Q31" s="68"/>
      <c r="U31" s="67"/>
      <c r="V31" s="1"/>
      <c r="W31" s="68"/>
      <c r="X31" s="1"/>
    </row>
    <row r="32" spans="1:24" ht="51.75" customHeight="1">
      <c r="Q32" s="68"/>
      <c r="U32" s="67"/>
      <c r="V32" s="1"/>
      <c r="W32" s="68"/>
      <c r="X32" s="1"/>
    </row>
    <row r="33" spans="17:24" ht="51.75" customHeight="1">
      <c r="Q33" s="68"/>
      <c r="U33" s="67"/>
      <c r="V33" s="1"/>
      <c r="W33" s="68"/>
      <c r="X33" s="1"/>
    </row>
    <row r="34" spans="17:24" ht="51.75" customHeight="1">
      <c r="Q34" s="68"/>
      <c r="U34" s="67"/>
      <c r="V34" s="1"/>
      <c r="W34" s="68"/>
      <c r="X34" s="1"/>
    </row>
    <row r="35" spans="17:24" ht="51.75" customHeight="1">
      <c r="Q35" s="68"/>
      <c r="U35" s="67"/>
      <c r="V35" s="1"/>
      <c r="W35" s="68"/>
      <c r="X35" s="1"/>
    </row>
    <row r="36" spans="17:24" ht="51.75" customHeight="1">
      <c r="Q36" s="68"/>
      <c r="U36" s="67"/>
      <c r="V36" s="1"/>
      <c r="W36" s="68"/>
      <c r="X36" s="1"/>
    </row>
    <row r="37" spans="17:24" ht="51.75" customHeight="1">
      <c r="Q37" s="68"/>
      <c r="U37" s="67"/>
      <c r="V37" s="1"/>
      <c r="W37" s="68"/>
      <c r="X37" s="1"/>
    </row>
    <row r="38" spans="17:24" ht="51.75" customHeight="1">
      <c r="Q38" s="68"/>
      <c r="U38" s="67"/>
      <c r="V38" s="1"/>
      <c r="W38" s="68"/>
      <c r="X38" s="1"/>
    </row>
    <row r="39" spans="17:24" ht="51.75" customHeight="1">
      <c r="Q39" s="68"/>
      <c r="U39" s="67"/>
      <c r="V39" s="1"/>
      <c r="W39" s="68"/>
      <c r="X39" s="1"/>
    </row>
    <row r="40" spans="17:24" ht="51.75" customHeight="1">
      <c r="Q40" s="68"/>
      <c r="U40" s="67"/>
      <c r="V40" s="1"/>
      <c r="W40" s="68"/>
      <c r="X40" s="1"/>
    </row>
    <row r="41" spans="17:24" ht="51.75" customHeight="1">
      <c r="Q41" s="68"/>
      <c r="U41" s="67"/>
      <c r="V41" s="1"/>
      <c r="W41" s="68"/>
      <c r="X41" s="1"/>
    </row>
    <row r="42" spans="17:24" ht="51.75" customHeight="1">
      <c r="Q42" s="68"/>
      <c r="U42" s="67"/>
      <c r="V42" s="1"/>
      <c r="W42" s="68"/>
      <c r="X42" s="1"/>
    </row>
    <row r="43" spans="17:24" ht="51.75" customHeight="1">
      <c r="Q43" s="68"/>
      <c r="U43" s="67"/>
      <c r="V43" s="1"/>
      <c r="W43" s="68"/>
      <c r="X43" s="1"/>
    </row>
    <row r="44" spans="17:24" ht="51.75" customHeight="1">
      <c r="Q44" s="68"/>
      <c r="U44" s="67"/>
      <c r="V44" s="1"/>
      <c r="W44" s="68"/>
      <c r="X44" s="1"/>
    </row>
    <row r="45" spans="17:24" ht="51.75" customHeight="1">
      <c r="Q45" s="68"/>
      <c r="U45" s="67"/>
      <c r="V45" s="1"/>
      <c r="W45" s="68"/>
      <c r="X45" s="1"/>
    </row>
    <row r="46" spans="17:24" ht="51.75" customHeight="1">
      <c r="Q46" s="68"/>
      <c r="U46" s="67"/>
      <c r="V46" s="1"/>
      <c r="W46" s="68"/>
      <c r="X46" s="1"/>
    </row>
    <row r="47" spans="17:24" ht="51.75" customHeight="1">
      <c r="Q47" s="68"/>
      <c r="U47" s="67"/>
      <c r="V47" s="1"/>
      <c r="W47" s="68"/>
      <c r="X47" s="1"/>
    </row>
    <row r="48" spans="17:24" ht="51.75" customHeight="1">
      <c r="Q48" s="68"/>
      <c r="U48" s="67"/>
      <c r="V48" s="1"/>
      <c r="W48" s="68"/>
      <c r="X48" s="1"/>
    </row>
    <row r="49" spans="17:24" ht="51.75" customHeight="1">
      <c r="Q49" s="68"/>
      <c r="U49" s="67"/>
      <c r="V49" s="1"/>
      <c r="W49" s="68"/>
      <c r="X49" s="1"/>
    </row>
    <row r="50" spans="17:24" ht="51.75" customHeight="1">
      <c r="Q50" s="68"/>
      <c r="U50" s="67"/>
      <c r="V50" s="1"/>
      <c r="W50" s="68"/>
      <c r="X50" s="1"/>
    </row>
    <row r="51" spans="17:24" ht="51.75" customHeight="1">
      <c r="Q51" s="68"/>
      <c r="U51" s="67"/>
      <c r="V51" s="1"/>
      <c r="W51" s="68"/>
      <c r="X51" s="1"/>
    </row>
    <row r="52" spans="17:24" ht="51.75" customHeight="1">
      <c r="Q52" s="68"/>
      <c r="U52" s="67"/>
      <c r="V52" s="1"/>
      <c r="W52" s="68"/>
      <c r="X52" s="1"/>
    </row>
    <row r="53" spans="17:24" ht="51.75" customHeight="1">
      <c r="Q53" s="68"/>
      <c r="U53" s="67"/>
      <c r="V53" s="1"/>
      <c r="W53" s="68"/>
      <c r="X53" s="1"/>
    </row>
    <row r="54" spans="17:24" ht="51.75" customHeight="1">
      <c r="Q54" s="68"/>
      <c r="U54" s="67"/>
      <c r="V54" s="1"/>
      <c r="W54" s="68"/>
      <c r="X54" s="1"/>
    </row>
    <row r="55" spans="17:24" ht="51.75" customHeight="1">
      <c r="Q55" s="68"/>
      <c r="U55" s="67"/>
      <c r="V55" s="1"/>
      <c r="W55" s="68"/>
      <c r="X55" s="1"/>
    </row>
    <row r="56" spans="17:24" ht="51.75" customHeight="1">
      <c r="Q56" s="68"/>
      <c r="U56" s="67"/>
      <c r="V56" s="1"/>
      <c r="W56" s="68"/>
      <c r="X56" s="1"/>
    </row>
    <row r="57" spans="17:24" ht="51.75" customHeight="1">
      <c r="Q57" s="68"/>
      <c r="U57" s="67"/>
      <c r="V57" s="1"/>
      <c r="W57" s="68"/>
      <c r="X57" s="1"/>
    </row>
    <row r="58" spans="17:24" ht="51.75" customHeight="1">
      <c r="Q58" s="68"/>
      <c r="U58" s="67"/>
      <c r="V58" s="1"/>
      <c r="W58" s="68"/>
      <c r="X58" s="1"/>
    </row>
    <row r="59" spans="17:24" ht="51.75" customHeight="1">
      <c r="Q59" s="68"/>
      <c r="U59" s="67"/>
      <c r="V59" s="1"/>
      <c r="W59" s="68"/>
      <c r="X59" s="1"/>
    </row>
    <row r="60" spans="17:24" ht="51.75" customHeight="1">
      <c r="Q60" s="68"/>
      <c r="U60" s="67"/>
      <c r="V60" s="1"/>
      <c r="W60" s="68"/>
      <c r="X60" s="1"/>
    </row>
    <row r="61" spans="17:24" ht="51.75" customHeight="1">
      <c r="Q61" s="68"/>
      <c r="U61" s="67"/>
      <c r="V61" s="1"/>
      <c r="W61" s="68"/>
      <c r="X61" s="1"/>
    </row>
    <row r="62" spans="17:24" ht="51.75" customHeight="1">
      <c r="Q62" s="68"/>
      <c r="U62" s="67"/>
      <c r="V62" s="1"/>
      <c r="W62" s="68"/>
      <c r="X62" s="1"/>
    </row>
    <row r="63" spans="17:24" ht="51.75" customHeight="1">
      <c r="Q63" s="68"/>
      <c r="U63" s="67"/>
      <c r="V63" s="1"/>
      <c r="W63" s="68"/>
      <c r="X63" s="1"/>
    </row>
    <row r="64" spans="17:24" ht="51.75" customHeight="1">
      <c r="Q64" s="68"/>
      <c r="U64" s="67"/>
      <c r="V64" s="1"/>
      <c r="W64" s="68"/>
      <c r="X64" s="1"/>
    </row>
    <row r="65" spans="17:24" ht="51.75" customHeight="1">
      <c r="Q65" s="68"/>
      <c r="U65" s="67"/>
      <c r="V65" s="1"/>
      <c r="W65" s="68"/>
      <c r="X65" s="1"/>
    </row>
    <row r="66" spans="17:24" ht="51.75" customHeight="1">
      <c r="Q66" s="68"/>
      <c r="U66" s="67"/>
      <c r="V66" s="1"/>
      <c r="W66" s="68"/>
      <c r="X66" s="1"/>
    </row>
    <row r="67" spans="17:24" ht="51.75" customHeight="1">
      <c r="Q67" s="68"/>
      <c r="U67" s="67"/>
      <c r="V67" s="1"/>
      <c r="W67" s="68"/>
      <c r="X67" s="1"/>
    </row>
    <row r="68" spans="17:24" ht="51.75" customHeight="1">
      <c r="Q68" s="68"/>
      <c r="U68" s="67"/>
      <c r="V68" s="1"/>
      <c r="W68" s="68"/>
      <c r="X68" s="1"/>
    </row>
    <row r="69" spans="17:24" ht="51.75" customHeight="1">
      <c r="Q69" s="68"/>
      <c r="U69" s="67"/>
      <c r="V69" s="1"/>
      <c r="W69" s="68"/>
      <c r="X69" s="1"/>
    </row>
    <row r="70" spans="17:24" ht="51.75" customHeight="1">
      <c r="Q70" s="68"/>
      <c r="U70" s="67"/>
      <c r="V70" s="1"/>
      <c r="W70" s="68"/>
      <c r="X70" s="1"/>
    </row>
    <row r="71" spans="17:24" ht="51.75" customHeight="1">
      <c r="Q71" s="68"/>
      <c r="U71" s="67"/>
      <c r="V71" s="1"/>
      <c r="W71" s="68"/>
      <c r="X71" s="1"/>
    </row>
    <row r="72" spans="17:24" ht="51.75" customHeight="1">
      <c r="Q72" s="68"/>
      <c r="U72" s="67"/>
      <c r="V72" s="1"/>
      <c r="W72" s="68"/>
      <c r="X72" s="1"/>
    </row>
    <row r="73" spans="17:24" ht="51.75" customHeight="1">
      <c r="Q73" s="68"/>
      <c r="U73" s="67"/>
      <c r="V73" s="1"/>
      <c r="W73" s="68"/>
      <c r="X73" s="1"/>
    </row>
    <row r="74" spans="17:24" ht="51.75" customHeight="1">
      <c r="Q74" s="68"/>
      <c r="U74" s="67"/>
      <c r="V74" s="1"/>
      <c r="W74" s="68"/>
      <c r="X74" s="1"/>
    </row>
    <row r="75" spans="17:24" ht="51.75" customHeight="1">
      <c r="Q75" s="68"/>
      <c r="U75" s="67"/>
      <c r="V75" s="1"/>
      <c r="W75" s="68"/>
      <c r="X75" s="1"/>
    </row>
    <row r="76" spans="17:24" ht="51.75" customHeight="1">
      <c r="Q76" s="68"/>
      <c r="U76" s="67"/>
      <c r="V76" s="1"/>
      <c r="W76" s="68"/>
      <c r="X76" s="1"/>
    </row>
    <row r="77" spans="17:24" ht="51.75" customHeight="1">
      <c r="Q77" s="68"/>
      <c r="U77" s="67"/>
      <c r="V77" s="1"/>
      <c r="W77" s="68"/>
      <c r="X77" s="1"/>
    </row>
    <row r="78" spans="17:24" ht="51.75" customHeight="1">
      <c r="Q78" s="68"/>
      <c r="U78" s="67"/>
      <c r="V78" s="1"/>
      <c r="W78" s="68"/>
      <c r="X78" s="1"/>
    </row>
    <row r="79" spans="17:24" ht="51.75" customHeight="1">
      <c r="Q79" s="68"/>
      <c r="U79" s="67"/>
      <c r="V79" s="1"/>
      <c r="W79" s="68"/>
      <c r="X79" s="1"/>
    </row>
    <row r="80" spans="17:24" ht="51.75" customHeight="1">
      <c r="Q80" s="68"/>
      <c r="U80" s="67"/>
      <c r="V80" s="1"/>
      <c r="W80" s="68"/>
      <c r="X80" s="1"/>
    </row>
    <row r="81" spans="17:24" ht="51.75" customHeight="1">
      <c r="Q81" s="68"/>
      <c r="U81" s="67"/>
      <c r="V81" s="1"/>
      <c r="W81" s="68"/>
      <c r="X81" s="1"/>
    </row>
    <row r="82" spans="17:24" ht="51.75" customHeight="1">
      <c r="Q82" s="68"/>
      <c r="U82" s="67"/>
      <c r="V82" s="1"/>
      <c r="W82" s="68"/>
      <c r="X82" s="1"/>
    </row>
    <row r="83" spans="17:24" ht="51.75" customHeight="1">
      <c r="Q83" s="68"/>
      <c r="U83" s="67"/>
      <c r="V83" s="1"/>
      <c r="W83" s="68"/>
      <c r="X83" s="1"/>
    </row>
    <row r="84" spans="17:24" ht="51.75" customHeight="1">
      <c r="Q84" s="68"/>
      <c r="U84" s="67"/>
      <c r="V84" s="1"/>
      <c r="W84" s="68"/>
      <c r="X84" s="1"/>
    </row>
    <row r="85" spans="17:24" ht="51.75" customHeight="1">
      <c r="Q85" s="68"/>
      <c r="U85" s="67"/>
      <c r="V85" s="1"/>
      <c r="W85" s="68"/>
      <c r="X85" s="1"/>
    </row>
    <row r="86" spans="17:24" ht="51.75" customHeight="1">
      <c r="Q86" s="68"/>
      <c r="U86" s="67"/>
      <c r="V86" s="1"/>
      <c r="W86" s="68"/>
      <c r="X86" s="1"/>
    </row>
    <row r="87" spans="17:24" ht="51.75" customHeight="1">
      <c r="Q87" s="68"/>
      <c r="U87" s="67"/>
      <c r="V87" s="1"/>
      <c r="W87" s="68"/>
      <c r="X87" s="1"/>
    </row>
    <row r="88" spans="17:24" ht="51.75" customHeight="1">
      <c r="Q88" s="68"/>
      <c r="U88" s="67"/>
      <c r="V88" s="1"/>
      <c r="W88" s="68"/>
      <c r="X88" s="1"/>
    </row>
    <row r="89" spans="17:24" ht="51.75" customHeight="1">
      <c r="Q89" s="68"/>
      <c r="U89" s="67"/>
      <c r="V89" s="1"/>
      <c r="W89" s="68"/>
      <c r="X89" s="1"/>
    </row>
    <row r="90" spans="17:24" ht="51.75" customHeight="1">
      <c r="Q90" s="68"/>
      <c r="U90" s="67"/>
      <c r="V90" s="1"/>
      <c r="W90" s="68"/>
      <c r="X90" s="1"/>
    </row>
    <row r="91" spans="17:24" ht="51.75" customHeight="1">
      <c r="Q91" s="68"/>
      <c r="U91" s="67"/>
      <c r="V91" s="1"/>
      <c r="W91" s="68"/>
      <c r="X91" s="1"/>
    </row>
    <row r="92" spans="17:24" ht="51.75" customHeight="1">
      <c r="Q92" s="68"/>
      <c r="U92" s="67"/>
      <c r="V92" s="1"/>
      <c r="W92" s="68"/>
      <c r="X92" s="1"/>
    </row>
    <row r="93" spans="17:24" ht="51.75" customHeight="1">
      <c r="Q93" s="68"/>
      <c r="U93" s="67"/>
      <c r="V93" s="1"/>
      <c r="W93" s="68"/>
      <c r="X93" s="1"/>
    </row>
    <row r="94" spans="17:24" ht="51.75" customHeight="1">
      <c r="Q94" s="68"/>
      <c r="U94" s="67"/>
      <c r="V94" s="1"/>
      <c r="W94" s="68"/>
      <c r="X94" s="1"/>
    </row>
    <row r="95" spans="17:24" ht="51.75" customHeight="1">
      <c r="Q95" s="68"/>
      <c r="U95" s="67"/>
      <c r="V95" s="1"/>
      <c r="W95" s="68"/>
      <c r="X95" s="1"/>
    </row>
    <row r="96" spans="17:24" ht="51.75" customHeight="1">
      <c r="Q96" s="68"/>
      <c r="U96" s="67"/>
      <c r="V96" s="1"/>
      <c r="W96" s="68"/>
      <c r="X96" s="1"/>
    </row>
    <row r="97" spans="15:24" ht="51.75" customHeight="1">
      <c r="Q97" s="68"/>
      <c r="U97" s="67"/>
      <c r="V97" s="1"/>
      <c r="W97" s="68"/>
      <c r="X97" s="1"/>
    </row>
    <row r="98" spans="15:24" ht="51.75" customHeight="1">
      <c r="Q98" s="68"/>
      <c r="U98" s="67"/>
      <c r="V98" s="1"/>
      <c r="W98" s="68"/>
      <c r="X98" s="1"/>
    </row>
    <row r="99" spans="15:24" ht="51.75" customHeight="1">
      <c r="Q99" s="68"/>
      <c r="U99" s="67"/>
      <c r="V99" s="1"/>
      <c r="W99" s="68"/>
      <c r="X99" s="1"/>
    </row>
    <row r="100" spans="15:24" ht="51.75" customHeight="1">
      <c r="Q100" s="68"/>
      <c r="U100" s="67"/>
      <c r="V100" s="1"/>
      <c r="W100" s="68"/>
      <c r="X100" s="1"/>
    </row>
    <row r="101" spans="15:24" ht="51.75" customHeight="1">
      <c r="Q101" s="68"/>
      <c r="U101" s="67"/>
      <c r="V101" s="1"/>
      <c r="W101" s="68"/>
      <c r="X101" s="1"/>
    </row>
    <row r="102" spans="15:24" ht="51.75" customHeight="1">
      <c r="Q102" s="68"/>
      <c r="U102" s="67"/>
      <c r="V102" s="1"/>
      <c r="W102" s="68"/>
      <c r="X102" s="1"/>
    </row>
    <row r="103" spans="15:24" ht="51.75" customHeight="1">
      <c r="Q103" s="68"/>
      <c r="U103" s="67"/>
      <c r="V103" s="1"/>
      <c r="W103" s="68"/>
      <c r="X103" s="1"/>
    </row>
    <row r="104" spans="15:24" ht="51.75" customHeight="1">
      <c r="Q104" s="68"/>
      <c r="U104" s="67"/>
      <c r="V104" s="1"/>
      <c r="W104" s="68"/>
      <c r="X104" s="1"/>
    </row>
    <row r="105" spans="15:24" ht="51.75" customHeight="1">
      <c r="Q105" s="68"/>
      <c r="U105" s="67"/>
      <c r="V105" s="1"/>
      <c r="W105" s="68"/>
      <c r="X105" s="1"/>
    </row>
    <row r="106" spans="15:24" ht="51.75" customHeight="1" thickBot="1">
      <c r="O106" s="267"/>
      <c r="P106" s="268"/>
      <c r="Q106" s="269"/>
      <c r="R106" s="267"/>
      <c r="S106" s="268"/>
      <c r="T106" s="269"/>
      <c r="U106" s="267"/>
      <c r="V106" s="268"/>
      <c r="W106" s="269"/>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55"/>
  <sheetViews>
    <sheetView showZeros="0" zoomScale="60" zoomScaleNormal="60" workbookViewId="0">
      <selection activeCell="J9" sqref="J9"/>
    </sheetView>
  </sheetViews>
  <sheetFormatPr defaultRowHeight="15"/>
  <cols>
    <col min="1" max="1" width="25" customWidth="1"/>
    <col min="2" max="2" width="27.85546875" customWidth="1"/>
    <col min="3" max="3" width="28.7109375" customWidth="1"/>
    <col min="4" max="4" width="20.42578125" customWidth="1"/>
    <col min="5" max="5" width="13" customWidth="1"/>
    <col min="6" max="6" width="32.42578125" customWidth="1"/>
    <col min="7" max="7" width="14.5703125" style="45" customWidth="1"/>
    <col min="8" max="9" width="11.85546875" customWidth="1"/>
    <col min="10" max="10" width="19.7109375" customWidth="1"/>
    <col min="11" max="11" width="10.85546875" customWidth="1"/>
    <col min="12" max="12" width="12" customWidth="1"/>
    <col min="13" max="13" width="10.85546875" customWidth="1"/>
    <col min="14" max="14" width="12.7109375" customWidth="1"/>
  </cols>
  <sheetData>
    <row r="1" spans="1:20" ht="21">
      <c r="A1" s="14" t="s">
        <v>7</v>
      </c>
      <c r="B1" s="41"/>
      <c r="C1" s="41"/>
      <c r="D1" s="41"/>
      <c r="E1" s="41"/>
      <c r="F1" s="41"/>
      <c r="L1" s="15" t="s">
        <v>6</v>
      </c>
      <c r="M1" s="41"/>
      <c r="N1" s="41"/>
      <c r="O1" s="41"/>
      <c r="P1" s="41"/>
      <c r="Q1" s="41"/>
      <c r="R1" s="41"/>
      <c r="S1" s="41"/>
      <c r="T1" s="41"/>
    </row>
    <row r="2" spans="1:20" ht="38.25">
      <c r="A2" s="40" t="s">
        <v>301</v>
      </c>
      <c r="B2" s="40" t="s">
        <v>203</v>
      </c>
      <c r="C2" s="40" t="s">
        <v>204</v>
      </c>
      <c r="D2" s="40" t="s">
        <v>205</v>
      </c>
      <c r="E2" s="40" t="s">
        <v>206</v>
      </c>
      <c r="F2" s="40" t="s">
        <v>207</v>
      </c>
      <c r="G2" s="44"/>
      <c r="H2" s="40" t="s">
        <v>230</v>
      </c>
      <c r="I2" s="40" t="s">
        <v>231</v>
      </c>
      <c r="J2" s="40" t="s">
        <v>335</v>
      </c>
      <c r="K2" s="41"/>
      <c r="L2" s="40" t="s">
        <v>301</v>
      </c>
      <c r="M2" s="40" t="s">
        <v>203</v>
      </c>
      <c r="N2" s="40" t="s">
        <v>204</v>
      </c>
      <c r="O2" s="40" t="s">
        <v>205</v>
      </c>
      <c r="P2" s="40" t="s">
        <v>334</v>
      </c>
      <c r="Q2" s="40" t="s">
        <v>310</v>
      </c>
      <c r="R2" s="40" t="s">
        <v>230</v>
      </c>
      <c r="S2" s="40" t="s">
        <v>231</v>
      </c>
      <c r="T2" s="58" t="s">
        <v>335</v>
      </c>
    </row>
    <row r="3" spans="1:20">
      <c r="A3" t="s">
        <v>290</v>
      </c>
      <c r="B3" s="100">
        <f t="shared" ref="B3:B9" ca="1" si="0">SUMIFS(NFI_Hygiene_Track,NFI_Org,A3,NFI_State,"Rakhine",NFI_CampStatus,"Open")</f>
        <v>0</v>
      </c>
      <c r="C3" s="100">
        <f t="shared" ref="C3:C8" ca="1" si="1">SUMIFS(NFI_Core_Track,NFI_Org,A3,NFI_State,"Rakhine",NFI_CampStatus,"Open")</f>
        <v>0</v>
      </c>
      <c r="D3" s="100">
        <f t="shared" ref="D3:D8" ca="1" si="2">SUMIFS(NFI_Sanitary_Track,NFI_Org,A3,NFI_State,"Rakhine",NFI_CampStatus,"Open")</f>
        <v>0</v>
      </c>
      <c r="E3" s="100">
        <f t="shared" ref="E3:E8" ca="1" si="3">SUMIFS(NFI_Mosquito_Track,NFI_Org,A3,NFI_State,"Rakhine",NFI_CampStatus,"Open")</f>
        <v>0</v>
      </c>
      <c r="F3" s="100">
        <f t="shared" ref="F3:F8" ca="1" si="4">SUMIFS(NFI_Tarpaulin_Track,NFI_Org,A3,NFI_State,"Rakhine",NFI_CampStatus,"Open")</f>
        <v>0</v>
      </c>
      <c r="G3" s="100"/>
      <c r="H3" s="100">
        <f t="shared" ref="H3:H8" ca="1" si="5">SUMIFS(NFI_Blanket_Track,NFI_Org,A3,NFI_State,"Rakhine",NFI_CampStatus,"Open")</f>
        <v>0</v>
      </c>
      <c r="I3" s="100">
        <f t="shared" ref="I3:I8" ca="1" si="6">SUMIFS(NFI_Kitchen_Track,NFI_Org,A3,NFI_State,"Rakhine",NFI_CampStatus,"Open")</f>
        <v>0</v>
      </c>
      <c r="J3" s="100">
        <f t="shared" ref="J3:J8" ca="1" si="7">SUMIFS(NFI_Complementary_Track,NFI_Org,A3,NFI_State,"Rakhine",NFI_CampStatus,"Open")</f>
        <v>0</v>
      </c>
      <c r="L3" s="41" t="s">
        <v>287</v>
      </c>
      <c r="M3" s="41">
        <f>SUMIFS(NFI_Hygiene_Track,NFI_Org,L3,NFI_State,"Kachin")</f>
        <v>0</v>
      </c>
      <c r="N3" s="41">
        <f>SUMIFS(NFI_Core_Track,NFI_Org,L3,NFI_State,"Kachin")</f>
        <v>0</v>
      </c>
      <c r="O3" s="41">
        <f>SUMIFS(NFI_Sanitary_Track,NFI_Org,L3,NFI_State,"Kachin")</f>
        <v>0</v>
      </c>
      <c r="P3" s="41">
        <f>SUMIFS(NFI_Mosquito_Track,NFI_Org,L3,NFI_State,"Kachin")</f>
        <v>0</v>
      </c>
      <c r="Q3" s="41">
        <f>SUMIFS(NFI_Tarpaulin_Track,NFI_Org,L3,NFI_State,"Kachin")</f>
        <v>0</v>
      </c>
      <c r="R3" s="41">
        <f>SUMIFS(NFI_Blanket_Track,NFI_Org,L3,NFI_State,"Kachin")</f>
        <v>0</v>
      </c>
      <c r="S3" s="41">
        <f>SUMIFS(NFI_Kitchen_Track,NFI_Org,L3,NFI_State,"Kachin")</f>
        <v>0</v>
      </c>
      <c r="T3" s="41">
        <f>SUMIFS(NFI_Complementary_Track,NFI_Org,L3,NFI_State,"Kachin")</f>
        <v>0</v>
      </c>
    </row>
    <row r="4" spans="1:20">
      <c r="A4" t="s">
        <v>642</v>
      </c>
      <c r="B4" s="100">
        <f t="shared" ca="1" si="0"/>
        <v>0</v>
      </c>
      <c r="C4" s="100">
        <f t="shared" ca="1" si="1"/>
        <v>986</v>
      </c>
      <c r="D4" s="100">
        <f t="shared" ca="1" si="2"/>
        <v>0</v>
      </c>
      <c r="E4" s="100">
        <f t="shared" ca="1" si="3"/>
        <v>1974</v>
      </c>
      <c r="F4" s="100">
        <f t="shared" ca="1" si="4"/>
        <v>987</v>
      </c>
      <c r="G4" s="100"/>
      <c r="H4" s="100">
        <f t="shared" ca="1" si="5"/>
        <v>1974</v>
      </c>
      <c r="I4" s="100">
        <f t="shared" ca="1" si="6"/>
        <v>987</v>
      </c>
      <c r="J4" s="100">
        <f t="shared" ca="1" si="7"/>
        <v>0</v>
      </c>
      <c r="L4" s="41"/>
      <c r="M4" s="41"/>
      <c r="N4" s="41"/>
      <c r="O4" s="41"/>
      <c r="P4" s="41"/>
      <c r="Q4" s="41"/>
      <c r="R4" s="41"/>
      <c r="S4" s="41"/>
      <c r="T4" s="41"/>
    </row>
    <row r="5" spans="1:20">
      <c r="A5" t="s">
        <v>287</v>
      </c>
      <c r="B5" s="100">
        <f t="shared" ca="1" si="0"/>
        <v>65</v>
      </c>
      <c r="C5" s="100">
        <f t="shared" ca="1" si="1"/>
        <v>2677</v>
      </c>
      <c r="D5" s="100">
        <f t="shared" ca="1" si="2"/>
        <v>0</v>
      </c>
      <c r="E5" s="100">
        <f t="shared" ca="1" si="3"/>
        <v>8708</v>
      </c>
      <c r="F5" s="100">
        <f t="shared" ca="1" si="4"/>
        <v>4881</v>
      </c>
      <c r="G5" s="100"/>
      <c r="H5" s="100">
        <f t="shared" ca="1" si="5"/>
        <v>7727</v>
      </c>
      <c r="I5" s="100">
        <f t="shared" ca="1" si="6"/>
        <v>4355</v>
      </c>
      <c r="J5" s="100">
        <f t="shared" ca="1" si="7"/>
        <v>0</v>
      </c>
    </row>
    <row r="6" spans="1:20">
      <c r="A6" t="s">
        <v>911</v>
      </c>
      <c r="B6" s="100">
        <f t="shared" ca="1" si="0"/>
        <v>0</v>
      </c>
      <c r="C6" s="100">
        <f t="shared" ca="1" si="1"/>
        <v>0</v>
      </c>
      <c r="D6" s="100">
        <f t="shared" ca="1" si="2"/>
        <v>0</v>
      </c>
      <c r="E6" s="100">
        <f t="shared" ca="1" si="3"/>
        <v>0</v>
      </c>
      <c r="F6" s="100">
        <f t="shared" ca="1" si="4"/>
        <v>0</v>
      </c>
      <c r="G6" s="100"/>
      <c r="H6" s="100">
        <f t="shared" ca="1" si="5"/>
        <v>0</v>
      </c>
      <c r="I6" s="100">
        <f t="shared" ca="1" si="6"/>
        <v>0</v>
      </c>
      <c r="J6" s="100">
        <f t="shared" ca="1" si="7"/>
        <v>0</v>
      </c>
      <c r="L6" s="41"/>
      <c r="M6" s="41"/>
      <c r="N6" s="41"/>
      <c r="O6" s="41"/>
      <c r="P6" s="41"/>
      <c r="Q6" s="41"/>
      <c r="R6" s="41"/>
      <c r="S6" s="41"/>
      <c r="T6" s="41"/>
    </row>
    <row r="7" spans="1:20">
      <c r="A7" t="s">
        <v>730</v>
      </c>
      <c r="B7" s="100">
        <f t="shared" ca="1" si="0"/>
        <v>0</v>
      </c>
      <c r="C7" s="100">
        <f t="shared" ca="1" si="1"/>
        <v>0</v>
      </c>
      <c r="D7" s="100">
        <f t="shared" ca="1" si="2"/>
        <v>0</v>
      </c>
      <c r="E7" s="100">
        <f t="shared" ca="1" si="3"/>
        <v>724</v>
      </c>
      <c r="F7" s="100">
        <f t="shared" ca="1" si="4"/>
        <v>724</v>
      </c>
      <c r="G7" s="100"/>
      <c r="H7" s="100">
        <f t="shared" ca="1" si="5"/>
        <v>0</v>
      </c>
      <c r="I7" s="100">
        <f t="shared" ca="1" si="6"/>
        <v>724</v>
      </c>
      <c r="J7" s="100">
        <f t="shared" ca="1" si="7"/>
        <v>0</v>
      </c>
      <c r="L7" s="41"/>
      <c r="M7" s="41"/>
      <c r="N7" s="41"/>
      <c r="O7" s="41"/>
      <c r="P7" s="41"/>
      <c r="Q7" s="41"/>
      <c r="R7" s="41"/>
      <c r="S7" s="41"/>
      <c r="T7" s="41"/>
    </row>
    <row r="8" spans="1:20">
      <c r="A8" t="s">
        <v>525</v>
      </c>
      <c r="B8" s="100">
        <f t="shared" ca="1" si="0"/>
        <v>0</v>
      </c>
      <c r="C8" s="100">
        <f t="shared" ca="1" si="1"/>
        <v>0</v>
      </c>
      <c r="D8" s="100">
        <f t="shared" ca="1" si="2"/>
        <v>0</v>
      </c>
      <c r="E8" s="100">
        <f t="shared" ca="1" si="3"/>
        <v>0</v>
      </c>
      <c r="F8" s="100">
        <f t="shared" ca="1" si="4"/>
        <v>0</v>
      </c>
      <c r="G8" s="100"/>
      <c r="H8" s="100">
        <f t="shared" ca="1" si="5"/>
        <v>0</v>
      </c>
      <c r="I8" s="100">
        <f t="shared" ca="1" si="6"/>
        <v>0</v>
      </c>
      <c r="J8" s="100">
        <f t="shared" ca="1" si="7"/>
        <v>0</v>
      </c>
    </row>
    <row r="9" spans="1:20">
      <c r="A9" t="s">
        <v>529</v>
      </c>
      <c r="B9" s="100">
        <f t="shared" ca="1" si="0"/>
        <v>0</v>
      </c>
    </row>
    <row r="11" spans="1:20">
      <c r="C11" s="100">
        <f>SUMIFS(NFI_Core_Track,NFI_Org,A9,NFI_State,"Rakhine")</f>
        <v>0</v>
      </c>
      <c r="D11" s="100">
        <f>SUMIFS(NFI_Sanitary_Track,NFI_Org,A9,NFI_State,"Rakhine")</f>
        <v>0</v>
      </c>
      <c r="E11" s="100">
        <f>SUMIFS(NFI_Mosquito_Track,NFI_Org,A9,NFI_State,"Rakhine")</f>
        <v>0</v>
      </c>
      <c r="F11" s="100">
        <f>SUMIFS(NFI_Tarpaulin_Track,NFI_Org,A9,NFI_State,"Rakhine")</f>
        <v>0</v>
      </c>
      <c r="G11" s="100"/>
      <c r="H11" s="100">
        <f>SUMIFS(NFI_Blanket_Track,NFI_Org,A9,NFI_State,"Rakhine")</f>
        <v>0</v>
      </c>
      <c r="I11" s="100">
        <f>SUMIFS(NFI_Kitchen_Track,NFI_Org,A9,NFI_State,"Rakhine")</f>
        <v>0</v>
      </c>
      <c r="J11" s="100">
        <f>SUMIFS(NFI_Complementary_Track,NFI_Org,A9,NFI_State,"Rakhine")</f>
        <v>0</v>
      </c>
    </row>
    <row r="12" spans="1:20">
      <c r="B12" s="100"/>
      <c r="C12" s="100"/>
      <c r="D12" s="100"/>
      <c r="E12" s="100"/>
      <c r="F12" s="100"/>
      <c r="G12" s="100"/>
      <c r="H12" s="100"/>
      <c r="I12" s="100"/>
      <c r="J12" s="100"/>
    </row>
    <row r="20" spans="6:7">
      <c r="F20" s="100"/>
    </row>
    <row r="21" spans="6:7">
      <c r="F21" s="100"/>
    </row>
    <row r="22" spans="6:7">
      <c r="F22" s="100"/>
      <c r="G22"/>
    </row>
    <row r="23" spans="6:7">
      <c r="F23" s="100"/>
      <c r="G23"/>
    </row>
    <row r="24" spans="6:7">
      <c r="F24" s="100"/>
      <c r="G24"/>
    </row>
    <row r="25" spans="6:7">
      <c r="F25" s="100"/>
      <c r="G25"/>
    </row>
    <row r="26" spans="6:7">
      <c r="F26" s="100"/>
      <c r="G26"/>
    </row>
    <row r="27" spans="6:7">
      <c r="F27" s="100"/>
      <c r="G27"/>
    </row>
    <row r="28" spans="6:7">
      <c r="F28" s="100"/>
      <c r="G28"/>
    </row>
    <row r="29" spans="6:7">
      <c r="F29" s="100"/>
      <c r="G29"/>
    </row>
    <row r="30" spans="6:7">
      <c r="F30" s="100"/>
      <c r="G30"/>
    </row>
    <row r="31" spans="6:7">
      <c r="G31"/>
    </row>
    <row r="32" spans="6:7">
      <c r="G32"/>
    </row>
    <row r="33" spans="7:7">
      <c r="G33"/>
    </row>
    <row r="34" spans="7:7">
      <c r="G34"/>
    </row>
    <row r="35" spans="7:7">
      <c r="G35"/>
    </row>
    <row r="36" spans="7:7">
      <c r="G36"/>
    </row>
    <row r="37" spans="7:7">
      <c r="G37"/>
    </row>
    <row r="38" spans="7:7">
      <c r="G38"/>
    </row>
    <row r="39" spans="7:7">
      <c r="G39"/>
    </row>
    <row r="40" spans="7:7">
      <c r="G40"/>
    </row>
    <row r="41" spans="7:7">
      <c r="G41"/>
    </row>
    <row r="42" spans="7:7">
      <c r="G42"/>
    </row>
    <row r="43" spans="7:7">
      <c r="G43"/>
    </row>
    <row r="44" spans="7:7">
      <c r="G44"/>
    </row>
    <row r="45" spans="7:7">
      <c r="G45"/>
    </row>
    <row r="46" spans="7:7">
      <c r="G46"/>
    </row>
    <row r="47" spans="7:7">
      <c r="G47"/>
    </row>
    <row r="48" spans="7:7">
      <c r="G48"/>
    </row>
    <row r="49" spans="7:7">
      <c r="G49"/>
    </row>
    <row r="50" spans="7:7">
      <c r="G50"/>
    </row>
    <row r="51" spans="7:7">
      <c r="G51"/>
    </row>
    <row r="52" spans="7:7">
      <c r="G52"/>
    </row>
    <row r="53" spans="7:7">
      <c r="G53"/>
    </row>
    <row r="54" spans="7:7">
      <c r="G54"/>
    </row>
    <row r="55" spans="7:7">
      <c r="G55"/>
    </row>
    <row r="56" spans="7:7">
      <c r="G56"/>
    </row>
    <row r="57" spans="7:7">
      <c r="G57"/>
    </row>
    <row r="58" spans="7:7">
      <c r="G58"/>
    </row>
    <row r="59" spans="7:7">
      <c r="G59"/>
    </row>
    <row r="60" spans="7:7">
      <c r="G60"/>
    </row>
    <row r="61" spans="7:7">
      <c r="G61"/>
    </row>
    <row r="62" spans="7:7">
      <c r="G62"/>
    </row>
    <row r="63" spans="7:7">
      <c r="G63"/>
    </row>
    <row r="64" spans="7:7">
      <c r="G64"/>
    </row>
    <row r="65" spans="7:7">
      <c r="G65"/>
    </row>
    <row r="66" spans="7:7">
      <c r="G66"/>
    </row>
    <row r="67" spans="7:7">
      <c r="G67"/>
    </row>
    <row r="68" spans="7:7">
      <c r="G68"/>
    </row>
    <row r="69" spans="7:7">
      <c r="G69"/>
    </row>
    <row r="70" spans="7:7">
      <c r="G70"/>
    </row>
    <row r="71" spans="7:7">
      <c r="G71"/>
    </row>
    <row r="72" spans="7:7">
      <c r="G72"/>
    </row>
    <row r="73" spans="7:7">
      <c r="G73"/>
    </row>
    <row r="74" spans="7:7">
      <c r="G74"/>
    </row>
    <row r="75" spans="7:7">
      <c r="G75"/>
    </row>
    <row r="76" spans="7:7">
      <c r="G76"/>
    </row>
    <row r="77" spans="7:7">
      <c r="G77"/>
    </row>
    <row r="78" spans="7:7">
      <c r="G78"/>
    </row>
    <row r="79" spans="7:7">
      <c r="G79"/>
    </row>
    <row r="80" spans="7:7">
      <c r="G80"/>
    </row>
    <row r="81" spans="7:7">
      <c r="G81"/>
    </row>
    <row r="82" spans="7:7">
      <c r="G82"/>
    </row>
    <row r="83" spans="7:7">
      <c r="G83"/>
    </row>
    <row r="84" spans="7:7">
      <c r="G84"/>
    </row>
    <row r="85" spans="7:7">
      <c r="G85"/>
    </row>
    <row r="86" spans="7:7">
      <c r="G86"/>
    </row>
    <row r="87" spans="7:7">
      <c r="G87"/>
    </row>
    <row r="88" spans="7:7">
      <c r="G88"/>
    </row>
    <row r="89" spans="7:7">
      <c r="G89"/>
    </row>
    <row r="90" spans="7:7">
      <c r="G90"/>
    </row>
    <row r="91" spans="7:7">
      <c r="G91"/>
    </row>
    <row r="92" spans="7:7">
      <c r="G92"/>
    </row>
    <row r="93" spans="7:7">
      <c r="G93"/>
    </row>
    <row r="94" spans="7:7">
      <c r="G94"/>
    </row>
    <row r="95" spans="7:7">
      <c r="G95"/>
    </row>
    <row r="96" spans="7:7">
      <c r="G96"/>
    </row>
    <row r="97" spans="7:7">
      <c r="G97"/>
    </row>
    <row r="98" spans="7:7">
      <c r="G98"/>
    </row>
    <row r="99" spans="7:7">
      <c r="G99"/>
    </row>
    <row r="100" spans="7:7">
      <c r="G100"/>
    </row>
    <row r="101" spans="7:7">
      <c r="G101"/>
    </row>
    <row r="102" spans="7:7">
      <c r="G102"/>
    </row>
    <row r="103" spans="7:7">
      <c r="G103"/>
    </row>
    <row r="104" spans="7:7">
      <c r="G104"/>
    </row>
    <row r="105" spans="7:7">
      <c r="G105"/>
    </row>
    <row r="106" spans="7:7">
      <c r="G106"/>
    </row>
    <row r="107" spans="7:7">
      <c r="G107"/>
    </row>
    <row r="108" spans="7:7">
      <c r="G108"/>
    </row>
    <row r="109" spans="7:7">
      <c r="G109"/>
    </row>
    <row r="110" spans="7:7">
      <c r="G110"/>
    </row>
    <row r="111" spans="7:7">
      <c r="G111"/>
    </row>
    <row r="112" spans="7:7">
      <c r="G112"/>
    </row>
    <row r="113" spans="7:7">
      <c r="G113"/>
    </row>
    <row r="114" spans="7:7">
      <c r="G114"/>
    </row>
    <row r="115" spans="7:7">
      <c r="G115"/>
    </row>
    <row r="116" spans="7:7">
      <c r="G116"/>
    </row>
    <row r="117" spans="7:7">
      <c r="G117"/>
    </row>
    <row r="118" spans="7:7">
      <c r="G118"/>
    </row>
    <row r="119" spans="7:7">
      <c r="G119"/>
    </row>
    <row r="120" spans="7:7">
      <c r="G120"/>
    </row>
    <row r="121" spans="7:7">
      <c r="G121"/>
    </row>
    <row r="122" spans="7:7">
      <c r="G122"/>
    </row>
    <row r="123" spans="7:7">
      <c r="G123"/>
    </row>
    <row r="124" spans="7:7">
      <c r="G124"/>
    </row>
    <row r="125" spans="7:7">
      <c r="G125"/>
    </row>
    <row r="126" spans="7:7">
      <c r="G126"/>
    </row>
    <row r="127" spans="7:7">
      <c r="G127"/>
    </row>
    <row r="128" spans="7:7">
      <c r="G128"/>
    </row>
    <row r="129" spans="7:7">
      <c r="G129"/>
    </row>
    <row r="130" spans="7:7">
      <c r="G130"/>
    </row>
    <row r="131" spans="7:7">
      <c r="G131"/>
    </row>
    <row r="132" spans="7:7">
      <c r="G132"/>
    </row>
    <row r="133" spans="7:7">
      <c r="G133"/>
    </row>
    <row r="134" spans="7:7">
      <c r="G134"/>
    </row>
    <row r="135" spans="7:7">
      <c r="G135"/>
    </row>
    <row r="136" spans="7:7">
      <c r="G136"/>
    </row>
    <row r="137" spans="7:7">
      <c r="G137"/>
    </row>
    <row r="138" spans="7:7">
      <c r="G138"/>
    </row>
    <row r="139" spans="7:7">
      <c r="G139"/>
    </row>
    <row r="140" spans="7:7">
      <c r="G140"/>
    </row>
    <row r="141" spans="7:7">
      <c r="G141"/>
    </row>
    <row r="142" spans="7:7">
      <c r="G142"/>
    </row>
    <row r="143" spans="7:7">
      <c r="G143"/>
    </row>
    <row r="144" spans="7:7">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BG258"/>
  <sheetViews>
    <sheetView showZeros="0" zoomScale="80" zoomScaleNormal="80" workbookViewId="0">
      <pane ySplit="2" topLeftCell="A3" activePane="bottomLeft" state="frozen"/>
      <selection activeCell="L12" sqref="L12"/>
      <selection pane="bottomLeft" activeCell="AD5" sqref="AD5"/>
    </sheetView>
  </sheetViews>
  <sheetFormatPr defaultRowHeight="15"/>
  <cols>
    <col min="1" max="1" width="14.140625" customWidth="1"/>
    <col min="2" max="2" width="20" customWidth="1"/>
    <col min="3" max="3" width="16.42578125" customWidth="1"/>
    <col min="4" max="4" width="18.140625" customWidth="1"/>
    <col min="5" max="5" width="15" customWidth="1"/>
    <col min="6" max="6" width="15.85546875" bestFit="1" customWidth="1"/>
    <col min="7" max="7" width="11.85546875" bestFit="1" customWidth="1"/>
    <col min="8" max="8" width="10.5703125" bestFit="1" customWidth="1"/>
    <col min="9" max="9" width="13.140625" customWidth="1"/>
    <col min="10" max="10" width="13.42578125" customWidth="1"/>
    <col min="11" max="11" width="10.5703125" customWidth="1"/>
    <col min="12" max="12" width="12" hidden="1" customWidth="1"/>
    <col min="13" max="13" width="16.85546875" hidden="1" customWidth="1"/>
    <col min="14" max="14" width="26.28515625" hidden="1" customWidth="1"/>
    <col min="15" max="15" width="21.85546875" hidden="1" customWidth="1"/>
    <col min="16" max="16" width="17" hidden="1" customWidth="1"/>
    <col min="17" max="20" width="10.85546875" hidden="1" customWidth="1"/>
    <col min="21" max="21" width="14.7109375" hidden="1" customWidth="1"/>
    <col min="22" max="22" width="11.28515625" hidden="1" customWidth="1"/>
    <col min="23" max="24" width="0" hidden="1" customWidth="1"/>
    <col min="25" max="25" width="5.28515625" hidden="1" customWidth="1"/>
    <col min="26" max="26" width="12.42578125" hidden="1" customWidth="1"/>
  </cols>
  <sheetData>
    <row r="1" spans="1:59" s="1" customFormat="1" ht="36">
      <c r="A1" s="198"/>
      <c r="B1" s="199"/>
      <c r="C1" s="199"/>
      <c r="D1" s="199"/>
      <c r="E1" s="199"/>
      <c r="F1" s="199"/>
      <c r="G1" s="199"/>
      <c r="H1" s="199"/>
      <c r="I1" s="199"/>
      <c r="J1" s="199"/>
      <c r="K1" s="215"/>
      <c r="L1" s="77"/>
      <c r="M1" s="77"/>
      <c r="N1" s="77"/>
      <c r="O1" s="77"/>
      <c r="P1" s="77"/>
      <c r="Q1" s="77"/>
      <c r="R1" s="77"/>
      <c r="S1" s="77"/>
      <c r="T1" s="77"/>
      <c r="U1" s="77"/>
      <c r="V1" s="77"/>
      <c r="W1" s="77"/>
      <c r="X1" s="77"/>
      <c r="Y1" s="77"/>
      <c r="Z1" s="77"/>
      <c r="BF1" s="78"/>
      <c r="BG1" s="78"/>
    </row>
    <row r="2" spans="1:59" s="1" customFormat="1" ht="33" customHeight="1">
      <c r="A2" s="848" t="s">
        <v>311</v>
      </c>
      <c r="B2" s="849"/>
      <c r="C2" s="849"/>
      <c r="D2" s="849"/>
      <c r="E2" s="849"/>
      <c r="F2" s="849"/>
      <c r="G2" s="849"/>
      <c r="H2" s="849"/>
      <c r="I2" s="101"/>
      <c r="J2" s="101"/>
      <c r="K2" s="271"/>
      <c r="L2" s="270"/>
      <c r="M2" s="270"/>
      <c r="N2" s="270"/>
      <c r="O2" s="47"/>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9" s="21" customFormat="1" ht="25.5" customHeight="1">
      <c r="A3" s="850">
        <f>Report_Date</f>
        <v>42522</v>
      </c>
      <c r="B3" s="851"/>
      <c r="C3" s="851"/>
      <c r="D3" s="851"/>
      <c r="E3" s="851"/>
      <c r="F3" s="851"/>
      <c r="G3" s="851"/>
      <c r="H3" s="851"/>
      <c r="I3" s="226"/>
      <c r="J3" s="226"/>
      <c r="K3" s="227"/>
      <c r="L3" s="101"/>
      <c r="M3" s="101"/>
      <c r="N3" s="101"/>
      <c r="O3" s="47"/>
      <c r="W3" s="100"/>
      <c r="X3" s="100"/>
      <c r="Y3" s="100"/>
      <c r="Z3" s="100"/>
      <c r="AA3" s="100"/>
      <c r="AB3" s="100"/>
      <c r="AC3" s="100"/>
      <c r="AD3" s="100"/>
      <c r="AE3" s="100"/>
      <c r="AF3" s="100"/>
      <c r="AG3" s="100"/>
      <c r="AH3" s="100"/>
      <c r="AI3" s="100"/>
      <c r="AJ3" s="100"/>
      <c r="AK3" s="100"/>
      <c r="AL3" s="100"/>
      <c r="AM3" s="100"/>
      <c r="AN3" s="100"/>
      <c r="AO3" s="100"/>
      <c r="AP3" s="100"/>
      <c r="AZ3" s="79"/>
      <c r="BA3" s="79"/>
    </row>
    <row r="4" spans="1:59" ht="10.5" customHeight="1"/>
    <row r="5" spans="1:59" ht="25.5" customHeight="1">
      <c r="A5" s="924" t="s">
        <v>1</v>
      </c>
      <c r="B5" s="924" t="s">
        <v>225</v>
      </c>
      <c r="C5" s="924" t="s">
        <v>226</v>
      </c>
      <c r="D5" s="106" t="s">
        <v>334</v>
      </c>
      <c r="E5" s="106" t="s">
        <v>310</v>
      </c>
      <c r="F5" s="106" t="s">
        <v>230</v>
      </c>
      <c r="G5" s="106" t="s">
        <v>231</v>
      </c>
      <c r="H5" s="106" t="s">
        <v>339</v>
      </c>
      <c r="I5" s="106" t="s">
        <v>595</v>
      </c>
      <c r="J5" s="106" t="s">
        <v>963</v>
      </c>
      <c r="K5" s="586" t="s">
        <v>596</v>
      </c>
    </row>
    <row r="6" spans="1:59" ht="36.75" customHeight="1">
      <c r="A6" s="924"/>
      <c r="B6" s="924"/>
      <c r="C6" s="924"/>
      <c r="D6" s="106" t="s">
        <v>232</v>
      </c>
      <c r="E6" s="106" t="s">
        <v>232</v>
      </c>
      <c r="F6" s="106" t="s">
        <v>232</v>
      </c>
      <c r="G6" s="106" t="s">
        <v>232</v>
      </c>
      <c r="H6" s="106" t="s">
        <v>232</v>
      </c>
      <c r="I6" s="106" t="s">
        <v>232</v>
      </c>
      <c r="J6" s="106" t="s">
        <v>232</v>
      </c>
      <c r="K6" s="586" t="s">
        <v>232</v>
      </c>
    </row>
    <row r="7" spans="1:59">
      <c r="A7" s="272" t="s">
        <v>17</v>
      </c>
      <c r="B7" s="273">
        <f>SUMIFS(Camplist_HH,Camplist_Township,'NFI Distribution (by Tship)'!$A7,CampList_Status,"Open")</f>
        <v>492</v>
      </c>
      <c r="C7" s="273">
        <f>SUMIFS(Camplist_Popl,Camplist_Township,'NFI Distribution (by Tship)'!$A7,CampList_Status,"Open")</f>
        <v>1601</v>
      </c>
      <c r="D7" s="273">
        <f t="shared" ref="D7:D16" ca="1" si="0">SUMIFS(NFI_Mosquito_Track,NFI_Township,$A7,NFI_CampStatus,"Open")</f>
        <v>0</v>
      </c>
      <c r="E7" s="273">
        <f t="shared" ref="E7:E16" ca="1" si="1">SUMIFS(NFI_Tarpaulin_Track,NFI_Township,$A7,NFI_CampStatus,"Open")</f>
        <v>0</v>
      </c>
      <c r="F7" s="273">
        <f t="shared" ref="F7:F16" ca="1" si="2">SUMIFS(NFI_Blanket_Track,NFI_Township,$A7,NFI_CampStatus,"Open")</f>
        <v>919</v>
      </c>
      <c r="G7" s="273">
        <f t="shared" ref="G7:G16" ca="1" si="3">SUMIFS(NFI_Kitchen_Track,NFI_Township,$A7,NFI_CampStatus,"Open")</f>
        <v>0</v>
      </c>
      <c r="H7" s="273">
        <f t="shared" ref="H7:H16" ca="1" si="4">SUMIFS(NFI_Complementary_Track,NFI_Township,$A7,NFI_CampStatus,"Open")</f>
        <v>0</v>
      </c>
      <c r="I7" s="273">
        <f t="shared" ref="I7:I16" ca="1" si="5">SUMIFS(NFI_Plastic_Bucket_Track,NFI_Township,$A7,NFI_CampStatus,"Open")</f>
        <v>0</v>
      </c>
      <c r="J7" s="273">
        <f t="shared" ref="J7:J16" ca="1" si="6">SUMIFS(NFI_JerryCan_Track,NFI_Township,$A7,NFI_CampStatus,"Open")</f>
        <v>0</v>
      </c>
      <c r="K7" s="273">
        <f t="shared" ref="K7:K16" ca="1" si="7">SUMIFS(NFI_Plastic_Mat_Track,NFI_Township,$A7,NFI_CampStatus,"Open")</f>
        <v>0</v>
      </c>
    </row>
    <row r="8" spans="1:59">
      <c r="A8" s="272" t="s">
        <v>15</v>
      </c>
      <c r="B8" s="273">
        <f>SUMIFS(Camplist_HH,Camplist_Township,'NFI Distribution (by Tship)'!$A8,CampList_Status,"Open")</f>
        <v>85</v>
      </c>
      <c r="C8" s="273">
        <f>SUMIFS(Camplist_Popl,Camplist_Township,'NFI Distribution (by Tship)'!$A8,CampList_Status,"Open")</f>
        <v>546</v>
      </c>
      <c r="D8" s="273">
        <f t="shared" ca="1" si="0"/>
        <v>0</v>
      </c>
      <c r="E8" s="273">
        <f t="shared" ca="1" si="1"/>
        <v>85</v>
      </c>
      <c r="F8" s="273">
        <f t="shared" ca="1" si="2"/>
        <v>0</v>
      </c>
      <c r="G8" s="273">
        <f t="shared" ca="1" si="3"/>
        <v>0</v>
      </c>
      <c r="H8" s="273">
        <f t="shared" ca="1" si="4"/>
        <v>0</v>
      </c>
      <c r="I8" s="273">
        <f t="shared" ca="1" si="5"/>
        <v>0</v>
      </c>
      <c r="J8" s="273">
        <f t="shared" ca="1" si="6"/>
        <v>0</v>
      </c>
      <c r="K8" s="273">
        <f t="shared" ca="1" si="7"/>
        <v>0</v>
      </c>
    </row>
    <row r="9" spans="1:59">
      <c r="A9" s="272" t="s">
        <v>20</v>
      </c>
      <c r="B9" s="273">
        <f>SUMIFS(Camplist_HH,Camplist_Township,'NFI Distribution (by Tship)'!$A9,CampList_Status,"Open")</f>
        <v>219</v>
      </c>
      <c r="C9" s="273">
        <f>SUMIFS(Camplist_Popl,Camplist_Township,'NFI Distribution (by Tship)'!$A9,CampList_Status,"Open")</f>
        <v>1378</v>
      </c>
      <c r="D9" s="273">
        <f t="shared" ca="1" si="0"/>
        <v>0</v>
      </c>
      <c r="E9" s="273">
        <f t="shared" ca="1" si="1"/>
        <v>0</v>
      </c>
      <c r="F9" s="273">
        <f t="shared" ca="1" si="2"/>
        <v>0</v>
      </c>
      <c r="G9" s="273">
        <f t="shared" ca="1" si="3"/>
        <v>0</v>
      </c>
      <c r="H9" s="273">
        <f t="shared" ca="1" si="4"/>
        <v>0</v>
      </c>
      <c r="I9" s="273">
        <f t="shared" ca="1" si="5"/>
        <v>0</v>
      </c>
      <c r="J9" s="273">
        <f t="shared" ca="1" si="6"/>
        <v>0</v>
      </c>
      <c r="K9" s="273">
        <f t="shared" ca="1" si="7"/>
        <v>0</v>
      </c>
    </row>
    <row r="10" spans="1:59">
      <c r="A10" s="274" t="s">
        <v>900</v>
      </c>
      <c r="B10" s="273">
        <f>SUMIFS(Camplist_HH,Camplist_Township,'NFI Distribution (by Tship)'!$A10,CampList_Status,"Open")</f>
        <v>724</v>
      </c>
      <c r="C10" s="273">
        <f>SUMIFS(Camplist_Popl,Camplist_Township,'NFI Distribution (by Tship)'!$A10,CampList_Status,"Open")</f>
        <v>2922</v>
      </c>
      <c r="D10" s="273">
        <f t="shared" ca="1" si="0"/>
        <v>724</v>
      </c>
      <c r="E10" s="273">
        <f t="shared" ca="1" si="1"/>
        <v>724</v>
      </c>
      <c r="F10" s="273">
        <f t="shared" ca="1" si="2"/>
        <v>0</v>
      </c>
      <c r="G10" s="273">
        <f t="shared" ca="1" si="3"/>
        <v>724</v>
      </c>
      <c r="H10" s="273">
        <f t="shared" ca="1" si="4"/>
        <v>0</v>
      </c>
      <c r="I10" s="273">
        <f t="shared" ca="1" si="5"/>
        <v>0</v>
      </c>
      <c r="J10" s="273">
        <f t="shared" ca="1" si="6"/>
        <v>724</v>
      </c>
      <c r="K10" s="273">
        <f t="shared" ca="1" si="7"/>
        <v>0</v>
      </c>
    </row>
    <row r="11" spans="1:59">
      <c r="A11" s="272" t="s">
        <v>11</v>
      </c>
      <c r="B11" s="273">
        <f>SUMIFS(Camplist_HH,Camplist_Township,'NFI Distribution (by Tship)'!$A11,CampList_Status,"Open")</f>
        <v>0</v>
      </c>
      <c r="C11" s="273">
        <f>SUMIFS(Camplist_Popl,Camplist_Township,'NFI Distribution (by Tship)'!$A11,CampList_Status,"Open")</f>
        <v>0</v>
      </c>
      <c r="D11" s="273">
        <f t="shared" ca="1" si="0"/>
        <v>0</v>
      </c>
      <c r="E11" s="273">
        <f t="shared" ca="1" si="1"/>
        <v>0</v>
      </c>
      <c r="F11" s="273">
        <f t="shared" ca="1" si="2"/>
        <v>0</v>
      </c>
      <c r="G11" s="273">
        <f t="shared" ca="1" si="3"/>
        <v>0</v>
      </c>
      <c r="H11" s="273">
        <f t="shared" ca="1" si="4"/>
        <v>0</v>
      </c>
      <c r="I11" s="273">
        <f t="shared" ca="1" si="5"/>
        <v>0</v>
      </c>
      <c r="J11" s="273">
        <f t="shared" ca="1" si="6"/>
        <v>0</v>
      </c>
      <c r="K11" s="273">
        <f t="shared" ca="1" si="7"/>
        <v>0</v>
      </c>
    </row>
    <row r="12" spans="1:59">
      <c r="A12" s="272" t="s">
        <v>12</v>
      </c>
      <c r="B12" s="273">
        <f>SUMIFS(Camplist_HH,Camplist_Township,'NFI Distribution (by Tship)'!$A12,CampList_Status,"Open")</f>
        <v>0</v>
      </c>
      <c r="C12" s="273">
        <f>SUMIFS(Camplist_Popl,Camplist_Township,'NFI Distribution (by Tship)'!$A12,CampList_Status,"Open")</f>
        <v>0</v>
      </c>
      <c r="D12" s="273">
        <f t="shared" ca="1" si="0"/>
        <v>0</v>
      </c>
      <c r="E12" s="273">
        <f t="shared" ca="1" si="1"/>
        <v>0</v>
      </c>
      <c r="F12" s="273">
        <f t="shared" ca="1" si="2"/>
        <v>0</v>
      </c>
      <c r="G12" s="273">
        <f t="shared" ca="1" si="3"/>
        <v>0</v>
      </c>
      <c r="H12" s="273">
        <f t="shared" ca="1" si="4"/>
        <v>0</v>
      </c>
      <c r="I12" s="273">
        <f t="shared" ca="1" si="5"/>
        <v>0</v>
      </c>
      <c r="J12" s="273">
        <f t="shared" ca="1" si="6"/>
        <v>0</v>
      </c>
      <c r="K12" s="273">
        <f t="shared" ca="1" si="7"/>
        <v>0</v>
      </c>
    </row>
    <row r="13" spans="1:59">
      <c r="A13" s="274" t="s">
        <v>14</v>
      </c>
      <c r="B13" s="273">
        <f>SUMIFS(Camplist_HH,Camplist_Township,'NFI Distribution (by Tship)'!$A13,CampList_Status,"Open")</f>
        <v>4031</v>
      </c>
      <c r="C13" s="273">
        <f>SUMIFS(Camplist_Popl,Camplist_Township,'NFI Distribution (by Tship)'!$A13,CampList_Status,"Open")</f>
        <v>15429</v>
      </c>
      <c r="D13" s="273">
        <f t="shared" ca="1" si="0"/>
        <v>3597</v>
      </c>
      <c r="E13" s="273">
        <f t="shared" ca="1" si="1"/>
        <v>1017</v>
      </c>
      <c r="F13" s="273">
        <f t="shared" ca="1" si="2"/>
        <v>2034</v>
      </c>
      <c r="G13" s="273">
        <f t="shared" ca="1" si="3"/>
        <v>1017</v>
      </c>
      <c r="H13" s="273">
        <f t="shared" ca="1" si="4"/>
        <v>0</v>
      </c>
      <c r="I13" s="273">
        <f t="shared" ca="1" si="5"/>
        <v>999</v>
      </c>
      <c r="J13" s="273">
        <f t="shared" ca="1" si="6"/>
        <v>1017</v>
      </c>
      <c r="K13" s="273">
        <f t="shared" ca="1" si="7"/>
        <v>12712.5</v>
      </c>
    </row>
    <row r="14" spans="1:59">
      <c r="A14" s="272" t="s">
        <v>18</v>
      </c>
      <c r="B14" s="273">
        <f>SUMIFS(Camplist_HH,Camplist_Township,'NFI Distribution (by Tship)'!$A14,CampList_Status,"Open")</f>
        <v>75</v>
      </c>
      <c r="C14" s="273">
        <f>SUMIFS(Camplist_Popl,Camplist_Township,'NFI Distribution (by Tship)'!$A14,CampList_Status,"Open")</f>
        <v>264</v>
      </c>
      <c r="D14" s="273">
        <f t="shared" ca="1" si="0"/>
        <v>0</v>
      </c>
      <c r="E14" s="273">
        <f t="shared" ca="1" si="1"/>
        <v>0</v>
      </c>
      <c r="F14" s="273">
        <f t="shared" ca="1" si="2"/>
        <v>0</v>
      </c>
      <c r="G14" s="273">
        <f t="shared" ca="1" si="3"/>
        <v>0</v>
      </c>
      <c r="H14" s="273">
        <f t="shared" ca="1" si="4"/>
        <v>0</v>
      </c>
      <c r="I14" s="273">
        <f t="shared" ca="1" si="5"/>
        <v>0</v>
      </c>
      <c r="J14" s="273">
        <f t="shared" ca="1" si="6"/>
        <v>0</v>
      </c>
      <c r="K14" s="273">
        <f t="shared" ca="1" si="7"/>
        <v>0</v>
      </c>
    </row>
    <row r="15" spans="1:59">
      <c r="A15" s="272" t="s">
        <v>16</v>
      </c>
      <c r="B15" s="273">
        <f>SUMIFS(Camplist_HH,Camplist_Township,'NFI Distribution (by Tship)'!$A15,CampList_Status,"Open")</f>
        <v>661</v>
      </c>
      <c r="C15" s="273">
        <f>SUMIFS(Camplist_Popl,Camplist_Township,'NFI Distribution (by Tship)'!$A15,CampList_Status,"Open")</f>
        <v>3566</v>
      </c>
      <c r="D15" s="273">
        <f t="shared" ca="1" si="0"/>
        <v>0</v>
      </c>
      <c r="E15" s="273">
        <f t="shared" ca="1" si="1"/>
        <v>441</v>
      </c>
      <c r="F15" s="273">
        <f t="shared" ca="1" si="2"/>
        <v>0</v>
      </c>
      <c r="G15" s="273">
        <f t="shared" ca="1" si="3"/>
        <v>0</v>
      </c>
      <c r="H15" s="273">
        <f t="shared" ca="1" si="4"/>
        <v>0</v>
      </c>
      <c r="I15" s="273">
        <f t="shared" ca="1" si="5"/>
        <v>0</v>
      </c>
      <c r="J15" s="273">
        <f t="shared" ca="1" si="6"/>
        <v>0</v>
      </c>
      <c r="K15" s="273">
        <f t="shared" ca="1" si="7"/>
        <v>0</v>
      </c>
    </row>
    <row r="16" spans="1:59">
      <c r="A16" s="272" t="s">
        <v>19</v>
      </c>
      <c r="B16" s="273">
        <f>SUMIFS(Camplist_HH,Camplist_Township,'NFI Distribution (by Tship)'!$A16,CampList_Status,"Open")</f>
        <v>17661</v>
      </c>
      <c r="C16" s="273">
        <f>SUMIFS(Camplist_Popl,Camplist_Township,'NFI Distribution (by Tship)'!$A16,CampList_Status,"Open")</f>
        <v>94156</v>
      </c>
      <c r="D16" s="273">
        <f t="shared" ca="1" si="0"/>
        <v>8648</v>
      </c>
      <c r="E16" s="273">
        <f t="shared" ca="1" si="1"/>
        <v>4325</v>
      </c>
      <c r="F16" s="273">
        <f t="shared" ca="1" si="2"/>
        <v>8346</v>
      </c>
      <c r="G16" s="273">
        <f t="shared" ca="1" si="3"/>
        <v>4325</v>
      </c>
      <c r="H16" s="273">
        <f t="shared" ca="1" si="4"/>
        <v>0</v>
      </c>
      <c r="I16" s="273">
        <f t="shared" ca="1" si="5"/>
        <v>4325</v>
      </c>
      <c r="J16" s="273">
        <f t="shared" ca="1" si="6"/>
        <v>4324</v>
      </c>
      <c r="K16" s="273">
        <f t="shared" ca="1" si="7"/>
        <v>54062.5</v>
      </c>
    </row>
    <row r="17" spans="1:26">
      <c r="A17" s="111" t="s">
        <v>5</v>
      </c>
      <c r="B17" s="112">
        <f t="shared" ref="B17:I17" si="8">SUM(B7:B16)</f>
        <v>23948</v>
      </c>
      <c r="C17" s="112">
        <f t="shared" si="8"/>
        <v>119862</v>
      </c>
      <c r="D17" s="112">
        <f t="shared" ca="1" si="8"/>
        <v>12969</v>
      </c>
      <c r="E17" s="112">
        <f t="shared" ca="1" si="8"/>
        <v>6592</v>
      </c>
      <c r="F17" s="112">
        <f t="shared" ca="1" si="8"/>
        <v>11299</v>
      </c>
      <c r="G17" s="112">
        <f t="shared" ca="1" si="8"/>
        <v>6066</v>
      </c>
      <c r="H17" s="112">
        <f t="shared" ca="1" si="8"/>
        <v>0</v>
      </c>
      <c r="I17" s="112">
        <f t="shared" ca="1" si="8"/>
        <v>5324</v>
      </c>
      <c r="J17" s="112">
        <f ca="1">SUM(J7:J16)</f>
        <v>6065</v>
      </c>
      <c r="K17" s="112">
        <f ca="1">SUM(K7:K16)</f>
        <v>66775</v>
      </c>
    </row>
    <row r="18" spans="1:26" ht="15" hidden="1" customHeight="1">
      <c r="A18" s="113"/>
      <c r="B18" s="113"/>
      <c r="C18" s="113"/>
      <c r="D18" s="113"/>
      <c r="E18" s="113"/>
      <c r="F18" s="113"/>
      <c r="G18" s="113"/>
      <c r="H18" s="113"/>
      <c r="I18" s="113"/>
      <c r="J18" s="113"/>
      <c r="K18" s="100"/>
    </row>
    <row r="19" spans="1:26" s="100" customFormat="1" ht="31.5" hidden="1" customHeight="1">
      <c r="A19" s="114" t="s">
        <v>7</v>
      </c>
      <c r="B19" s="115"/>
      <c r="C19" s="115"/>
      <c r="D19" s="115"/>
      <c r="E19" s="115"/>
      <c r="F19" s="115"/>
      <c r="G19" s="115"/>
      <c r="H19" s="115"/>
      <c r="I19" s="115"/>
      <c r="J19" s="115"/>
      <c r="L19" s="76"/>
      <c r="M19" s="76"/>
      <c r="N19" s="76"/>
      <c r="O19" s="76"/>
      <c r="P19" s="76"/>
      <c r="Q19" s="76"/>
      <c r="R19" s="76"/>
      <c r="S19" s="76"/>
      <c r="T19" s="76"/>
      <c r="U19" s="76"/>
      <c r="V19" s="76"/>
      <c r="W19" s="76"/>
      <c r="X19" s="76"/>
      <c r="Y19" s="76"/>
      <c r="Z19" s="76"/>
    </row>
    <row r="20" spans="1:26" s="100" customFormat="1" ht="24" hidden="1" customHeight="1">
      <c r="A20" s="924" t="s">
        <v>1</v>
      </c>
      <c r="B20" s="924" t="s">
        <v>225</v>
      </c>
      <c r="C20" s="924" t="s">
        <v>226</v>
      </c>
      <c r="D20" s="925" t="s">
        <v>308</v>
      </c>
      <c r="E20" s="926"/>
      <c r="F20" s="926"/>
      <c r="G20" s="927"/>
      <c r="H20" s="116" t="s">
        <v>204</v>
      </c>
      <c r="I20" s="117"/>
      <c r="J20" s="117"/>
      <c r="L20" s="921" t="s">
        <v>309</v>
      </c>
      <c r="M20" s="922"/>
      <c r="N20" s="922"/>
      <c r="O20" s="923"/>
    </row>
    <row r="21" spans="1:26" s="100" customFormat="1" ht="15" hidden="1" customHeight="1">
      <c r="A21" s="924"/>
      <c r="B21" s="924"/>
      <c r="C21" s="924"/>
      <c r="D21" s="106" t="s">
        <v>232</v>
      </c>
      <c r="E21" s="106" t="s">
        <v>235</v>
      </c>
      <c r="F21" s="106" t="s">
        <v>210</v>
      </c>
      <c r="G21" s="118" t="s">
        <v>233</v>
      </c>
      <c r="H21" s="106" t="s">
        <v>232</v>
      </c>
      <c r="I21" s="106" t="s">
        <v>235</v>
      </c>
      <c r="J21" s="106" t="s">
        <v>210</v>
      </c>
      <c r="L21" s="104" t="s">
        <v>232</v>
      </c>
      <c r="M21" s="104" t="s">
        <v>235</v>
      </c>
      <c r="N21" s="104" t="s">
        <v>210</v>
      </c>
      <c r="O21" s="18" t="s">
        <v>233</v>
      </c>
    </row>
    <row r="22" spans="1:26" s="100" customFormat="1" ht="15" hidden="1" customHeight="1">
      <c r="A22" s="107" t="s">
        <v>17</v>
      </c>
      <c r="B22" s="119">
        <f>SUMIF(Camplist_Township,'NFI Distribution (by Tship)'!$A22,Camplist_HH)</f>
        <v>492</v>
      </c>
      <c r="C22" s="119">
        <f>SUMIF(Camplist_Township,'NFI Distribution (by Tship)'!$A22,Camplist_Popl)</f>
        <v>1601</v>
      </c>
      <c r="D22" s="119">
        <f t="shared" ref="D22:D31" si="9">SUMIF(NFI_Township,$A22,NFI_Hygiene_Track)</f>
        <v>65</v>
      </c>
      <c r="E22" s="119">
        <f t="shared" ref="E22:E31" si="10">SUMIF(NFI_Pipeline_Township,$A22,NFI_Hygiene_Stock)</f>
        <v>0</v>
      </c>
      <c r="F22" s="119">
        <f>SUMIF(NFI_Pipeline_Township,$A20,NFI_Hygiene_Pipeline)</f>
        <v>0</v>
      </c>
      <c r="G22" s="120">
        <f t="shared" ref="G22:G31" si="11">IF(B22-(D22+E22+F22)&lt;0,0,B22-(D22+E22+F22))</f>
        <v>427</v>
      </c>
      <c r="H22" s="107">
        <f t="shared" ref="H22:H31" si="12">SUMIF(NFI_Township,$A22,NFI_Core_Track)</f>
        <v>492</v>
      </c>
      <c r="I22" s="107">
        <f t="shared" ref="I22:I31" si="13">SUMIF(NFI_Pipeline_Township,$A22,NFI_Core_Stock)</f>
        <v>0</v>
      </c>
      <c r="J22" s="107">
        <f>SUMIF(NFI_Pipeline_Township,$A20,NFI_Core_Pipeline)</f>
        <v>0</v>
      </c>
      <c r="L22" s="12">
        <f t="shared" ref="L22:L31" si="14">SUMIF(NFI_Township,$A22,NFI_Sanitary_Track)</f>
        <v>0</v>
      </c>
      <c r="M22" s="12">
        <f t="shared" ref="M22:M31" si="15">SUMIF(NFI_Pipeline_Township,$A22,NFI_Sanitary_Stock)</f>
        <v>0</v>
      </c>
      <c r="N22" s="12">
        <f>SUMIF(NFI_Pipeline_Township,$A20,NFI_Sanitary_Pipeline)</f>
        <v>0</v>
      </c>
      <c r="O22" s="19">
        <f t="shared" ref="O22:O31" si="16">IF(B22-(L22+M22+N22)&lt;0,0,B22-(L22+M22+N22))</f>
        <v>492</v>
      </c>
    </row>
    <row r="23" spans="1:26" s="100" customFormat="1" ht="15" hidden="1" customHeight="1">
      <c r="A23" s="108" t="s">
        <v>15</v>
      </c>
      <c r="B23" s="119">
        <f>SUMIF(Camplist_Township,'NFI Distribution (by Tship)'!$A23,Camplist_HH)</f>
        <v>1001</v>
      </c>
      <c r="C23" s="119">
        <f>SUMIF(Camplist_Township,'NFI Distribution (by Tship)'!$A23,Camplist_Popl)</f>
        <v>6527</v>
      </c>
      <c r="D23" s="119">
        <f t="shared" si="9"/>
        <v>0</v>
      </c>
      <c r="E23" s="119">
        <f t="shared" si="10"/>
        <v>0</v>
      </c>
      <c r="F23" s="119">
        <f>SUMIF(NFI_Pipeline_Township,$A22,NFI_Hygiene_Pipeline)</f>
        <v>0</v>
      </c>
      <c r="G23" s="120">
        <f t="shared" si="11"/>
        <v>1001</v>
      </c>
      <c r="H23" s="107">
        <f t="shared" si="12"/>
        <v>0</v>
      </c>
      <c r="I23" s="107">
        <f t="shared" si="13"/>
        <v>0</v>
      </c>
      <c r="J23" s="107">
        <f>SUMIF(NFI_Pipeline_Township,$A22,NFI_Core_Pipeline)</f>
        <v>0</v>
      </c>
      <c r="L23" s="12">
        <f t="shared" si="14"/>
        <v>0</v>
      </c>
      <c r="M23" s="12">
        <f t="shared" si="15"/>
        <v>0</v>
      </c>
      <c r="N23" s="12">
        <f>SUMIF(NFI_Pipeline_Township,$A22,NFI_Sanitary_Pipeline)</f>
        <v>0</v>
      </c>
      <c r="O23" s="19">
        <f t="shared" si="16"/>
        <v>1001</v>
      </c>
    </row>
    <row r="24" spans="1:26" s="100" customFormat="1" ht="15" hidden="1" customHeight="1">
      <c r="A24" s="108" t="s">
        <v>20</v>
      </c>
      <c r="B24" s="119">
        <f>SUMIF(Camplist_Township,'NFI Distribution (by Tship)'!$A24,Camplist_HH)</f>
        <v>219</v>
      </c>
      <c r="C24" s="119">
        <f>SUMIF(Camplist_Township,'NFI Distribution (by Tship)'!$A24,Camplist_Popl)</f>
        <v>1378</v>
      </c>
      <c r="D24" s="119">
        <f t="shared" si="9"/>
        <v>0</v>
      </c>
      <c r="E24" s="119">
        <f t="shared" si="10"/>
        <v>0</v>
      </c>
      <c r="F24" s="119">
        <f>SUMIF(NFI_Pipeline_Township,#REF!,NFI_Hygiene_Pipeline)</f>
        <v>0</v>
      </c>
      <c r="G24" s="120">
        <f t="shared" si="11"/>
        <v>219</v>
      </c>
      <c r="H24" s="107">
        <f t="shared" si="12"/>
        <v>0</v>
      </c>
      <c r="I24" s="107">
        <f t="shared" si="13"/>
        <v>0</v>
      </c>
      <c r="J24" s="107">
        <f>SUMIF(NFI_Pipeline_Township,#REF!,NFI_Core_Pipeline)</f>
        <v>0</v>
      </c>
      <c r="L24" s="12">
        <f t="shared" si="14"/>
        <v>0</v>
      </c>
      <c r="M24" s="12">
        <f t="shared" si="15"/>
        <v>0</v>
      </c>
      <c r="N24" s="12">
        <f>SUMIF(NFI_Pipeline_Township,#REF!,NFI_Sanitary_Pipeline)</f>
        <v>0</v>
      </c>
      <c r="O24" s="19">
        <f t="shared" si="16"/>
        <v>219</v>
      </c>
    </row>
    <row r="25" spans="1:26" s="100" customFormat="1" ht="15" hidden="1" customHeight="1">
      <c r="A25" s="109" t="s">
        <v>13</v>
      </c>
      <c r="B25" s="119">
        <f>SUMIF(Camplist_Township,'NFI Distribution (by Tship)'!$A25,Camplist_HH)</f>
        <v>0</v>
      </c>
      <c r="C25" s="119">
        <f>SUMIF(Camplist_Township,'NFI Distribution (by Tship)'!$A25,Camplist_Popl)</f>
        <v>0</v>
      </c>
      <c r="D25" s="119">
        <f t="shared" si="9"/>
        <v>0</v>
      </c>
      <c r="E25" s="119">
        <f t="shared" si="10"/>
        <v>0</v>
      </c>
      <c r="F25" s="119">
        <f>SUMIF(NFI_Pipeline_Township,$A24,NFI_Hygiene_Pipeline)</f>
        <v>0</v>
      </c>
      <c r="G25" s="120">
        <f t="shared" si="11"/>
        <v>0</v>
      </c>
      <c r="H25" s="107">
        <f t="shared" si="12"/>
        <v>0</v>
      </c>
      <c r="I25" s="107">
        <f t="shared" si="13"/>
        <v>0</v>
      </c>
      <c r="J25" s="107">
        <f>SUMIF(NFI_Pipeline_Township,$A24,NFI_Core_Pipeline)</f>
        <v>0</v>
      </c>
      <c r="L25" s="12">
        <f t="shared" si="14"/>
        <v>0</v>
      </c>
      <c r="M25" s="12">
        <f t="shared" si="15"/>
        <v>0</v>
      </c>
      <c r="N25" s="12">
        <f>SUMIF(NFI_Pipeline_Township,$A24,NFI_Sanitary_Pipeline)</f>
        <v>0</v>
      </c>
      <c r="O25" s="19">
        <f t="shared" si="16"/>
        <v>0</v>
      </c>
    </row>
    <row r="26" spans="1:26" s="100" customFormat="1" ht="15" hidden="1" customHeight="1">
      <c r="A26" s="108" t="s">
        <v>11</v>
      </c>
      <c r="B26" s="119">
        <f>SUMIF(Camplist_Township,'NFI Distribution (by Tship)'!$A26,Camplist_HH)</f>
        <v>911</v>
      </c>
      <c r="C26" s="119">
        <f>SUMIF(Camplist_Township,'NFI Distribution (by Tship)'!$A26,Camplist_Popl)</f>
        <v>5638</v>
      </c>
      <c r="D26" s="119">
        <f t="shared" si="9"/>
        <v>0</v>
      </c>
      <c r="E26" s="119">
        <f t="shared" si="10"/>
        <v>0</v>
      </c>
      <c r="F26" s="119">
        <f>SUMIF(NFI_Pipeline_Township,#REF!,NFI_Hygiene_Pipeline)</f>
        <v>0</v>
      </c>
      <c r="G26" s="120">
        <f t="shared" si="11"/>
        <v>911</v>
      </c>
      <c r="H26" s="107">
        <f t="shared" si="12"/>
        <v>0</v>
      </c>
      <c r="I26" s="107">
        <f t="shared" si="13"/>
        <v>0</v>
      </c>
      <c r="J26" s="107">
        <f>SUMIF(NFI_Pipeline_Township,#REF!,NFI_Core_Pipeline)</f>
        <v>0</v>
      </c>
      <c r="L26" s="12">
        <f t="shared" si="14"/>
        <v>0</v>
      </c>
      <c r="M26" s="12">
        <f t="shared" si="15"/>
        <v>0</v>
      </c>
      <c r="N26" s="12">
        <f>SUMIF(NFI_Pipeline_Township,#REF!,NFI_Sanitary_Pipeline)</f>
        <v>0</v>
      </c>
      <c r="O26" s="19">
        <f t="shared" si="16"/>
        <v>911</v>
      </c>
    </row>
    <row r="27" spans="1:26" s="100" customFormat="1" ht="15" hidden="1" customHeight="1">
      <c r="A27" s="108" t="s">
        <v>12</v>
      </c>
      <c r="B27" s="119">
        <f>SUMIF(Camplist_Township,'NFI Distribution (by Tship)'!$A27,Camplist_HH)</f>
        <v>610</v>
      </c>
      <c r="C27" s="119">
        <f>SUMIF(Camplist_Township,'NFI Distribution (by Tship)'!$A27,Camplist_Popl)</f>
        <v>3826</v>
      </c>
      <c r="D27" s="119">
        <f t="shared" si="9"/>
        <v>0</v>
      </c>
      <c r="E27" s="119">
        <f t="shared" si="10"/>
        <v>0</v>
      </c>
      <c r="F27" s="119">
        <f>SUMIF(NFI_Pipeline_Township,$A25,NFI_Hygiene_Pipeline)</f>
        <v>0</v>
      </c>
      <c r="G27" s="120">
        <f t="shared" si="11"/>
        <v>610</v>
      </c>
      <c r="H27" s="107">
        <f t="shared" si="12"/>
        <v>0</v>
      </c>
      <c r="I27" s="107">
        <f t="shared" si="13"/>
        <v>0</v>
      </c>
      <c r="J27" s="107">
        <f>SUMIF(NFI_Pipeline_Township,$A25,NFI_Core_Pipeline)</f>
        <v>0</v>
      </c>
      <c r="L27" s="12">
        <f t="shared" si="14"/>
        <v>0</v>
      </c>
      <c r="M27" s="12">
        <f t="shared" si="15"/>
        <v>0</v>
      </c>
      <c r="N27" s="12">
        <f>SUMIF(NFI_Pipeline_Township,$A25,NFI_Sanitary_Pipeline)</f>
        <v>0</v>
      </c>
      <c r="O27" s="19">
        <f t="shared" si="16"/>
        <v>610</v>
      </c>
    </row>
    <row r="28" spans="1:26" s="100" customFormat="1" ht="15" hidden="1" customHeight="1">
      <c r="A28" s="109" t="s">
        <v>14</v>
      </c>
      <c r="B28" s="119">
        <f>SUMIF(Camplist_Township,'NFI Distribution (by Tship)'!$A28,Camplist_HH)</f>
        <v>4943</v>
      </c>
      <c r="C28" s="119">
        <f>SUMIF(Camplist_Township,'NFI Distribution (by Tship)'!$A28,Camplist_Popl)</f>
        <v>19721</v>
      </c>
      <c r="D28" s="119">
        <f t="shared" si="9"/>
        <v>0</v>
      </c>
      <c r="E28" s="119">
        <f t="shared" si="10"/>
        <v>0</v>
      </c>
      <c r="F28" s="119">
        <f>SUMIF(NFI_Pipeline_Township,$A26,NFI_Hygiene_Pipeline)</f>
        <v>0</v>
      </c>
      <c r="G28" s="120">
        <f t="shared" si="11"/>
        <v>4943</v>
      </c>
      <c r="H28" s="107">
        <f t="shared" si="12"/>
        <v>1007</v>
      </c>
      <c r="I28" s="107">
        <f t="shared" si="13"/>
        <v>0</v>
      </c>
      <c r="J28" s="107">
        <f>SUMIF(NFI_Pipeline_Township,$A26,NFI_Core_Pipeline)</f>
        <v>0</v>
      </c>
      <c r="L28" s="12">
        <f t="shared" si="14"/>
        <v>0</v>
      </c>
      <c r="M28" s="12">
        <f t="shared" si="15"/>
        <v>0</v>
      </c>
      <c r="N28" s="12">
        <f>SUMIF(NFI_Pipeline_Township,$A26,NFI_Sanitary_Pipeline)</f>
        <v>0</v>
      </c>
      <c r="O28" s="19">
        <f t="shared" si="16"/>
        <v>4943</v>
      </c>
    </row>
    <row r="29" spans="1:26" s="100" customFormat="1" ht="15" hidden="1" customHeight="1">
      <c r="A29" s="108" t="s">
        <v>18</v>
      </c>
      <c r="B29" s="119">
        <f>SUMIF(Camplist_Township,'NFI Distribution (by Tship)'!$A29,Camplist_HH)</f>
        <v>75</v>
      </c>
      <c r="C29" s="119">
        <f>SUMIF(Camplist_Township,'NFI Distribution (by Tship)'!$A29,Camplist_Popl)</f>
        <v>264</v>
      </c>
      <c r="D29" s="119">
        <f t="shared" si="9"/>
        <v>0</v>
      </c>
      <c r="E29" s="119">
        <f t="shared" si="10"/>
        <v>0</v>
      </c>
      <c r="F29" s="119">
        <f>SUMIF(NFI_Pipeline_Township,$A27,NFI_Hygiene_Pipeline)</f>
        <v>0</v>
      </c>
      <c r="G29" s="120">
        <f t="shared" si="11"/>
        <v>75</v>
      </c>
      <c r="H29" s="107">
        <f t="shared" si="12"/>
        <v>0</v>
      </c>
      <c r="I29" s="107">
        <f t="shared" si="13"/>
        <v>0</v>
      </c>
      <c r="J29" s="107">
        <f>SUMIF(NFI_Pipeline_Township,$A27,NFI_Core_Pipeline)</f>
        <v>0</v>
      </c>
      <c r="L29" s="12">
        <f t="shared" si="14"/>
        <v>0</v>
      </c>
      <c r="M29" s="12">
        <f t="shared" si="15"/>
        <v>0</v>
      </c>
      <c r="N29" s="12">
        <f>SUMIF(NFI_Pipeline_Township,$A27,NFI_Sanitary_Pipeline)</f>
        <v>0</v>
      </c>
      <c r="O29" s="19">
        <f t="shared" si="16"/>
        <v>75</v>
      </c>
    </row>
    <row r="30" spans="1:26" s="100" customFormat="1" ht="15" hidden="1" customHeight="1">
      <c r="A30" s="108" t="s">
        <v>16</v>
      </c>
      <c r="B30" s="119">
        <f>SUMIF(Camplist_Township,'NFI Distribution (by Tship)'!$A30,Camplist_HH)</f>
        <v>747</v>
      </c>
      <c r="C30" s="119">
        <f>SUMIF(Camplist_Township,'NFI Distribution (by Tship)'!$A30,Camplist_Popl)</f>
        <v>4055</v>
      </c>
      <c r="D30" s="119">
        <f t="shared" si="9"/>
        <v>0</v>
      </c>
      <c r="E30" s="119">
        <f t="shared" si="10"/>
        <v>0</v>
      </c>
      <c r="F30" s="119">
        <f>SUMIF(NFI_Pipeline_Township,$A28,NFI_Hygiene_Pipeline)</f>
        <v>0</v>
      </c>
      <c r="G30" s="120">
        <f t="shared" si="11"/>
        <v>747</v>
      </c>
      <c r="H30" s="107">
        <f t="shared" si="12"/>
        <v>0</v>
      </c>
      <c r="I30" s="107">
        <f t="shared" si="13"/>
        <v>0</v>
      </c>
      <c r="J30" s="107">
        <f>SUMIF(NFI_Pipeline_Township,$A28,NFI_Core_Pipeline)</f>
        <v>0</v>
      </c>
      <c r="L30" s="12">
        <f t="shared" si="14"/>
        <v>0</v>
      </c>
      <c r="M30" s="12">
        <f t="shared" si="15"/>
        <v>0</v>
      </c>
      <c r="N30" s="12">
        <f>SUMIF(NFI_Pipeline_Township,$A28,NFI_Sanitary_Pipeline)</f>
        <v>0</v>
      </c>
      <c r="O30" s="19">
        <f t="shared" si="16"/>
        <v>747</v>
      </c>
    </row>
    <row r="31" spans="1:26" s="100" customFormat="1" ht="15" hidden="1" customHeight="1">
      <c r="A31" s="110" t="s">
        <v>19</v>
      </c>
      <c r="B31" s="119">
        <f>SUMIF(Camplist_Township,'NFI Distribution (by Tship)'!$A31,Camplist_HH)</f>
        <v>18551</v>
      </c>
      <c r="C31" s="119">
        <f>SUMIF(Camplist_Township,'NFI Distribution (by Tship)'!$A31,Camplist_Popl)</f>
        <v>98754</v>
      </c>
      <c r="D31" s="119">
        <f t="shared" si="9"/>
        <v>0</v>
      </c>
      <c r="E31" s="119">
        <f t="shared" si="10"/>
        <v>0</v>
      </c>
      <c r="F31" s="119">
        <f>SUMIF(NFI_Pipeline_Township,$A29,NFI_Hygiene_Pipeline)</f>
        <v>0</v>
      </c>
      <c r="G31" s="120">
        <f t="shared" si="11"/>
        <v>18551</v>
      </c>
      <c r="H31" s="107">
        <f t="shared" si="12"/>
        <v>2185</v>
      </c>
      <c r="I31" s="107">
        <f t="shared" si="13"/>
        <v>0</v>
      </c>
      <c r="J31" s="107">
        <f>SUMIF(NFI_Pipeline_Township,$A29,NFI_Core_Pipeline)</f>
        <v>0</v>
      </c>
      <c r="L31" s="12">
        <f t="shared" si="14"/>
        <v>0</v>
      </c>
      <c r="M31" s="12">
        <f t="shared" si="15"/>
        <v>0</v>
      </c>
      <c r="N31" s="12">
        <f>SUMIF(NFI_Pipeline_Township,$A29,NFI_Sanitary_Pipeline)</f>
        <v>0</v>
      </c>
      <c r="O31" s="19">
        <f t="shared" si="16"/>
        <v>18551</v>
      </c>
    </row>
    <row r="32" spans="1:26" s="100" customFormat="1" ht="15" hidden="1" customHeight="1">
      <c r="A32" s="111" t="s">
        <v>5</v>
      </c>
      <c r="B32" s="111">
        <f t="shared" ref="B32:J32" si="17">SUM(B22:B31)</f>
        <v>27549</v>
      </c>
      <c r="C32" s="111">
        <f t="shared" si="17"/>
        <v>141764</v>
      </c>
      <c r="D32" s="111">
        <f t="shared" si="17"/>
        <v>65</v>
      </c>
      <c r="E32" s="111">
        <f t="shared" si="17"/>
        <v>0</v>
      </c>
      <c r="F32" s="111">
        <f t="shared" si="17"/>
        <v>0</v>
      </c>
      <c r="G32" s="121">
        <f t="shared" si="17"/>
        <v>27484</v>
      </c>
      <c r="H32" s="111">
        <f t="shared" si="17"/>
        <v>3684</v>
      </c>
      <c r="I32" s="111">
        <f t="shared" si="17"/>
        <v>0</v>
      </c>
      <c r="J32" s="111">
        <f t="shared" si="17"/>
        <v>0</v>
      </c>
      <c r="L32" s="13">
        <f>SUM(L22:L31)</f>
        <v>0</v>
      </c>
      <c r="M32" s="13">
        <f>SUM(M22:M31)</f>
        <v>0</v>
      </c>
      <c r="N32" s="13">
        <f>SUM(N22:N31)</f>
        <v>0</v>
      </c>
      <c r="O32" s="43">
        <f>SUM(O22:O31)</f>
        <v>27549</v>
      </c>
    </row>
    <row r="33" spans="1:12">
      <c r="A33" s="113"/>
      <c r="B33" s="113"/>
      <c r="C33" s="113"/>
      <c r="D33" s="113"/>
      <c r="E33" s="113"/>
      <c r="F33" s="113"/>
      <c r="G33" s="113"/>
      <c r="H33" s="113"/>
      <c r="I33" s="113"/>
      <c r="J33" s="113"/>
      <c r="K33" s="100"/>
    </row>
    <row r="34" spans="1:12">
      <c r="I34" s="113"/>
      <c r="J34" s="113"/>
      <c r="K34" s="100"/>
    </row>
    <row r="35" spans="1:12" s="100" customFormat="1">
      <c r="A35" s="275" t="s">
        <v>10</v>
      </c>
      <c r="B35" s="272" t="s">
        <v>7</v>
      </c>
      <c r="I35" s="113"/>
      <c r="J35" s="113"/>
    </row>
    <row r="36" spans="1:12">
      <c r="A36" s="275" t="s">
        <v>354</v>
      </c>
      <c r="B36" s="272" t="s">
        <v>357</v>
      </c>
      <c r="C36" s="113"/>
      <c r="D36" s="113"/>
      <c r="E36" s="113"/>
      <c r="F36" s="113"/>
      <c r="G36" s="113"/>
      <c r="H36" s="113"/>
      <c r="I36" s="113"/>
      <c r="J36" s="113"/>
      <c r="K36" s="4"/>
      <c r="L36" s="4"/>
    </row>
    <row r="37" spans="1:12">
      <c r="A37" s="113"/>
      <c r="B37" s="113"/>
      <c r="C37" s="113"/>
      <c r="D37" s="113"/>
      <c r="E37" s="113"/>
      <c r="F37" s="113"/>
      <c r="G37" s="113"/>
      <c r="H37" s="113"/>
      <c r="I37" s="113"/>
      <c r="J37" s="113"/>
      <c r="K37" s="4"/>
      <c r="L37" s="4"/>
    </row>
    <row r="38" spans="1:12">
      <c r="A38" s="275" t="s">
        <v>214</v>
      </c>
      <c r="B38" s="272" t="s">
        <v>943</v>
      </c>
      <c r="C38" s="272" t="s">
        <v>944</v>
      </c>
      <c r="D38" s="272" t="s">
        <v>945</v>
      </c>
      <c r="E38" s="272" t="s">
        <v>946</v>
      </c>
      <c r="F38" s="272" t="s">
        <v>947</v>
      </c>
      <c r="G38" s="272" t="s">
        <v>948</v>
      </c>
      <c r="H38" s="272" t="s">
        <v>971</v>
      </c>
      <c r="I38" s="272" t="s">
        <v>949</v>
      </c>
      <c r="J38" s="113"/>
      <c r="K38" s="4"/>
      <c r="L38" s="4"/>
    </row>
    <row r="39" spans="1:12">
      <c r="A39" s="274" t="s">
        <v>17</v>
      </c>
      <c r="B39" s="276">
        <v>0</v>
      </c>
      <c r="C39" s="276">
        <v>0</v>
      </c>
      <c r="D39" s="276">
        <v>919</v>
      </c>
      <c r="E39" s="276">
        <v>0</v>
      </c>
      <c r="F39" s="276">
        <v>0</v>
      </c>
      <c r="G39" s="276">
        <v>0</v>
      </c>
      <c r="H39" s="276">
        <v>0</v>
      </c>
      <c r="I39" s="276">
        <v>0</v>
      </c>
      <c r="J39" s="122"/>
      <c r="K39" s="4"/>
      <c r="L39" s="4"/>
    </row>
    <row r="40" spans="1:12">
      <c r="A40" s="274" t="s">
        <v>15</v>
      </c>
      <c r="B40" s="276">
        <v>0</v>
      </c>
      <c r="C40" s="276">
        <v>85</v>
      </c>
      <c r="D40" s="276">
        <v>0</v>
      </c>
      <c r="E40" s="276">
        <v>0</v>
      </c>
      <c r="F40" s="276">
        <v>0</v>
      </c>
      <c r="G40" s="276">
        <v>0</v>
      </c>
      <c r="H40" s="276">
        <v>0</v>
      </c>
      <c r="I40" s="276">
        <v>0</v>
      </c>
      <c r="J40" s="4"/>
      <c r="K40" s="4"/>
      <c r="L40" s="4"/>
    </row>
    <row r="41" spans="1:12">
      <c r="A41" s="274" t="s">
        <v>20</v>
      </c>
      <c r="B41" s="276">
        <v>0</v>
      </c>
      <c r="C41" s="276">
        <v>0</v>
      </c>
      <c r="D41" s="276">
        <v>0</v>
      </c>
      <c r="E41" s="276">
        <v>0</v>
      </c>
      <c r="F41" s="276">
        <v>0</v>
      </c>
      <c r="G41" s="276">
        <v>0</v>
      </c>
      <c r="H41" s="276">
        <v>0</v>
      </c>
      <c r="I41" s="276">
        <v>0</v>
      </c>
      <c r="J41" s="4"/>
      <c r="K41" s="4"/>
      <c r="L41" s="4"/>
    </row>
    <row r="42" spans="1:12">
      <c r="A42" s="274" t="s">
        <v>14</v>
      </c>
      <c r="B42" s="276">
        <v>3597</v>
      </c>
      <c r="C42" s="276">
        <v>1017</v>
      </c>
      <c r="D42" s="276">
        <v>2034</v>
      </c>
      <c r="E42" s="276">
        <v>1017</v>
      </c>
      <c r="F42" s="276">
        <v>0</v>
      </c>
      <c r="G42" s="276">
        <v>999</v>
      </c>
      <c r="H42" s="276">
        <v>1017</v>
      </c>
      <c r="I42" s="276">
        <v>12712.5</v>
      </c>
      <c r="J42" s="4"/>
      <c r="K42" s="4"/>
      <c r="L42" s="4"/>
    </row>
    <row r="43" spans="1:12">
      <c r="A43" s="274" t="s">
        <v>18</v>
      </c>
      <c r="B43" s="276">
        <v>0</v>
      </c>
      <c r="C43" s="276">
        <v>0</v>
      </c>
      <c r="D43" s="276">
        <v>0</v>
      </c>
      <c r="E43" s="276">
        <v>0</v>
      </c>
      <c r="F43" s="276">
        <v>0</v>
      </c>
      <c r="G43" s="276">
        <v>0</v>
      </c>
      <c r="H43" s="276">
        <v>0</v>
      </c>
      <c r="I43" s="276">
        <v>0</v>
      </c>
      <c r="J43" s="4"/>
      <c r="K43" s="4"/>
      <c r="L43" s="4"/>
    </row>
    <row r="44" spans="1:12">
      <c r="A44" s="274" t="s">
        <v>16</v>
      </c>
      <c r="B44" s="276">
        <v>0</v>
      </c>
      <c r="C44" s="276">
        <v>441</v>
      </c>
      <c r="D44" s="276">
        <v>0</v>
      </c>
      <c r="E44" s="276">
        <v>0</v>
      </c>
      <c r="F44" s="276">
        <v>0</v>
      </c>
      <c r="G44" s="276">
        <v>0</v>
      </c>
      <c r="H44" s="276">
        <v>0</v>
      </c>
      <c r="I44" s="276">
        <v>0</v>
      </c>
      <c r="J44" s="4"/>
      <c r="K44" s="4"/>
      <c r="L44" s="4"/>
    </row>
    <row r="45" spans="1:12">
      <c r="A45" s="274" t="s">
        <v>19</v>
      </c>
      <c r="B45" s="276">
        <v>8648</v>
      </c>
      <c r="C45" s="276">
        <v>4325</v>
      </c>
      <c r="D45" s="276">
        <v>8346</v>
      </c>
      <c r="E45" s="276">
        <v>4325</v>
      </c>
      <c r="F45" s="276">
        <v>0</v>
      </c>
      <c r="G45" s="276">
        <v>4325</v>
      </c>
      <c r="H45" s="276">
        <v>4324</v>
      </c>
      <c r="I45" s="276">
        <v>54062.5</v>
      </c>
      <c r="J45" s="4"/>
      <c r="K45" s="4"/>
      <c r="L45" s="4"/>
    </row>
    <row r="46" spans="1:12">
      <c r="A46" s="274" t="s">
        <v>900</v>
      </c>
      <c r="B46" s="276">
        <v>724</v>
      </c>
      <c r="C46" s="276">
        <v>724</v>
      </c>
      <c r="D46" s="276">
        <v>0</v>
      </c>
      <c r="E46" s="276">
        <v>724</v>
      </c>
      <c r="F46" s="276">
        <v>0</v>
      </c>
      <c r="G46" s="276">
        <v>0</v>
      </c>
      <c r="H46" s="276">
        <v>724</v>
      </c>
      <c r="I46" s="276">
        <v>0</v>
      </c>
      <c r="J46" s="4"/>
      <c r="K46" s="4"/>
      <c r="L46" s="4"/>
    </row>
    <row r="47" spans="1:12">
      <c r="A47" s="274" t="s">
        <v>215</v>
      </c>
      <c r="B47" s="276">
        <v>12969</v>
      </c>
      <c r="C47" s="276">
        <v>6592</v>
      </c>
      <c r="D47" s="276">
        <v>11299</v>
      </c>
      <c r="E47" s="276">
        <v>6066</v>
      </c>
      <c r="F47" s="276">
        <v>0</v>
      </c>
      <c r="G47" s="276">
        <v>5324</v>
      </c>
      <c r="H47" s="276">
        <v>6065</v>
      </c>
      <c r="I47" s="276">
        <v>66775</v>
      </c>
      <c r="J47" s="4"/>
      <c r="K47" s="4"/>
      <c r="L47" s="4"/>
    </row>
    <row r="48" spans="1:12">
      <c r="J48" s="4"/>
      <c r="K48" s="4"/>
      <c r="L48" s="4"/>
    </row>
    <row r="49" spans="1:12">
      <c r="J49" s="4"/>
      <c r="K49" s="4"/>
      <c r="L49" s="4"/>
    </row>
    <row r="50" spans="1:12">
      <c r="J50" s="4"/>
      <c r="K50" s="4"/>
      <c r="L50" s="4"/>
    </row>
    <row r="51" spans="1:12" s="100" customFormat="1">
      <c r="D51" s="56"/>
      <c r="E51" s="4"/>
      <c r="F51" s="4"/>
      <c r="G51" s="4"/>
      <c r="H51" s="4"/>
      <c r="I51" s="4"/>
      <c r="J51" s="4"/>
      <c r="K51" s="4"/>
      <c r="L51" s="4"/>
    </row>
    <row r="52" spans="1:12">
      <c r="A52" s="275" t="s">
        <v>10</v>
      </c>
      <c r="B52" s="272" t="s">
        <v>7</v>
      </c>
      <c r="D52" s="56"/>
      <c r="E52" s="4"/>
      <c r="F52" s="4"/>
      <c r="G52" s="4"/>
      <c r="H52" s="4"/>
      <c r="I52" s="4"/>
      <c r="J52" s="4"/>
      <c r="K52" s="4"/>
      <c r="L52" s="4"/>
    </row>
    <row r="53" spans="1:12">
      <c r="A53" s="275" t="s">
        <v>354</v>
      </c>
      <c r="B53" s="272" t="s">
        <v>357</v>
      </c>
      <c r="C53" s="113"/>
      <c r="D53" s="113"/>
      <c r="E53" s="113"/>
      <c r="F53" s="113"/>
      <c r="G53" s="113"/>
      <c r="H53" s="113"/>
      <c r="I53" s="4"/>
      <c r="J53" s="4"/>
      <c r="K53" s="4"/>
      <c r="L53" s="4"/>
    </row>
    <row r="54" spans="1:12">
      <c r="A54" s="113"/>
      <c r="B54" s="113"/>
      <c r="C54" s="113"/>
      <c r="D54" s="113"/>
      <c r="E54" s="113"/>
      <c r="F54" s="113"/>
      <c r="G54" s="113"/>
      <c r="H54" s="113"/>
      <c r="I54" s="4"/>
      <c r="J54" s="4"/>
      <c r="K54" s="4"/>
      <c r="L54" s="4"/>
    </row>
    <row r="55" spans="1:12">
      <c r="A55" s="275" t="s">
        <v>214</v>
      </c>
      <c r="B55" s="272" t="s">
        <v>941</v>
      </c>
      <c r="C55" s="272" t="s">
        <v>355</v>
      </c>
      <c r="D55" s="272" t="s">
        <v>546</v>
      </c>
      <c r="E55" s="272" t="s">
        <v>547</v>
      </c>
      <c r="F55" s="272" t="s">
        <v>548</v>
      </c>
      <c r="G55" s="272" t="s">
        <v>603</v>
      </c>
      <c r="H55" s="272" t="s">
        <v>971</v>
      </c>
      <c r="I55" s="272" t="s">
        <v>604</v>
      </c>
      <c r="K55" s="4"/>
      <c r="L55" s="4"/>
    </row>
    <row r="56" spans="1:12">
      <c r="A56" s="274" t="s">
        <v>290</v>
      </c>
      <c r="B56" s="276">
        <v>0</v>
      </c>
      <c r="C56" s="276">
        <v>0</v>
      </c>
      <c r="D56" s="276">
        <v>0</v>
      </c>
      <c r="E56" s="276">
        <v>0</v>
      </c>
      <c r="F56" s="276">
        <v>0</v>
      </c>
      <c r="G56" s="276">
        <v>0</v>
      </c>
      <c r="H56" s="276">
        <v>0</v>
      </c>
      <c r="I56" s="276">
        <v>0</v>
      </c>
    </row>
    <row r="57" spans="1:12">
      <c r="A57" s="274" t="s">
        <v>287</v>
      </c>
      <c r="B57" s="276">
        <v>8708</v>
      </c>
      <c r="C57" s="276">
        <v>4881</v>
      </c>
      <c r="D57" s="276">
        <v>7727</v>
      </c>
      <c r="E57" s="276">
        <v>4355</v>
      </c>
      <c r="F57" s="276">
        <v>0</v>
      </c>
      <c r="G57" s="276">
        <v>4355</v>
      </c>
      <c r="H57" s="276">
        <v>4355</v>
      </c>
      <c r="I57" s="276">
        <v>54437.5</v>
      </c>
    </row>
    <row r="58" spans="1:12">
      <c r="A58" s="274" t="s">
        <v>642</v>
      </c>
      <c r="B58" s="276">
        <v>1974</v>
      </c>
      <c r="C58" s="276">
        <v>987</v>
      </c>
      <c r="D58" s="276">
        <v>1974</v>
      </c>
      <c r="E58" s="276">
        <v>987</v>
      </c>
      <c r="F58" s="276">
        <v>0</v>
      </c>
      <c r="G58" s="276">
        <v>969</v>
      </c>
      <c r="H58" s="276">
        <v>986</v>
      </c>
      <c r="I58" s="276">
        <v>12337.5</v>
      </c>
    </row>
    <row r="59" spans="1:12">
      <c r="A59" s="274" t="s">
        <v>730</v>
      </c>
      <c r="B59" s="276">
        <v>724</v>
      </c>
      <c r="C59" s="276">
        <v>724</v>
      </c>
      <c r="D59" s="276">
        <v>0</v>
      </c>
      <c r="E59" s="276">
        <v>724</v>
      </c>
      <c r="F59" s="276">
        <v>0</v>
      </c>
      <c r="G59" s="276">
        <v>0</v>
      </c>
      <c r="H59" s="276">
        <v>724</v>
      </c>
      <c r="I59" s="276">
        <v>0</v>
      </c>
    </row>
    <row r="60" spans="1:12">
      <c r="A60" s="274" t="s">
        <v>911</v>
      </c>
      <c r="B60" s="276">
        <v>0</v>
      </c>
      <c r="C60" s="276">
        <v>0</v>
      </c>
      <c r="D60" s="276">
        <v>0</v>
      </c>
      <c r="E60" s="276">
        <v>0</v>
      </c>
      <c r="F60" s="276">
        <v>0</v>
      </c>
      <c r="G60" s="276">
        <v>0</v>
      </c>
      <c r="H60" s="276">
        <v>0</v>
      </c>
      <c r="I60" s="276">
        <v>0</v>
      </c>
    </row>
    <row r="61" spans="1:12">
      <c r="A61" s="274" t="s">
        <v>215</v>
      </c>
      <c r="B61" s="276">
        <v>11406</v>
      </c>
      <c r="C61" s="276">
        <v>6592</v>
      </c>
      <c r="D61" s="276">
        <v>9701</v>
      </c>
      <c r="E61" s="276">
        <v>6066</v>
      </c>
      <c r="F61" s="276">
        <v>0</v>
      </c>
      <c r="G61" s="276">
        <v>5324</v>
      </c>
      <c r="H61" s="276">
        <v>6065</v>
      </c>
      <c r="I61" s="276">
        <v>66775</v>
      </c>
    </row>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spans="1:5" hidden="1"/>
    <row r="82" spans="1:5" hidden="1"/>
    <row r="83" spans="1:5" hidden="1"/>
    <row r="84" spans="1:5" hidden="1"/>
    <row r="85" spans="1:5" hidden="1"/>
    <row r="86" spans="1:5" hidden="1"/>
    <row r="87" spans="1:5" hidden="1"/>
    <row r="89" spans="1:5">
      <c r="A89" s="211" t="s">
        <v>214</v>
      </c>
      <c r="B89" s="31" t="s">
        <v>833</v>
      </c>
      <c r="C89" s="31" t="s">
        <v>834</v>
      </c>
      <c r="D89" s="31" t="s">
        <v>835</v>
      </c>
      <c r="E89" s="31" t="s">
        <v>836</v>
      </c>
    </row>
    <row r="90" spans="1:5">
      <c r="A90" s="712">
        <v>-0.66666666666666663</v>
      </c>
      <c r="B90" s="126"/>
      <c r="C90" s="126"/>
      <c r="D90" s="126"/>
      <c r="E90" s="126">
        <v>65</v>
      </c>
    </row>
    <row r="91" spans="1:5">
      <c r="A91" s="712">
        <v>-0.6333333333333333</v>
      </c>
      <c r="B91" s="126"/>
      <c r="C91" s="126"/>
      <c r="D91" s="126"/>
      <c r="E91" s="126">
        <v>854</v>
      </c>
    </row>
    <row r="92" spans="1:5">
      <c r="A92" s="712">
        <v>3.9333333333333331</v>
      </c>
      <c r="B92" s="126">
        <v>3630</v>
      </c>
      <c r="C92" s="126">
        <v>1815</v>
      </c>
      <c r="D92" s="126">
        <v>1815</v>
      </c>
      <c r="E92" s="126">
        <v>1815</v>
      </c>
    </row>
    <row r="93" spans="1:5">
      <c r="A93" s="712">
        <v>4.1333333333333337</v>
      </c>
      <c r="B93" s="126">
        <v>6</v>
      </c>
      <c r="C93" s="126">
        <v>3</v>
      </c>
      <c r="D93" s="126">
        <v>3</v>
      </c>
      <c r="E93" s="126">
        <v>6</v>
      </c>
    </row>
    <row r="94" spans="1:5">
      <c r="A94" s="712">
        <v>4.2</v>
      </c>
      <c r="B94" s="126">
        <v>724</v>
      </c>
      <c r="C94" s="126">
        <v>724</v>
      </c>
      <c r="D94" s="126">
        <v>724</v>
      </c>
      <c r="E94" s="126"/>
    </row>
    <row r="95" spans="1:5">
      <c r="A95" s="712">
        <v>4.3666666666666663</v>
      </c>
      <c r="B95" s="126">
        <v>170</v>
      </c>
      <c r="C95" s="126">
        <v>85</v>
      </c>
      <c r="D95" s="126">
        <v>85</v>
      </c>
      <c r="E95" s="126">
        <v>85</v>
      </c>
    </row>
    <row r="96" spans="1:5">
      <c r="A96" s="712">
        <v>5.833333333333333</v>
      </c>
      <c r="B96" s="126"/>
      <c r="C96" s="126"/>
      <c r="D96" s="126"/>
      <c r="E96" s="126">
        <v>1598</v>
      </c>
    </row>
    <row r="97" spans="1:5">
      <c r="A97" s="712">
        <v>6.3666666666666663</v>
      </c>
      <c r="B97" s="126">
        <v>1972</v>
      </c>
      <c r="C97" s="126">
        <v>986</v>
      </c>
      <c r="D97" s="126">
        <v>986</v>
      </c>
      <c r="E97" s="126">
        <v>1972</v>
      </c>
    </row>
    <row r="98" spans="1:5">
      <c r="A98" s="712">
        <v>6.5</v>
      </c>
      <c r="B98" s="126">
        <v>1563</v>
      </c>
      <c r="C98" s="126"/>
      <c r="D98" s="126"/>
      <c r="E98" s="126"/>
    </row>
    <row r="99" spans="1:5">
      <c r="A99" s="712">
        <v>6.5333333333333332</v>
      </c>
      <c r="B99" s="126">
        <v>42</v>
      </c>
      <c r="C99" s="126">
        <v>21</v>
      </c>
      <c r="D99" s="126">
        <v>21</v>
      </c>
      <c r="E99" s="126">
        <v>42</v>
      </c>
    </row>
    <row r="100" spans="1:5">
      <c r="A100" s="712">
        <v>7.0333333333333332</v>
      </c>
      <c r="B100" s="126">
        <v>0</v>
      </c>
      <c r="C100" s="126">
        <v>7</v>
      </c>
      <c r="D100" s="126">
        <v>0</v>
      </c>
      <c r="E100" s="126">
        <v>0</v>
      </c>
    </row>
    <row r="101" spans="1:5">
      <c r="A101" s="712">
        <v>7.2666666666666666</v>
      </c>
      <c r="B101" s="126">
        <v>0</v>
      </c>
      <c r="C101" s="126">
        <v>5</v>
      </c>
      <c r="D101" s="126">
        <v>0</v>
      </c>
      <c r="E101" s="126">
        <v>0</v>
      </c>
    </row>
    <row r="102" spans="1:5">
      <c r="A102" s="712">
        <v>7.9</v>
      </c>
      <c r="B102" s="126">
        <v>252</v>
      </c>
      <c r="C102" s="126">
        <v>128</v>
      </c>
      <c r="D102" s="126">
        <v>127</v>
      </c>
      <c r="E102" s="126">
        <v>252</v>
      </c>
    </row>
    <row r="103" spans="1:5">
      <c r="A103" s="712">
        <v>8.6</v>
      </c>
      <c r="B103" s="126">
        <v>730</v>
      </c>
      <c r="C103" s="126">
        <v>375</v>
      </c>
      <c r="D103" s="126">
        <v>365</v>
      </c>
      <c r="E103" s="126">
        <v>730</v>
      </c>
    </row>
    <row r="104" spans="1:5">
      <c r="A104" s="712">
        <v>9.8000000000000007</v>
      </c>
      <c r="B104" s="126">
        <v>648</v>
      </c>
      <c r="C104" s="126">
        <v>324</v>
      </c>
      <c r="D104" s="126">
        <v>324</v>
      </c>
      <c r="E104" s="126">
        <v>648</v>
      </c>
    </row>
    <row r="105" spans="1:5">
      <c r="A105" s="712">
        <v>9.9333333333333336</v>
      </c>
      <c r="B105" s="126">
        <v>62</v>
      </c>
      <c r="C105" s="126">
        <v>31</v>
      </c>
      <c r="D105" s="126">
        <v>31</v>
      </c>
      <c r="E105" s="126">
        <v>62</v>
      </c>
    </row>
    <row r="106" spans="1:5">
      <c r="A106" s="712">
        <v>10.433333333333334</v>
      </c>
      <c r="B106" s="126">
        <v>1968</v>
      </c>
      <c r="C106" s="126">
        <v>984</v>
      </c>
      <c r="D106" s="126">
        <v>984</v>
      </c>
      <c r="E106" s="126">
        <v>1968</v>
      </c>
    </row>
    <row r="107" spans="1:5">
      <c r="A107" s="712">
        <v>10.466666666666667</v>
      </c>
      <c r="B107" s="126">
        <v>0</v>
      </c>
      <c r="C107" s="126">
        <v>384</v>
      </c>
      <c r="D107" s="126">
        <v>0</v>
      </c>
      <c r="E107" s="126">
        <v>0</v>
      </c>
    </row>
    <row r="108" spans="1:5">
      <c r="A108" s="712">
        <v>10.933333333333334</v>
      </c>
      <c r="B108" s="126">
        <v>1248</v>
      </c>
      <c r="C108" s="126">
        <v>624</v>
      </c>
      <c r="D108" s="126">
        <v>624</v>
      </c>
      <c r="E108" s="126">
        <v>1248</v>
      </c>
    </row>
    <row r="109" spans="1:5">
      <c r="A109" s="712">
        <v>11.366666666666667</v>
      </c>
      <c r="B109" s="126"/>
      <c r="C109" s="126">
        <v>250</v>
      </c>
      <c r="D109" s="126"/>
      <c r="E109" s="126"/>
    </row>
    <row r="110" spans="1:5">
      <c r="A110" s="712">
        <v>11.4</v>
      </c>
      <c r="B110" s="126"/>
      <c r="C110" s="126">
        <v>182</v>
      </c>
      <c r="D110" s="126"/>
      <c r="E110" s="126"/>
    </row>
    <row r="111" spans="1:5">
      <c r="A111" s="712">
        <v>11.433333333333334</v>
      </c>
      <c r="B111" s="126"/>
      <c r="C111" s="126">
        <v>444</v>
      </c>
      <c r="D111" s="126"/>
      <c r="E111" s="126"/>
    </row>
    <row r="112" spans="1:5">
      <c r="A112" s="712">
        <v>11.466666666666667</v>
      </c>
      <c r="B112" s="126"/>
      <c r="C112" s="126">
        <v>16</v>
      </c>
      <c r="D112" s="126"/>
      <c r="E112" s="126"/>
    </row>
    <row r="113" spans="1:5">
      <c r="A113" s="712">
        <v>11.733333333333333</v>
      </c>
      <c r="B113" s="126">
        <v>0</v>
      </c>
      <c r="C113" s="126">
        <v>40</v>
      </c>
      <c r="D113" s="126">
        <v>0</v>
      </c>
      <c r="E113" s="126">
        <v>0</v>
      </c>
    </row>
    <row r="114" spans="1:5">
      <c r="A114" s="712">
        <v>11.866666666666667</v>
      </c>
      <c r="B114" s="126"/>
      <c r="C114" s="126">
        <v>588</v>
      </c>
      <c r="D114" s="126"/>
      <c r="E114" s="126"/>
    </row>
    <row r="115" spans="1:5">
      <c r="A115" s="712">
        <v>11.9</v>
      </c>
      <c r="B115" s="126"/>
      <c r="C115" s="126">
        <v>386</v>
      </c>
      <c r="D115" s="126"/>
      <c r="E115" s="126"/>
    </row>
    <row r="116" spans="1:5">
      <c r="A116" s="712">
        <v>12.6</v>
      </c>
      <c r="B116" s="126">
        <v>1298</v>
      </c>
      <c r="C116" s="126">
        <v>649</v>
      </c>
      <c r="D116" s="126">
        <v>649</v>
      </c>
      <c r="E116" s="126">
        <v>1298</v>
      </c>
    </row>
    <row r="117" spans="1:5">
      <c r="A117" s="712">
        <v>12.866666666666667</v>
      </c>
      <c r="B117" s="126">
        <v>498</v>
      </c>
      <c r="C117" s="126">
        <v>249</v>
      </c>
      <c r="D117" s="126">
        <v>249</v>
      </c>
      <c r="E117" s="126">
        <v>498</v>
      </c>
    </row>
    <row r="118" spans="1:5">
      <c r="A118" s="712">
        <v>13.033333333333333</v>
      </c>
      <c r="B118" s="126">
        <v>4290</v>
      </c>
      <c r="C118" s="126">
        <v>2145</v>
      </c>
      <c r="D118" s="126">
        <v>2145</v>
      </c>
      <c r="E118" s="126">
        <v>4290</v>
      </c>
    </row>
    <row r="119" spans="1:5">
      <c r="A119" s="712">
        <v>13.066666666666666</v>
      </c>
      <c r="B119" s="126">
        <v>2728</v>
      </c>
      <c r="C119" s="126">
        <v>1364</v>
      </c>
      <c r="D119" s="126">
        <v>1364</v>
      </c>
      <c r="E119" s="126">
        <v>2728</v>
      </c>
    </row>
    <row r="120" spans="1:5">
      <c r="A120" s="712">
        <v>13.1</v>
      </c>
      <c r="B120" s="126">
        <v>14</v>
      </c>
      <c r="C120" s="126">
        <v>5</v>
      </c>
      <c r="D120" s="126">
        <v>5</v>
      </c>
      <c r="E120" s="126">
        <v>14</v>
      </c>
    </row>
    <row r="121" spans="1:5">
      <c r="A121" s="712">
        <v>13.366666666666667</v>
      </c>
      <c r="B121" s="126">
        <v>1282</v>
      </c>
      <c r="C121" s="126">
        <v>641</v>
      </c>
      <c r="D121" s="126">
        <v>641</v>
      </c>
      <c r="E121" s="126">
        <v>1282</v>
      </c>
    </row>
    <row r="122" spans="1:5">
      <c r="A122" s="712">
        <v>14.8</v>
      </c>
      <c r="B122" s="126"/>
      <c r="C122" s="126"/>
      <c r="D122" s="126"/>
      <c r="E122" s="126"/>
    </row>
    <row r="123" spans="1:5">
      <c r="A123" s="712">
        <v>15.133333333333333</v>
      </c>
      <c r="B123" s="126">
        <v>86</v>
      </c>
      <c r="C123" s="126">
        <v>0</v>
      </c>
      <c r="D123" s="126">
        <v>33</v>
      </c>
      <c r="E123" s="126">
        <v>86</v>
      </c>
    </row>
    <row r="124" spans="1:5">
      <c r="A124" s="712">
        <v>15.266666666666667</v>
      </c>
      <c r="B124" s="126"/>
      <c r="C124" s="126"/>
      <c r="D124" s="126"/>
      <c r="E124" s="126"/>
    </row>
    <row r="125" spans="1:5">
      <c r="A125" s="712">
        <v>15.566666666666666</v>
      </c>
      <c r="B125" s="126"/>
      <c r="C125" s="126"/>
      <c r="D125" s="126"/>
      <c r="E125" s="126"/>
    </row>
    <row r="126" spans="1:5">
      <c r="A126" s="712">
        <v>16.2</v>
      </c>
      <c r="B126" s="126"/>
      <c r="C126" s="126"/>
      <c r="D126" s="126"/>
      <c r="E126" s="126"/>
    </row>
    <row r="127" spans="1:5">
      <c r="A127" s="712">
        <v>16.3</v>
      </c>
      <c r="B127" s="126">
        <v>1888</v>
      </c>
      <c r="C127" s="126">
        <v>944</v>
      </c>
      <c r="D127" s="126">
        <v>944</v>
      </c>
      <c r="E127" s="126">
        <v>1888</v>
      </c>
    </row>
    <row r="128" spans="1:5">
      <c r="A128" s="712">
        <v>16.566666666666666</v>
      </c>
      <c r="B128" s="126">
        <v>0</v>
      </c>
      <c r="C128" s="126">
        <v>0</v>
      </c>
      <c r="D128" s="126">
        <v>0</v>
      </c>
      <c r="E128" s="126">
        <v>1234</v>
      </c>
    </row>
    <row r="129" spans="1:5">
      <c r="A129" s="712">
        <v>17.066666666666666</v>
      </c>
      <c r="B129" s="126">
        <v>182</v>
      </c>
      <c r="C129" s="126">
        <v>0</v>
      </c>
      <c r="D129" s="126">
        <v>55</v>
      </c>
      <c r="E129" s="126">
        <v>182</v>
      </c>
    </row>
    <row r="130" spans="1:5">
      <c r="A130" s="712">
        <v>17.233333333333334</v>
      </c>
      <c r="B130" s="126"/>
      <c r="C130" s="126"/>
      <c r="D130" s="126"/>
      <c r="E130" s="126"/>
    </row>
    <row r="131" spans="1:5">
      <c r="A131" s="712">
        <v>17.533333333333335</v>
      </c>
      <c r="B131" s="126">
        <v>54</v>
      </c>
      <c r="C131" s="126">
        <v>0</v>
      </c>
      <c r="D131" s="126">
        <v>17</v>
      </c>
      <c r="E131" s="126">
        <v>54</v>
      </c>
    </row>
    <row r="132" spans="1:5">
      <c r="A132" s="712">
        <v>17.7</v>
      </c>
      <c r="B132" s="126">
        <v>544</v>
      </c>
      <c r="C132" s="126">
        <v>0</v>
      </c>
      <c r="D132" s="126">
        <v>160</v>
      </c>
      <c r="E132" s="126">
        <v>544</v>
      </c>
    </row>
    <row r="133" spans="1:5">
      <c r="A133" s="712">
        <v>17.733333333333334</v>
      </c>
      <c r="B133" s="126">
        <v>630</v>
      </c>
      <c r="C133" s="126">
        <v>0</v>
      </c>
      <c r="D133" s="126">
        <v>186</v>
      </c>
      <c r="E133" s="126">
        <v>630</v>
      </c>
    </row>
    <row r="134" spans="1:5">
      <c r="A134" s="712">
        <v>17.833333333333332</v>
      </c>
      <c r="B134" s="126">
        <v>338</v>
      </c>
      <c r="C134" s="126">
        <v>0</v>
      </c>
      <c r="D134" s="126">
        <v>110</v>
      </c>
      <c r="E134" s="126">
        <v>338</v>
      </c>
    </row>
    <row r="135" spans="1:5">
      <c r="A135" s="712">
        <v>20.733333333333334</v>
      </c>
      <c r="B135" s="126">
        <v>698</v>
      </c>
      <c r="C135" s="126">
        <v>250</v>
      </c>
      <c r="D135" s="126">
        <v>250</v>
      </c>
      <c r="E135" s="126">
        <v>698</v>
      </c>
    </row>
    <row r="136" spans="1:5">
      <c r="A136" s="712">
        <v>20.766666666666666</v>
      </c>
      <c r="B136" s="126">
        <v>170</v>
      </c>
      <c r="C136" s="126">
        <v>66</v>
      </c>
      <c r="D136" s="126">
        <v>66</v>
      </c>
      <c r="E136" s="126">
        <v>170</v>
      </c>
    </row>
    <row r="137" spans="1:5">
      <c r="A137" s="712">
        <v>20.8</v>
      </c>
      <c r="B137" s="126">
        <v>206</v>
      </c>
      <c r="C137" s="126">
        <v>66</v>
      </c>
      <c r="D137" s="126">
        <v>66</v>
      </c>
      <c r="E137" s="126">
        <v>206</v>
      </c>
    </row>
    <row r="138" spans="1:5">
      <c r="A138" s="712">
        <v>21.433333333333334</v>
      </c>
      <c r="B138" s="126">
        <v>2624</v>
      </c>
      <c r="C138" s="126">
        <v>1312</v>
      </c>
      <c r="D138" s="126">
        <v>1312</v>
      </c>
      <c r="E138" s="126">
        <v>2624</v>
      </c>
    </row>
    <row r="139" spans="1:5">
      <c r="A139" s="712">
        <v>21.5</v>
      </c>
      <c r="B139" s="126">
        <v>2020</v>
      </c>
      <c r="C139" s="126">
        <v>1010</v>
      </c>
      <c r="D139" s="126">
        <v>1010</v>
      </c>
      <c r="E139" s="126">
        <v>2020</v>
      </c>
    </row>
    <row r="140" spans="1:5">
      <c r="A140" s="712">
        <v>21.9</v>
      </c>
      <c r="B140" s="126">
        <v>4</v>
      </c>
      <c r="C140" s="126">
        <v>2</v>
      </c>
      <c r="D140" s="126">
        <v>2</v>
      </c>
      <c r="E140" s="126">
        <v>4</v>
      </c>
    </row>
    <row r="141" spans="1:5">
      <c r="A141" s="712">
        <v>22.333333333333332</v>
      </c>
      <c r="B141" s="126"/>
      <c r="C141" s="126"/>
      <c r="D141" s="126"/>
      <c r="E141" s="126"/>
    </row>
    <row r="142" spans="1:5">
      <c r="A142" s="712">
        <v>22.7</v>
      </c>
      <c r="B142" s="126"/>
      <c r="C142" s="126">
        <v>304</v>
      </c>
      <c r="D142" s="126"/>
      <c r="E142" s="126">
        <v>608</v>
      </c>
    </row>
    <row r="143" spans="1:5">
      <c r="A143" s="712">
        <v>23.933333333333334</v>
      </c>
      <c r="B143" s="126">
        <v>2</v>
      </c>
      <c r="C143" s="126">
        <v>1</v>
      </c>
      <c r="D143" s="126">
        <v>1</v>
      </c>
      <c r="E143" s="126">
        <v>2</v>
      </c>
    </row>
    <row r="144" spans="1:5">
      <c r="A144" s="712">
        <v>24.133333333333333</v>
      </c>
      <c r="B144" s="126">
        <v>4808</v>
      </c>
      <c r="C144" s="126">
        <v>2404</v>
      </c>
      <c r="D144" s="126">
        <v>2404</v>
      </c>
      <c r="E144" s="126">
        <v>4808</v>
      </c>
    </row>
    <row r="145" spans="1:5">
      <c r="A145" s="712">
        <v>26.4</v>
      </c>
      <c r="B145" s="126"/>
      <c r="C145" s="126">
        <v>2573</v>
      </c>
      <c r="D145" s="126"/>
      <c r="E145" s="126"/>
    </row>
    <row r="146" spans="1:5">
      <c r="A146" s="712">
        <v>27.433333333333334</v>
      </c>
      <c r="B146" s="126"/>
      <c r="C146" s="126">
        <v>6269</v>
      </c>
      <c r="D146" s="126"/>
      <c r="E146" s="126"/>
    </row>
    <row r="147" spans="1:5">
      <c r="A147" s="712">
        <v>28.4</v>
      </c>
      <c r="B147" s="126">
        <v>2</v>
      </c>
      <c r="C147" s="126"/>
      <c r="D147" s="126">
        <v>1</v>
      </c>
      <c r="E147" s="126">
        <v>2</v>
      </c>
    </row>
    <row r="148" spans="1:5">
      <c r="A148" s="712">
        <v>28.9</v>
      </c>
      <c r="B148" s="126">
        <v>807</v>
      </c>
      <c r="C148" s="126"/>
      <c r="D148" s="126">
        <v>700</v>
      </c>
      <c r="E148" s="126">
        <v>20</v>
      </c>
    </row>
    <row r="149" spans="1:5">
      <c r="A149" s="712">
        <v>28.933333333333334</v>
      </c>
      <c r="B149" s="126">
        <v>2008</v>
      </c>
      <c r="C149" s="126"/>
      <c r="D149" s="126">
        <v>294</v>
      </c>
      <c r="E149" s="126">
        <v>1988</v>
      </c>
    </row>
    <row r="150" spans="1:5">
      <c r="A150" s="712">
        <v>29.233333333333334</v>
      </c>
      <c r="B150" s="126">
        <v>10</v>
      </c>
      <c r="C150" s="126">
        <v>5</v>
      </c>
      <c r="D150" s="126">
        <v>5</v>
      </c>
      <c r="E150" s="126">
        <v>15</v>
      </c>
    </row>
    <row r="151" spans="1:5">
      <c r="A151" s="712">
        <v>29.366666666666667</v>
      </c>
      <c r="B151" s="126">
        <v>52</v>
      </c>
      <c r="C151" s="126">
        <v>25</v>
      </c>
      <c r="D151" s="126">
        <v>26</v>
      </c>
      <c r="E151" s="126">
        <v>77</v>
      </c>
    </row>
    <row r="152" spans="1:5">
      <c r="A152" s="712">
        <v>29.433333333333334</v>
      </c>
      <c r="B152" s="126">
        <v>800</v>
      </c>
      <c r="C152" s="126">
        <v>309</v>
      </c>
      <c r="D152" s="126">
        <v>400</v>
      </c>
      <c r="E152" s="126">
        <v>800</v>
      </c>
    </row>
    <row r="153" spans="1:5">
      <c r="A153" s="712">
        <v>30.033333333333335</v>
      </c>
      <c r="B153" s="126">
        <v>2773</v>
      </c>
      <c r="C153" s="126">
        <v>203</v>
      </c>
      <c r="D153" s="126">
        <v>983</v>
      </c>
      <c r="E153" s="126">
        <v>1966</v>
      </c>
    </row>
    <row r="154" spans="1:5">
      <c r="A154" s="712">
        <v>30.066666666666666</v>
      </c>
      <c r="B154" s="126">
        <v>743</v>
      </c>
      <c r="C154" s="126"/>
      <c r="D154" s="126"/>
      <c r="E154" s="126">
        <v>743</v>
      </c>
    </row>
    <row r="155" spans="1:5">
      <c r="A155" s="712">
        <v>30.3</v>
      </c>
      <c r="B155" s="126">
        <v>2400</v>
      </c>
      <c r="C155" s="126">
        <v>33</v>
      </c>
      <c r="D155" s="126">
        <v>1200</v>
      </c>
      <c r="E155" s="126">
        <v>2400</v>
      </c>
    </row>
    <row r="156" spans="1:5">
      <c r="A156" s="712">
        <v>30.833333333333332</v>
      </c>
      <c r="B156" s="126"/>
      <c r="C156" s="126"/>
      <c r="D156" s="126"/>
      <c r="E156" s="126"/>
    </row>
    <row r="157" spans="1:5">
      <c r="A157" s="712">
        <v>31</v>
      </c>
      <c r="B157" s="126"/>
      <c r="C157" s="126"/>
      <c r="D157" s="126"/>
      <c r="E157" s="126"/>
    </row>
    <row r="158" spans="1:5">
      <c r="A158" s="712">
        <v>31.033333333333335</v>
      </c>
      <c r="B158" s="126"/>
      <c r="C158" s="126"/>
      <c r="D158" s="126"/>
      <c r="E158" s="126"/>
    </row>
    <row r="159" spans="1:5">
      <c r="A159" s="712">
        <v>31.066666666666666</v>
      </c>
      <c r="B159" s="126">
        <v>28</v>
      </c>
      <c r="C159" s="126">
        <v>83</v>
      </c>
      <c r="D159" s="126">
        <v>14</v>
      </c>
      <c r="E159" s="126">
        <v>28</v>
      </c>
    </row>
    <row r="160" spans="1:5">
      <c r="A160" s="712">
        <v>31.466666666666665</v>
      </c>
      <c r="B160" s="126"/>
      <c r="C160" s="126"/>
      <c r="D160" s="126"/>
      <c r="E160" s="126"/>
    </row>
    <row r="161" spans="1:5">
      <c r="A161" s="712">
        <v>31.566666666666666</v>
      </c>
      <c r="B161" s="126"/>
      <c r="C161" s="126"/>
      <c r="D161" s="126"/>
      <c r="E161" s="126"/>
    </row>
    <row r="162" spans="1:5">
      <c r="A162" s="712">
        <v>31.766666666666666</v>
      </c>
      <c r="B162" s="126"/>
      <c r="C162" s="126"/>
      <c r="D162" s="126"/>
      <c r="E162" s="126"/>
    </row>
    <row r="163" spans="1:5">
      <c r="A163" s="712">
        <v>31.9</v>
      </c>
      <c r="B163" s="126"/>
      <c r="C163" s="126"/>
      <c r="D163" s="126"/>
      <c r="E163" s="126"/>
    </row>
    <row r="164" spans="1:5">
      <c r="A164" s="712">
        <v>31.933333333333334</v>
      </c>
      <c r="B164" s="126"/>
      <c r="C164" s="126"/>
      <c r="D164" s="126"/>
      <c r="E164" s="126"/>
    </row>
    <row r="165" spans="1:5">
      <c r="A165" s="712">
        <v>32.866666666666667</v>
      </c>
      <c r="B165" s="126">
        <v>42</v>
      </c>
      <c r="C165" s="126"/>
      <c r="D165" s="126">
        <v>21</v>
      </c>
      <c r="E165" s="126">
        <v>42</v>
      </c>
    </row>
    <row r="166" spans="1:5">
      <c r="A166" s="712">
        <v>32.9</v>
      </c>
      <c r="B166" s="126">
        <v>2658</v>
      </c>
      <c r="C166" s="126">
        <v>940</v>
      </c>
      <c r="D166" s="126">
        <v>940</v>
      </c>
      <c r="E166" s="126">
        <v>1880</v>
      </c>
    </row>
    <row r="167" spans="1:5">
      <c r="A167" s="712">
        <v>33.1</v>
      </c>
      <c r="B167" s="126">
        <v>62</v>
      </c>
      <c r="C167" s="126"/>
      <c r="D167" s="126">
        <v>31</v>
      </c>
      <c r="E167" s="126">
        <v>62</v>
      </c>
    </row>
    <row r="168" spans="1:5">
      <c r="A168" s="712">
        <v>33.633333333333333</v>
      </c>
      <c r="B168" s="126">
        <v>1652</v>
      </c>
      <c r="C168" s="126">
        <v>99</v>
      </c>
      <c r="D168" s="126">
        <v>826</v>
      </c>
      <c r="E168" s="126">
        <v>1652</v>
      </c>
    </row>
    <row r="169" spans="1:5">
      <c r="A169" s="712">
        <v>34.1</v>
      </c>
      <c r="B169" s="126">
        <v>0</v>
      </c>
      <c r="C169" s="126">
        <v>203</v>
      </c>
      <c r="D169" s="126"/>
      <c r="E169" s="126">
        <v>0</v>
      </c>
    </row>
    <row r="170" spans="1:5">
      <c r="A170" s="712">
        <v>34.266666666666666</v>
      </c>
      <c r="B170" s="126">
        <v>1598</v>
      </c>
      <c r="C170" s="126">
        <v>799</v>
      </c>
      <c r="D170" s="126">
        <v>799</v>
      </c>
      <c r="E170" s="126">
        <v>1598</v>
      </c>
    </row>
    <row r="171" spans="1:5">
      <c r="A171" s="712">
        <v>35.233333333333334</v>
      </c>
      <c r="B171" s="126">
        <v>668</v>
      </c>
      <c r="C171" s="126"/>
      <c r="D171" s="126">
        <v>334</v>
      </c>
      <c r="E171" s="126">
        <v>668</v>
      </c>
    </row>
    <row r="172" spans="1:5">
      <c r="A172" s="712">
        <v>35.266666666666666</v>
      </c>
      <c r="B172" s="126">
        <v>976</v>
      </c>
      <c r="C172" s="126">
        <v>1453</v>
      </c>
      <c r="D172" s="126">
        <v>488</v>
      </c>
      <c r="E172" s="126">
        <v>976</v>
      </c>
    </row>
    <row r="173" spans="1:5">
      <c r="A173" s="712">
        <v>35.366666666666667</v>
      </c>
      <c r="B173" s="126">
        <v>1788</v>
      </c>
      <c r="C173" s="126">
        <v>5</v>
      </c>
      <c r="D173" s="126">
        <v>894</v>
      </c>
      <c r="E173" s="126">
        <v>1788</v>
      </c>
    </row>
    <row r="174" spans="1:5">
      <c r="A174" s="712">
        <v>35.533333333333331</v>
      </c>
      <c r="B174" s="126">
        <v>2422</v>
      </c>
      <c r="C174" s="126">
        <v>1176</v>
      </c>
      <c r="D174" s="126">
        <v>1211</v>
      </c>
      <c r="E174" s="126">
        <v>2422</v>
      </c>
    </row>
    <row r="175" spans="1:5">
      <c r="A175" s="712">
        <v>35.700000000000003</v>
      </c>
      <c r="B175" s="126">
        <v>3090</v>
      </c>
      <c r="C175" s="126">
        <v>3090</v>
      </c>
      <c r="D175" s="126"/>
      <c r="E175" s="126">
        <v>3090</v>
      </c>
    </row>
    <row r="176" spans="1:5">
      <c r="A176" s="712">
        <v>36.633333333333333</v>
      </c>
      <c r="B176" s="126">
        <v>82</v>
      </c>
      <c r="C176" s="126">
        <v>1520</v>
      </c>
      <c r="D176" s="126">
        <v>41</v>
      </c>
      <c r="E176" s="126">
        <v>82</v>
      </c>
    </row>
    <row r="177" spans="1:5">
      <c r="A177" s="712">
        <v>36.666666666666664</v>
      </c>
      <c r="B177" s="126"/>
      <c r="C177" s="126">
        <v>1673</v>
      </c>
      <c r="D177" s="126"/>
      <c r="E177" s="126"/>
    </row>
    <row r="178" spans="1:5">
      <c r="A178" s="712">
        <v>36.700000000000003</v>
      </c>
      <c r="B178" s="126"/>
      <c r="C178" s="126">
        <v>332</v>
      </c>
      <c r="D178" s="126"/>
      <c r="E178" s="126"/>
    </row>
    <row r="179" spans="1:5">
      <c r="A179" s="712">
        <v>36.833333333333336</v>
      </c>
      <c r="B179" s="126"/>
      <c r="C179" s="126"/>
      <c r="D179" s="126"/>
      <c r="E179" s="126"/>
    </row>
    <row r="180" spans="1:5">
      <c r="A180" s="712">
        <v>36.866666666666667</v>
      </c>
      <c r="B180" s="126"/>
      <c r="C180" s="126"/>
      <c r="D180" s="126"/>
      <c r="E180" s="126"/>
    </row>
    <row r="181" spans="1:5">
      <c r="A181" s="712">
        <v>37.6</v>
      </c>
      <c r="B181" s="126"/>
      <c r="C181" s="126"/>
      <c r="D181" s="126"/>
      <c r="E181" s="126">
        <v>1</v>
      </c>
    </row>
    <row r="182" spans="1:5">
      <c r="A182" s="712">
        <v>37.633333333333333</v>
      </c>
      <c r="B182" s="126">
        <v>256</v>
      </c>
      <c r="C182" s="126">
        <v>128</v>
      </c>
      <c r="D182" s="126">
        <v>64</v>
      </c>
      <c r="E182" s="126">
        <v>128</v>
      </c>
    </row>
    <row r="183" spans="1:5">
      <c r="A183" s="712">
        <v>37.733333333333334</v>
      </c>
      <c r="B183" s="126"/>
      <c r="C183" s="126"/>
      <c r="D183" s="126"/>
      <c r="E183" s="126"/>
    </row>
    <row r="184" spans="1:5">
      <c r="A184" s="712">
        <v>37.799999999999997</v>
      </c>
      <c r="B184" s="126"/>
      <c r="C184" s="126"/>
      <c r="D184" s="126"/>
      <c r="E184" s="126"/>
    </row>
    <row r="185" spans="1:5">
      <c r="A185" s="712">
        <v>38.200000000000003</v>
      </c>
      <c r="B185" s="126"/>
      <c r="C185" s="126"/>
      <c r="D185" s="126"/>
      <c r="E185" s="126">
        <v>54</v>
      </c>
    </row>
    <row r="186" spans="1:5">
      <c r="A186" s="712">
        <v>38.266666666666666</v>
      </c>
      <c r="B186" s="126"/>
      <c r="C186" s="126"/>
      <c r="D186" s="126"/>
      <c r="E186" s="126">
        <v>90</v>
      </c>
    </row>
    <row r="187" spans="1:5">
      <c r="A187" s="712">
        <v>38.299999999999997</v>
      </c>
      <c r="B187" s="126"/>
      <c r="C187" s="126"/>
      <c r="D187" s="126"/>
      <c r="E187" s="126">
        <v>90</v>
      </c>
    </row>
    <row r="188" spans="1:5">
      <c r="A188" s="712">
        <v>38.43333333333333</v>
      </c>
      <c r="B188" s="126"/>
      <c r="C188" s="126"/>
      <c r="D188" s="126"/>
      <c r="E188" s="126">
        <v>90</v>
      </c>
    </row>
    <row r="189" spans="1:5">
      <c r="A189" s="712">
        <v>38.466666666666669</v>
      </c>
      <c r="B189" s="126"/>
      <c r="C189" s="126"/>
      <c r="D189" s="126"/>
      <c r="E189" s="126">
        <v>45</v>
      </c>
    </row>
    <row r="190" spans="1:5">
      <c r="A190" s="712">
        <v>38.5</v>
      </c>
      <c r="B190" s="126"/>
      <c r="C190" s="126"/>
      <c r="D190" s="126"/>
      <c r="E190" s="126">
        <v>45</v>
      </c>
    </row>
    <row r="191" spans="1:5">
      <c r="A191" s="712">
        <v>38.533333333333331</v>
      </c>
      <c r="B191" s="126"/>
      <c r="C191" s="126"/>
      <c r="D191" s="126"/>
      <c r="E191" s="126"/>
    </row>
    <row r="192" spans="1:5">
      <c r="A192" s="712">
        <v>39.166666666666664</v>
      </c>
      <c r="B192" s="126">
        <v>722</v>
      </c>
      <c r="C192" s="126">
        <v>294</v>
      </c>
      <c r="D192" s="126">
        <v>147</v>
      </c>
      <c r="E192" s="126">
        <v>294</v>
      </c>
    </row>
    <row r="193" spans="1:5">
      <c r="A193" s="712">
        <v>39.466666666666669</v>
      </c>
      <c r="B193" s="126">
        <v>34</v>
      </c>
      <c r="C193" s="126">
        <v>0</v>
      </c>
      <c r="D193" s="126"/>
      <c r="E193" s="126">
        <v>0</v>
      </c>
    </row>
    <row r="194" spans="1:5">
      <c r="A194" s="712">
        <v>39.533333333333331</v>
      </c>
      <c r="B194" s="126"/>
      <c r="C194" s="126"/>
      <c r="D194" s="126"/>
      <c r="E194" s="126">
        <v>33</v>
      </c>
    </row>
    <row r="195" spans="1:5">
      <c r="A195" s="712">
        <v>39.6</v>
      </c>
      <c r="B195" s="126">
        <v>258</v>
      </c>
      <c r="C195" s="126">
        <v>102</v>
      </c>
      <c r="D195" s="126">
        <v>51</v>
      </c>
      <c r="E195" s="126">
        <v>102</v>
      </c>
    </row>
    <row r="196" spans="1:5">
      <c r="A196" s="712">
        <v>39.666666666666664</v>
      </c>
      <c r="B196" s="126">
        <v>2271</v>
      </c>
      <c r="C196" s="126">
        <v>1100</v>
      </c>
      <c r="D196" s="126">
        <v>1050</v>
      </c>
      <c r="E196" s="126">
        <v>2100</v>
      </c>
    </row>
    <row r="197" spans="1:5">
      <c r="A197" s="712">
        <v>39.833333333333336</v>
      </c>
      <c r="B197" s="126">
        <v>82</v>
      </c>
      <c r="C197" s="126">
        <v>30</v>
      </c>
      <c r="D197" s="126">
        <v>15</v>
      </c>
      <c r="E197" s="126">
        <v>30</v>
      </c>
    </row>
    <row r="198" spans="1:5">
      <c r="A198" s="712">
        <v>39.866666666666667</v>
      </c>
      <c r="B198" s="126"/>
      <c r="C198" s="126"/>
      <c r="D198" s="126"/>
      <c r="E198" s="126"/>
    </row>
    <row r="199" spans="1:5">
      <c r="A199" s="712">
        <v>40.06666666666667</v>
      </c>
      <c r="B199" s="126"/>
      <c r="C199" s="126"/>
      <c r="D199" s="126"/>
      <c r="E199" s="126"/>
    </row>
    <row r="200" spans="1:5">
      <c r="A200" s="712">
        <v>40.1</v>
      </c>
      <c r="B200" s="126">
        <v>121</v>
      </c>
      <c r="C200" s="126">
        <v>40</v>
      </c>
      <c r="D200" s="126">
        <v>20</v>
      </c>
      <c r="E200" s="126">
        <v>40</v>
      </c>
    </row>
    <row r="201" spans="1:5">
      <c r="A201" s="712">
        <v>40.299999999999997</v>
      </c>
      <c r="B201" s="126"/>
      <c r="C201" s="126"/>
      <c r="D201" s="126"/>
      <c r="E201" s="126"/>
    </row>
    <row r="202" spans="1:5">
      <c r="A202" s="712">
        <v>40.533333333333331</v>
      </c>
      <c r="B202" s="126"/>
      <c r="C202" s="126"/>
      <c r="D202" s="126"/>
      <c r="E202" s="126"/>
    </row>
    <row r="203" spans="1:5">
      <c r="A203" s="712">
        <v>40.6</v>
      </c>
      <c r="B203" s="126"/>
      <c r="C203" s="126"/>
      <c r="D203" s="126"/>
      <c r="E203" s="126"/>
    </row>
    <row r="204" spans="1:5">
      <c r="A204" s="712">
        <v>40.799999999999997</v>
      </c>
      <c r="B204" s="126"/>
      <c r="C204" s="126"/>
      <c r="D204" s="126"/>
      <c r="E204" s="126"/>
    </row>
    <row r="205" spans="1:5">
      <c r="A205" s="712">
        <v>40.9</v>
      </c>
      <c r="B205" s="126"/>
      <c r="C205" s="126"/>
      <c r="D205" s="126"/>
      <c r="E205" s="126">
        <v>38</v>
      </c>
    </row>
    <row r="206" spans="1:5">
      <c r="A206" s="712">
        <v>41</v>
      </c>
      <c r="B206" s="126">
        <v>252</v>
      </c>
      <c r="C206" s="126">
        <v>126</v>
      </c>
      <c r="D206" s="126">
        <v>63</v>
      </c>
      <c r="E206" s="126">
        <v>176</v>
      </c>
    </row>
    <row r="207" spans="1:5">
      <c r="A207" s="712">
        <v>41.033333333333331</v>
      </c>
      <c r="B207" s="126"/>
      <c r="C207" s="126"/>
      <c r="D207" s="126"/>
      <c r="E207" s="126">
        <v>50</v>
      </c>
    </row>
    <row r="208" spans="1:5">
      <c r="A208" s="712">
        <v>41.266666666666666</v>
      </c>
      <c r="B208" s="126">
        <v>224</v>
      </c>
      <c r="C208" s="126">
        <v>112</v>
      </c>
      <c r="D208" s="126">
        <v>56</v>
      </c>
      <c r="E208" s="126">
        <v>157</v>
      </c>
    </row>
    <row r="209" spans="1:5">
      <c r="A209" s="712">
        <v>41.3</v>
      </c>
      <c r="B209" s="126"/>
      <c r="C209" s="126"/>
      <c r="D209" s="126"/>
      <c r="E209" s="126">
        <v>50</v>
      </c>
    </row>
    <row r="210" spans="1:5">
      <c r="A210" s="712">
        <v>41.366666666666667</v>
      </c>
      <c r="B210" s="126">
        <v>1271</v>
      </c>
      <c r="C210" s="126">
        <v>642</v>
      </c>
      <c r="D210" s="126">
        <v>321</v>
      </c>
      <c r="E210" s="126">
        <v>642</v>
      </c>
    </row>
    <row r="211" spans="1:5">
      <c r="A211" s="712">
        <v>41.56666666666667</v>
      </c>
      <c r="B211" s="126"/>
      <c r="C211" s="126"/>
      <c r="D211" s="126"/>
      <c r="E211" s="126"/>
    </row>
    <row r="212" spans="1:5">
      <c r="A212" s="712">
        <v>41.833333333333336</v>
      </c>
      <c r="B212" s="126"/>
      <c r="C212" s="126">
        <v>2860</v>
      </c>
      <c r="D212" s="126"/>
      <c r="E212" s="126"/>
    </row>
    <row r="213" spans="1:5">
      <c r="A213" s="712">
        <v>41.866666666666667</v>
      </c>
      <c r="B213" s="126"/>
      <c r="C213" s="126">
        <v>1180</v>
      </c>
      <c r="D213" s="126"/>
      <c r="E213" s="126"/>
    </row>
    <row r="214" spans="1:5">
      <c r="A214" s="712">
        <v>42.033333333333331</v>
      </c>
      <c r="B214" s="126">
        <v>334</v>
      </c>
      <c r="C214" s="126">
        <v>80</v>
      </c>
      <c r="D214" s="126">
        <v>80</v>
      </c>
      <c r="E214" s="126">
        <v>334</v>
      </c>
    </row>
    <row r="215" spans="1:5">
      <c r="A215" s="712">
        <v>42.06666666666667</v>
      </c>
      <c r="B215" s="126">
        <v>1038</v>
      </c>
      <c r="C215" s="126"/>
      <c r="D215" s="126"/>
      <c r="E215" s="126">
        <v>632</v>
      </c>
    </row>
    <row r="216" spans="1:5">
      <c r="A216" s="712">
        <v>42.1</v>
      </c>
      <c r="B216" s="126"/>
      <c r="C216" s="126"/>
      <c r="D216" s="126"/>
      <c r="E216" s="126">
        <v>60</v>
      </c>
    </row>
    <row r="217" spans="1:5">
      <c r="A217" s="712">
        <v>42.133333333333333</v>
      </c>
      <c r="B217" s="126">
        <v>612</v>
      </c>
      <c r="C217" s="126"/>
      <c r="D217" s="126">
        <v>86</v>
      </c>
      <c r="E217" s="126">
        <v>562</v>
      </c>
    </row>
    <row r="218" spans="1:5">
      <c r="A218" s="712">
        <v>42.166666666666664</v>
      </c>
      <c r="B218" s="126"/>
      <c r="C218" s="126"/>
      <c r="D218" s="126"/>
      <c r="E218" s="126">
        <v>55</v>
      </c>
    </row>
    <row r="219" spans="1:5">
      <c r="A219" s="712">
        <v>42.2</v>
      </c>
      <c r="B219" s="126">
        <v>1450</v>
      </c>
      <c r="C219" s="126"/>
      <c r="D219" s="126">
        <v>774</v>
      </c>
      <c r="E219" s="126">
        <v>1160</v>
      </c>
    </row>
    <row r="220" spans="1:5">
      <c r="A220" s="712">
        <v>42.233333333333334</v>
      </c>
      <c r="B220" s="126"/>
      <c r="C220" s="126"/>
      <c r="D220" s="126"/>
      <c r="E220" s="126">
        <v>50</v>
      </c>
    </row>
    <row r="221" spans="1:5">
      <c r="A221" s="712">
        <v>42.3</v>
      </c>
      <c r="B221" s="126">
        <v>996</v>
      </c>
      <c r="C221" s="126">
        <v>298</v>
      </c>
      <c r="D221" s="126">
        <v>498</v>
      </c>
      <c r="E221" s="126">
        <v>996</v>
      </c>
    </row>
    <row r="222" spans="1:5">
      <c r="A222" s="712">
        <v>42.466666666666669</v>
      </c>
      <c r="B222" s="126"/>
      <c r="C222" s="126"/>
      <c r="D222" s="126"/>
      <c r="E222" s="126">
        <v>50</v>
      </c>
    </row>
    <row r="223" spans="1:5">
      <c r="A223" s="712">
        <v>42.533333333333331</v>
      </c>
      <c r="B223" s="126"/>
      <c r="C223" s="126"/>
      <c r="D223" s="126"/>
      <c r="E223" s="126">
        <v>92</v>
      </c>
    </row>
    <row r="224" spans="1:5">
      <c r="A224" s="712">
        <v>42.633333333333333</v>
      </c>
      <c r="B224" s="126">
        <v>88</v>
      </c>
      <c r="C224" s="126">
        <v>1310</v>
      </c>
      <c r="D224" s="126">
        <v>90</v>
      </c>
      <c r="E224" s="126">
        <v>360</v>
      </c>
    </row>
    <row r="225" spans="1:5">
      <c r="A225" s="712">
        <v>42.93333333333333</v>
      </c>
      <c r="B225" s="126">
        <v>199</v>
      </c>
      <c r="C225" s="126">
        <v>509</v>
      </c>
      <c r="D225" s="126"/>
      <c r="E225" s="126">
        <v>172</v>
      </c>
    </row>
    <row r="226" spans="1:5">
      <c r="A226" s="712">
        <v>43</v>
      </c>
      <c r="B226" s="126">
        <v>2295</v>
      </c>
      <c r="C226" s="126">
        <v>1805</v>
      </c>
      <c r="D226" s="126">
        <v>2185</v>
      </c>
      <c r="E226" s="126">
        <v>3212</v>
      </c>
    </row>
    <row r="227" spans="1:5">
      <c r="A227" s="712">
        <v>43.533333333333331</v>
      </c>
      <c r="B227" s="126">
        <v>862</v>
      </c>
      <c r="C227" s="126">
        <v>500</v>
      </c>
      <c r="D227" s="126">
        <v>862</v>
      </c>
      <c r="E227" s="126">
        <v>862</v>
      </c>
    </row>
    <row r="228" spans="1:5">
      <c r="A228" s="712">
        <v>43.56666666666667</v>
      </c>
      <c r="B228" s="126"/>
      <c r="C228" s="126">
        <v>85</v>
      </c>
      <c r="D228" s="126"/>
      <c r="E228" s="126"/>
    </row>
    <row r="229" spans="1:5">
      <c r="A229" s="712">
        <v>43.6</v>
      </c>
      <c r="B229" s="126"/>
      <c r="C229" s="126">
        <v>146</v>
      </c>
      <c r="D229" s="126">
        <v>146</v>
      </c>
      <c r="E229" s="126"/>
    </row>
    <row r="230" spans="1:5">
      <c r="A230" s="712">
        <v>43.633333333333333</v>
      </c>
      <c r="B230" s="126"/>
      <c r="C230" s="126">
        <v>240</v>
      </c>
      <c r="D230" s="126"/>
      <c r="E230" s="126"/>
    </row>
    <row r="231" spans="1:5">
      <c r="A231" s="712">
        <v>44.43333333333333</v>
      </c>
      <c r="B231" s="126"/>
      <c r="C231" s="126">
        <v>187</v>
      </c>
      <c r="D231" s="126"/>
      <c r="E231" s="126"/>
    </row>
    <row r="232" spans="1:5">
      <c r="A232" s="712">
        <v>44.466666666666669</v>
      </c>
      <c r="B232" s="126"/>
      <c r="C232" s="126">
        <v>100</v>
      </c>
      <c r="D232" s="126"/>
      <c r="E232" s="126"/>
    </row>
    <row r="233" spans="1:5">
      <c r="A233" s="712">
        <v>45.43333333333333</v>
      </c>
      <c r="B233" s="126"/>
      <c r="C233" s="126">
        <v>55</v>
      </c>
      <c r="D233" s="126"/>
      <c r="E233" s="126"/>
    </row>
    <row r="234" spans="1:5">
      <c r="A234" s="712">
        <v>45.5</v>
      </c>
      <c r="B234" s="126"/>
      <c r="C234" s="126"/>
      <c r="D234" s="126"/>
      <c r="E234" s="126">
        <v>65</v>
      </c>
    </row>
    <row r="235" spans="1:5">
      <c r="A235" s="712">
        <v>45.633333333333333</v>
      </c>
      <c r="B235" s="126"/>
      <c r="C235" s="126"/>
      <c r="D235" s="126"/>
      <c r="E235" s="126">
        <v>60</v>
      </c>
    </row>
    <row r="236" spans="1:5">
      <c r="A236" s="712">
        <v>45.866666666666667</v>
      </c>
      <c r="B236" s="126"/>
      <c r="C236" s="126">
        <v>595</v>
      </c>
      <c r="D236" s="126">
        <v>40</v>
      </c>
      <c r="E236" s="126">
        <v>290</v>
      </c>
    </row>
    <row r="237" spans="1:5">
      <c r="A237" s="712">
        <v>45.93333333333333</v>
      </c>
      <c r="B237" s="126"/>
      <c r="C237" s="126">
        <v>805</v>
      </c>
      <c r="D237" s="126"/>
      <c r="E237" s="126"/>
    </row>
    <row r="238" spans="1:5">
      <c r="A238" s="712">
        <v>46.533333333333331</v>
      </c>
      <c r="B238" s="126"/>
      <c r="C238" s="126">
        <v>98</v>
      </c>
      <c r="D238" s="126"/>
      <c r="E238" s="126"/>
    </row>
    <row r="239" spans="1:5">
      <c r="A239" s="712">
        <v>46.733333333333334</v>
      </c>
      <c r="B239" s="126"/>
      <c r="C239" s="126">
        <v>472</v>
      </c>
      <c r="D239" s="126"/>
      <c r="E239" s="126"/>
    </row>
    <row r="240" spans="1:5">
      <c r="A240" s="712">
        <v>46.766666666666666</v>
      </c>
      <c r="B240" s="126"/>
      <c r="C240" s="126">
        <v>478</v>
      </c>
      <c r="D240" s="126"/>
      <c r="E240" s="126"/>
    </row>
    <row r="241" spans="1:5">
      <c r="A241" s="712">
        <v>47.033333333333331</v>
      </c>
      <c r="B241" s="126"/>
      <c r="C241" s="126">
        <v>117</v>
      </c>
      <c r="D241" s="126"/>
      <c r="E241" s="126"/>
    </row>
    <row r="242" spans="1:5">
      <c r="A242" s="712">
        <v>47.06666666666667</v>
      </c>
      <c r="B242" s="126"/>
      <c r="C242" s="126">
        <v>383</v>
      </c>
      <c r="D242" s="126"/>
      <c r="E242" s="126"/>
    </row>
    <row r="243" spans="1:5">
      <c r="A243" s="712">
        <v>47.1</v>
      </c>
      <c r="B243" s="126"/>
      <c r="C243" s="126">
        <v>572</v>
      </c>
      <c r="D243" s="126"/>
      <c r="E243" s="126"/>
    </row>
    <row r="244" spans="1:5">
      <c r="A244" s="712">
        <v>47.133333333333333</v>
      </c>
      <c r="B244" s="126"/>
      <c r="C244" s="126">
        <v>369</v>
      </c>
      <c r="D244" s="126"/>
      <c r="E244" s="126"/>
    </row>
    <row r="245" spans="1:5">
      <c r="A245" s="712">
        <v>47.166666666666664</v>
      </c>
      <c r="B245" s="126"/>
      <c r="C245" s="126">
        <v>630</v>
      </c>
      <c r="D245" s="126"/>
      <c r="E245" s="126"/>
    </row>
    <row r="246" spans="1:5">
      <c r="A246" s="712">
        <v>47.2</v>
      </c>
      <c r="B246" s="126"/>
      <c r="C246" s="126">
        <v>120</v>
      </c>
      <c r="D246" s="126"/>
      <c r="E246" s="126"/>
    </row>
    <row r="247" spans="1:5">
      <c r="A247" s="712">
        <v>47.233333333333334</v>
      </c>
      <c r="B247" s="126"/>
      <c r="C247" s="126">
        <v>350</v>
      </c>
      <c r="D247" s="126"/>
      <c r="E247" s="126"/>
    </row>
    <row r="248" spans="1:5">
      <c r="A248" s="712">
        <v>47.333333333333336</v>
      </c>
      <c r="B248" s="126"/>
      <c r="C248" s="126">
        <v>4</v>
      </c>
      <c r="D248" s="126"/>
      <c r="E248" s="126"/>
    </row>
    <row r="249" spans="1:5">
      <c r="A249" s="712">
        <v>47.366666666666667</v>
      </c>
      <c r="B249" s="126"/>
      <c r="C249" s="126">
        <v>492</v>
      </c>
      <c r="D249" s="126"/>
      <c r="E249" s="126"/>
    </row>
    <row r="250" spans="1:5">
      <c r="A250" s="712">
        <v>47.4</v>
      </c>
      <c r="B250" s="126"/>
      <c r="C250" s="126">
        <v>86</v>
      </c>
      <c r="D250" s="126"/>
      <c r="E250" s="126"/>
    </row>
    <row r="251" spans="1:5">
      <c r="A251" s="712">
        <v>47.43333333333333</v>
      </c>
      <c r="B251" s="126"/>
      <c r="C251" s="126">
        <v>194</v>
      </c>
      <c r="D251" s="126"/>
      <c r="E251" s="126"/>
    </row>
    <row r="252" spans="1:5">
      <c r="A252" s="712">
        <v>47.5</v>
      </c>
      <c r="B252" s="126"/>
      <c r="C252" s="126">
        <v>295</v>
      </c>
      <c r="D252" s="126"/>
      <c r="E252" s="126"/>
    </row>
    <row r="253" spans="1:5">
      <c r="A253" s="712">
        <v>47.56666666666667</v>
      </c>
      <c r="B253" s="126"/>
      <c r="C253" s="126">
        <v>749</v>
      </c>
      <c r="D253" s="126"/>
      <c r="E253" s="126"/>
    </row>
    <row r="254" spans="1:5">
      <c r="A254" s="712">
        <v>47.733333333333334</v>
      </c>
      <c r="B254" s="126"/>
      <c r="C254" s="126">
        <v>239</v>
      </c>
      <c r="D254" s="126"/>
      <c r="E254" s="126"/>
    </row>
    <row r="255" spans="1:5">
      <c r="A255" s="712">
        <v>47.766666666666666</v>
      </c>
      <c r="B255" s="126"/>
      <c r="C255" s="126">
        <v>431</v>
      </c>
      <c r="D255" s="126"/>
      <c r="E255" s="126"/>
    </row>
    <row r="256" spans="1:5">
      <c r="A256" s="712">
        <v>47.8</v>
      </c>
      <c r="B256" s="126"/>
      <c r="C256" s="126">
        <v>461</v>
      </c>
      <c r="D256" s="126"/>
      <c r="E256" s="126"/>
    </row>
    <row r="257" spans="1:5">
      <c r="A257" s="712">
        <v>47.833333333333336</v>
      </c>
      <c r="B257" s="126"/>
      <c r="C257" s="126">
        <v>331</v>
      </c>
      <c r="D257" s="126"/>
      <c r="E257" s="126"/>
    </row>
    <row r="258" spans="1:5">
      <c r="A258" s="712" t="s">
        <v>215</v>
      </c>
      <c r="B258" s="126">
        <v>75405</v>
      </c>
      <c r="C258" s="126">
        <v>60804</v>
      </c>
      <c r="D258" s="126">
        <v>33514</v>
      </c>
      <c r="E258" s="126">
        <v>73117</v>
      </c>
    </row>
  </sheetData>
  <mergeCells count="10">
    <mergeCell ref="A2:H2"/>
    <mergeCell ref="A3:H3"/>
    <mergeCell ref="A5:A6"/>
    <mergeCell ref="B5:B6"/>
    <mergeCell ref="C5:C6"/>
    <mergeCell ref="L20:O20"/>
    <mergeCell ref="A20:A21"/>
    <mergeCell ref="B20:B21"/>
    <mergeCell ref="C20:C21"/>
    <mergeCell ref="D20:G20"/>
  </mergeCells>
  <pageMargins left="0.23622047244094491" right="0.23622047244094491" top="0.15748031496062992" bottom="0.55118110236220474" header="0" footer="0"/>
  <pageSetup paperSize="9"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pageSetUpPr fitToPage="1"/>
  </sheetPr>
  <dimension ref="A1:BI101"/>
  <sheetViews>
    <sheetView showZeros="0" zoomScale="70" zoomScaleNormal="70" workbookViewId="0">
      <pane ySplit="3" topLeftCell="A4" activePane="bottomLeft" state="frozen"/>
      <selection activeCell="L12" sqref="L12"/>
      <selection pane="bottomLeft" activeCell="V25" sqref="V25"/>
    </sheetView>
  </sheetViews>
  <sheetFormatPr defaultColWidth="11.42578125" defaultRowHeight="15"/>
  <cols>
    <col min="1" max="1" width="3" style="100" customWidth="1"/>
    <col min="2" max="2" width="1.28515625" style="100" customWidth="1"/>
    <col min="3" max="3" width="2.7109375" style="46" customWidth="1"/>
    <col min="4" max="4" width="24.85546875" style="45" bestFit="1" customWidth="1"/>
    <col min="5" max="5" width="10.5703125" style="45" bestFit="1" customWidth="1"/>
    <col min="6" max="6" width="16.140625" style="45" customWidth="1"/>
    <col min="7" max="7" width="16" style="45" customWidth="1"/>
    <col min="8" max="8" width="14.7109375" style="45" customWidth="1"/>
    <col min="9" max="9" width="10.28515625" style="45" customWidth="1"/>
    <col min="10" max="10" width="10.5703125" style="45" customWidth="1"/>
    <col min="11" max="11" width="18.28515625" style="45" customWidth="1"/>
    <col min="12" max="12" width="15.42578125" style="45" customWidth="1"/>
    <col min="13" max="13" width="10.7109375" style="45" customWidth="1"/>
    <col min="14" max="14" width="11.85546875" style="45" customWidth="1"/>
    <col min="15" max="15" width="12.28515625" style="45" customWidth="1"/>
    <col min="16" max="16" width="16.28515625" style="45" customWidth="1"/>
    <col min="17" max="18" width="9.28515625" style="46" hidden="1" customWidth="1"/>
    <col min="19" max="19" width="25.85546875" style="46" hidden="1" customWidth="1"/>
    <col min="20" max="20" width="2.28515625" style="46" customWidth="1"/>
    <col min="21" max="28" width="11.42578125" style="46" customWidth="1"/>
    <col min="29" max="258" width="11.42578125" style="45"/>
    <col min="259" max="259" width="5.28515625" style="45" customWidth="1"/>
    <col min="260" max="260" width="15.28515625" style="45" customWidth="1"/>
    <col min="261" max="261" width="14.42578125" style="45" bestFit="1" customWidth="1"/>
    <col min="262" max="262" width="10.42578125" style="45" bestFit="1" customWidth="1"/>
    <col min="263" max="263" width="12.28515625" style="45" customWidth="1"/>
    <col min="264" max="268" width="11.42578125" style="45" customWidth="1"/>
    <col min="269" max="270" width="10.5703125" style="45" bestFit="1" customWidth="1"/>
    <col min="271" max="272" width="11.42578125" style="45" customWidth="1"/>
    <col min="273" max="273" width="6.140625" style="45" customWidth="1"/>
    <col min="274" max="284" width="11.42578125" style="45" customWidth="1"/>
    <col min="285" max="514" width="11.42578125" style="45"/>
    <col min="515" max="515" width="5.28515625" style="45" customWidth="1"/>
    <col min="516" max="516" width="15.28515625" style="45" customWidth="1"/>
    <col min="517" max="517" width="14.42578125" style="45" bestFit="1" customWidth="1"/>
    <col min="518" max="518" width="10.42578125" style="45" bestFit="1" customWidth="1"/>
    <col min="519" max="519" width="12.28515625" style="45" customWidth="1"/>
    <col min="520" max="524" width="11.42578125" style="45" customWidth="1"/>
    <col min="525" max="526" width="10.5703125" style="45" bestFit="1" customWidth="1"/>
    <col min="527" max="528" width="11.42578125" style="45" customWidth="1"/>
    <col min="529" max="529" width="6.140625" style="45" customWidth="1"/>
    <col min="530" max="540" width="11.42578125" style="45" customWidth="1"/>
    <col min="541" max="770" width="11.42578125" style="45"/>
    <col min="771" max="771" width="5.28515625" style="45" customWidth="1"/>
    <col min="772" max="772" width="15.28515625" style="45" customWidth="1"/>
    <col min="773" max="773" width="14.42578125" style="45" bestFit="1" customWidth="1"/>
    <col min="774" max="774" width="10.42578125" style="45" bestFit="1" customWidth="1"/>
    <col min="775" max="775" width="12.28515625" style="45" customWidth="1"/>
    <col min="776" max="780" width="11.42578125" style="45" customWidth="1"/>
    <col min="781" max="782" width="10.5703125" style="45" bestFit="1" customWidth="1"/>
    <col min="783" max="784" width="11.42578125" style="45" customWidth="1"/>
    <col min="785" max="785" width="6.140625" style="45" customWidth="1"/>
    <col min="786" max="796" width="11.42578125" style="45" customWidth="1"/>
    <col min="797" max="1026" width="11.42578125" style="45"/>
    <col min="1027" max="1027" width="5.28515625" style="45" customWidth="1"/>
    <col min="1028" max="1028" width="15.28515625" style="45" customWidth="1"/>
    <col min="1029" max="1029" width="14.42578125" style="45" bestFit="1" customWidth="1"/>
    <col min="1030" max="1030" width="10.42578125" style="45" bestFit="1" customWidth="1"/>
    <col min="1031" max="1031" width="12.28515625" style="45" customWidth="1"/>
    <col min="1032" max="1036" width="11.42578125" style="45" customWidth="1"/>
    <col min="1037" max="1038" width="10.5703125" style="45" bestFit="1" customWidth="1"/>
    <col min="1039" max="1040" width="11.42578125" style="45" customWidth="1"/>
    <col min="1041" max="1041" width="6.140625" style="45" customWidth="1"/>
    <col min="1042" max="1052" width="11.42578125" style="45" customWidth="1"/>
    <col min="1053" max="1282" width="11.42578125" style="45"/>
    <col min="1283" max="1283" width="5.28515625" style="45" customWidth="1"/>
    <col min="1284" max="1284" width="15.28515625" style="45" customWidth="1"/>
    <col min="1285" max="1285" width="14.42578125" style="45" bestFit="1" customWidth="1"/>
    <col min="1286" max="1286" width="10.42578125" style="45" bestFit="1" customWidth="1"/>
    <col min="1287" max="1287" width="12.28515625" style="45" customWidth="1"/>
    <col min="1288" max="1292" width="11.42578125" style="45" customWidth="1"/>
    <col min="1293" max="1294" width="10.5703125" style="45" bestFit="1" customWidth="1"/>
    <col min="1295" max="1296" width="11.42578125" style="45" customWidth="1"/>
    <col min="1297" max="1297" width="6.140625" style="45" customWidth="1"/>
    <col min="1298" max="1308" width="11.42578125" style="45" customWidth="1"/>
    <col min="1309" max="1538" width="11.42578125" style="45"/>
    <col min="1539" max="1539" width="5.28515625" style="45" customWidth="1"/>
    <col min="1540" max="1540" width="15.28515625" style="45" customWidth="1"/>
    <col min="1541" max="1541" width="14.42578125" style="45" bestFit="1" customWidth="1"/>
    <col min="1542" max="1542" width="10.42578125" style="45" bestFit="1" customWidth="1"/>
    <col min="1543" max="1543" width="12.28515625" style="45" customWidth="1"/>
    <col min="1544" max="1548" width="11.42578125" style="45" customWidth="1"/>
    <col min="1549" max="1550" width="10.5703125" style="45" bestFit="1" customWidth="1"/>
    <col min="1551" max="1552" width="11.42578125" style="45" customWidth="1"/>
    <col min="1553" max="1553" width="6.140625" style="45" customWidth="1"/>
    <col min="1554" max="1564" width="11.42578125" style="45" customWidth="1"/>
    <col min="1565" max="1794" width="11.42578125" style="45"/>
    <col min="1795" max="1795" width="5.28515625" style="45" customWidth="1"/>
    <col min="1796" max="1796" width="15.28515625" style="45" customWidth="1"/>
    <col min="1797" max="1797" width="14.42578125" style="45" bestFit="1" customWidth="1"/>
    <col min="1798" max="1798" width="10.42578125" style="45" bestFit="1" customWidth="1"/>
    <col min="1799" max="1799" width="12.28515625" style="45" customWidth="1"/>
    <col min="1800" max="1804" width="11.42578125" style="45" customWidth="1"/>
    <col min="1805" max="1806" width="10.5703125" style="45" bestFit="1" customWidth="1"/>
    <col min="1807" max="1808" width="11.42578125" style="45" customWidth="1"/>
    <col min="1809" max="1809" width="6.140625" style="45" customWidth="1"/>
    <col min="1810" max="1820" width="11.42578125" style="45" customWidth="1"/>
    <col min="1821" max="2050" width="11.42578125" style="45"/>
    <col min="2051" max="2051" width="5.28515625" style="45" customWidth="1"/>
    <col min="2052" max="2052" width="15.28515625" style="45" customWidth="1"/>
    <col min="2053" max="2053" width="14.42578125" style="45" bestFit="1" customWidth="1"/>
    <col min="2054" max="2054" width="10.42578125" style="45" bestFit="1" customWidth="1"/>
    <col min="2055" max="2055" width="12.28515625" style="45" customWidth="1"/>
    <col min="2056" max="2060" width="11.42578125" style="45" customWidth="1"/>
    <col min="2061" max="2062" width="10.5703125" style="45" bestFit="1" customWidth="1"/>
    <col min="2063" max="2064" width="11.42578125" style="45" customWidth="1"/>
    <col min="2065" max="2065" width="6.140625" style="45" customWidth="1"/>
    <col min="2066" max="2076" width="11.42578125" style="45" customWidth="1"/>
    <col min="2077" max="2306" width="11.42578125" style="45"/>
    <col min="2307" max="2307" width="5.28515625" style="45" customWidth="1"/>
    <col min="2308" max="2308" width="15.28515625" style="45" customWidth="1"/>
    <col min="2309" max="2309" width="14.42578125" style="45" bestFit="1" customWidth="1"/>
    <col min="2310" max="2310" width="10.42578125" style="45" bestFit="1" customWidth="1"/>
    <col min="2311" max="2311" width="12.28515625" style="45" customWidth="1"/>
    <col min="2312" max="2316" width="11.42578125" style="45" customWidth="1"/>
    <col min="2317" max="2318" width="10.5703125" style="45" bestFit="1" customWidth="1"/>
    <col min="2319" max="2320" width="11.42578125" style="45" customWidth="1"/>
    <col min="2321" max="2321" width="6.140625" style="45" customWidth="1"/>
    <col min="2322" max="2332" width="11.42578125" style="45" customWidth="1"/>
    <col min="2333" max="2562" width="11.42578125" style="45"/>
    <col min="2563" max="2563" width="5.28515625" style="45" customWidth="1"/>
    <col min="2564" max="2564" width="15.28515625" style="45" customWidth="1"/>
    <col min="2565" max="2565" width="14.42578125" style="45" bestFit="1" customWidth="1"/>
    <col min="2566" max="2566" width="10.42578125" style="45" bestFit="1" customWidth="1"/>
    <col min="2567" max="2567" width="12.28515625" style="45" customWidth="1"/>
    <col min="2568" max="2572" width="11.42578125" style="45" customWidth="1"/>
    <col min="2573" max="2574" width="10.5703125" style="45" bestFit="1" customWidth="1"/>
    <col min="2575" max="2576" width="11.42578125" style="45" customWidth="1"/>
    <col min="2577" max="2577" width="6.140625" style="45" customWidth="1"/>
    <col min="2578" max="2588" width="11.42578125" style="45" customWidth="1"/>
    <col min="2589" max="2818" width="11.42578125" style="45"/>
    <col min="2819" max="2819" width="5.28515625" style="45" customWidth="1"/>
    <col min="2820" max="2820" width="15.28515625" style="45" customWidth="1"/>
    <col min="2821" max="2821" width="14.42578125" style="45" bestFit="1" customWidth="1"/>
    <col min="2822" max="2822" width="10.42578125" style="45" bestFit="1" customWidth="1"/>
    <col min="2823" max="2823" width="12.28515625" style="45" customWidth="1"/>
    <col min="2824" max="2828" width="11.42578125" style="45" customWidth="1"/>
    <col min="2829" max="2830" width="10.5703125" style="45" bestFit="1" customWidth="1"/>
    <col min="2831" max="2832" width="11.42578125" style="45" customWidth="1"/>
    <col min="2833" max="2833" width="6.140625" style="45" customWidth="1"/>
    <col min="2834" max="2844" width="11.42578125" style="45" customWidth="1"/>
    <col min="2845" max="3074" width="11.42578125" style="45"/>
    <col min="3075" max="3075" width="5.28515625" style="45" customWidth="1"/>
    <col min="3076" max="3076" width="15.28515625" style="45" customWidth="1"/>
    <col min="3077" max="3077" width="14.42578125" style="45" bestFit="1" customWidth="1"/>
    <col min="3078" max="3078" width="10.42578125" style="45" bestFit="1" customWidth="1"/>
    <col min="3079" max="3079" width="12.28515625" style="45" customWidth="1"/>
    <col min="3080" max="3084" width="11.42578125" style="45" customWidth="1"/>
    <col min="3085" max="3086" width="10.5703125" style="45" bestFit="1" customWidth="1"/>
    <col min="3087" max="3088" width="11.42578125" style="45" customWidth="1"/>
    <col min="3089" max="3089" width="6.140625" style="45" customWidth="1"/>
    <col min="3090" max="3100" width="11.42578125" style="45" customWidth="1"/>
    <col min="3101" max="3330" width="11.42578125" style="45"/>
    <col min="3331" max="3331" width="5.28515625" style="45" customWidth="1"/>
    <col min="3332" max="3332" width="15.28515625" style="45" customWidth="1"/>
    <col min="3333" max="3333" width="14.42578125" style="45" bestFit="1" customWidth="1"/>
    <col min="3334" max="3334" width="10.42578125" style="45" bestFit="1" customWidth="1"/>
    <col min="3335" max="3335" width="12.28515625" style="45" customWidth="1"/>
    <col min="3336" max="3340" width="11.42578125" style="45" customWidth="1"/>
    <col min="3341" max="3342" width="10.5703125" style="45" bestFit="1" customWidth="1"/>
    <col min="3343" max="3344" width="11.42578125" style="45" customWidth="1"/>
    <col min="3345" max="3345" width="6.140625" style="45" customWidth="1"/>
    <col min="3346" max="3356" width="11.42578125" style="45" customWidth="1"/>
    <col min="3357" max="3586" width="11.42578125" style="45"/>
    <col min="3587" max="3587" width="5.28515625" style="45" customWidth="1"/>
    <col min="3588" max="3588" width="15.28515625" style="45" customWidth="1"/>
    <col min="3589" max="3589" width="14.42578125" style="45" bestFit="1" customWidth="1"/>
    <col min="3590" max="3590" width="10.42578125" style="45" bestFit="1" customWidth="1"/>
    <col min="3591" max="3591" width="12.28515625" style="45" customWidth="1"/>
    <col min="3592" max="3596" width="11.42578125" style="45" customWidth="1"/>
    <col min="3597" max="3598" width="10.5703125" style="45" bestFit="1" customWidth="1"/>
    <col min="3599" max="3600" width="11.42578125" style="45" customWidth="1"/>
    <col min="3601" max="3601" width="6.140625" style="45" customWidth="1"/>
    <col min="3602" max="3612" width="11.42578125" style="45" customWidth="1"/>
    <col min="3613" max="3842" width="11.42578125" style="45"/>
    <col min="3843" max="3843" width="5.28515625" style="45" customWidth="1"/>
    <col min="3844" max="3844" width="15.28515625" style="45" customWidth="1"/>
    <col min="3845" max="3845" width="14.42578125" style="45" bestFit="1" customWidth="1"/>
    <col min="3846" max="3846" width="10.42578125" style="45" bestFit="1" customWidth="1"/>
    <col min="3847" max="3847" width="12.28515625" style="45" customWidth="1"/>
    <col min="3848" max="3852" width="11.42578125" style="45" customWidth="1"/>
    <col min="3853" max="3854" width="10.5703125" style="45" bestFit="1" customWidth="1"/>
    <col min="3855" max="3856" width="11.42578125" style="45" customWidth="1"/>
    <col min="3857" max="3857" width="6.140625" style="45" customWidth="1"/>
    <col min="3858" max="3868" width="11.42578125" style="45" customWidth="1"/>
    <col min="3869" max="4098" width="11.42578125" style="45"/>
    <col min="4099" max="4099" width="5.28515625" style="45" customWidth="1"/>
    <col min="4100" max="4100" width="15.28515625" style="45" customWidth="1"/>
    <col min="4101" max="4101" width="14.42578125" style="45" bestFit="1" customWidth="1"/>
    <col min="4102" max="4102" width="10.42578125" style="45" bestFit="1" customWidth="1"/>
    <col min="4103" max="4103" width="12.28515625" style="45" customWidth="1"/>
    <col min="4104" max="4108" width="11.42578125" style="45" customWidth="1"/>
    <col min="4109" max="4110" width="10.5703125" style="45" bestFit="1" customWidth="1"/>
    <col min="4111" max="4112" width="11.42578125" style="45" customWidth="1"/>
    <col min="4113" max="4113" width="6.140625" style="45" customWidth="1"/>
    <col min="4114" max="4124" width="11.42578125" style="45" customWidth="1"/>
    <col min="4125" max="4354" width="11.42578125" style="45"/>
    <col min="4355" max="4355" width="5.28515625" style="45" customWidth="1"/>
    <col min="4356" max="4356" width="15.28515625" style="45" customWidth="1"/>
    <col min="4357" max="4357" width="14.42578125" style="45" bestFit="1" customWidth="1"/>
    <col min="4358" max="4358" width="10.42578125" style="45" bestFit="1" customWidth="1"/>
    <col min="4359" max="4359" width="12.28515625" style="45" customWidth="1"/>
    <col min="4360" max="4364" width="11.42578125" style="45" customWidth="1"/>
    <col min="4365" max="4366" width="10.5703125" style="45" bestFit="1" customWidth="1"/>
    <col min="4367" max="4368" width="11.42578125" style="45" customWidth="1"/>
    <col min="4369" max="4369" width="6.140625" style="45" customWidth="1"/>
    <col min="4370" max="4380" width="11.42578125" style="45" customWidth="1"/>
    <col min="4381" max="4610" width="11.42578125" style="45"/>
    <col min="4611" max="4611" width="5.28515625" style="45" customWidth="1"/>
    <col min="4612" max="4612" width="15.28515625" style="45" customWidth="1"/>
    <col min="4613" max="4613" width="14.42578125" style="45" bestFit="1" customWidth="1"/>
    <col min="4614" max="4614" width="10.42578125" style="45" bestFit="1" customWidth="1"/>
    <col min="4615" max="4615" width="12.28515625" style="45" customWidth="1"/>
    <col min="4616" max="4620" width="11.42578125" style="45" customWidth="1"/>
    <col min="4621" max="4622" width="10.5703125" style="45" bestFit="1" customWidth="1"/>
    <col min="4623" max="4624" width="11.42578125" style="45" customWidth="1"/>
    <col min="4625" max="4625" width="6.140625" style="45" customWidth="1"/>
    <col min="4626" max="4636" width="11.42578125" style="45" customWidth="1"/>
    <col min="4637" max="4866" width="11.42578125" style="45"/>
    <col min="4867" max="4867" width="5.28515625" style="45" customWidth="1"/>
    <col min="4868" max="4868" width="15.28515625" style="45" customWidth="1"/>
    <col min="4869" max="4869" width="14.42578125" style="45" bestFit="1" customWidth="1"/>
    <col min="4870" max="4870" width="10.42578125" style="45" bestFit="1" customWidth="1"/>
    <col min="4871" max="4871" width="12.28515625" style="45" customWidth="1"/>
    <col min="4872" max="4876" width="11.42578125" style="45" customWidth="1"/>
    <col min="4877" max="4878" width="10.5703125" style="45" bestFit="1" customWidth="1"/>
    <col min="4879" max="4880" width="11.42578125" style="45" customWidth="1"/>
    <col min="4881" max="4881" width="6.140625" style="45" customWidth="1"/>
    <col min="4882" max="4892" width="11.42578125" style="45" customWidth="1"/>
    <col min="4893" max="5122" width="11.42578125" style="45"/>
    <col min="5123" max="5123" width="5.28515625" style="45" customWidth="1"/>
    <col min="5124" max="5124" width="15.28515625" style="45" customWidth="1"/>
    <col min="5125" max="5125" width="14.42578125" style="45" bestFit="1" customWidth="1"/>
    <col min="5126" max="5126" width="10.42578125" style="45" bestFit="1" customWidth="1"/>
    <col min="5127" max="5127" width="12.28515625" style="45" customWidth="1"/>
    <col min="5128" max="5132" width="11.42578125" style="45" customWidth="1"/>
    <col min="5133" max="5134" width="10.5703125" style="45" bestFit="1" customWidth="1"/>
    <col min="5135" max="5136" width="11.42578125" style="45" customWidth="1"/>
    <col min="5137" max="5137" width="6.140625" style="45" customWidth="1"/>
    <col min="5138" max="5148" width="11.42578125" style="45" customWidth="1"/>
    <col min="5149" max="5378" width="11.42578125" style="45"/>
    <col min="5379" max="5379" width="5.28515625" style="45" customWidth="1"/>
    <col min="5380" max="5380" width="15.28515625" style="45" customWidth="1"/>
    <col min="5381" max="5381" width="14.42578125" style="45" bestFit="1" customWidth="1"/>
    <col min="5382" max="5382" width="10.42578125" style="45" bestFit="1" customWidth="1"/>
    <col min="5383" max="5383" width="12.28515625" style="45" customWidth="1"/>
    <col min="5384" max="5388" width="11.42578125" style="45" customWidth="1"/>
    <col min="5389" max="5390" width="10.5703125" style="45" bestFit="1" customWidth="1"/>
    <col min="5391" max="5392" width="11.42578125" style="45" customWidth="1"/>
    <col min="5393" max="5393" width="6.140625" style="45" customWidth="1"/>
    <col min="5394" max="5404" width="11.42578125" style="45" customWidth="1"/>
    <col min="5405" max="5634" width="11.42578125" style="45"/>
    <col min="5635" max="5635" width="5.28515625" style="45" customWidth="1"/>
    <col min="5636" max="5636" width="15.28515625" style="45" customWidth="1"/>
    <col min="5637" max="5637" width="14.42578125" style="45" bestFit="1" customWidth="1"/>
    <col min="5638" max="5638" width="10.42578125" style="45" bestFit="1" customWidth="1"/>
    <col min="5639" max="5639" width="12.28515625" style="45" customWidth="1"/>
    <col min="5640" max="5644" width="11.42578125" style="45" customWidth="1"/>
    <col min="5645" max="5646" width="10.5703125" style="45" bestFit="1" customWidth="1"/>
    <col min="5647" max="5648" width="11.42578125" style="45" customWidth="1"/>
    <col min="5649" max="5649" width="6.140625" style="45" customWidth="1"/>
    <col min="5650" max="5660" width="11.42578125" style="45" customWidth="1"/>
    <col min="5661" max="5890" width="11.42578125" style="45"/>
    <col min="5891" max="5891" width="5.28515625" style="45" customWidth="1"/>
    <col min="5892" max="5892" width="15.28515625" style="45" customWidth="1"/>
    <col min="5893" max="5893" width="14.42578125" style="45" bestFit="1" customWidth="1"/>
    <col min="5894" max="5894" width="10.42578125" style="45" bestFit="1" customWidth="1"/>
    <col min="5895" max="5895" width="12.28515625" style="45" customWidth="1"/>
    <col min="5896" max="5900" width="11.42578125" style="45" customWidth="1"/>
    <col min="5901" max="5902" width="10.5703125" style="45" bestFit="1" customWidth="1"/>
    <col min="5903" max="5904" width="11.42578125" style="45" customWidth="1"/>
    <col min="5905" max="5905" width="6.140625" style="45" customWidth="1"/>
    <col min="5906" max="5916" width="11.42578125" style="45" customWidth="1"/>
    <col min="5917" max="6146" width="11.42578125" style="45"/>
    <col min="6147" max="6147" width="5.28515625" style="45" customWidth="1"/>
    <col min="6148" max="6148" width="15.28515625" style="45" customWidth="1"/>
    <col min="6149" max="6149" width="14.42578125" style="45" bestFit="1" customWidth="1"/>
    <col min="6150" max="6150" width="10.42578125" style="45" bestFit="1" customWidth="1"/>
    <col min="6151" max="6151" width="12.28515625" style="45" customWidth="1"/>
    <col min="6152" max="6156" width="11.42578125" style="45" customWidth="1"/>
    <col min="6157" max="6158" width="10.5703125" style="45" bestFit="1" customWidth="1"/>
    <col min="6159" max="6160" width="11.42578125" style="45" customWidth="1"/>
    <col min="6161" max="6161" width="6.140625" style="45" customWidth="1"/>
    <col min="6162" max="6172" width="11.42578125" style="45" customWidth="1"/>
    <col min="6173" max="6402" width="11.42578125" style="45"/>
    <col min="6403" max="6403" width="5.28515625" style="45" customWidth="1"/>
    <col min="6404" max="6404" width="15.28515625" style="45" customWidth="1"/>
    <col min="6405" max="6405" width="14.42578125" style="45" bestFit="1" customWidth="1"/>
    <col min="6406" max="6406" width="10.42578125" style="45" bestFit="1" customWidth="1"/>
    <col min="6407" max="6407" width="12.28515625" style="45" customWidth="1"/>
    <col min="6408" max="6412" width="11.42578125" style="45" customWidth="1"/>
    <col min="6413" max="6414" width="10.5703125" style="45" bestFit="1" customWidth="1"/>
    <col min="6415" max="6416" width="11.42578125" style="45" customWidth="1"/>
    <col min="6417" max="6417" width="6.140625" style="45" customWidth="1"/>
    <col min="6418" max="6428" width="11.42578125" style="45" customWidth="1"/>
    <col min="6429" max="6658" width="11.42578125" style="45"/>
    <col min="6659" max="6659" width="5.28515625" style="45" customWidth="1"/>
    <col min="6660" max="6660" width="15.28515625" style="45" customWidth="1"/>
    <col min="6661" max="6661" width="14.42578125" style="45" bestFit="1" customWidth="1"/>
    <col min="6662" max="6662" width="10.42578125" style="45" bestFit="1" customWidth="1"/>
    <col min="6663" max="6663" width="12.28515625" style="45" customWidth="1"/>
    <col min="6664" max="6668" width="11.42578125" style="45" customWidth="1"/>
    <col min="6669" max="6670" width="10.5703125" style="45" bestFit="1" customWidth="1"/>
    <col min="6671" max="6672" width="11.42578125" style="45" customWidth="1"/>
    <col min="6673" max="6673" width="6.140625" style="45" customWidth="1"/>
    <col min="6674" max="6684" width="11.42578125" style="45" customWidth="1"/>
    <col min="6685" max="6914" width="11.42578125" style="45"/>
    <col min="6915" max="6915" width="5.28515625" style="45" customWidth="1"/>
    <col min="6916" max="6916" width="15.28515625" style="45" customWidth="1"/>
    <col min="6917" max="6917" width="14.42578125" style="45" bestFit="1" customWidth="1"/>
    <col min="6918" max="6918" width="10.42578125" style="45" bestFit="1" customWidth="1"/>
    <col min="6919" max="6919" width="12.28515625" style="45" customWidth="1"/>
    <col min="6920" max="6924" width="11.42578125" style="45" customWidth="1"/>
    <col min="6925" max="6926" width="10.5703125" style="45" bestFit="1" customWidth="1"/>
    <col min="6927" max="6928" width="11.42578125" style="45" customWidth="1"/>
    <col min="6929" max="6929" width="6.140625" style="45" customWidth="1"/>
    <col min="6930" max="6940" width="11.42578125" style="45" customWidth="1"/>
    <col min="6941" max="7170" width="11.42578125" style="45"/>
    <col min="7171" max="7171" width="5.28515625" style="45" customWidth="1"/>
    <col min="7172" max="7172" width="15.28515625" style="45" customWidth="1"/>
    <col min="7173" max="7173" width="14.42578125" style="45" bestFit="1" customWidth="1"/>
    <col min="7174" max="7174" width="10.42578125" style="45" bestFit="1" customWidth="1"/>
    <col min="7175" max="7175" width="12.28515625" style="45" customWidth="1"/>
    <col min="7176" max="7180" width="11.42578125" style="45" customWidth="1"/>
    <col min="7181" max="7182" width="10.5703125" style="45" bestFit="1" customWidth="1"/>
    <col min="7183" max="7184" width="11.42578125" style="45" customWidth="1"/>
    <col min="7185" max="7185" width="6.140625" style="45" customWidth="1"/>
    <col min="7186" max="7196" width="11.42578125" style="45" customWidth="1"/>
    <col min="7197" max="7426" width="11.42578125" style="45"/>
    <col min="7427" max="7427" width="5.28515625" style="45" customWidth="1"/>
    <col min="7428" max="7428" width="15.28515625" style="45" customWidth="1"/>
    <col min="7429" max="7429" width="14.42578125" style="45" bestFit="1" customWidth="1"/>
    <col min="7430" max="7430" width="10.42578125" style="45" bestFit="1" customWidth="1"/>
    <col min="7431" max="7431" width="12.28515625" style="45" customWidth="1"/>
    <col min="7432" max="7436" width="11.42578125" style="45" customWidth="1"/>
    <col min="7437" max="7438" width="10.5703125" style="45" bestFit="1" customWidth="1"/>
    <col min="7439" max="7440" width="11.42578125" style="45" customWidth="1"/>
    <col min="7441" max="7441" width="6.140625" style="45" customWidth="1"/>
    <col min="7442" max="7452" width="11.42578125" style="45" customWidth="1"/>
    <col min="7453" max="7682" width="11.42578125" style="45"/>
    <col min="7683" max="7683" width="5.28515625" style="45" customWidth="1"/>
    <col min="7684" max="7684" width="15.28515625" style="45" customWidth="1"/>
    <col min="7685" max="7685" width="14.42578125" style="45" bestFit="1" customWidth="1"/>
    <col min="7686" max="7686" width="10.42578125" style="45" bestFit="1" customWidth="1"/>
    <col min="7687" max="7687" width="12.28515625" style="45" customWidth="1"/>
    <col min="7688" max="7692" width="11.42578125" style="45" customWidth="1"/>
    <col min="7693" max="7694" width="10.5703125" style="45" bestFit="1" customWidth="1"/>
    <col min="7695" max="7696" width="11.42578125" style="45" customWidth="1"/>
    <col min="7697" max="7697" width="6.140625" style="45" customWidth="1"/>
    <col min="7698" max="7708" width="11.42578125" style="45" customWidth="1"/>
    <col min="7709" max="7938" width="11.42578125" style="45"/>
    <col min="7939" max="7939" width="5.28515625" style="45" customWidth="1"/>
    <col min="7940" max="7940" width="15.28515625" style="45" customWidth="1"/>
    <col min="7941" max="7941" width="14.42578125" style="45" bestFit="1" customWidth="1"/>
    <col min="7942" max="7942" width="10.42578125" style="45" bestFit="1" customWidth="1"/>
    <col min="7943" max="7943" width="12.28515625" style="45" customWidth="1"/>
    <col min="7944" max="7948" width="11.42578125" style="45" customWidth="1"/>
    <col min="7949" max="7950" width="10.5703125" style="45" bestFit="1" customWidth="1"/>
    <col min="7951" max="7952" width="11.42578125" style="45" customWidth="1"/>
    <col min="7953" max="7953" width="6.140625" style="45" customWidth="1"/>
    <col min="7954" max="7964" width="11.42578125" style="45" customWidth="1"/>
    <col min="7965" max="8194" width="11.42578125" style="45"/>
    <col min="8195" max="8195" width="5.28515625" style="45" customWidth="1"/>
    <col min="8196" max="8196" width="15.28515625" style="45" customWidth="1"/>
    <col min="8197" max="8197" width="14.42578125" style="45" bestFit="1" customWidth="1"/>
    <col min="8198" max="8198" width="10.42578125" style="45" bestFit="1" customWidth="1"/>
    <col min="8199" max="8199" width="12.28515625" style="45" customWidth="1"/>
    <col min="8200" max="8204" width="11.42578125" style="45" customWidth="1"/>
    <col min="8205" max="8206" width="10.5703125" style="45" bestFit="1" customWidth="1"/>
    <col min="8207" max="8208" width="11.42578125" style="45" customWidth="1"/>
    <col min="8209" max="8209" width="6.140625" style="45" customWidth="1"/>
    <col min="8210" max="8220" width="11.42578125" style="45" customWidth="1"/>
    <col min="8221" max="8450" width="11.42578125" style="45"/>
    <col min="8451" max="8451" width="5.28515625" style="45" customWidth="1"/>
    <col min="8452" max="8452" width="15.28515625" style="45" customWidth="1"/>
    <col min="8453" max="8453" width="14.42578125" style="45" bestFit="1" customWidth="1"/>
    <col min="8454" max="8454" width="10.42578125" style="45" bestFit="1" customWidth="1"/>
    <col min="8455" max="8455" width="12.28515625" style="45" customWidth="1"/>
    <col min="8456" max="8460" width="11.42578125" style="45" customWidth="1"/>
    <col min="8461" max="8462" width="10.5703125" style="45" bestFit="1" customWidth="1"/>
    <col min="8463" max="8464" width="11.42578125" style="45" customWidth="1"/>
    <col min="8465" max="8465" width="6.140625" style="45" customWidth="1"/>
    <col min="8466" max="8476" width="11.42578125" style="45" customWidth="1"/>
    <col min="8477" max="8706" width="11.42578125" style="45"/>
    <col min="8707" max="8707" width="5.28515625" style="45" customWidth="1"/>
    <col min="8708" max="8708" width="15.28515625" style="45" customWidth="1"/>
    <col min="8709" max="8709" width="14.42578125" style="45" bestFit="1" customWidth="1"/>
    <col min="8710" max="8710" width="10.42578125" style="45" bestFit="1" customWidth="1"/>
    <col min="8711" max="8711" width="12.28515625" style="45" customWidth="1"/>
    <col min="8712" max="8716" width="11.42578125" style="45" customWidth="1"/>
    <col min="8717" max="8718" width="10.5703125" style="45" bestFit="1" customWidth="1"/>
    <col min="8719" max="8720" width="11.42578125" style="45" customWidth="1"/>
    <col min="8721" max="8721" width="6.140625" style="45" customWidth="1"/>
    <col min="8722" max="8732" width="11.42578125" style="45" customWidth="1"/>
    <col min="8733" max="8962" width="11.42578125" style="45"/>
    <col min="8963" max="8963" width="5.28515625" style="45" customWidth="1"/>
    <col min="8964" max="8964" width="15.28515625" style="45" customWidth="1"/>
    <col min="8965" max="8965" width="14.42578125" style="45" bestFit="1" customWidth="1"/>
    <col min="8966" max="8966" width="10.42578125" style="45" bestFit="1" customWidth="1"/>
    <col min="8967" max="8967" width="12.28515625" style="45" customWidth="1"/>
    <col min="8968" max="8972" width="11.42578125" style="45" customWidth="1"/>
    <col min="8973" max="8974" width="10.5703125" style="45" bestFit="1" customWidth="1"/>
    <col min="8975" max="8976" width="11.42578125" style="45" customWidth="1"/>
    <col min="8977" max="8977" width="6.140625" style="45" customWidth="1"/>
    <col min="8978" max="8988" width="11.42578125" style="45" customWidth="1"/>
    <col min="8989" max="9218" width="11.42578125" style="45"/>
    <col min="9219" max="9219" width="5.28515625" style="45" customWidth="1"/>
    <col min="9220" max="9220" width="15.28515625" style="45" customWidth="1"/>
    <col min="9221" max="9221" width="14.42578125" style="45" bestFit="1" customWidth="1"/>
    <col min="9222" max="9222" width="10.42578125" style="45" bestFit="1" customWidth="1"/>
    <col min="9223" max="9223" width="12.28515625" style="45" customWidth="1"/>
    <col min="9224" max="9228" width="11.42578125" style="45" customWidth="1"/>
    <col min="9229" max="9230" width="10.5703125" style="45" bestFit="1" customWidth="1"/>
    <col min="9231" max="9232" width="11.42578125" style="45" customWidth="1"/>
    <col min="9233" max="9233" width="6.140625" style="45" customWidth="1"/>
    <col min="9234" max="9244" width="11.42578125" style="45" customWidth="1"/>
    <col min="9245" max="9474" width="11.42578125" style="45"/>
    <col min="9475" max="9475" width="5.28515625" style="45" customWidth="1"/>
    <col min="9476" max="9476" width="15.28515625" style="45" customWidth="1"/>
    <col min="9477" max="9477" width="14.42578125" style="45" bestFit="1" customWidth="1"/>
    <col min="9478" max="9478" width="10.42578125" style="45" bestFit="1" customWidth="1"/>
    <col min="9479" max="9479" width="12.28515625" style="45" customWidth="1"/>
    <col min="9480" max="9484" width="11.42578125" style="45" customWidth="1"/>
    <col min="9485" max="9486" width="10.5703125" style="45" bestFit="1" customWidth="1"/>
    <col min="9487" max="9488" width="11.42578125" style="45" customWidth="1"/>
    <col min="9489" max="9489" width="6.140625" style="45" customWidth="1"/>
    <col min="9490" max="9500" width="11.42578125" style="45" customWidth="1"/>
    <col min="9501" max="9730" width="11.42578125" style="45"/>
    <col min="9731" max="9731" width="5.28515625" style="45" customWidth="1"/>
    <col min="9732" max="9732" width="15.28515625" style="45" customWidth="1"/>
    <col min="9733" max="9733" width="14.42578125" style="45" bestFit="1" customWidth="1"/>
    <col min="9734" max="9734" width="10.42578125" style="45" bestFit="1" customWidth="1"/>
    <col min="9735" max="9735" width="12.28515625" style="45" customWidth="1"/>
    <col min="9736" max="9740" width="11.42578125" style="45" customWidth="1"/>
    <col min="9741" max="9742" width="10.5703125" style="45" bestFit="1" customWidth="1"/>
    <col min="9743" max="9744" width="11.42578125" style="45" customWidth="1"/>
    <col min="9745" max="9745" width="6.140625" style="45" customWidth="1"/>
    <col min="9746" max="9756" width="11.42578125" style="45" customWidth="1"/>
    <col min="9757" max="9986" width="11.42578125" style="45"/>
    <col min="9987" max="9987" width="5.28515625" style="45" customWidth="1"/>
    <col min="9988" max="9988" width="15.28515625" style="45" customWidth="1"/>
    <col min="9989" max="9989" width="14.42578125" style="45" bestFit="1" customWidth="1"/>
    <col min="9990" max="9990" width="10.42578125" style="45" bestFit="1" customWidth="1"/>
    <col min="9991" max="9991" width="12.28515625" style="45" customWidth="1"/>
    <col min="9992" max="9996" width="11.42578125" style="45" customWidth="1"/>
    <col min="9997" max="9998" width="10.5703125" style="45" bestFit="1" customWidth="1"/>
    <col min="9999" max="10000" width="11.42578125" style="45" customWidth="1"/>
    <col min="10001" max="10001" width="6.140625" style="45" customWidth="1"/>
    <col min="10002" max="10012" width="11.42578125" style="45" customWidth="1"/>
    <col min="10013" max="10242" width="11.42578125" style="45"/>
    <col min="10243" max="10243" width="5.28515625" style="45" customWidth="1"/>
    <col min="10244" max="10244" width="15.28515625" style="45" customWidth="1"/>
    <col min="10245" max="10245" width="14.42578125" style="45" bestFit="1" customWidth="1"/>
    <col min="10246" max="10246" width="10.42578125" style="45" bestFit="1" customWidth="1"/>
    <col min="10247" max="10247" width="12.28515625" style="45" customWidth="1"/>
    <col min="10248" max="10252" width="11.42578125" style="45" customWidth="1"/>
    <col min="10253" max="10254" width="10.5703125" style="45" bestFit="1" customWidth="1"/>
    <col min="10255" max="10256" width="11.42578125" style="45" customWidth="1"/>
    <col min="10257" max="10257" width="6.140625" style="45" customWidth="1"/>
    <col min="10258" max="10268" width="11.42578125" style="45" customWidth="1"/>
    <col min="10269" max="10498" width="11.42578125" style="45"/>
    <col min="10499" max="10499" width="5.28515625" style="45" customWidth="1"/>
    <col min="10500" max="10500" width="15.28515625" style="45" customWidth="1"/>
    <col min="10501" max="10501" width="14.42578125" style="45" bestFit="1" customWidth="1"/>
    <col min="10502" max="10502" width="10.42578125" style="45" bestFit="1" customWidth="1"/>
    <col min="10503" max="10503" width="12.28515625" style="45" customWidth="1"/>
    <col min="10504" max="10508" width="11.42578125" style="45" customWidth="1"/>
    <col min="10509" max="10510" width="10.5703125" style="45" bestFit="1" customWidth="1"/>
    <col min="10511" max="10512" width="11.42578125" style="45" customWidth="1"/>
    <col min="10513" max="10513" width="6.140625" style="45" customWidth="1"/>
    <col min="10514" max="10524" width="11.42578125" style="45" customWidth="1"/>
    <col min="10525" max="10754" width="11.42578125" style="45"/>
    <col min="10755" max="10755" width="5.28515625" style="45" customWidth="1"/>
    <col min="10756" max="10756" width="15.28515625" style="45" customWidth="1"/>
    <col min="10757" max="10757" width="14.42578125" style="45" bestFit="1" customWidth="1"/>
    <col min="10758" max="10758" width="10.42578125" style="45" bestFit="1" customWidth="1"/>
    <col min="10759" max="10759" width="12.28515625" style="45" customWidth="1"/>
    <col min="10760" max="10764" width="11.42578125" style="45" customWidth="1"/>
    <col min="10765" max="10766" width="10.5703125" style="45" bestFit="1" customWidth="1"/>
    <col min="10767" max="10768" width="11.42578125" style="45" customWidth="1"/>
    <col min="10769" max="10769" width="6.140625" style="45" customWidth="1"/>
    <col min="10770" max="10780" width="11.42578125" style="45" customWidth="1"/>
    <col min="10781" max="11010" width="11.42578125" style="45"/>
    <col min="11011" max="11011" width="5.28515625" style="45" customWidth="1"/>
    <col min="11012" max="11012" width="15.28515625" style="45" customWidth="1"/>
    <col min="11013" max="11013" width="14.42578125" style="45" bestFit="1" customWidth="1"/>
    <col min="11014" max="11014" width="10.42578125" style="45" bestFit="1" customWidth="1"/>
    <col min="11015" max="11015" width="12.28515625" style="45" customWidth="1"/>
    <col min="11016" max="11020" width="11.42578125" style="45" customWidth="1"/>
    <col min="11021" max="11022" width="10.5703125" style="45" bestFit="1" customWidth="1"/>
    <col min="11023" max="11024" width="11.42578125" style="45" customWidth="1"/>
    <col min="11025" max="11025" width="6.140625" style="45" customWidth="1"/>
    <col min="11026" max="11036" width="11.42578125" style="45" customWidth="1"/>
    <col min="11037" max="11266" width="11.42578125" style="45"/>
    <col min="11267" max="11267" width="5.28515625" style="45" customWidth="1"/>
    <col min="11268" max="11268" width="15.28515625" style="45" customWidth="1"/>
    <col min="11269" max="11269" width="14.42578125" style="45" bestFit="1" customWidth="1"/>
    <col min="11270" max="11270" width="10.42578125" style="45" bestFit="1" customWidth="1"/>
    <col min="11271" max="11271" width="12.28515625" style="45" customWidth="1"/>
    <col min="11272" max="11276" width="11.42578125" style="45" customWidth="1"/>
    <col min="11277" max="11278" width="10.5703125" style="45" bestFit="1" customWidth="1"/>
    <col min="11279" max="11280" width="11.42578125" style="45" customWidth="1"/>
    <col min="11281" max="11281" width="6.140625" style="45" customWidth="1"/>
    <col min="11282" max="11292" width="11.42578125" style="45" customWidth="1"/>
    <col min="11293" max="11522" width="11.42578125" style="45"/>
    <col min="11523" max="11523" width="5.28515625" style="45" customWidth="1"/>
    <col min="11524" max="11524" width="15.28515625" style="45" customWidth="1"/>
    <col min="11525" max="11525" width="14.42578125" style="45" bestFit="1" customWidth="1"/>
    <col min="11526" max="11526" width="10.42578125" style="45" bestFit="1" customWidth="1"/>
    <col min="11527" max="11527" width="12.28515625" style="45" customWidth="1"/>
    <col min="11528" max="11532" width="11.42578125" style="45" customWidth="1"/>
    <col min="11533" max="11534" width="10.5703125" style="45" bestFit="1" customWidth="1"/>
    <col min="11535" max="11536" width="11.42578125" style="45" customWidth="1"/>
    <col min="11537" max="11537" width="6.140625" style="45" customWidth="1"/>
    <col min="11538" max="11548" width="11.42578125" style="45" customWidth="1"/>
    <col min="11549" max="11778" width="11.42578125" style="45"/>
    <col min="11779" max="11779" width="5.28515625" style="45" customWidth="1"/>
    <col min="11780" max="11780" width="15.28515625" style="45" customWidth="1"/>
    <col min="11781" max="11781" width="14.42578125" style="45" bestFit="1" customWidth="1"/>
    <col min="11782" max="11782" width="10.42578125" style="45" bestFit="1" customWidth="1"/>
    <col min="11783" max="11783" width="12.28515625" style="45" customWidth="1"/>
    <col min="11784" max="11788" width="11.42578125" style="45" customWidth="1"/>
    <col min="11789" max="11790" width="10.5703125" style="45" bestFit="1" customWidth="1"/>
    <col min="11791" max="11792" width="11.42578125" style="45" customWidth="1"/>
    <col min="11793" max="11793" width="6.140625" style="45" customWidth="1"/>
    <col min="11794" max="11804" width="11.42578125" style="45" customWidth="1"/>
    <col min="11805" max="12034" width="11.42578125" style="45"/>
    <col min="12035" max="12035" width="5.28515625" style="45" customWidth="1"/>
    <col min="12036" max="12036" width="15.28515625" style="45" customWidth="1"/>
    <col min="12037" max="12037" width="14.42578125" style="45" bestFit="1" customWidth="1"/>
    <col min="12038" max="12038" width="10.42578125" style="45" bestFit="1" customWidth="1"/>
    <col min="12039" max="12039" width="12.28515625" style="45" customWidth="1"/>
    <col min="12040" max="12044" width="11.42578125" style="45" customWidth="1"/>
    <col min="12045" max="12046" width="10.5703125" style="45" bestFit="1" customWidth="1"/>
    <col min="12047" max="12048" width="11.42578125" style="45" customWidth="1"/>
    <col min="12049" max="12049" width="6.140625" style="45" customWidth="1"/>
    <col min="12050" max="12060" width="11.42578125" style="45" customWidth="1"/>
    <col min="12061" max="12290" width="11.42578125" style="45"/>
    <col min="12291" max="12291" width="5.28515625" style="45" customWidth="1"/>
    <col min="12292" max="12292" width="15.28515625" style="45" customWidth="1"/>
    <col min="12293" max="12293" width="14.42578125" style="45" bestFit="1" customWidth="1"/>
    <col min="12294" max="12294" width="10.42578125" style="45" bestFit="1" customWidth="1"/>
    <col min="12295" max="12295" width="12.28515625" style="45" customWidth="1"/>
    <col min="12296" max="12300" width="11.42578125" style="45" customWidth="1"/>
    <col min="12301" max="12302" width="10.5703125" style="45" bestFit="1" customWidth="1"/>
    <col min="12303" max="12304" width="11.42578125" style="45" customWidth="1"/>
    <col min="12305" max="12305" width="6.140625" style="45" customWidth="1"/>
    <col min="12306" max="12316" width="11.42578125" style="45" customWidth="1"/>
    <col min="12317" max="12546" width="11.42578125" style="45"/>
    <col min="12547" max="12547" width="5.28515625" style="45" customWidth="1"/>
    <col min="12548" max="12548" width="15.28515625" style="45" customWidth="1"/>
    <col min="12549" max="12549" width="14.42578125" style="45" bestFit="1" customWidth="1"/>
    <col min="12550" max="12550" width="10.42578125" style="45" bestFit="1" customWidth="1"/>
    <col min="12551" max="12551" width="12.28515625" style="45" customWidth="1"/>
    <col min="12552" max="12556" width="11.42578125" style="45" customWidth="1"/>
    <col min="12557" max="12558" width="10.5703125" style="45" bestFit="1" customWidth="1"/>
    <col min="12559" max="12560" width="11.42578125" style="45" customWidth="1"/>
    <col min="12561" max="12561" width="6.140625" style="45" customWidth="1"/>
    <col min="12562" max="12572" width="11.42578125" style="45" customWidth="1"/>
    <col min="12573" max="12802" width="11.42578125" style="45"/>
    <col min="12803" max="12803" width="5.28515625" style="45" customWidth="1"/>
    <col min="12804" max="12804" width="15.28515625" style="45" customWidth="1"/>
    <col min="12805" max="12805" width="14.42578125" style="45" bestFit="1" customWidth="1"/>
    <col min="12806" max="12806" width="10.42578125" style="45" bestFit="1" customWidth="1"/>
    <col min="12807" max="12807" width="12.28515625" style="45" customWidth="1"/>
    <col min="12808" max="12812" width="11.42578125" style="45" customWidth="1"/>
    <col min="12813" max="12814" width="10.5703125" style="45" bestFit="1" customWidth="1"/>
    <col min="12815" max="12816" width="11.42578125" style="45" customWidth="1"/>
    <col min="12817" max="12817" width="6.140625" style="45" customWidth="1"/>
    <col min="12818" max="12828" width="11.42578125" style="45" customWidth="1"/>
    <col min="12829" max="13058" width="11.42578125" style="45"/>
    <col min="13059" max="13059" width="5.28515625" style="45" customWidth="1"/>
    <col min="13060" max="13060" width="15.28515625" style="45" customWidth="1"/>
    <col min="13061" max="13061" width="14.42578125" style="45" bestFit="1" customWidth="1"/>
    <col min="13062" max="13062" width="10.42578125" style="45" bestFit="1" customWidth="1"/>
    <col min="13063" max="13063" width="12.28515625" style="45" customWidth="1"/>
    <col min="13064" max="13068" width="11.42578125" style="45" customWidth="1"/>
    <col min="13069" max="13070" width="10.5703125" style="45" bestFit="1" customWidth="1"/>
    <col min="13071" max="13072" width="11.42578125" style="45" customWidth="1"/>
    <col min="13073" max="13073" width="6.140625" style="45" customWidth="1"/>
    <col min="13074" max="13084" width="11.42578125" style="45" customWidth="1"/>
    <col min="13085" max="13314" width="11.42578125" style="45"/>
    <col min="13315" max="13315" width="5.28515625" style="45" customWidth="1"/>
    <col min="13316" max="13316" width="15.28515625" style="45" customWidth="1"/>
    <col min="13317" max="13317" width="14.42578125" style="45" bestFit="1" customWidth="1"/>
    <col min="13318" max="13318" width="10.42578125" style="45" bestFit="1" customWidth="1"/>
    <col min="13319" max="13319" width="12.28515625" style="45" customWidth="1"/>
    <col min="13320" max="13324" width="11.42578125" style="45" customWidth="1"/>
    <col min="13325" max="13326" width="10.5703125" style="45" bestFit="1" customWidth="1"/>
    <col min="13327" max="13328" width="11.42578125" style="45" customWidth="1"/>
    <col min="13329" max="13329" width="6.140625" style="45" customWidth="1"/>
    <col min="13330" max="13340" width="11.42578125" style="45" customWidth="1"/>
    <col min="13341" max="13570" width="11.42578125" style="45"/>
    <col min="13571" max="13571" width="5.28515625" style="45" customWidth="1"/>
    <col min="13572" max="13572" width="15.28515625" style="45" customWidth="1"/>
    <col min="13573" max="13573" width="14.42578125" style="45" bestFit="1" customWidth="1"/>
    <col min="13574" max="13574" width="10.42578125" style="45" bestFit="1" customWidth="1"/>
    <col min="13575" max="13575" width="12.28515625" style="45" customWidth="1"/>
    <col min="13576" max="13580" width="11.42578125" style="45" customWidth="1"/>
    <col min="13581" max="13582" width="10.5703125" style="45" bestFit="1" customWidth="1"/>
    <col min="13583" max="13584" width="11.42578125" style="45" customWidth="1"/>
    <col min="13585" max="13585" width="6.140625" style="45" customWidth="1"/>
    <col min="13586" max="13596" width="11.42578125" style="45" customWidth="1"/>
    <col min="13597" max="13826" width="11.42578125" style="45"/>
    <col min="13827" max="13827" width="5.28515625" style="45" customWidth="1"/>
    <col min="13828" max="13828" width="15.28515625" style="45" customWidth="1"/>
    <col min="13829" max="13829" width="14.42578125" style="45" bestFit="1" customWidth="1"/>
    <col min="13830" max="13830" width="10.42578125" style="45" bestFit="1" customWidth="1"/>
    <col min="13831" max="13831" width="12.28515625" style="45" customWidth="1"/>
    <col min="13832" max="13836" width="11.42578125" style="45" customWidth="1"/>
    <col min="13837" max="13838" width="10.5703125" style="45" bestFit="1" customWidth="1"/>
    <col min="13839" max="13840" width="11.42578125" style="45" customWidth="1"/>
    <col min="13841" max="13841" width="6.140625" style="45" customWidth="1"/>
    <col min="13842" max="13852" width="11.42578125" style="45" customWidth="1"/>
    <col min="13853" max="14082" width="11.42578125" style="45"/>
    <col min="14083" max="14083" width="5.28515625" style="45" customWidth="1"/>
    <col min="14084" max="14084" width="15.28515625" style="45" customWidth="1"/>
    <col min="14085" max="14085" width="14.42578125" style="45" bestFit="1" customWidth="1"/>
    <col min="14086" max="14086" width="10.42578125" style="45" bestFit="1" customWidth="1"/>
    <col min="14087" max="14087" width="12.28515625" style="45" customWidth="1"/>
    <col min="14088" max="14092" width="11.42578125" style="45" customWidth="1"/>
    <col min="14093" max="14094" width="10.5703125" style="45" bestFit="1" customWidth="1"/>
    <col min="14095" max="14096" width="11.42578125" style="45" customWidth="1"/>
    <col min="14097" max="14097" width="6.140625" style="45" customWidth="1"/>
    <col min="14098" max="14108" width="11.42578125" style="45" customWidth="1"/>
    <col min="14109" max="14338" width="11.42578125" style="45"/>
    <col min="14339" max="14339" width="5.28515625" style="45" customWidth="1"/>
    <col min="14340" max="14340" width="15.28515625" style="45" customWidth="1"/>
    <col min="14341" max="14341" width="14.42578125" style="45" bestFit="1" customWidth="1"/>
    <col min="14342" max="14342" width="10.42578125" style="45" bestFit="1" customWidth="1"/>
    <col min="14343" max="14343" width="12.28515625" style="45" customWidth="1"/>
    <col min="14344" max="14348" width="11.42578125" style="45" customWidth="1"/>
    <col min="14349" max="14350" width="10.5703125" style="45" bestFit="1" customWidth="1"/>
    <col min="14351" max="14352" width="11.42578125" style="45" customWidth="1"/>
    <col min="14353" max="14353" width="6.140625" style="45" customWidth="1"/>
    <col min="14354" max="14364" width="11.42578125" style="45" customWidth="1"/>
    <col min="14365" max="14594" width="11.42578125" style="45"/>
    <col min="14595" max="14595" width="5.28515625" style="45" customWidth="1"/>
    <col min="14596" max="14596" width="15.28515625" style="45" customWidth="1"/>
    <col min="14597" max="14597" width="14.42578125" style="45" bestFit="1" customWidth="1"/>
    <col min="14598" max="14598" width="10.42578125" style="45" bestFit="1" customWidth="1"/>
    <col min="14599" max="14599" width="12.28515625" style="45" customWidth="1"/>
    <col min="14600" max="14604" width="11.42578125" style="45" customWidth="1"/>
    <col min="14605" max="14606" width="10.5703125" style="45" bestFit="1" customWidth="1"/>
    <col min="14607" max="14608" width="11.42578125" style="45" customWidth="1"/>
    <col min="14609" max="14609" width="6.140625" style="45" customWidth="1"/>
    <col min="14610" max="14620" width="11.42578125" style="45" customWidth="1"/>
    <col min="14621" max="14850" width="11.42578125" style="45"/>
    <col min="14851" max="14851" width="5.28515625" style="45" customWidth="1"/>
    <col min="14852" max="14852" width="15.28515625" style="45" customWidth="1"/>
    <col min="14853" max="14853" width="14.42578125" style="45" bestFit="1" customWidth="1"/>
    <col min="14854" max="14854" width="10.42578125" style="45" bestFit="1" customWidth="1"/>
    <col min="14855" max="14855" width="12.28515625" style="45" customWidth="1"/>
    <col min="14856" max="14860" width="11.42578125" style="45" customWidth="1"/>
    <col min="14861" max="14862" width="10.5703125" style="45" bestFit="1" customWidth="1"/>
    <col min="14863" max="14864" width="11.42578125" style="45" customWidth="1"/>
    <col min="14865" max="14865" width="6.140625" style="45" customWidth="1"/>
    <col min="14866" max="14876" width="11.42578125" style="45" customWidth="1"/>
    <col min="14877" max="15106" width="11.42578125" style="45"/>
    <col min="15107" max="15107" width="5.28515625" style="45" customWidth="1"/>
    <col min="15108" max="15108" width="15.28515625" style="45" customWidth="1"/>
    <col min="15109" max="15109" width="14.42578125" style="45" bestFit="1" customWidth="1"/>
    <col min="15110" max="15110" width="10.42578125" style="45" bestFit="1" customWidth="1"/>
    <col min="15111" max="15111" width="12.28515625" style="45" customWidth="1"/>
    <col min="15112" max="15116" width="11.42578125" style="45" customWidth="1"/>
    <col min="15117" max="15118" width="10.5703125" style="45" bestFit="1" customWidth="1"/>
    <col min="15119" max="15120" width="11.42578125" style="45" customWidth="1"/>
    <col min="15121" max="15121" width="6.140625" style="45" customWidth="1"/>
    <col min="15122" max="15132" width="11.42578125" style="45" customWidth="1"/>
    <col min="15133" max="15362" width="11.42578125" style="45"/>
    <col min="15363" max="15363" width="5.28515625" style="45" customWidth="1"/>
    <col min="15364" max="15364" width="15.28515625" style="45" customWidth="1"/>
    <col min="15365" max="15365" width="14.42578125" style="45" bestFit="1" customWidth="1"/>
    <col min="15366" max="15366" width="10.42578125" style="45" bestFit="1" customWidth="1"/>
    <col min="15367" max="15367" width="12.28515625" style="45" customWidth="1"/>
    <col min="15368" max="15372" width="11.42578125" style="45" customWidth="1"/>
    <col min="15373" max="15374" width="10.5703125" style="45" bestFit="1" customWidth="1"/>
    <col min="15375" max="15376" width="11.42578125" style="45" customWidth="1"/>
    <col min="15377" max="15377" width="6.140625" style="45" customWidth="1"/>
    <col min="15378" max="15388" width="11.42578125" style="45" customWidth="1"/>
    <col min="15389" max="15618" width="11.42578125" style="45"/>
    <col min="15619" max="15619" width="5.28515625" style="45" customWidth="1"/>
    <col min="15620" max="15620" width="15.28515625" style="45" customWidth="1"/>
    <col min="15621" max="15621" width="14.42578125" style="45" bestFit="1" customWidth="1"/>
    <col min="15622" max="15622" width="10.42578125" style="45" bestFit="1" customWidth="1"/>
    <col min="15623" max="15623" width="12.28515625" style="45" customWidth="1"/>
    <col min="15624" max="15628" width="11.42578125" style="45" customWidth="1"/>
    <col min="15629" max="15630" width="10.5703125" style="45" bestFit="1" customWidth="1"/>
    <col min="15631" max="15632" width="11.42578125" style="45" customWidth="1"/>
    <col min="15633" max="15633" width="6.140625" style="45" customWidth="1"/>
    <col min="15634" max="15644" width="11.42578125" style="45" customWidth="1"/>
    <col min="15645" max="15874" width="11.42578125" style="45"/>
    <col min="15875" max="15875" width="5.28515625" style="45" customWidth="1"/>
    <col min="15876" max="15876" width="15.28515625" style="45" customWidth="1"/>
    <col min="15877" max="15877" width="14.42578125" style="45" bestFit="1" customWidth="1"/>
    <col min="15878" max="15878" width="10.42578125" style="45" bestFit="1" customWidth="1"/>
    <col min="15879" max="15879" width="12.28515625" style="45" customWidth="1"/>
    <col min="15880" max="15884" width="11.42578125" style="45" customWidth="1"/>
    <col min="15885" max="15886" width="10.5703125" style="45" bestFit="1" customWidth="1"/>
    <col min="15887" max="15888" width="11.42578125" style="45" customWidth="1"/>
    <col min="15889" max="15889" width="6.140625" style="45" customWidth="1"/>
    <col min="15890" max="15900" width="11.42578125" style="45" customWidth="1"/>
    <col min="15901" max="16130" width="11.42578125" style="45"/>
    <col min="16131" max="16131" width="5.28515625" style="45" customWidth="1"/>
    <col min="16132" max="16132" width="15.28515625" style="45" customWidth="1"/>
    <col min="16133" max="16133" width="14.42578125" style="45" bestFit="1" customWidth="1"/>
    <col min="16134" max="16134" width="10.42578125" style="45" bestFit="1" customWidth="1"/>
    <col min="16135" max="16135" width="12.28515625" style="45" customWidth="1"/>
    <col min="16136" max="16140" width="11.42578125" style="45" customWidth="1"/>
    <col min="16141" max="16142" width="10.5703125" style="45" bestFit="1" customWidth="1"/>
    <col min="16143" max="16144" width="11.42578125" style="45" customWidth="1"/>
    <col min="16145" max="16145" width="6.140625" style="45" customWidth="1"/>
    <col min="16146" max="16156" width="11.42578125" style="45" customWidth="1"/>
    <col min="16157" max="16384" width="11.42578125" style="45"/>
  </cols>
  <sheetData>
    <row r="1" spans="2:61" s="100" customFormat="1" ht="15.75" thickBot="1">
      <c r="C1" s="46"/>
      <c r="Q1" s="46"/>
      <c r="R1" s="46"/>
      <c r="S1" s="46"/>
      <c r="T1" s="46"/>
      <c r="U1" s="46"/>
      <c r="V1" s="46"/>
      <c r="W1" s="46"/>
      <c r="X1" s="46"/>
      <c r="Y1" s="46"/>
      <c r="Z1" s="46"/>
      <c r="AA1" s="46"/>
      <c r="AB1" s="46"/>
    </row>
    <row r="2" spans="2:61" s="100" customFormat="1" ht="6.75" customHeight="1">
      <c r="B2" s="486"/>
      <c r="C2" s="487"/>
      <c r="D2" s="487"/>
      <c r="E2" s="487"/>
      <c r="F2" s="487"/>
      <c r="G2" s="487"/>
      <c r="H2" s="487"/>
      <c r="I2" s="487"/>
      <c r="J2" s="487"/>
      <c r="K2" s="487"/>
      <c r="L2" s="487"/>
      <c r="M2" s="487"/>
      <c r="N2" s="487"/>
      <c r="O2" s="487"/>
      <c r="P2" s="487"/>
      <c r="Q2" s="487"/>
      <c r="R2" s="487"/>
      <c r="S2" s="487"/>
      <c r="T2" s="488"/>
      <c r="U2" s="46"/>
      <c r="V2" s="46"/>
      <c r="W2" s="46"/>
      <c r="X2" s="46"/>
      <c r="Y2" s="46"/>
      <c r="Z2" s="46"/>
      <c r="AA2" s="46"/>
      <c r="AB2" s="46"/>
    </row>
    <row r="3" spans="2:61" s="1" customFormat="1" ht="36">
      <c r="B3" s="453"/>
      <c r="C3" s="449"/>
      <c r="D3" s="449"/>
      <c r="E3" s="449"/>
      <c r="F3" s="449"/>
      <c r="G3" s="449"/>
      <c r="H3" s="449"/>
      <c r="I3" s="449"/>
      <c r="J3" s="449"/>
      <c r="K3" s="449"/>
      <c r="L3" s="449"/>
      <c r="M3" s="449"/>
      <c r="N3" s="449"/>
      <c r="O3" s="449"/>
      <c r="P3" s="449"/>
      <c r="Q3" s="246"/>
      <c r="R3" s="489">
        <v>1</v>
      </c>
      <c r="S3" s="195"/>
      <c r="T3" s="454"/>
      <c r="U3" s="46"/>
      <c r="V3" s="46"/>
      <c r="W3" s="46"/>
      <c r="BH3" s="78"/>
      <c r="BI3" s="78"/>
    </row>
    <row r="4" spans="2:61" s="1" customFormat="1" ht="33" customHeight="1">
      <c r="B4" s="453"/>
      <c r="C4" s="928" t="s">
        <v>618</v>
      </c>
      <c r="D4" s="928"/>
      <c r="E4" s="928"/>
      <c r="F4" s="928"/>
      <c r="G4" s="928"/>
      <c r="H4" s="928"/>
      <c r="I4" s="928"/>
      <c r="J4" s="928"/>
      <c r="K4" s="490"/>
      <c r="L4" s="490"/>
      <c r="M4" s="490"/>
      <c r="N4" s="490"/>
      <c r="O4" s="490"/>
      <c r="P4" s="490"/>
      <c r="Q4" s="246"/>
      <c r="R4" s="195"/>
      <c r="S4" s="195"/>
      <c r="T4" s="454"/>
      <c r="X4" s="100"/>
      <c r="Y4" s="100"/>
      <c r="Z4" s="100"/>
      <c r="AA4" s="100"/>
      <c r="AB4" s="100"/>
      <c r="AC4" s="100"/>
      <c r="AD4" s="100"/>
      <c r="AE4" s="100"/>
      <c r="AF4" s="100"/>
      <c r="AG4" s="100"/>
      <c r="AH4" s="100"/>
      <c r="AI4" s="100"/>
      <c r="AJ4" s="100"/>
      <c r="AK4" s="100"/>
      <c r="AL4" s="100"/>
      <c r="AM4" s="100"/>
      <c r="AN4" s="100"/>
      <c r="AO4" s="100"/>
      <c r="AP4" s="100"/>
      <c r="AQ4" s="100"/>
      <c r="AR4" s="100"/>
      <c r="BB4" s="78"/>
      <c r="BC4" s="78"/>
    </row>
    <row r="5" spans="2:61" s="21" customFormat="1" ht="33.75">
      <c r="B5" s="453"/>
      <c r="C5" s="929">
        <f>Report_Date</f>
        <v>42522</v>
      </c>
      <c r="D5" s="929"/>
      <c r="E5" s="929"/>
      <c r="F5" s="929"/>
      <c r="G5" s="929"/>
      <c r="H5" s="929"/>
      <c r="I5" s="929"/>
      <c r="J5" s="929"/>
      <c r="K5" s="491"/>
      <c r="L5" s="491"/>
      <c r="M5" s="491"/>
      <c r="N5" s="491"/>
      <c r="O5" s="491"/>
      <c r="P5" s="491"/>
      <c r="Q5" s="492"/>
      <c r="R5" s="205"/>
      <c r="S5" s="205"/>
      <c r="T5" s="493"/>
      <c r="Y5" s="100"/>
      <c r="Z5" s="100"/>
      <c r="AA5" s="100"/>
      <c r="AB5" s="100"/>
      <c r="AC5" s="100"/>
      <c r="AD5" s="100"/>
      <c r="AE5" s="100"/>
      <c r="AF5" s="100"/>
      <c r="AG5" s="100"/>
      <c r="AH5" s="100"/>
      <c r="AI5" s="100"/>
      <c r="AJ5" s="100"/>
      <c r="AK5" s="100"/>
      <c r="AL5" s="100"/>
      <c r="AM5" s="100"/>
      <c r="AN5" s="100"/>
      <c r="AO5" s="100"/>
      <c r="AP5" s="100"/>
      <c r="AQ5" s="100"/>
      <c r="AR5" s="100"/>
      <c r="BB5" s="79"/>
      <c r="BC5" s="79"/>
    </row>
    <row r="6" spans="2:61" ht="36.75" thickBot="1">
      <c r="B6" s="67"/>
      <c r="C6" s="54"/>
      <c r="D6" s="480" t="s">
        <v>7</v>
      </c>
      <c r="E6" s="481">
        <f>'NFI Distribution (by Tship)'!B17</f>
        <v>23948</v>
      </c>
      <c r="F6" s="482"/>
      <c r="G6" s="54"/>
      <c r="H6" s="54"/>
      <c r="I6" s="54"/>
      <c r="J6" s="54"/>
      <c r="K6" s="54"/>
      <c r="L6" s="54"/>
      <c r="M6" s="54"/>
      <c r="N6" s="54"/>
      <c r="O6" s="54"/>
      <c r="P6" s="54"/>
      <c r="Q6" s="479"/>
      <c r="R6" s="54"/>
      <c r="S6" s="54"/>
      <c r="T6" s="473"/>
    </row>
    <row r="7" spans="2:61" s="100" customFormat="1" ht="26.25" thickBot="1">
      <c r="B7" s="67"/>
      <c r="C7" s="54"/>
      <c r="D7" s="495" t="s">
        <v>535</v>
      </c>
      <c r="E7" s="496" t="s">
        <v>302</v>
      </c>
      <c r="F7" s="497" t="s">
        <v>303</v>
      </c>
      <c r="G7" s="498" t="s">
        <v>304</v>
      </c>
      <c r="H7" s="498" t="s">
        <v>304</v>
      </c>
      <c r="I7" s="499" t="s">
        <v>305</v>
      </c>
      <c r="J7" s="499" t="s">
        <v>305</v>
      </c>
      <c r="K7" s="500" t="s">
        <v>306</v>
      </c>
      <c r="L7" s="501" t="s">
        <v>306</v>
      </c>
      <c r="M7" s="502" t="s">
        <v>210</v>
      </c>
      <c r="N7" s="502" t="s">
        <v>210</v>
      </c>
      <c r="O7" s="503" t="s">
        <v>307</v>
      </c>
      <c r="P7" s="504" t="s">
        <v>307</v>
      </c>
      <c r="Q7" s="479"/>
      <c r="R7" s="483">
        <v>1</v>
      </c>
      <c r="S7" s="54"/>
      <c r="T7" s="473"/>
      <c r="U7" s="46"/>
      <c r="V7" s="46"/>
      <c r="W7" s="46"/>
      <c r="X7" s="46"/>
      <c r="Y7" s="46"/>
      <c r="Z7" s="46"/>
      <c r="AA7" s="46"/>
      <c r="AB7" s="46"/>
    </row>
    <row r="8" spans="2:61" s="100" customFormat="1" ht="21.75" thickBot="1">
      <c r="B8" s="67"/>
      <c r="C8" s="54"/>
      <c r="D8" s="397" t="s">
        <v>308</v>
      </c>
      <c r="E8" s="505">
        <f>VLOOKUP($D8,NFI,6,0)</f>
        <v>1</v>
      </c>
      <c r="F8" s="399">
        <f>$E$6*E8</f>
        <v>23948</v>
      </c>
      <c r="G8" s="185">
        <f ca="1">SUMIFS(INDIRECT(VLOOKUP($D8,NFI,2,0)),NFI_State,"Rakhine",NFI_CampStatus,"Open")</f>
        <v>65</v>
      </c>
      <c r="H8" s="400">
        <f ca="1">IF((G8/F8)&gt;100%,100%,(G8/F8))</f>
        <v>2.7142141306163354E-3</v>
      </c>
      <c r="I8" s="185">
        <f ca="1">SUMIFS(INDIRECT(VLOOKUP($D8,NFI,3,0)),NFI_Pipeline_State,$D$6)</f>
        <v>0</v>
      </c>
      <c r="J8" s="401">
        <f ca="1">I8/F8</f>
        <v>0</v>
      </c>
      <c r="K8" s="185">
        <f ca="1">IF((F8-(SUM(G8:I8)))&lt;0,0,(F8-(SUM(G8:I8))))</f>
        <v>23882.99728578587</v>
      </c>
      <c r="L8" s="62">
        <f ca="1">K8/F8</f>
        <v>0.99728567253156297</v>
      </c>
      <c r="M8" s="185">
        <f ca="1">SUMIFS(INDIRECT(VLOOKUP($D8,NFI,4,0)),NFI_Pipeline_State,$D$6)</f>
        <v>0</v>
      </c>
      <c r="N8" s="403">
        <f ca="1">M8/F8</f>
        <v>0</v>
      </c>
      <c r="O8" s="404">
        <f ca="1">IF((F8-(G8+I8+M8))&lt;0,0,(F8-(G8+I8+M8)))</f>
        <v>23883</v>
      </c>
      <c r="P8" s="405">
        <f ca="1">O8/F8</f>
        <v>0.99728578586938366</v>
      </c>
      <c r="Q8" s="479"/>
      <c r="R8" s="483">
        <v>1</v>
      </c>
      <c r="S8" s="54"/>
      <c r="T8" s="473"/>
      <c r="U8" s="46"/>
      <c r="V8" s="46"/>
      <c r="W8" s="46"/>
      <c r="X8" s="46"/>
      <c r="Y8" s="46"/>
      <c r="Z8" s="46"/>
      <c r="AA8" s="46"/>
      <c r="AB8" s="46"/>
    </row>
    <row r="9" spans="2:61" s="100" customFormat="1" ht="21.75" thickBot="1">
      <c r="B9" s="67"/>
      <c r="C9" s="54"/>
      <c r="D9" s="406" t="s">
        <v>204</v>
      </c>
      <c r="E9" s="506">
        <f>VLOOKUP($D9,NFI,6,0)</f>
        <v>1</v>
      </c>
      <c r="F9" s="48">
        <f>$E$6*E9</f>
        <v>23948</v>
      </c>
      <c r="G9" s="49">
        <f ca="1">SUMIFS(INDIRECT(VLOOKUP($D9,NFI,2,0)),NFI_State,"Rakhine",NFI_CampStatus,"Open")</f>
        <v>3663</v>
      </c>
      <c r="H9" s="50">
        <f ca="1">IF((G9/F9)&gt;100%,100%,(G9/F9))</f>
        <v>0.15295640554534826</v>
      </c>
      <c r="I9" s="49">
        <f ca="1">SUMIFS(INDIRECT(VLOOKUP($D9,NFI,3,0)),NFI_Pipeline_State,$D$6)</f>
        <v>0</v>
      </c>
      <c r="J9" s="51">
        <f ca="1">I9/F9</f>
        <v>0</v>
      </c>
      <c r="K9" s="49">
        <f ca="1">IF((F9-(SUM(G9:I9)))&lt;0,0,(F9-(SUM(G9:I9))))</f>
        <v>20284.847043594455</v>
      </c>
      <c r="L9" s="62">
        <f ca="1">K9/F9</f>
        <v>0.84703720743253941</v>
      </c>
      <c r="M9" s="49">
        <f ca="1">SUMIFS(INDIRECT(VLOOKUP($D9,NFI,4,0)),NFI_Pipeline_State,$D$6)</f>
        <v>0</v>
      </c>
      <c r="N9" s="52">
        <f ca="1">M9/F9</f>
        <v>0</v>
      </c>
      <c r="O9" s="53">
        <f ca="1">IF((F9-(G9+I9+M9))&lt;0,0,(F9-(G9+I9+M9)))</f>
        <v>20285</v>
      </c>
      <c r="P9" s="409">
        <f ca="1">O9/F9</f>
        <v>0.84704359445465172</v>
      </c>
      <c r="Q9" s="479"/>
      <c r="R9" s="483">
        <v>1</v>
      </c>
      <c r="S9" s="54"/>
      <c r="T9" s="473"/>
      <c r="U9" s="46"/>
      <c r="V9" s="46"/>
      <c r="W9" s="46"/>
      <c r="X9" s="46"/>
      <c r="Y9" s="46"/>
      <c r="Z9" s="46"/>
      <c r="AA9" s="46"/>
      <c r="AB9" s="46"/>
    </row>
    <row r="10" spans="2:61" s="100" customFormat="1" ht="21.75" thickBot="1">
      <c r="B10" s="67"/>
      <c r="C10" s="54"/>
      <c r="D10" s="410" t="s">
        <v>309</v>
      </c>
      <c r="E10" s="507">
        <f>VLOOKUP($D10,NFI,6,0)</f>
        <v>1</v>
      </c>
      <c r="F10" s="412">
        <f>$E$6*E10</f>
        <v>23948</v>
      </c>
      <c r="G10" s="186">
        <f ca="1">SUMIFS(INDIRECT(VLOOKUP($D10,NFI,2,0)),NFI_State,"Rakhine",NFI_CampStatus,"Open")</f>
        <v>0</v>
      </c>
      <c r="H10" s="413">
        <f ca="1">IF((G10/F10)&gt;100%,100%,(G10/F10))</f>
        <v>0</v>
      </c>
      <c r="I10" s="186">
        <f ca="1">SUMIFS(INDIRECT(VLOOKUP($D10,NFI,3,0)),NFI_Pipeline_State,$D$6)</f>
        <v>0</v>
      </c>
      <c r="J10" s="414">
        <f ca="1">I10/F10</f>
        <v>0</v>
      </c>
      <c r="K10" s="186">
        <f ca="1">IF((F10-(SUM(G10:I10)))&lt;0,0,(F10-(SUM(G10:I10))))</f>
        <v>23948</v>
      </c>
      <c r="L10" s="508">
        <f ca="1">K10/F10</f>
        <v>1</v>
      </c>
      <c r="M10" s="186">
        <f ca="1">SUMIFS(INDIRECT(VLOOKUP($D10,NFI,4,0)),NFI_Pipeline_State,$D$6)</f>
        <v>0</v>
      </c>
      <c r="N10" s="416">
        <f ca="1">M10/F10</f>
        <v>0</v>
      </c>
      <c r="O10" s="417">
        <f ca="1">IF((F10-(G10+I10+M10))&lt;0,0,(F10-(G10+I10+M10)))</f>
        <v>23948</v>
      </c>
      <c r="P10" s="418">
        <f ca="1">O10/F10</f>
        <v>1</v>
      </c>
      <c r="Q10" s="479"/>
      <c r="R10" s="483">
        <v>1</v>
      </c>
      <c r="S10" s="54"/>
      <c r="T10" s="473"/>
      <c r="U10" s="46"/>
      <c r="V10" s="46"/>
      <c r="W10" s="46"/>
      <c r="X10" s="46"/>
      <c r="Y10" s="46"/>
      <c r="Z10" s="46"/>
      <c r="AA10" s="46"/>
      <c r="AB10" s="46"/>
    </row>
    <row r="11" spans="2:61" s="100" customFormat="1" ht="14.25" customHeight="1">
      <c r="B11" s="67"/>
      <c r="C11" s="54"/>
      <c r="D11" s="54"/>
      <c r="E11" s="54"/>
      <c r="F11" s="54"/>
      <c r="G11" s="54"/>
      <c r="H11" s="54"/>
      <c r="I11" s="54"/>
      <c r="J11" s="54"/>
      <c r="K11" s="54"/>
      <c r="L11" s="54"/>
      <c r="M11" s="54"/>
      <c r="N11" s="54"/>
      <c r="O11" s="54"/>
      <c r="P11" s="54"/>
      <c r="Q11" s="479"/>
      <c r="R11" s="483">
        <v>1</v>
      </c>
      <c r="S11" s="54"/>
      <c r="T11" s="473"/>
      <c r="U11" s="46"/>
      <c r="V11" s="46"/>
      <c r="W11" s="46"/>
      <c r="X11" s="46"/>
      <c r="Y11" s="46"/>
      <c r="Z11" s="46"/>
      <c r="AA11" s="46"/>
      <c r="AB11" s="46"/>
    </row>
    <row r="12" spans="2:61" s="100" customFormat="1">
      <c r="B12" s="67"/>
      <c r="C12" s="54"/>
      <c r="D12" s="54"/>
      <c r="E12" s="54"/>
      <c r="F12" s="54"/>
      <c r="G12" s="54"/>
      <c r="H12" s="54"/>
      <c r="I12" s="54"/>
      <c r="J12" s="54"/>
      <c r="K12" s="54"/>
      <c r="L12" s="54"/>
      <c r="M12" s="54"/>
      <c r="N12" s="54"/>
      <c r="O12" s="54"/>
      <c r="P12" s="54"/>
      <c r="Q12" s="54"/>
      <c r="R12" s="483">
        <v>1</v>
      </c>
      <c r="S12" s="54"/>
      <c r="T12" s="473"/>
      <c r="U12" s="46"/>
      <c r="V12" s="46"/>
      <c r="W12" s="46"/>
      <c r="X12" s="46"/>
      <c r="Y12" s="46"/>
      <c r="Z12" s="46"/>
      <c r="AA12" s="46"/>
      <c r="AB12" s="46"/>
    </row>
    <row r="13" spans="2:61">
      <c r="B13" s="67"/>
      <c r="C13" s="54"/>
      <c r="D13" s="54"/>
      <c r="E13" s="54"/>
      <c r="F13" s="54"/>
      <c r="G13" s="54"/>
      <c r="H13" s="54"/>
      <c r="I13" s="54"/>
      <c r="J13" s="54"/>
      <c r="K13" s="54"/>
      <c r="L13" s="54"/>
      <c r="M13" s="54"/>
      <c r="N13" s="54"/>
      <c r="O13" s="54"/>
      <c r="P13" s="54"/>
      <c r="Q13" s="54"/>
      <c r="R13" s="483">
        <v>1</v>
      </c>
      <c r="S13" s="54"/>
      <c r="T13" s="473"/>
    </row>
    <row r="14" spans="2:61" ht="27" customHeight="1">
      <c r="B14" s="67"/>
      <c r="C14" s="54"/>
      <c r="D14" s="54"/>
      <c r="E14" s="54"/>
      <c r="F14" s="54"/>
      <c r="G14" s="54"/>
      <c r="H14" s="54"/>
      <c r="I14" s="54"/>
      <c r="J14" s="54"/>
      <c r="K14" s="54"/>
      <c r="L14" s="54"/>
      <c r="M14" s="54"/>
      <c r="N14" s="54"/>
      <c r="O14" s="54"/>
      <c r="P14" s="54"/>
      <c r="Q14" s="54"/>
      <c r="R14" s="483">
        <v>1</v>
      </c>
      <c r="S14" s="54"/>
      <c r="T14" s="473"/>
    </row>
    <row r="15" spans="2:61" s="100" customFormat="1" ht="12.75" customHeight="1" thickBot="1">
      <c r="B15" s="67"/>
      <c r="C15" s="54"/>
      <c r="D15" s="54"/>
      <c r="E15" s="54"/>
      <c r="F15" s="54"/>
      <c r="G15" s="54"/>
      <c r="H15" s="54"/>
      <c r="I15" s="54"/>
      <c r="J15" s="54"/>
      <c r="K15" s="54"/>
      <c r="L15" s="54"/>
      <c r="M15" s="54"/>
      <c r="N15" s="54"/>
      <c r="O15" s="54"/>
      <c r="P15" s="54"/>
      <c r="Q15" s="54"/>
      <c r="R15" s="483"/>
      <c r="S15" s="54"/>
      <c r="T15" s="473"/>
      <c r="U15" s="46"/>
      <c r="V15" s="46"/>
      <c r="W15" s="46"/>
      <c r="X15" s="46"/>
      <c r="Y15" s="46"/>
      <c r="Z15" s="46"/>
      <c r="AA15" s="46"/>
      <c r="AB15" s="46"/>
    </row>
    <row r="16" spans="2:61" s="286" customFormat="1" ht="27" thickBot="1">
      <c r="B16" s="494"/>
      <c r="C16" s="484"/>
      <c r="D16" s="814" t="s">
        <v>605</v>
      </c>
      <c r="E16" s="815" t="s">
        <v>302</v>
      </c>
      <c r="F16" s="816" t="s">
        <v>303</v>
      </c>
      <c r="G16" s="817" t="s">
        <v>304</v>
      </c>
      <c r="H16" s="817" t="s">
        <v>304</v>
      </c>
      <c r="I16" s="818" t="s">
        <v>305</v>
      </c>
      <c r="J16" s="818" t="s">
        <v>305</v>
      </c>
      <c r="K16" s="816" t="s">
        <v>306</v>
      </c>
      <c r="L16" s="816" t="s">
        <v>306</v>
      </c>
      <c r="M16" s="819" t="s">
        <v>210</v>
      </c>
      <c r="N16" s="819" t="s">
        <v>210</v>
      </c>
      <c r="O16" s="820" t="s">
        <v>307</v>
      </c>
      <c r="P16" s="821" t="s">
        <v>307</v>
      </c>
      <c r="Q16" s="484"/>
      <c r="R16" s="483">
        <v>1</v>
      </c>
      <c r="S16" s="484"/>
      <c r="T16" s="485"/>
      <c r="U16" s="396"/>
      <c r="V16" s="396"/>
      <c r="W16" s="396"/>
      <c r="X16" s="396"/>
      <c r="Y16" s="396"/>
      <c r="Z16" s="396"/>
      <c r="AA16" s="396"/>
      <c r="AB16" s="396"/>
    </row>
    <row r="17" spans="2:28" s="286" customFormat="1">
      <c r="B17" s="494"/>
      <c r="C17" s="484"/>
      <c r="D17" s="397" t="s">
        <v>614</v>
      </c>
      <c r="E17" s="398">
        <f t="shared" ref="E17:E24" si="0">VLOOKUP($D17,NFI,6,0)</f>
        <v>2</v>
      </c>
      <c r="F17" s="399">
        <f>$E$6*E17</f>
        <v>47896</v>
      </c>
      <c r="G17" s="185">
        <f t="shared" ref="G17:G24" ca="1" si="1">SUMIFS(INDIRECT(VLOOKUP($D17,NFI,2,0)),NFI_State,"Rakhine",NFI_CampStatus,"Open")</f>
        <v>12969</v>
      </c>
      <c r="H17" s="400">
        <f ca="1">IF((G17/F17)&gt;100%,100%,(G17/F17))</f>
        <v>0.27077417738433274</v>
      </c>
      <c r="I17" s="185">
        <f t="shared" ref="I17:I23" ca="1" si="2">SUMIFS(INDIRECT(VLOOKUP($D17,NFI,3,0)),NFI_Pipeline_State,$D$6)+E17*I$9</f>
        <v>2075</v>
      </c>
      <c r="J17" s="401">
        <f t="shared" ref="J17:J24" ca="1" si="3">I17/F17</f>
        <v>4.3323033238683813E-2</v>
      </c>
      <c r="K17" s="185">
        <f ca="1">IF((F17-(SUM(G17:I17)))&lt;0,0,(F17-(SUM(G17:I17))))</f>
        <v>32851.729225822615</v>
      </c>
      <c r="L17" s="402">
        <f t="shared" ref="L17:L24" ca="1" si="4">K17/F17</f>
        <v>0.68589713599930302</v>
      </c>
      <c r="M17" s="185">
        <f t="shared" ref="M17:M24" ca="1" si="5">SUMIFS(INDIRECT(VLOOKUP($D17,NFI,4,0)),NFI_Pipeline_State,$D$6)+E17*M$9</f>
        <v>0</v>
      </c>
      <c r="N17" s="403">
        <f t="shared" ref="N17:N24" ca="1" si="6">M17/F17</f>
        <v>0</v>
      </c>
      <c r="O17" s="404">
        <f t="shared" ref="O17:O24" ca="1" si="7">IF((F17-(G17+I17+M17))&lt;0,0,(F17-(G17+I17+M17)))</f>
        <v>32852</v>
      </c>
      <c r="P17" s="405">
        <f t="shared" ref="P17:P24" ca="1" si="8">O17/F17</f>
        <v>0.68590278937698346</v>
      </c>
      <c r="Q17" s="484"/>
      <c r="R17" s="484"/>
      <c r="S17" s="484"/>
      <c r="T17" s="485"/>
      <c r="U17" s="396"/>
      <c r="V17" s="396"/>
      <c r="W17" s="396"/>
      <c r="X17" s="396"/>
      <c r="Y17" s="396"/>
      <c r="Z17" s="396"/>
      <c r="AA17" s="396"/>
      <c r="AB17" s="396"/>
    </row>
    <row r="18" spans="2:28" s="286" customFormat="1">
      <c r="B18" s="494"/>
      <c r="C18" s="484"/>
      <c r="D18" s="406" t="s">
        <v>310</v>
      </c>
      <c r="E18" s="407">
        <f t="shared" si="0"/>
        <v>1</v>
      </c>
      <c r="F18" s="48">
        <f t="shared" ref="F18:F24" si="9">$E$6*E18</f>
        <v>23948</v>
      </c>
      <c r="G18" s="49">
        <f t="shared" ca="1" si="1"/>
        <v>6592</v>
      </c>
      <c r="H18" s="50">
        <f t="shared" ref="H18:H24" ca="1" si="10">IF((G18/F18)&gt;100%,100%,(G18/F18))</f>
        <v>0.27526306998496741</v>
      </c>
      <c r="I18" s="49">
        <f t="shared" ca="1" si="2"/>
        <v>1684</v>
      </c>
      <c r="J18" s="51">
        <f t="shared" ca="1" si="3"/>
        <v>7.0319024553198592E-2</v>
      </c>
      <c r="K18" s="49">
        <f t="shared" ref="K18:K24" ca="1" si="11">IF((F18-(SUM(G18:I18)))&lt;0,0,(F18-(SUM(G18:I18))))</f>
        <v>15671.724736930015</v>
      </c>
      <c r="L18" s="408">
        <f t="shared" ca="1" si="4"/>
        <v>0.65440641126315413</v>
      </c>
      <c r="M18" s="49">
        <f t="shared" ca="1" si="5"/>
        <v>0</v>
      </c>
      <c r="N18" s="52">
        <f t="shared" ca="1" si="6"/>
        <v>0</v>
      </c>
      <c r="O18" s="53">
        <f t="shared" ca="1" si="7"/>
        <v>15672</v>
      </c>
      <c r="P18" s="409">
        <f t="shared" ca="1" si="8"/>
        <v>0.65441790546183398</v>
      </c>
      <c r="Q18" s="484"/>
      <c r="R18" s="484"/>
      <c r="S18" s="484"/>
      <c r="T18" s="485"/>
      <c r="U18" s="396"/>
      <c r="V18" s="396"/>
      <c r="W18" s="396"/>
      <c r="X18" s="396"/>
      <c r="Y18" s="396"/>
      <c r="Z18" s="396"/>
      <c r="AA18" s="396"/>
      <c r="AB18" s="396"/>
    </row>
    <row r="19" spans="2:28" s="286" customFormat="1">
      <c r="B19" s="494"/>
      <c r="C19" s="484"/>
      <c r="D19" s="406" t="s">
        <v>230</v>
      </c>
      <c r="E19" s="407">
        <f t="shared" si="0"/>
        <v>2</v>
      </c>
      <c r="F19" s="48">
        <f t="shared" si="9"/>
        <v>47896</v>
      </c>
      <c r="G19" s="49">
        <f t="shared" ca="1" si="1"/>
        <v>11299</v>
      </c>
      <c r="H19" s="50">
        <f t="shared" ca="1" si="10"/>
        <v>0.23590696509103057</v>
      </c>
      <c r="I19" s="49">
        <f t="shared" ca="1" si="2"/>
        <v>2046</v>
      </c>
      <c r="J19" s="51">
        <f t="shared" ca="1" si="3"/>
        <v>4.2717554701854017E-2</v>
      </c>
      <c r="K19" s="49">
        <f t="shared" ca="1" si="11"/>
        <v>34550.764093034908</v>
      </c>
      <c r="L19" s="408">
        <f t="shared" ca="1" si="4"/>
        <v>0.72137055480697565</v>
      </c>
      <c r="M19" s="49">
        <f t="shared" ca="1" si="5"/>
        <v>0</v>
      </c>
      <c r="N19" s="52">
        <f t="shared" ca="1" si="6"/>
        <v>0</v>
      </c>
      <c r="O19" s="53">
        <f t="shared" ca="1" si="7"/>
        <v>34551</v>
      </c>
      <c r="P19" s="409">
        <f t="shared" ca="1" si="8"/>
        <v>0.72137548020711539</v>
      </c>
      <c r="Q19" s="484"/>
      <c r="R19" s="484"/>
      <c r="S19" s="484"/>
      <c r="T19" s="485"/>
      <c r="U19" s="396"/>
      <c r="V19" s="396"/>
      <c r="W19" s="396"/>
      <c r="X19" s="396"/>
      <c r="Y19" s="396"/>
      <c r="Z19" s="396"/>
      <c r="AA19" s="396"/>
      <c r="AB19" s="396"/>
    </row>
    <row r="20" spans="2:28" s="286" customFormat="1">
      <c r="B20" s="494"/>
      <c r="C20" s="484"/>
      <c r="D20" s="406" t="s">
        <v>231</v>
      </c>
      <c r="E20" s="407">
        <f t="shared" si="0"/>
        <v>1</v>
      </c>
      <c r="F20" s="48">
        <f t="shared" si="9"/>
        <v>23948</v>
      </c>
      <c r="G20" s="49">
        <f t="shared" ca="1" si="1"/>
        <v>6066</v>
      </c>
      <c r="H20" s="50">
        <f t="shared" ca="1" si="10"/>
        <v>0.25329881409721061</v>
      </c>
      <c r="I20" s="49">
        <f t="shared" ca="1" si="2"/>
        <v>1646</v>
      </c>
      <c r="J20" s="51">
        <f t="shared" ca="1" si="3"/>
        <v>6.8732253215299813E-2</v>
      </c>
      <c r="K20" s="49">
        <f t="shared" ca="1" si="11"/>
        <v>16235.746701185903</v>
      </c>
      <c r="L20" s="408">
        <f t="shared" ca="1" si="4"/>
        <v>0.67795835565332818</v>
      </c>
      <c r="M20" s="49">
        <f t="shared" ca="1" si="5"/>
        <v>0</v>
      </c>
      <c r="N20" s="52">
        <f t="shared" ca="1" si="6"/>
        <v>0</v>
      </c>
      <c r="O20" s="53">
        <f t="shared" ca="1" si="7"/>
        <v>16236</v>
      </c>
      <c r="P20" s="409">
        <f t="shared" ca="1" si="8"/>
        <v>0.67796893268748959</v>
      </c>
      <c r="Q20" s="484"/>
      <c r="R20" s="484"/>
      <c r="S20" s="484"/>
      <c r="T20" s="485"/>
      <c r="U20" s="396"/>
      <c r="V20" s="396"/>
      <c r="W20" s="396"/>
      <c r="X20" s="396"/>
      <c r="Y20" s="396"/>
      <c r="Z20" s="396"/>
      <c r="AA20" s="396"/>
      <c r="AB20" s="396"/>
    </row>
    <row r="21" spans="2:28" s="286" customFormat="1">
      <c r="B21" s="494"/>
      <c r="C21" s="484"/>
      <c r="D21" s="406" t="s">
        <v>335</v>
      </c>
      <c r="E21" s="407">
        <f t="shared" si="0"/>
        <v>1</v>
      </c>
      <c r="F21" s="48">
        <f t="shared" si="9"/>
        <v>23948</v>
      </c>
      <c r="G21" s="49">
        <f t="shared" ca="1" si="1"/>
        <v>0</v>
      </c>
      <c r="H21" s="50">
        <f t="shared" ca="1" si="10"/>
        <v>0</v>
      </c>
      <c r="I21" s="49">
        <f t="shared" ca="1" si="2"/>
        <v>8</v>
      </c>
      <c r="J21" s="51">
        <f t="shared" ca="1" si="3"/>
        <v>3.3405712376816435E-4</v>
      </c>
      <c r="K21" s="49">
        <f t="shared" ca="1" si="11"/>
        <v>23940</v>
      </c>
      <c r="L21" s="408">
        <f t="shared" ca="1" si="4"/>
        <v>0.99966594287623178</v>
      </c>
      <c r="M21" s="49">
        <f t="shared" ca="1" si="5"/>
        <v>0</v>
      </c>
      <c r="N21" s="52">
        <f t="shared" ca="1" si="6"/>
        <v>0</v>
      </c>
      <c r="O21" s="53">
        <f t="shared" ca="1" si="7"/>
        <v>23940</v>
      </c>
      <c r="P21" s="409">
        <f t="shared" ca="1" si="8"/>
        <v>0.99966594287623178</v>
      </c>
      <c r="Q21" s="484"/>
      <c r="R21" s="484"/>
      <c r="S21" s="484"/>
      <c r="T21" s="485"/>
      <c r="U21" s="396"/>
      <c r="V21" s="396"/>
      <c r="W21" s="396"/>
      <c r="X21" s="396"/>
      <c r="Y21" s="396"/>
      <c r="Z21" s="396"/>
      <c r="AA21" s="396"/>
      <c r="AB21" s="396"/>
    </row>
    <row r="22" spans="2:28" s="286" customFormat="1">
      <c r="B22" s="494"/>
      <c r="C22" s="484"/>
      <c r="D22" s="406" t="s">
        <v>595</v>
      </c>
      <c r="E22" s="407">
        <f t="shared" si="0"/>
        <v>1</v>
      </c>
      <c r="F22" s="48">
        <f t="shared" si="9"/>
        <v>23948</v>
      </c>
      <c r="G22" s="49">
        <f t="shared" ca="1" si="1"/>
        <v>5324</v>
      </c>
      <c r="H22" s="50">
        <f ca="1">IF((G22/F22)&gt;100%,100%,(G22/F22))</f>
        <v>0.22231501586771338</v>
      </c>
      <c r="I22" s="49">
        <f t="shared" ca="1" si="2"/>
        <v>1158</v>
      </c>
      <c r="J22" s="51">
        <f t="shared" ca="1" si="3"/>
        <v>4.8354768665441791E-2</v>
      </c>
      <c r="K22" s="49">
        <f t="shared" ca="1" si="11"/>
        <v>17465.777684984132</v>
      </c>
      <c r="L22" s="408">
        <f t="shared" ca="1" si="4"/>
        <v>0.72932093222749839</v>
      </c>
      <c r="M22" s="49">
        <f t="shared" ca="1" si="5"/>
        <v>0</v>
      </c>
      <c r="N22" s="52">
        <f t="shared" ca="1" si="6"/>
        <v>0</v>
      </c>
      <c r="O22" s="53">
        <f t="shared" ca="1" si="7"/>
        <v>17466</v>
      </c>
      <c r="P22" s="409">
        <f t="shared" ca="1" si="8"/>
        <v>0.72933021546684484</v>
      </c>
      <c r="Q22" s="484"/>
      <c r="R22" s="484"/>
      <c r="S22" s="484"/>
      <c r="T22" s="485"/>
      <c r="U22" s="396"/>
      <c r="V22" s="396"/>
      <c r="W22" s="396"/>
      <c r="X22" s="396"/>
      <c r="Y22" s="396"/>
      <c r="Z22" s="396"/>
      <c r="AA22" s="396"/>
      <c r="AB22" s="396"/>
    </row>
    <row r="23" spans="2:28" s="286" customFormat="1">
      <c r="B23" s="494"/>
      <c r="C23" s="484"/>
      <c r="D23" s="587" t="s">
        <v>963</v>
      </c>
      <c r="E23" s="407">
        <f t="shared" si="0"/>
        <v>1</v>
      </c>
      <c r="F23" s="48">
        <f t="shared" si="9"/>
        <v>23948</v>
      </c>
      <c r="G23" s="49">
        <f t="shared" ca="1" si="1"/>
        <v>6065</v>
      </c>
      <c r="H23" s="50">
        <f ca="1">IF((G23/F23)&gt;100%,100%,(G23/F23))</f>
        <v>0.25325705695673961</v>
      </c>
      <c r="I23" s="49">
        <f t="shared" ca="1" si="2"/>
        <v>979</v>
      </c>
      <c r="J23" s="51">
        <f t="shared" ca="1" si="3"/>
        <v>4.088024052112911E-2</v>
      </c>
      <c r="K23" s="49">
        <f t="shared" ca="1" si="11"/>
        <v>16903.746742943044</v>
      </c>
      <c r="L23" s="408">
        <f t="shared" ca="1" si="4"/>
        <v>0.70585212723162871</v>
      </c>
      <c r="M23" s="49">
        <f t="shared" ca="1" si="5"/>
        <v>0</v>
      </c>
      <c r="N23" s="52">
        <f t="shared" ca="1" si="6"/>
        <v>0</v>
      </c>
      <c r="O23" s="53">
        <f t="shared" ca="1" si="7"/>
        <v>16904</v>
      </c>
      <c r="P23" s="409">
        <f t="shared" ca="1" si="8"/>
        <v>0.70586270252213124</v>
      </c>
      <c r="Q23" s="484"/>
      <c r="R23" s="484"/>
      <c r="S23" s="484"/>
      <c r="T23" s="485"/>
      <c r="U23" s="396"/>
      <c r="V23" s="396"/>
      <c r="W23" s="396"/>
      <c r="X23" s="396"/>
      <c r="Y23" s="396"/>
      <c r="Z23" s="396"/>
      <c r="AA23" s="396"/>
      <c r="AB23" s="396"/>
    </row>
    <row r="24" spans="2:28" s="286" customFormat="1" ht="15.75" thickBot="1">
      <c r="B24" s="494"/>
      <c r="C24" s="484"/>
      <c r="D24" s="410" t="s">
        <v>596</v>
      </c>
      <c r="E24" s="411">
        <f t="shared" si="0"/>
        <v>5</v>
      </c>
      <c r="F24" s="412">
        <f t="shared" si="9"/>
        <v>119740</v>
      </c>
      <c r="G24" s="186">
        <f t="shared" ca="1" si="1"/>
        <v>66775</v>
      </c>
      <c r="H24" s="413">
        <f t="shared" ca="1" si="10"/>
        <v>0.55766661099047932</v>
      </c>
      <c r="I24" s="186">
        <f ca="1">SUMIFS(INDIRECT(VLOOKUP($D24,NFI,3,0)),NFI_Pipeline_State,$D$6)+E24*I$9</f>
        <v>3766</v>
      </c>
      <c r="J24" s="414">
        <f t="shared" ca="1" si="3"/>
        <v>3.1451478202772672E-2</v>
      </c>
      <c r="K24" s="186">
        <f t="shared" ca="1" si="11"/>
        <v>49198.442333389015</v>
      </c>
      <c r="L24" s="415">
        <f t="shared" ca="1" si="4"/>
        <v>0.41087725349414578</v>
      </c>
      <c r="M24" s="186">
        <f t="shared" ca="1" si="5"/>
        <v>0</v>
      </c>
      <c r="N24" s="416">
        <f t="shared" ca="1" si="6"/>
        <v>0</v>
      </c>
      <c r="O24" s="417">
        <f t="shared" ca="1" si="7"/>
        <v>49199</v>
      </c>
      <c r="P24" s="418">
        <f t="shared" ca="1" si="8"/>
        <v>0.41088191080674796</v>
      </c>
      <c r="Q24" s="484"/>
      <c r="R24" s="484"/>
      <c r="S24" s="484"/>
      <c r="T24" s="485"/>
      <c r="U24" s="396"/>
      <c r="V24" s="396"/>
      <c r="W24" s="396"/>
      <c r="X24" s="396"/>
      <c r="Y24" s="396"/>
      <c r="Z24" s="396"/>
      <c r="AA24" s="396"/>
      <c r="AB24" s="396"/>
    </row>
    <row r="25" spans="2:28">
      <c r="B25" s="67"/>
      <c r="C25" s="54"/>
      <c r="D25" s="54"/>
      <c r="E25" s="54"/>
      <c r="F25" s="54"/>
      <c r="G25" s="54"/>
      <c r="H25" s="54"/>
      <c r="I25" s="54"/>
      <c r="J25" s="54"/>
      <c r="K25" s="54"/>
      <c r="L25" s="54"/>
      <c r="M25" s="54"/>
      <c r="N25" s="54"/>
      <c r="O25" s="54"/>
      <c r="P25" s="54"/>
      <c r="Q25" s="54"/>
      <c r="R25" s="54"/>
      <c r="S25" s="54"/>
      <c r="T25" s="473"/>
    </row>
    <row r="26" spans="2:28">
      <c r="B26" s="67"/>
      <c r="C26" s="54"/>
      <c r="D26" s="54"/>
      <c r="E26" s="54"/>
      <c r="F26" s="54"/>
      <c r="G26" s="54"/>
      <c r="H26" s="54"/>
      <c r="I26" s="54"/>
      <c r="J26" s="54"/>
      <c r="K26" s="54"/>
      <c r="L26" s="54"/>
      <c r="M26" s="54"/>
      <c r="N26" s="54"/>
      <c r="O26" s="54"/>
      <c r="P26" s="54"/>
      <c r="Q26" s="54"/>
      <c r="R26" s="54"/>
      <c r="S26" s="54"/>
      <c r="T26" s="473"/>
    </row>
    <row r="27" spans="2:28">
      <c r="B27" s="67"/>
      <c r="C27" s="54"/>
      <c r="D27" s="54"/>
      <c r="E27" s="54"/>
      <c r="F27" s="54"/>
      <c r="G27" s="54"/>
      <c r="H27" s="54"/>
      <c r="I27" s="54"/>
      <c r="J27" s="54"/>
      <c r="K27" s="54"/>
      <c r="L27" s="54"/>
      <c r="M27" s="54"/>
      <c r="N27" s="54"/>
      <c r="O27" s="54"/>
      <c r="P27" s="54"/>
      <c r="Q27" s="54"/>
      <c r="R27" s="54"/>
      <c r="S27" s="54"/>
      <c r="T27" s="473"/>
    </row>
    <row r="28" spans="2:28">
      <c r="B28" s="67"/>
      <c r="C28" s="54"/>
      <c r="D28" s="54"/>
      <c r="E28" s="54"/>
      <c r="F28" s="54"/>
      <c r="G28" s="54"/>
      <c r="H28" s="54"/>
      <c r="I28" s="54"/>
      <c r="J28" s="54"/>
      <c r="K28" s="54"/>
      <c r="L28" s="54"/>
      <c r="M28" s="54"/>
      <c r="N28" s="54"/>
      <c r="O28" s="54"/>
      <c r="P28" s="54"/>
      <c r="Q28" s="54"/>
      <c r="R28" s="54"/>
      <c r="S28" s="54"/>
      <c r="T28" s="473"/>
    </row>
    <row r="29" spans="2:28">
      <c r="B29" s="67"/>
      <c r="C29" s="54"/>
      <c r="D29" s="54"/>
      <c r="E29" s="54"/>
      <c r="F29" s="54"/>
      <c r="G29" s="54"/>
      <c r="H29" s="54"/>
      <c r="I29" s="54"/>
      <c r="J29" s="54"/>
      <c r="K29" s="54"/>
      <c r="L29" s="54"/>
      <c r="M29" s="54"/>
      <c r="N29" s="54"/>
      <c r="O29" s="54"/>
      <c r="P29" s="54"/>
      <c r="Q29" s="54"/>
      <c r="R29" s="54"/>
      <c r="S29" s="54"/>
      <c r="T29" s="473"/>
    </row>
    <row r="30" spans="2:28">
      <c r="B30" s="67"/>
      <c r="C30" s="54"/>
      <c r="D30" s="54"/>
      <c r="E30" s="54"/>
      <c r="F30" s="54"/>
      <c r="G30" s="54"/>
      <c r="H30" s="54"/>
      <c r="I30" s="54"/>
      <c r="J30" s="54"/>
      <c r="K30" s="54"/>
      <c r="L30" s="54"/>
      <c r="M30" s="54"/>
      <c r="N30" s="54"/>
      <c r="O30" s="54"/>
      <c r="P30" s="54"/>
      <c r="Q30" s="54"/>
      <c r="R30" s="54"/>
      <c r="S30" s="54"/>
      <c r="T30" s="473"/>
    </row>
    <row r="31" spans="2:28">
      <c r="B31" s="67"/>
      <c r="C31" s="54"/>
      <c r="D31" s="54"/>
      <c r="E31" s="54"/>
      <c r="F31" s="54"/>
      <c r="G31" s="54"/>
      <c r="H31" s="54"/>
      <c r="I31" s="54"/>
      <c r="J31" s="54"/>
      <c r="K31" s="54"/>
      <c r="L31" s="54"/>
      <c r="M31" s="54"/>
      <c r="N31" s="54"/>
      <c r="O31" s="54"/>
      <c r="P31" s="54"/>
      <c r="Q31" s="54"/>
      <c r="R31" s="54"/>
      <c r="S31" s="54"/>
      <c r="T31" s="473"/>
    </row>
    <row r="32" spans="2:28">
      <c r="B32" s="67"/>
      <c r="C32" s="54"/>
      <c r="D32" s="54"/>
      <c r="E32" s="54"/>
      <c r="F32" s="54"/>
      <c r="G32" s="54"/>
      <c r="H32" s="54"/>
      <c r="I32" s="54"/>
      <c r="J32" s="54"/>
      <c r="K32" s="54"/>
      <c r="L32" s="54"/>
      <c r="M32" s="54"/>
      <c r="N32" s="54"/>
      <c r="O32" s="54"/>
      <c r="P32" s="54"/>
      <c r="Q32" s="54"/>
      <c r="R32" s="54"/>
      <c r="S32" s="54"/>
      <c r="T32" s="473"/>
    </row>
    <row r="33" spans="2:20">
      <c r="B33" s="67"/>
      <c r="C33" s="54"/>
      <c r="D33" s="54"/>
      <c r="E33" s="54"/>
      <c r="F33" s="54"/>
      <c r="G33" s="54"/>
      <c r="H33" s="54"/>
      <c r="I33" s="54"/>
      <c r="J33" s="54"/>
      <c r="K33" s="54"/>
      <c r="L33" s="54"/>
      <c r="M33" s="54"/>
      <c r="N33" s="54"/>
      <c r="O33" s="54"/>
      <c r="P33" s="54"/>
      <c r="Q33" s="54"/>
      <c r="R33" s="54"/>
      <c r="S33" s="54"/>
      <c r="T33" s="473"/>
    </row>
    <row r="34" spans="2:20">
      <c r="B34" s="67"/>
      <c r="C34" s="54"/>
      <c r="D34" s="54"/>
      <c r="E34" s="54"/>
      <c r="F34" s="54"/>
      <c r="G34" s="54"/>
      <c r="H34" s="54"/>
      <c r="I34" s="54"/>
      <c r="J34" s="54"/>
      <c r="K34" s="54"/>
      <c r="L34" s="54"/>
      <c r="M34" s="54"/>
      <c r="N34" s="54"/>
      <c r="O34" s="54"/>
      <c r="P34" s="54"/>
      <c r="Q34" s="54"/>
      <c r="R34" s="54"/>
      <c r="S34" s="54"/>
      <c r="T34" s="473"/>
    </row>
    <row r="35" spans="2:20">
      <c r="B35" s="67"/>
      <c r="C35" s="54"/>
      <c r="D35" s="54"/>
      <c r="E35" s="54"/>
      <c r="F35" s="54"/>
      <c r="G35" s="54"/>
      <c r="H35" s="54"/>
      <c r="I35" s="54"/>
      <c r="J35" s="54"/>
      <c r="K35" s="54"/>
      <c r="L35" s="54"/>
      <c r="M35" s="54"/>
      <c r="N35" s="54"/>
      <c r="O35" s="54"/>
      <c r="P35" s="54"/>
      <c r="Q35" s="54"/>
      <c r="R35" s="54"/>
      <c r="S35" s="54"/>
      <c r="T35" s="473"/>
    </row>
    <row r="36" spans="2:20">
      <c r="B36" s="67"/>
      <c r="C36" s="54"/>
      <c r="D36" s="54"/>
      <c r="E36" s="54"/>
      <c r="F36" s="54"/>
      <c r="G36" s="54"/>
      <c r="H36" s="54"/>
      <c r="I36" s="54"/>
      <c r="J36" s="54"/>
      <c r="K36" s="54"/>
      <c r="L36" s="54"/>
      <c r="M36" s="54"/>
      <c r="N36" s="54"/>
      <c r="O36" s="54"/>
      <c r="P36" s="54"/>
      <c r="Q36" s="54"/>
      <c r="R36" s="54"/>
      <c r="S36" s="54"/>
      <c r="T36" s="473"/>
    </row>
    <row r="37" spans="2:20">
      <c r="B37" s="67"/>
      <c r="C37" s="54"/>
      <c r="D37" s="54"/>
      <c r="E37" s="54"/>
      <c r="F37" s="54"/>
      <c r="G37" s="54"/>
      <c r="H37" s="54"/>
      <c r="I37" s="54"/>
      <c r="J37" s="54"/>
      <c r="K37" s="54"/>
      <c r="L37" s="54"/>
      <c r="M37" s="54"/>
      <c r="N37" s="54"/>
      <c r="O37" s="54"/>
      <c r="P37" s="54"/>
      <c r="Q37" s="54"/>
      <c r="R37" s="54"/>
      <c r="S37" s="54"/>
      <c r="T37" s="473"/>
    </row>
    <row r="38" spans="2:20">
      <c r="B38" s="67"/>
      <c r="C38" s="54"/>
      <c r="D38" s="54"/>
      <c r="E38" s="54"/>
      <c r="F38" s="54"/>
      <c r="G38" s="54"/>
      <c r="H38" s="54"/>
      <c r="I38" s="54"/>
      <c r="J38" s="54"/>
      <c r="K38" s="54"/>
      <c r="L38" s="54"/>
      <c r="M38" s="54"/>
      <c r="N38" s="54"/>
      <c r="O38" s="54"/>
      <c r="P38" s="54"/>
      <c r="Q38" s="54"/>
      <c r="R38" s="54"/>
      <c r="S38" s="54"/>
      <c r="T38" s="473"/>
    </row>
    <row r="39" spans="2:20" ht="68.25" customHeight="1">
      <c r="B39" s="67"/>
      <c r="C39" s="54"/>
      <c r="D39" s="54"/>
      <c r="E39" s="54"/>
      <c r="F39" s="54"/>
      <c r="G39" s="54"/>
      <c r="H39" s="54"/>
      <c r="I39" s="54"/>
      <c r="J39" s="54"/>
      <c r="K39" s="54"/>
      <c r="L39" s="54"/>
      <c r="M39" s="54"/>
      <c r="N39" s="54"/>
      <c r="O39" s="54"/>
      <c r="P39" s="54"/>
      <c r="Q39" s="54"/>
      <c r="R39" s="54"/>
      <c r="S39" s="54"/>
      <c r="T39" s="473"/>
    </row>
    <row r="40" spans="2:20">
      <c r="B40" s="67"/>
      <c r="C40" s="54"/>
      <c r="D40" s="54"/>
      <c r="E40" s="54"/>
      <c r="F40" s="54"/>
      <c r="G40" s="54"/>
      <c r="H40" s="54"/>
      <c r="I40" s="54"/>
      <c r="J40" s="54"/>
      <c r="K40" s="54"/>
      <c r="L40" s="54"/>
      <c r="M40" s="54"/>
      <c r="N40" s="54"/>
      <c r="O40" s="54"/>
      <c r="P40" s="54"/>
      <c r="Q40" s="54"/>
      <c r="R40" s="54"/>
      <c r="S40" s="54"/>
      <c r="T40" s="473"/>
    </row>
    <row r="41" spans="2:20">
      <c r="B41" s="67"/>
      <c r="C41" s="54"/>
      <c r="D41" s="54"/>
      <c r="E41" s="54"/>
      <c r="F41" s="54"/>
      <c r="G41" s="54"/>
      <c r="H41" s="54"/>
      <c r="I41" s="54"/>
      <c r="J41" s="54"/>
      <c r="K41" s="54"/>
      <c r="L41" s="54"/>
      <c r="M41" s="54"/>
      <c r="N41" s="54"/>
      <c r="O41" s="54"/>
      <c r="P41" s="54"/>
      <c r="Q41" s="54"/>
      <c r="R41" s="54"/>
      <c r="S41" s="54"/>
      <c r="T41" s="473"/>
    </row>
    <row r="42" spans="2:20" ht="15.75" thickBot="1">
      <c r="B42" s="267"/>
      <c r="C42" s="477"/>
      <c r="D42" s="477"/>
      <c r="E42" s="477"/>
      <c r="F42" s="477"/>
      <c r="G42" s="477"/>
      <c r="H42" s="477"/>
      <c r="I42" s="477"/>
      <c r="J42" s="477"/>
      <c r="K42" s="477"/>
      <c r="L42" s="477"/>
      <c r="M42" s="477"/>
      <c r="N42" s="477"/>
      <c r="O42" s="477"/>
      <c r="P42" s="477"/>
      <c r="Q42" s="477"/>
      <c r="R42" s="477"/>
      <c r="S42" s="477"/>
      <c r="T42" s="478"/>
    </row>
    <row r="43" spans="2:20">
      <c r="K43" s="46"/>
    </row>
    <row r="48" spans="2:20">
      <c r="D48"/>
      <c r="E48"/>
      <c r="F48"/>
      <c r="G48"/>
      <c r="H48"/>
      <c r="I48"/>
      <c r="J48"/>
      <c r="K4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row r="100" spans="4:11">
      <c r="D100"/>
      <c r="E100"/>
      <c r="F100"/>
      <c r="G100"/>
      <c r="H100"/>
      <c r="I100"/>
      <c r="J100"/>
      <c r="K100"/>
    </row>
    <row r="101" spans="4:11">
      <c r="D101"/>
      <c r="E101"/>
      <c r="F101"/>
      <c r="G101"/>
      <c r="H101"/>
      <c r="I101"/>
      <c r="J101"/>
      <c r="K101"/>
    </row>
  </sheetData>
  <mergeCells count="2">
    <mergeCell ref="C4:J4"/>
    <mergeCell ref="C5:J5"/>
  </mergeCells>
  <pageMargins left="0.23622047244094491" right="0.23622047244094491" top="0.35433070866141736" bottom="0.35433070866141736" header="0" footer="0"/>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topLeftCell="A7" workbookViewId="0">
      <selection activeCell="H8" sqref="H8"/>
    </sheetView>
  </sheetViews>
  <sheetFormatPr defaultRowHeight="15"/>
  <cols>
    <col min="1" max="1" width="36.28515625" bestFit="1" customWidth="1"/>
    <col min="2" max="2" width="16.7109375" customWidth="1"/>
  </cols>
  <sheetData>
    <row r="2" spans="1:15">
      <c r="B2" t="s">
        <v>1011</v>
      </c>
      <c r="D2" t="s">
        <v>1021</v>
      </c>
    </row>
    <row r="3" spans="1:15">
      <c r="B3" t="s">
        <v>1013</v>
      </c>
    </row>
    <row r="5" spans="1:15">
      <c r="A5" s="31" t="s">
        <v>1017</v>
      </c>
      <c r="B5" s="633">
        <f>SUMIFS(Camplist_Popl,CampList_TypeOfAcc,"Planned Camp")</f>
        <v>98704</v>
      </c>
    </row>
    <row r="6" spans="1:15" s="100" customFormat="1">
      <c r="A6" s="31" t="s">
        <v>1019</v>
      </c>
      <c r="B6" s="633">
        <f>SUMIFS(Camplist_Popl,CampList_TypeOfAcc,"Self Settled Camp")</f>
        <v>15012</v>
      </c>
    </row>
    <row r="7" spans="1:15" s="100" customFormat="1">
      <c r="A7" s="31" t="s">
        <v>1018</v>
      </c>
      <c r="B7" s="633">
        <f>SUMIFS(Camplist_Popl,CampList_TypeOfAcc,"Host Families")</f>
        <v>6146</v>
      </c>
    </row>
    <row r="8" spans="1:15" ht="30">
      <c r="A8" s="652" t="s">
        <v>1020</v>
      </c>
      <c r="B8" s="633">
        <f>SUMIFS(Camplist_Popl,CampList_Status,"Relocated in Individual Housing")</f>
        <v>9642</v>
      </c>
    </row>
    <row r="9" spans="1:15" ht="30">
      <c r="A9" s="644" t="s">
        <v>1026</v>
      </c>
      <c r="B9" s="633">
        <f>SUMIFS(Camplist_Popl,CampList_Status,"Returned in Individual Housing")</f>
        <v>15182</v>
      </c>
      <c r="N9" s="645"/>
      <c r="O9" s="21"/>
    </row>
    <row r="10" spans="1:15">
      <c r="B10" s="634"/>
      <c r="N10" s="645"/>
      <c r="O10" s="21"/>
    </row>
    <row r="11" spans="1:15">
      <c r="B11" s="634">
        <f>SUM(B5:B9)</f>
        <v>144686</v>
      </c>
      <c r="N11" s="645"/>
      <c r="O11" s="21"/>
    </row>
    <row r="17" spans="1:1">
      <c r="A17" s="635"/>
    </row>
    <row r="18" spans="1:1">
      <c r="A18" s="636"/>
    </row>
    <row r="19" spans="1:1">
      <c r="A19" s="636"/>
    </row>
    <row r="20" spans="1:1">
      <c r="A20" s="636"/>
    </row>
  </sheetData>
  <conditionalFormatting sqref="A17:A20">
    <cfRule type="cellIs" dxfId="356" priority="1" operator="equal">
      <formula>"close"</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1"/>
  <sheetViews>
    <sheetView workbookViewId="0">
      <selection activeCell="H4" sqref="H4 J4"/>
      <pivotSelection pane="bottomRight" showHeader="1" extendable="1" dimension="1" max="1" activeRow="3" activeCol="7" click="1" r:id="rId2">
        <pivotArea dataOnly="0" outline="0" fieldPosition="0">
          <references count="1">
            <reference field="12" count="1">
              <x v="33"/>
            </reference>
          </references>
        </pivotArea>
      </pivotSelection>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55" t="s">
        <v>354</v>
      </c>
      <c r="B1" s="100" t="s">
        <v>672</v>
      </c>
      <c r="G1" s="55" t="s">
        <v>795</v>
      </c>
      <c r="H1" s="100" t="s">
        <v>672</v>
      </c>
    </row>
    <row r="2" spans="1:10">
      <c r="A2" s="55" t="s">
        <v>795</v>
      </c>
      <c r="B2" s="100" t="s">
        <v>672</v>
      </c>
    </row>
    <row r="3" spans="1:10">
      <c r="G3" s="55" t="s">
        <v>9</v>
      </c>
      <c r="H3" s="55" t="s">
        <v>8</v>
      </c>
      <c r="I3" s="55" t="s">
        <v>354</v>
      </c>
      <c r="J3" t="s">
        <v>673</v>
      </c>
    </row>
    <row r="4" spans="1:10">
      <c r="A4" s="55" t="s">
        <v>0</v>
      </c>
      <c r="B4" s="55" t="s">
        <v>9</v>
      </c>
      <c r="C4" t="s">
        <v>671</v>
      </c>
      <c r="G4" s="100" t="s">
        <v>57</v>
      </c>
      <c r="H4" s="100" t="s">
        <v>145</v>
      </c>
      <c r="I4" s="100" t="s">
        <v>357</v>
      </c>
      <c r="J4" s="4">
        <v>251</v>
      </c>
    </row>
    <row r="5" spans="1:10">
      <c r="A5" s="100" t="s">
        <v>17</v>
      </c>
      <c r="B5" s="100" t="s">
        <v>483</v>
      </c>
      <c r="C5" s="4">
        <v>1</v>
      </c>
      <c r="G5" s="100" t="s">
        <v>46</v>
      </c>
      <c r="H5" s="100" t="s">
        <v>133</v>
      </c>
      <c r="I5" s="100" t="s">
        <v>1025</v>
      </c>
      <c r="J5" s="4">
        <v>24</v>
      </c>
    </row>
    <row r="6" spans="1:10">
      <c r="A6" s="100" t="s">
        <v>17</v>
      </c>
      <c r="B6" s="100" t="s">
        <v>58</v>
      </c>
      <c r="C6" s="4">
        <v>1</v>
      </c>
      <c r="G6" s="100" t="s">
        <v>49</v>
      </c>
      <c r="H6" s="100" t="s">
        <v>136</v>
      </c>
      <c r="I6" s="100" t="s">
        <v>1025</v>
      </c>
      <c r="J6" s="4">
        <v>14</v>
      </c>
    </row>
    <row r="7" spans="1:10">
      <c r="A7" s="100" t="s">
        <v>15</v>
      </c>
      <c r="B7" s="100" t="s">
        <v>46</v>
      </c>
      <c r="C7" s="4">
        <v>1</v>
      </c>
      <c r="G7" s="100" t="s">
        <v>56</v>
      </c>
      <c r="H7" s="100" t="s">
        <v>143</v>
      </c>
      <c r="I7" s="100" t="s">
        <v>1025</v>
      </c>
      <c r="J7" s="4">
        <v>32</v>
      </c>
    </row>
    <row r="8" spans="1:10">
      <c r="A8" s="100" t="s">
        <v>15</v>
      </c>
      <c r="B8" s="100" t="s">
        <v>49</v>
      </c>
      <c r="C8" s="4">
        <v>1</v>
      </c>
      <c r="G8" s="100" t="s">
        <v>40</v>
      </c>
      <c r="H8" s="100" t="s">
        <v>127</v>
      </c>
      <c r="I8" s="100" t="s">
        <v>357</v>
      </c>
      <c r="J8" s="4">
        <v>1228</v>
      </c>
    </row>
    <row r="9" spans="1:10">
      <c r="A9" s="100" t="s">
        <v>15</v>
      </c>
      <c r="B9" s="100" t="s">
        <v>48</v>
      </c>
      <c r="C9" s="4">
        <v>1</v>
      </c>
      <c r="G9" s="100" t="s">
        <v>48</v>
      </c>
      <c r="H9" s="100" t="s">
        <v>135</v>
      </c>
      <c r="I9" s="100" t="s">
        <v>1025</v>
      </c>
      <c r="J9" s="4">
        <v>92</v>
      </c>
    </row>
    <row r="10" spans="1:10">
      <c r="A10" s="100" t="s">
        <v>15</v>
      </c>
      <c r="B10" s="100" t="s">
        <v>51</v>
      </c>
      <c r="C10" s="4">
        <v>1</v>
      </c>
      <c r="G10" s="100" t="s">
        <v>111</v>
      </c>
      <c r="H10" s="100" t="s">
        <v>200</v>
      </c>
      <c r="I10" s="100" t="s">
        <v>358</v>
      </c>
      <c r="J10" s="4"/>
    </row>
    <row r="11" spans="1:10">
      <c r="A11" s="100" t="s">
        <v>15</v>
      </c>
      <c r="B11" s="100" t="s">
        <v>50</v>
      </c>
      <c r="C11" s="4">
        <v>1</v>
      </c>
      <c r="G11" s="100" t="s">
        <v>91</v>
      </c>
      <c r="H11" s="100" t="s">
        <v>180</v>
      </c>
      <c r="I11" s="100" t="s">
        <v>358</v>
      </c>
      <c r="J11" s="4"/>
    </row>
    <row r="12" spans="1:10">
      <c r="A12" s="100" t="s">
        <v>15</v>
      </c>
      <c r="B12" s="100" t="s">
        <v>54</v>
      </c>
      <c r="C12" s="4">
        <v>1</v>
      </c>
      <c r="G12" s="100" t="s">
        <v>30</v>
      </c>
      <c r="H12" s="100" t="s">
        <v>117</v>
      </c>
      <c r="I12" s="100" t="s">
        <v>1025</v>
      </c>
      <c r="J12" s="4">
        <v>86</v>
      </c>
    </row>
    <row r="13" spans="1:10">
      <c r="A13" s="100" t="s">
        <v>15</v>
      </c>
      <c r="B13" s="100" t="s">
        <v>44</v>
      </c>
      <c r="C13" s="4">
        <v>1</v>
      </c>
      <c r="G13" s="100" t="s">
        <v>39</v>
      </c>
      <c r="H13" s="100" t="s">
        <v>126</v>
      </c>
      <c r="I13" s="100" t="s">
        <v>1012</v>
      </c>
      <c r="J13" s="4">
        <v>21</v>
      </c>
    </row>
    <row r="14" spans="1:10">
      <c r="A14" s="100" t="s">
        <v>15</v>
      </c>
      <c r="B14" s="100" t="s">
        <v>47</v>
      </c>
      <c r="C14" s="4">
        <v>1</v>
      </c>
      <c r="G14" s="100" t="s">
        <v>61</v>
      </c>
      <c r="H14" s="100" t="s">
        <v>150</v>
      </c>
      <c r="I14" s="100" t="s">
        <v>357</v>
      </c>
      <c r="J14" s="4">
        <v>397</v>
      </c>
    </row>
    <row r="15" spans="1:10">
      <c r="A15" s="100" t="s">
        <v>15</v>
      </c>
      <c r="B15" s="100" t="s">
        <v>53</v>
      </c>
      <c r="C15" s="4">
        <v>1</v>
      </c>
      <c r="G15" s="100" t="s">
        <v>101</v>
      </c>
      <c r="H15" s="100" t="s">
        <v>190</v>
      </c>
      <c r="I15" s="100" t="s">
        <v>358</v>
      </c>
      <c r="J15" s="4"/>
    </row>
    <row r="16" spans="1:10">
      <c r="A16" s="100" t="s">
        <v>15</v>
      </c>
      <c r="B16" s="100" t="s">
        <v>45</v>
      </c>
      <c r="C16" s="4">
        <v>1</v>
      </c>
      <c r="G16" s="100" t="s">
        <v>62</v>
      </c>
      <c r="H16" s="100" t="s">
        <v>151</v>
      </c>
      <c r="I16" s="100" t="s">
        <v>358</v>
      </c>
      <c r="J16" s="4"/>
    </row>
    <row r="17" spans="1:10">
      <c r="A17" s="100" t="s">
        <v>15</v>
      </c>
      <c r="B17" s="100" t="s">
        <v>52</v>
      </c>
      <c r="C17" s="4">
        <v>1</v>
      </c>
      <c r="G17" s="100" t="s">
        <v>568</v>
      </c>
      <c r="H17" s="100" t="s">
        <v>569</v>
      </c>
      <c r="I17" s="100" t="s">
        <v>357</v>
      </c>
      <c r="J17" s="4">
        <v>41</v>
      </c>
    </row>
    <row r="18" spans="1:10">
      <c r="A18" s="100" t="s">
        <v>20</v>
      </c>
      <c r="B18" s="100" t="s">
        <v>111</v>
      </c>
      <c r="C18" s="4">
        <v>1</v>
      </c>
      <c r="G18" s="100" t="s">
        <v>648</v>
      </c>
      <c r="H18" s="100" t="s">
        <v>650</v>
      </c>
      <c r="I18" s="100" t="s">
        <v>357</v>
      </c>
      <c r="J18" s="4">
        <v>997</v>
      </c>
    </row>
    <row r="19" spans="1:10">
      <c r="A19" s="100" t="s">
        <v>20</v>
      </c>
      <c r="B19" s="100" t="s">
        <v>101</v>
      </c>
      <c r="C19" s="4">
        <v>1</v>
      </c>
      <c r="G19" s="100" t="s">
        <v>649</v>
      </c>
      <c r="H19" s="100" t="s">
        <v>651</v>
      </c>
      <c r="I19" s="100" t="s">
        <v>357</v>
      </c>
      <c r="J19" s="4">
        <v>1297</v>
      </c>
    </row>
    <row r="20" spans="1:10">
      <c r="A20" s="100" t="s">
        <v>20</v>
      </c>
      <c r="B20" s="100" t="s">
        <v>106</v>
      </c>
      <c r="C20" s="4">
        <v>1</v>
      </c>
      <c r="G20" s="100" t="s">
        <v>106</v>
      </c>
      <c r="H20" s="100" t="s">
        <v>195</v>
      </c>
      <c r="I20" s="100" t="s">
        <v>357</v>
      </c>
      <c r="J20" s="4">
        <v>16</v>
      </c>
    </row>
    <row r="21" spans="1:10">
      <c r="A21" s="100" t="s">
        <v>20</v>
      </c>
      <c r="B21" s="100" t="s">
        <v>632</v>
      </c>
      <c r="C21" s="4">
        <v>1</v>
      </c>
      <c r="G21" s="100" t="s">
        <v>632</v>
      </c>
      <c r="H21" s="100" t="s">
        <v>636</v>
      </c>
      <c r="I21" s="100" t="s">
        <v>358</v>
      </c>
      <c r="J21" s="4"/>
    </row>
    <row r="22" spans="1:10">
      <c r="A22" s="100" t="s">
        <v>20</v>
      </c>
      <c r="B22" s="100" t="s">
        <v>110</v>
      </c>
      <c r="C22" s="4">
        <v>1</v>
      </c>
      <c r="G22" s="100" t="s">
        <v>73</v>
      </c>
      <c r="H22" s="100" t="s">
        <v>162</v>
      </c>
      <c r="I22" s="100" t="s">
        <v>358</v>
      </c>
      <c r="J22" s="4"/>
    </row>
    <row r="23" spans="1:10">
      <c r="A23" s="100" t="s">
        <v>20</v>
      </c>
      <c r="B23" s="100" t="s">
        <v>635</v>
      </c>
      <c r="C23" s="4">
        <v>1</v>
      </c>
      <c r="G23" s="100" t="s">
        <v>74</v>
      </c>
      <c r="H23" s="100" t="s">
        <v>163</v>
      </c>
      <c r="I23" s="100" t="s">
        <v>358</v>
      </c>
      <c r="J23" s="4"/>
    </row>
    <row r="24" spans="1:10">
      <c r="A24" s="100" t="s">
        <v>20</v>
      </c>
      <c r="B24" s="100" t="s">
        <v>103</v>
      </c>
      <c r="C24" s="4">
        <v>1</v>
      </c>
      <c r="G24" s="100" t="s">
        <v>623</v>
      </c>
      <c r="H24" s="100" t="s">
        <v>144</v>
      </c>
      <c r="I24" s="100" t="s">
        <v>357</v>
      </c>
      <c r="J24" s="4">
        <v>217</v>
      </c>
    </row>
    <row r="25" spans="1:10">
      <c r="A25" s="100" t="s">
        <v>20</v>
      </c>
      <c r="B25" s="100" t="s">
        <v>102</v>
      </c>
      <c r="C25" s="4">
        <v>1</v>
      </c>
      <c r="G25" s="100" t="s">
        <v>81</v>
      </c>
      <c r="H25" s="100" t="s">
        <v>170</v>
      </c>
      <c r="I25" s="100" t="s">
        <v>358</v>
      </c>
      <c r="J25" s="4"/>
    </row>
    <row r="26" spans="1:10">
      <c r="A26" s="100" t="s">
        <v>20</v>
      </c>
      <c r="B26" s="100" t="s">
        <v>100</v>
      </c>
      <c r="C26" s="4">
        <v>1</v>
      </c>
      <c r="G26" s="100" t="s">
        <v>82</v>
      </c>
      <c r="H26" s="100" t="s">
        <v>171</v>
      </c>
      <c r="I26" s="100" t="s">
        <v>358</v>
      </c>
      <c r="J26" s="4"/>
    </row>
    <row r="27" spans="1:10">
      <c r="A27" s="100" t="s">
        <v>20</v>
      </c>
      <c r="B27" s="100" t="s">
        <v>109</v>
      </c>
      <c r="C27" s="4">
        <v>1</v>
      </c>
      <c r="G27" s="100" t="s">
        <v>77</v>
      </c>
      <c r="H27" s="100" t="s">
        <v>166</v>
      </c>
      <c r="I27" s="100" t="s">
        <v>358</v>
      </c>
      <c r="J27" s="4"/>
    </row>
    <row r="28" spans="1:10">
      <c r="A28" s="100" t="s">
        <v>20</v>
      </c>
      <c r="B28" s="100" t="s">
        <v>98</v>
      </c>
      <c r="C28" s="4">
        <v>1</v>
      </c>
      <c r="G28" s="100" t="s">
        <v>63</v>
      </c>
      <c r="H28" s="100" t="s">
        <v>152</v>
      </c>
      <c r="I28" s="100" t="s">
        <v>357</v>
      </c>
      <c r="J28" s="4">
        <v>1397</v>
      </c>
    </row>
    <row r="29" spans="1:10">
      <c r="A29" s="100" t="s">
        <v>20</v>
      </c>
      <c r="B29" s="100" t="s">
        <v>905</v>
      </c>
      <c r="C29" s="4">
        <v>1</v>
      </c>
      <c r="G29" s="100" t="s">
        <v>557</v>
      </c>
      <c r="H29" s="100" t="s">
        <v>558</v>
      </c>
      <c r="I29" s="100" t="s">
        <v>357</v>
      </c>
      <c r="J29" s="4">
        <v>518</v>
      </c>
    </row>
    <row r="30" spans="1:10">
      <c r="A30" s="100" t="s">
        <v>20</v>
      </c>
      <c r="B30" s="100" t="s">
        <v>104</v>
      </c>
      <c r="C30" s="4">
        <v>1</v>
      </c>
      <c r="G30" s="100" t="s">
        <v>79</v>
      </c>
      <c r="H30" s="100" t="s">
        <v>168</v>
      </c>
      <c r="I30" s="100" t="s">
        <v>358</v>
      </c>
      <c r="J30" s="4"/>
    </row>
    <row r="31" spans="1:10">
      <c r="A31" s="100" t="s">
        <v>20</v>
      </c>
      <c r="B31" s="100" t="s">
        <v>906</v>
      </c>
      <c r="C31" s="4">
        <v>1</v>
      </c>
      <c r="G31" s="100" t="s">
        <v>110</v>
      </c>
      <c r="H31" s="100" t="s">
        <v>199</v>
      </c>
      <c r="I31" s="100" t="s">
        <v>357</v>
      </c>
      <c r="J31" s="4">
        <v>48</v>
      </c>
    </row>
    <row r="32" spans="1:10">
      <c r="A32" s="100" t="s">
        <v>20</v>
      </c>
      <c r="B32" s="100" t="s">
        <v>99</v>
      </c>
      <c r="C32" s="4">
        <v>1</v>
      </c>
      <c r="G32" s="100" t="s">
        <v>51</v>
      </c>
      <c r="H32" s="100" t="s">
        <v>138</v>
      </c>
      <c r="I32" s="100" t="s">
        <v>1025</v>
      </c>
      <c r="J32" s="4">
        <v>116</v>
      </c>
    </row>
    <row r="33" spans="1:10">
      <c r="A33" s="100" t="s">
        <v>20</v>
      </c>
      <c r="B33" s="100" t="s">
        <v>108</v>
      </c>
      <c r="C33" s="4">
        <v>1</v>
      </c>
      <c r="G33" s="100" t="s">
        <v>95</v>
      </c>
      <c r="H33" s="100" t="s">
        <v>184</v>
      </c>
      <c r="I33" s="100" t="s">
        <v>358</v>
      </c>
      <c r="J33" s="4"/>
    </row>
    <row r="34" spans="1:10">
      <c r="A34" s="100" t="s">
        <v>20</v>
      </c>
      <c r="B34" s="100" t="s">
        <v>907</v>
      </c>
      <c r="C34" s="4">
        <v>1</v>
      </c>
      <c r="G34" s="100" t="s">
        <v>83</v>
      </c>
      <c r="H34" s="100" t="s">
        <v>172</v>
      </c>
      <c r="I34" s="100" t="s">
        <v>358</v>
      </c>
      <c r="J34" s="4"/>
    </row>
    <row r="35" spans="1:10">
      <c r="A35" s="100" t="s">
        <v>20</v>
      </c>
      <c r="B35" s="100" t="s">
        <v>107</v>
      </c>
      <c r="C35" s="4">
        <v>1</v>
      </c>
      <c r="G35" s="100" t="s">
        <v>566</v>
      </c>
      <c r="H35" s="100" t="s">
        <v>567</v>
      </c>
      <c r="I35" s="100" t="s">
        <v>358</v>
      </c>
      <c r="J35" s="4"/>
    </row>
    <row r="36" spans="1:10">
      <c r="A36" s="100" t="s">
        <v>20</v>
      </c>
      <c r="B36" s="100" t="s">
        <v>633</v>
      </c>
      <c r="C36" s="4">
        <v>1</v>
      </c>
      <c r="G36" s="100" t="s">
        <v>71</v>
      </c>
      <c r="H36" s="100" t="s">
        <v>160</v>
      </c>
      <c r="I36" s="100" t="s">
        <v>358</v>
      </c>
      <c r="J36" s="4"/>
    </row>
    <row r="37" spans="1:10">
      <c r="A37" s="100" t="s">
        <v>20</v>
      </c>
      <c r="B37" s="100" t="s">
        <v>634</v>
      </c>
      <c r="C37" s="4">
        <v>1</v>
      </c>
      <c r="G37" s="100" t="s">
        <v>635</v>
      </c>
      <c r="H37" s="100" t="s">
        <v>639</v>
      </c>
      <c r="I37" s="100" t="s">
        <v>357</v>
      </c>
      <c r="J37" s="4">
        <v>59</v>
      </c>
    </row>
    <row r="38" spans="1:10">
      <c r="A38" s="100" t="s">
        <v>11</v>
      </c>
      <c r="B38" s="100" t="s">
        <v>30</v>
      </c>
      <c r="C38" s="4">
        <v>1</v>
      </c>
      <c r="G38" s="100" t="s">
        <v>50</v>
      </c>
      <c r="H38" s="100" t="s">
        <v>137</v>
      </c>
      <c r="I38" s="100" t="s">
        <v>1025</v>
      </c>
      <c r="J38" s="4">
        <v>236</v>
      </c>
    </row>
    <row r="39" spans="1:10">
      <c r="A39" s="100" t="s">
        <v>11</v>
      </c>
      <c r="B39" s="100" t="s">
        <v>28</v>
      </c>
      <c r="C39" s="4">
        <v>1</v>
      </c>
      <c r="G39" s="100" t="s">
        <v>483</v>
      </c>
      <c r="H39" s="100" t="s">
        <v>147</v>
      </c>
      <c r="I39" s="100" t="s">
        <v>357</v>
      </c>
      <c r="J39" s="4">
        <v>65</v>
      </c>
    </row>
    <row r="40" spans="1:10">
      <c r="A40" s="100" t="s">
        <v>11</v>
      </c>
      <c r="B40" s="100" t="s">
        <v>25</v>
      </c>
      <c r="C40" s="4">
        <v>1</v>
      </c>
      <c r="G40" s="100" t="s">
        <v>37</v>
      </c>
      <c r="H40" s="100" t="s">
        <v>124</v>
      </c>
      <c r="I40" s="100" t="s">
        <v>357</v>
      </c>
      <c r="J40" s="4">
        <v>42</v>
      </c>
    </row>
    <row r="41" spans="1:10">
      <c r="A41" s="100" t="s">
        <v>11</v>
      </c>
      <c r="B41" s="100" t="s">
        <v>32</v>
      </c>
      <c r="C41" s="4">
        <v>1</v>
      </c>
      <c r="G41" s="100" t="s">
        <v>103</v>
      </c>
      <c r="H41" s="100" t="s">
        <v>192</v>
      </c>
      <c r="I41" s="100" t="s">
        <v>358</v>
      </c>
      <c r="J41" s="4"/>
    </row>
    <row r="42" spans="1:10">
      <c r="A42" s="100" t="s">
        <v>11</v>
      </c>
      <c r="B42" s="100" t="s">
        <v>27</v>
      </c>
      <c r="C42" s="4">
        <v>1</v>
      </c>
      <c r="G42" s="100" t="s">
        <v>93</v>
      </c>
      <c r="H42" s="100" t="s">
        <v>182</v>
      </c>
      <c r="I42" s="100" t="s">
        <v>358</v>
      </c>
      <c r="J42" s="4"/>
    </row>
    <row r="43" spans="1:10">
      <c r="A43" s="100" t="s">
        <v>11</v>
      </c>
      <c r="B43" s="100" t="s">
        <v>573</v>
      </c>
      <c r="C43" s="4">
        <v>1</v>
      </c>
      <c r="G43" s="100" t="s">
        <v>64</v>
      </c>
      <c r="H43" s="100" t="s">
        <v>153</v>
      </c>
      <c r="I43" s="100" t="s">
        <v>357</v>
      </c>
      <c r="J43" s="4">
        <v>799</v>
      </c>
    </row>
    <row r="44" spans="1:10">
      <c r="A44" s="100" t="s">
        <v>11</v>
      </c>
      <c r="B44" s="100" t="s">
        <v>26</v>
      </c>
      <c r="C44" s="4">
        <v>1</v>
      </c>
      <c r="G44" s="100" t="s">
        <v>54</v>
      </c>
      <c r="H44" s="100" t="s">
        <v>141</v>
      </c>
      <c r="I44" s="100" t="s">
        <v>1012</v>
      </c>
      <c r="J44" s="4">
        <v>97</v>
      </c>
    </row>
    <row r="45" spans="1:10">
      <c r="A45" s="100" t="s">
        <v>11</v>
      </c>
      <c r="B45" s="100" t="s">
        <v>29</v>
      </c>
      <c r="C45" s="4">
        <v>1</v>
      </c>
      <c r="G45" s="100" t="s">
        <v>102</v>
      </c>
      <c r="H45" s="100" t="s">
        <v>191</v>
      </c>
      <c r="I45" s="100" t="s">
        <v>358</v>
      </c>
      <c r="J45" s="4"/>
    </row>
    <row r="46" spans="1:10">
      <c r="A46" s="100" t="s">
        <v>11</v>
      </c>
      <c r="B46" s="100" t="s">
        <v>31</v>
      </c>
      <c r="C46" s="4">
        <v>1</v>
      </c>
      <c r="G46" s="100" t="s">
        <v>409</v>
      </c>
      <c r="H46" s="100" t="s">
        <v>624</v>
      </c>
      <c r="I46" s="100" t="s">
        <v>357</v>
      </c>
      <c r="J46" s="4">
        <v>193</v>
      </c>
    </row>
    <row r="47" spans="1:10">
      <c r="A47" s="100" t="s">
        <v>12</v>
      </c>
      <c r="B47" s="100" t="s">
        <v>35</v>
      </c>
      <c r="C47" s="4">
        <v>1</v>
      </c>
      <c r="G47" s="100" t="s">
        <v>100</v>
      </c>
      <c r="H47" s="100" t="s">
        <v>189</v>
      </c>
      <c r="I47" s="100" t="s">
        <v>358</v>
      </c>
      <c r="J47" s="4"/>
    </row>
    <row r="48" spans="1:10">
      <c r="A48" s="100" t="s">
        <v>12</v>
      </c>
      <c r="B48" s="100" t="s">
        <v>33</v>
      </c>
      <c r="C48" s="4">
        <v>1</v>
      </c>
      <c r="G48" s="100" t="s">
        <v>58</v>
      </c>
      <c r="H48" s="100" t="s">
        <v>146</v>
      </c>
      <c r="I48" s="100" t="s">
        <v>357</v>
      </c>
      <c r="J48" s="4">
        <v>427</v>
      </c>
    </row>
    <row r="49" spans="1:10">
      <c r="A49" s="100" t="s">
        <v>12</v>
      </c>
      <c r="B49" s="100" t="s">
        <v>36</v>
      </c>
      <c r="C49" s="4">
        <v>1</v>
      </c>
      <c r="G49" s="100" t="s">
        <v>42</v>
      </c>
      <c r="H49" s="100" t="s">
        <v>129</v>
      </c>
      <c r="I49" s="100" t="s">
        <v>357</v>
      </c>
      <c r="J49" s="4">
        <v>1152</v>
      </c>
    </row>
    <row r="50" spans="1:10">
      <c r="A50" s="100" t="s">
        <v>12</v>
      </c>
      <c r="B50" s="100" t="s">
        <v>645</v>
      </c>
      <c r="C50" s="4">
        <v>1</v>
      </c>
      <c r="G50" s="100" t="s">
        <v>109</v>
      </c>
      <c r="H50" s="100" t="s">
        <v>198</v>
      </c>
      <c r="I50" s="100" t="s">
        <v>358</v>
      </c>
      <c r="J50" s="4"/>
    </row>
    <row r="51" spans="1:10">
      <c r="A51" s="100" t="s">
        <v>12</v>
      </c>
      <c r="B51" s="100" t="s">
        <v>34</v>
      </c>
      <c r="C51" s="4">
        <v>1</v>
      </c>
      <c r="G51" s="100" t="s">
        <v>84</v>
      </c>
      <c r="H51" s="100" t="s">
        <v>173</v>
      </c>
      <c r="I51" s="100" t="s">
        <v>358</v>
      </c>
      <c r="J51" s="4"/>
    </row>
    <row r="52" spans="1:10">
      <c r="A52" s="100" t="s">
        <v>900</v>
      </c>
      <c r="B52" s="100" t="s">
        <v>37</v>
      </c>
      <c r="C52" s="4">
        <v>1</v>
      </c>
      <c r="G52" s="100" t="s">
        <v>44</v>
      </c>
      <c r="H52" s="100" t="s">
        <v>131</v>
      </c>
      <c r="I52" s="100" t="s">
        <v>1025</v>
      </c>
      <c r="J52" s="4">
        <v>18</v>
      </c>
    </row>
    <row r="53" spans="1:10">
      <c r="A53" s="100" t="s">
        <v>900</v>
      </c>
      <c r="B53" s="100" t="s">
        <v>38</v>
      </c>
      <c r="C53" s="4">
        <v>1</v>
      </c>
      <c r="G53" s="100" t="s">
        <v>75</v>
      </c>
      <c r="H53" s="100" t="s">
        <v>164</v>
      </c>
      <c r="I53" s="100" t="s">
        <v>358</v>
      </c>
      <c r="J53" s="4"/>
    </row>
    <row r="54" spans="1:10">
      <c r="A54" s="100" t="s">
        <v>14</v>
      </c>
      <c r="B54" s="100" t="s">
        <v>40</v>
      </c>
      <c r="C54" s="4">
        <v>1</v>
      </c>
      <c r="G54" s="100" t="s">
        <v>94</v>
      </c>
      <c r="H54" s="100" t="s">
        <v>183</v>
      </c>
      <c r="I54" s="100" t="s">
        <v>358</v>
      </c>
      <c r="J54" s="4"/>
    </row>
    <row r="55" spans="1:10">
      <c r="A55" s="100" t="s">
        <v>14</v>
      </c>
      <c r="B55" s="100" t="s">
        <v>39</v>
      </c>
      <c r="C55" s="4">
        <v>1</v>
      </c>
      <c r="G55" s="100" t="s">
        <v>647</v>
      </c>
      <c r="H55" s="100" t="s">
        <v>283</v>
      </c>
      <c r="I55" s="100" t="s">
        <v>357</v>
      </c>
      <c r="J55" s="4">
        <v>624</v>
      </c>
    </row>
    <row r="56" spans="1:10">
      <c r="A56" s="100" t="s">
        <v>14</v>
      </c>
      <c r="B56" s="100" t="s">
        <v>42</v>
      </c>
      <c r="C56" s="4">
        <v>1</v>
      </c>
      <c r="G56" s="100" t="s">
        <v>98</v>
      </c>
      <c r="H56" s="100" t="s">
        <v>187</v>
      </c>
      <c r="I56" s="100" t="s">
        <v>358</v>
      </c>
      <c r="J56" s="4"/>
    </row>
    <row r="57" spans="1:10">
      <c r="A57" s="100" t="s">
        <v>14</v>
      </c>
      <c r="B57" s="100" t="s">
        <v>41</v>
      </c>
      <c r="C57" s="4">
        <v>2</v>
      </c>
      <c r="G57" s="100" t="s">
        <v>76</v>
      </c>
      <c r="H57" s="100" t="s">
        <v>165</v>
      </c>
      <c r="I57" s="100" t="s">
        <v>358</v>
      </c>
      <c r="J57" s="4"/>
    </row>
    <row r="58" spans="1:10">
      <c r="A58" s="100" t="s">
        <v>14</v>
      </c>
      <c r="B58" s="100" t="s">
        <v>43</v>
      </c>
      <c r="C58" s="4">
        <v>1</v>
      </c>
      <c r="G58" s="100" t="s">
        <v>35</v>
      </c>
      <c r="H58" s="100" t="s">
        <v>122</v>
      </c>
      <c r="I58" s="100" t="s">
        <v>358</v>
      </c>
      <c r="J58" s="4"/>
    </row>
    <row r="59" spans="1:10">
      <c r="A59" s="100" t="s">
        <v>14</v>
      </c>
      <c r="B59" s="100" t="s">
        <v>556</v>
      </c>
      <c r="C59" s="4">
        <v>1</v>
      </c>
      <c r="G59" s="100" t="s">
        <v>85</v>
      </c>
      <c r="H59" s="100" t="s">
        <v>174</v>
      </c>
      <c r="I59" s="100" t="s">
        <v>358</v>
      </c>
      <c r="J59" s="4"/>
    </row>
    <row r="60" spans="1:10">
      <c r="A60" s="100" t="s">
        <v>18</v>
      </c>
      <c r="B60" s="100" t="s">
        <v>60</v>
      </c>
      <c r="C60" s="4">
        <v>1</v>
      </c>
      <c r="G60" s="100" t="s">
        <v>905</v>
      </c>
      <c r="H60" s="100" t="s">
        <v>194</v>
      </c>
      <c r="I60" s="100" t="s">
        <v>357</v>
      </c>
      <c r="J60" s="4">
        <v>20</v>
      </c>
    </row>
    <row r="61" spans="1:10">
      <c r="A61" s="100" t="s">
        <v>18</v>
      </c>
      <c r="B61" s="100" t="s">
        <v>59</v>
      </c>
      <c r="C61" s="4">
        <v>1</v>
      </c>
      <c r="G61" s="100" t="s">
        <v>28</v>
      </c>
      <c r="H61" s="100" t="s">
        <v>115</v>
      </c>
      <c r="I61" s="100" t="s">
        <v>358</v>
      </c>
      <c r="J61" s="4"/>
    </row>
    <row r="62" spans="1:10">
      <c r="A62" s="100" t="s">
        <v>16</v>
      </c>
      <c r="B62" s="100" t="s">
        <v>57</v>
      </c>
      <c r="C62" s="4">
        <v>1</v>
      </c>
      <c r="G62" s="100" t="s">
        <v>41</v>
      </c>
      <c r="H62" s="100" t="s">
        <v>128</v>
      </c>
      <c r="I62" s="100" t="s">
        <v>357</v>
      </c>
      <c r="J62" s="4">
        <v>857</v>
      </c>
    </row>
    <row r="63" spans="1:10">
      <c r="A63" s="100" t="s">
        <v>16</v>
      </c>
      <c r="B63" s="100" t="s">
        <v>56</v>
      </c>
      <c r="C63" s="4">
        <v>1</v>
      </c>
      <c r="I63" s="100" t="s">
        <v>1012</v>
      </c>
      <c r="J63" s="4">
        <v>891</v>
      </c>
    </row>
    <row r="64" spans="1:10">
      <c r="A64" s="100" t="s">
        <v>16</v>
      </c>
      <c r="B64" s="100" t="s">
        <v>623</v>
      </c>
      <c r="C64" s="4">
        <v>1</v>
      </c>
      <c r="G64" s="100" t="s">
        <v>47</v>
      </c>
      <c r="H64" s="100" t="s">
        <v>134</v>
      </c>
      <c r="I64" s="100" t="s">
        <v>357</v>
      </c>
      <c r="J64" s="4">
        <v>85</v>
      </c>
    </row>
    <row r="65" spans="1:10">
      <c r="A65" s="100" t="s">
        <v>16</v>
      </c>
      <c r="B65" s="100" t="s">
        <v>409</v>
      </c>
      <c r="C65" s="4">
        <v>1</v>
      </c>
      <c r="G65" s="100" t="s">
        <v>55</v>
      </c>
      <c r="H65" s="100" t="s">
        <v>142</v>
      </c>
      <c r="I65" s="100" t="s">
        <v>1025</v>
      </c>
      <c r="J65" s="4">
        <v>54</v>
      </c>
    </row>
    <row r="66" spans="1:10">
      <c r="A66" s="100" t="s">
        <v>16</v>
      </c>
      <c r="B66" s="100" t="s">
        <v>55</v>
      </c>
      <c r="C66" s="4">
        <v>1</v>
      </c>
      <c r="G66" s="100" t="s">
        <v>104</v>
      </c>
      <c r="H66" s="100" t="s">
        <v>193</v>
      </c>
      <c r="I66" s="100" t="s">
        <v>357</v>
      </c>
      <c r="J66" s="4">
        <v>6</v>
      </c>
    </row>
    <row r="67" spans="1:10">
      <c r="A67" s="100" t="s">
        <v>19</v>
      </c>
      <c r="B67" s="100" t="s">
        <v>91</v>
      </c>
      <c r="C67" s="4">
        <v>1</v>
      </c>
      <c r="G67" s="100" t="s">
        <v>652</v>
      </c>
      <c r="H67" s="100" t="s">
        <v>560</v>
      </c>
      <c r="I67" s="100" t="s">
        <v>357</v>
      </c>
      <c r="J67" s="4">
        <v>649</v>
      </c>
    </row>
    <row r="68" spans="1:10">
      <c r="A68" s="100" t="s">
        <v>19</v>
      </c>
      <c r="B68" s="100" t="s">
        <v>61</v>
      </c>
      <c r="C68" s="4">
        <v>1</v>
      </c>
      <c r="G68" s="100" t="s">
        <v>653</v>
      </c>
      <c r="H68" s="100" t="s">
        <v>655</v>
      </c>
      <c r="I68" s="100" t="s">
        <v>357</v>
      </c>
      <c r="J68" s="4">
        <v>2629</v>
      </c>
    </row>
    <row r="69" spans="1:10">
      <c r="A69" s="100" t="s">
        <v>19</v>
      </c>
      <c r="B69" s="100" t="s">
        <v>62</v>
      </c>
      <c r="C69" s="4">
        <v>1</v>
      </c>
      <c r="G69" s="100" t="s">
        <v>654</v>
      </c>
      <c r="H69" s="100" t="s">
        <v>656</v>
      </c>
      <c r="I69" s="100" t="s">
        <v>357</v>
      </c>
      <c r="J69" s="4">
        <v>2245</v>
      </c>
    </row>
    <row r="70" spans="1:10">
      <c r="A70" s="100" t="s">
        <v>19</v>
      </c>
      <c r="B70" s="100" t="s">
        <v>568</v>
      </c>
      <c r="C70" s="4">
        <v>1</v>
      </c>
      <c r="G70" s="100" t="s">
        <v>65</v>
      </c>
      <c r="H70" s="100" t="s">
        <v>154</v>
      </c>
      <c r="I70" s="100" t="s">
        <v>358</v>
      </c>
      <c r="J70" s="4"/>
    </row>
    <row r="71" spans="1:10">
      <c r="A71" s="100" t="s">
        <v>19</v>
      </c>
      <c r="B71" s="100" t="s">
        <v>648</v>
      </c>
      <c r="C71" s="4">
        <v>1</v>
      </c>
      <c r="G71" s="100" t="s">
        <v>246</v>
      </c>
      <c r="H71" s="100" t="s">
        <v>281</v>
      </c>
      <c r="I71" s="100" t="s">
        <v>358</v>
      </c>
      <c r="J71" s="4"/>
    </row>
    <row r="72" spans="1:10">
      <c r="A72" s="100" t="s">
        <v>19</v>
      </c>
      <c r="B72" s="100" t="s">
        <v>649</v>
      </c>
      <c r="C72" s="4">
        <v>1</v>
      </c>
      <c r="G72" s="100" t="s">
        <v>277</v>
      </c>
      <c r="H72" s="100" t="s">
        <v>561</v>
      </c>
      <c r="I72" s="100" t="s">
        <v>358</v>
      </c>
      <c r="J72" s="4"/>
    </row>
    <row r="73" spans="1:10">
      <c r="A73" s="100" t="s">
        <v>19</v>
      </c>
      <c r="B73" s="100" t="s">
        <v>73</v>
      </c>
      <c r="C73" s="4">
        <v>1</v>
      </c>
      <c r="G73" s="100" t="s">
        <v>278</v>
      </c>
      <c r="H73" s="100" t="s">
        <v>563</v>
      </c>
      <c r="I73" s="100" t="s">
        <v>358</v>
      </c>
      <c r="J73" s="4"/>
    </row>
    <row r="74" spans="1:10">
      <c r="A74" s="100" t="s">
        <v>19</v>
      </c>
      <c r="B74" s="100" t="s">
        <v>74</v>
      </c>
      <c r="C74" s="4">
        <v>1</v>
      </c>
      <c r="G74" s="100" t="s">
        <v>72</v>
      </c>
      <c r="H74" s="100" t="s">
        <v>161</v>
      </c>
      <c r="I74" s="100" t="s">
        <v>358</v>
      </c>
      <c r="J74" s="4"/>
    </row>
    <row r="75" spans="1:10">
      <c r="A75" s="100" t="s">
        <v>19</v>
      </c>
      <c r="B75" s="100" t="s">
        <v>81</v>
      </c>
      <c r="C75" s="4">
        <v>1</v>
      </c>
      <c r="G75" s="100" t="s">
        <v>33</v>
      </c>
      <c r="H75" s="100" t="s">
        <v>120</v>
      </c>
      <c r="I75" s="100" t="s">
        <v>1025</v>
      </c>
      <c r="J75" s="4">
        <v>204</v>
      </c>
    </row>
    <row r="76" spans="1:10">
      <c r="A76" s="100" t="s">
        <v>19</v>
      </c>
      <c r="B76" s="100" t="s">
        <v>82</v>
      </c>
      <c r="C76" s="4">
        <v>1</v>
      </c>
      <c r="G76" s="100" t="s">
        <v>25</v>
      </c>
      <c r="H76" s="100" t="s">
        <v>112</v>
      </c>
      <c r="I76" s="100" t="s">
        <v>1025</v>
      </c>
      <c r="J76" s="4">
        <v>19</v>
      </c>
    </row>
    <row r="77" spans="1:10">
      <c r="A77" s="100" t="s">
        <v>19</v>
      </c>
      <c r="B77" s="100" t="s">
        <v>77</v>
      </c>
      <c r="C77" s="4">
        <v>1</v>
      </c>
      <c r="G77" s="100" t="s">
        <v>66</v>
      </c>
      <c r="H77" s="100" t="s">
        <v>155</v>
      </c>
      <c r="I77" s="100" t="s">
        <v>358</v>
      </c>
      <c r="J77" s="4"/>
    </row>
    <row r="78" spans="1:10">
      <c r="A78" s="100" t="s">
        <v>19</v>
      </c>
      <c r="B78" s="100" t="s">
        <v>63</v>
      </c>
      <c r="C78" s="4">
        <v>1</v>
      </c>
      <c r="G78" s="100" t="s">
        <v>86</v>
      </c>
      <c r="H78" s="100" t="s">
        <v>175</v>
      </c>
      <c r="I78" s="100" t="s">
        <v>358</v>
      </c>
      <c r="J78" s="4"/>
    </row>
    <row r="79" spans="1:10">
      <c r="A79" s="100" t="s">
        <v>19</v>
      </c>
      <c r="B79" s="100" t="s">
        <v>557</v>
      </c>
      <c r="C79" s="4">
        <v>1</v>
      </c>
      <c r="G79" s="100" t="s">
        <v>60</v>
      </c>
      <c r="H79" s="100" t="s">
        <v>149</v>
      </c>
      <c r="I79" s="100" t="s">
        <v>357</v>
      </c>
      <c r="J79" s="4">
        <v>18</v>
      </c>
    </row>
    <row r="80" spans="1:10">
      <c r="A80" s="100" t="s">
        <v>19</v>
      </c>
      <c r="B80" s="100" t="s">
        <v>79</v>
      </c>
      <c r="C80" s="4">
        <v>1</v>
      </c>
      <c r="G80" s="100" t="s">
        <v>59</v>
      </c>
      <c r="H80" s="100" t="s">
        <v>148</v>
      </c>
      <c r="I80" s="100" t="s">
        <v>357</v>
      </c>
      <c r="J80" s="4">
        <v>57</v>
      </c>
    </row>
    <row r="81" spans="1:10">
      <c r="A81" s="100" t="s">
        <v>19</v>
      </c>
      <c r="B81" s="100" t="s">
        <v>95</v>
      </c>
      <c r="C81" s="4">
        <v>1</v>
      </c>
      <c r="G81" s="100" t="s">
        <v>36</v>
      </c>
      <c r="H81" s="100" t="s">
        <v>123</v>
      </c>
      <c r="I81" s="100" t="s">
        <v>1012</v>
      </c>
      <c r="J81" s="4">
        <v>10</v>
      </c>
    </row>
    <row r="82" spans="1:10">
      <c r="A82" s="100" t="s">
        <v>19</v>
      </c>
      <c r="B82" s="100" t="s">
        <v>83</v>
      </c>
      <c r="C82" s="4">
        <v>1</v>
      </c>
      <c r="G82" s="100" t="s">
        <v>32</v>
      </c>
      <c r="H82" s="100" t="s">
        <v>119</v>
      </c>
      <c r="I82" s="100" t="s">
        <v>1025</v>
      </c>
      <c r="J82" s="4">
        <v>225</v>
      </c>
    </row>
    <row r="83" spans="1:10">
      <c r="A83" s="100" t="s">
        <v>19</v>
      </c>
      <c r="B83" s="100" t="s">
        <v>566</v>
      </c>
      <c r="C83" s="4">
        <v>1</v>
      </c>
      <c r="G83" s="100" t="s">
        <v>27</v>
      </c>
      <c r="H83" s="100" t="s">
        <v>114</v>
      </c>
      <c r="I83" s="100" t="s">
        <v>1025</v>
      </c>
      <c r="J83" s="4">
        <v>86</v>
      </c>
    </row>
    <row r="84" spans="1:10">
      <c r="A84" s="100" t="s">
        <v>19</v>
      </c>
      <c r="B84" s="100" t="s">
        <v>71</v>
      </c>
      <c r="C84" s="4">
        <v>1</v>
      </c>
      <c r="G84" s="100" t="s">
        <v>578</v>
      </c>
      <c r="H84" s="100" t="s">
        <v>579</v>
      </c>
      <c r="I84" s="100" t="s">
        <v>358</v>
      </c>
      <c r="J84" s="4"/>
    </row>
    <row r="85" spans="1:10">
      <c r="A85" s="100" t="s">
        <v>19</v>
      </c>
      <c r="B85" s="100" t="s">
        <v>93</v>
      </c>
      <c r="C85" s="4">
        <v>1</v>
      </c>
      <c r="G85" s="100" t="s">
        <v>657</v>
      </c>
      <c r="H85" s="100" t="s">
        <v>659</v>
      </c>
      <c r="I85" s="100" t="s">
        <v>1012</v>
      </c>
      <c r="J85" s="4">
        <v>249</v>
      </c>
    </row>
    <row r="86" spans="1:10">
      <c r="A86" s="100" t="s">
        <v>19</v>
      </c>
      <c r="B86" s="100" t="s">
        <v>64</v>
      </c>
      <c r="C86" s="4">
        <v>1</v>
      </c>
      <c r="G86" s="100" t="s">
        <v>658</v>
      </c>
      <c r="H86" s="100" t="s">
        <v>660</v>
      </c>
      <c r="I86" s="100" t="s">
        <v>1012</v>
      </c>
      <c r="J86" s="4">
        <v>418</v>
      </c>
    </row>
    <row r="87" spans="1:10">
      <c r="A87" s="100" t="s">
        <v>19</v>
      </c>
      <c r="B87" s="100" t="s">
        <v>84</v>
      </c>
      <c r="C87" s="4">
        <v>1</v>
      </c>
      <c r="G87" s="100" t="s">
        <v>67</v>
      </c>
      <c r="H87" s="100" t="s">
        <v>156</v>
      </c>
      <c r="I87" s="100" t="s">
        <v>357</v>
      </c>
      <c r="J87" s="4">
        <v>2436</v>
      </c>
    </row>
    <row r="88" spans="1:10">
      <c r="A88" s="100" t="s">
        <v>19</v>
      </c>
      <c r="B88" s="100" t="s">
        <v>75</v>
      </c>
      <c r="C88" s="4">
        <v>1</v>
      </c>
      <c r="G88" s="100" t="s">
        <v>573</v>
      </c>
      <c r="H88" s="100" t="s">
        <v>574</v>
      </c>
      <c r="I88" s="100" t="s">
        <v>1025</v>
      </c>
      <c r="J88" s="4">
        <v>17</v>
      </c>
    </row>
    <row r="89" spans="1:10">
      <c r="A89" s="100" t="s">
        <v>19</v>
      </c>
      <c r="B89" s="100" t="s">
        <v>94</v>
      </c>
      <c r="C89" s="4">
        <v>1</v>
      </c>
      <c r="G89" s="100" t="s">
        <v>78</v>
      </c>
      <c r="H89" s="100" t="s">
        <v>167</v>
      </c>
      <c r="I89" s="100" t="s">
        <v>1012</v>
      </c>
      <c r="J89" s="4">
        <v>72</v>
      </c>
    </row>
    <row r="90" spans="1:10">
      <c r="A90" s="100" t="s">
        <v>19</v>
      </c>
      <c r="B90" s="100" t="s">
        <v>647</v>
      </c>
      <c r="C90" s="4">
        <v>1</v>
      </c>
      <c r="G90" s="100" t="s">
        <v>247</v>
      </c>
      <c r="H90" s="100" t="s">
        <v>284</v>
      </c>
      <c r="I90" s="100" t="s">
        <v>1012</v>
      </c>
      <c r="J90" s="4">
        <v>151</v>
      </c>
    </row>
    <row r="91" spans="1:10">
      <c r="A91" s="100" t="s">
        <v>19</v>
      </c>
      <c r="B91" s="100" t="s">
        <v>76</v>
      </c>
      <c r="C91" s="4">
        <v>1</v>
      </c>
      <c r="G91" s="100" t="s">
        <v>53</v>
      </c>
      <c r="H91" s="100" t="s">
        <v>140</v>
      </c>
      <c r="I91" s="100" t="s">
        <v>1025</v>
      </c>
      <c r="J91" s="4">
        <v>144</v>
      </c>
    </row>
    <row r="92" spans="1:10">
      <c r="A92" s="100" t="s">
        <v>19</v>
      </c>
      <c r="B92" s="100" t="s">
        <v>85</v>
      </c>
      <c r="C92" s="4">
        <v>1</v>
      </c>
      <c r="G92" s="100" t="s">
        <v>87</v>
      </c>
      <c r="H92" s="100" t="s">
        <v>176</v>
      </c>
      <c r="I92" s="100" t="s">
        <v>358</v>
      </c>
      <c r="J92" s="4"/>
    </row>
    <row r="93" spans="1:10">
      <c r="A93" s="100" t="s">
        <v>19</v>
      </c>
      <c r="B93" s="100" t="s">
        <v>652</v>
      </c>
      <c r="C93" s="4">
        <v>1</v>
      </c>
      <c r="G93" s="100" t="s">
        <v>90</v>
      </c>
      <c r="H93" s="100" t="s">
        <v>179</v>
      </c>
      <c r="I93" s="100" t="s">
        <v>358</v>
      </c>
      <c r="J93" s="4"/>
    </row>
    <row r="94" spans="1:10">
      <c r="A94" s="100" t="s">
        <v>19</v>
      </c>
      <c r="B94" s="100" t="s">
        <v>653</v>
      </c>
      <c r="C94" s="4">
        <v>1</v>
      </c>
      <c r="G94" s="100" t="s">
        <v>43</v>
      </c>
      <c r="H94" s="100" t="s">
        <v>130</v>
      </c>
      <c r="I94" s="100" t="s">
        <v>357</v>
      </c>
      <c r="J94" s="4">
        <v>794</v>
      </c>
    </row>
    <row r="95" spans="1:10">
      <c r="A95" s="100" t="s">
        <v>19</v>
      </c>
      <c r="B95" s="100" t="s">
        <v>654</v>
      </c>
      <c r="C95" s="4">
        <v>1</v>
      </c>
      <c r="G95" s="100" t="s">
        <v>556</v>
      </c>
      <c r="H95" s="100" t="s">
        <v>280</v>
      </c>
      <c r="I95" s="100" t="s">
        <v>358</v>
      </c>
      <c r="J95" s="4"/>
    </row>
    <row r="96" spans="1:10">
      <c r="A96" s="100" t="s">
        <v>19</v>
      </c>
      <c r="B96" s="100" t="s">
        <v>65</v>
      </c>
      <c r="C96" s="4">
        <v>1</v>
      </c>
      <c r="G96" s="100" t="s">
        <v>906</v>
      </c>
      <c r="H96" s="100" t="s">
        <v>285</v>
      </c>
      <c r="I96" s="100" t="s">
        <v>357</v>
      </c>
      <c r="J96" s="4">
        <v>8</v>
      </c>
    </row>
    <row r="97" spans="1:10">
      <c r="A97" s="100" t="s">
        <v>19</v>
      </c>
      <c r="B97" s="100" t="s">
        <v>246</v>
      </c>
      <c r="C97" s="4">
        <v>1</v>
      </c>
      <c r="G97" s="100" t="s">
        <v>88</v>
      </c>
      <c r="H97" s="100" t="s">
        <v>177</v>
      </c>
      <c r="I97" s="100" t="s">
        <v>358</v>
      </c>
      <c r="J97" s="4"/>
    </row>
    <row r="98" spans="1:10">
      <c r="A98" s="100" t="s">
        <v>19</v>
      </c>
      <c r="B98" s="100" t="s">
        <v>277</v>
      </c>
      <c r="C98" s="4">
        <v>1</v>
      </c>
      <c r="G98" s="100" t="s">
        <v>45</v>
      </c>
      <c r="H98" s="100" t="s">
        <v>132</v>
      </c>
      <c r="I98" s="100" t="s">
        <v>1025</v>
      </c>
      <c r="J98" s="4">
        <v>63</v>
      </c>
    </row>
    <row r="99" spans="1:10">
      <c r="A99" s="100" t="s">
        <v>19</v>
      </c>
      <c r="B99" s="100" t="s">
        <v>278</v>
      </c>
      <c r="C99" s="4">
        <v>1</v>
      </c>
      <c r="G99" s="100" t="s">
        <v>38</v>
      </c>
      <c r="H99" s="100" t="s">
        <v>125</v>
      </c>
      <c r="I99" s="100" t="s">
        <v>357</v>
      </c>
      <c r="J99" s="4">
        <v>682</v>
      </c>
    </row>
    <row r="100" spans="1:10">
      <c r="A100" s="100" t="s">
        <v>19</v>
      </c>
      <c r="B100" s="100" t="s">
        <v>72</v>
      </c>
      <c r="C100" s="4">
        <v>1</v>
      </c>
      <c r="G100" s="100" t="s">
        <v>26</v>
      </c>
      <c r="H100" s="100" t="s">
        <v>113</v>
      </c>
      <c r="I100" s="100" t="s">
        <v>1025</v>
      </c>
      <c r="J100" s="4">
        <v>203</v>
      </c>
    </row>
    <row r="101" spans="1:10">
      <c r="A101" s="100" t="s">
        <v>19</v>
      </c>
      <c r="B101" s="100" t="s">
        <v>66</v>
      </c>
      <c r="C101" s="4">
        <v>1</v>
      </c>
      <c r="G101" s="100" t="s">
        <v>99</v>
      </c>
      <c r="H101" s="100" t="s">
        <v>188</v>
      </c>
      <c r="I101" s="100" t="s">
        <v>358</v>
      </c>
      <c r="J101" s="4"/>
    </row>
    <row r="102" spans="1:10">
      <c r="A102" s="100" t="s">
        <v>19</v>
      </c>
      <c r="B102" s="100" t="s">
        <v>86</v>
      </c>
      <c r="C102" s="4">
        <v>1</v>
      </c>
      <c r="G102" s="100" t="s">
        <v>29</v>
      </c>
      <c r="H102" s="100" t="s">
        <v>116</v>
      </c>
      <c r="I102" s="100" t="s">
        <v>1025</v>
      </c>
      <c r="J102" s="4">
        <v>275</v>
      </c>
    </row>
    <row r="103" spans="1:10">
      <c r="A103" s="100" t="s">
        <v>19</v>
      </c>
      <c r="B103" s="100" t="s">
        <v>578</v>
      </c>
      <c r="C103" s="4">
        <v>1</v>
      </c>
      <c r="G103" s="100" t="s">
        <v>68</v>
      </c>
      <c r="H103" s="100" t="s">
        <v>157</v>
      </c>
      <c r="I103" s="100" t="s">
        <v>357</v>
      </c>
      <c r="J103" s="4">
        <v>2145</v>
      </c>
    </row>
    <row r="104" spans="1:10">
      <c r="A104" s="100" t="s">
        <v>19</v>
      </c>
      <c r="B104" s="100" t="s">
        <v>657</v>
      </c>
      <c r="C104" s="4">
        <v>1</v>
      </c>
      <c r="G104" s="100" t="s">
        <v>564</v>
      </c>
      <c r="H104" s="100" t="s">
        <v>565</v>
      </c>
      <c r="I104" s="100" t="s">
        <v>358</v>
      </c>
      <c r="J104" s="4"/>
    </row>
    <row r="105" spans="1:10">
      <c r="A105" s="100" t="s">
        <v>19</v>
      </c>
      <c r="B105" s="100" t="s">
        <v>658</v>
      </c>
      <c r="C105" s="4">
        <v>1</v>
      </c>
      <c r="G105" s="100" t="s">
        <v>69</v>
      </c>
      <c r="H105" s="100" t="s">
        <v>158</v>
      </c>
      <c r="I105" s="100" t="s">
        <v>358</v>
      </c>
      <c r="J105" s="4"/>
    </row>
    <row r="106" spans="1:10">
      <c r="A106" s="100" t="s">
        <v>19</v>
      </c>
      <c r="B106" s="100" t="s">
        <v>67</v>
      </c>
      <c r="C106" s="4">
        <v>1</v>
      </c>
      <c r="G106" s="100" t="s">
        <v>92</v>
      </c>
      <c r="H106" s="100" t="s">
        <v>181</v>
      </c>
      <c r="I106" s="100" t="s">
        <v>358</v>
      </c>
      <c r="J106" s="4"/>
    </row>
    <row r="107" spans="1:10">
      <c r="A107" s="100" t="s">
        <v>19</v>
      </c>
      <c r="B107" s="100" t="s">
        <v>78</v>
      </c>
      <c r="C107" s="4">
        <v>1</v>
      </c>
      <c r="G107" s="100" t="s">
        <v>108</v>
      </c>
      <c r="H107" s="100" t="s">
        <v>197</v>
      </c>
      <c r="I107" s="100" t="s">
        <v>357</v>
      </c>
      <c r="J107" s="4">
        <v>5</v>
      </c>
    </row>
    <row r="108" spans="1:10">
      <c r="A108" s="100" t="s">
        <v>19</v>
      </c>
      <c r="B108" s="100" t="s">
        <v>247</v>
      </c>
      <c r="C108" s="4">
        <v>1</v>
      </c>
      <c r="G108" s="100" t="s">
        <v>31</v>
      </c>
      <c r="H108" s="100" t="s">
        <v>118</v>
      </c>
      <c r="I108" s="100" t="s">
        <v>358</v>
      </c>
      <c r="J108" s="4"/>
    </row>
    <row r="109" spans="1:10">
      <c r="A109" s="100" t="s">
        <v>19</v>
      </c>
      <c r="B109" s="100" t="s">
        <v>87</v>
      </c>
      <c r="C109" s="4">
        <v>1</v>
      </c>
      <c r="G109" s="100" t="s">
        <v>89</v>
      </c>
      <c r="H109" s="100" t="s">
        <v>178</v>
      </c>
      <c r="I109" s="100" t="s">
        <v>358</v>
      </c>
      <c r="J109" s="4"/>
    </row>
    <row r="110" spans="1:10">
      <c r="A110" s="100" t="s">
        <v>19</v>
      </c>
      <c r="B110" s="100" t="s">
        <v>90</v>
      </c>
      <c r="C110" s="4">
        <v>1</v>
      </c>
      <c r="G110" s="100" t="s">
        <v>70</v>
      </c>
      <c r="H110" s="100" t="s">
        <v>159</v>
      </c>
      <c r="I110" s="100" t="s">
        <v>357</v>
      </c>
      <c r="J110" s="4">
        <v>984</v>
      </c>
    </row>
    <row r="111" spans="1:10">
      <c r="A111" s="100" t="s">
        <v>19</v>
      </c>
      <c r="B111" s="100" t="s">
        <v>88</v>
      </c>
      <c r="C111" s="4">
        <v>1</v>
      </c>
      <c r="G111" s="100" t="s">
        <v>555</v>
      </c>
      <c r="H111" s="100" t="s">
        <v>282</v>
      </c>
      <c r="I111" s="100" t="s">
        <v>357</v>
      </c>
      <c r="J111" s="4">
        <v>496</v>
      </c>
    </row>
    <row r="112" spans="1:10">
      <c r="A112" s="100" t="s">
        <v>19</v>
      </c>
      <c r="B112" s="100" t="s">
        <v>68</v>
      </c>
      <c r="C112" s="4">
        <v>1</v>
      </c>
      <c r="G112" s="100" t="s">
        <v>645</v>
      </c>
      <c r="H112" s="100" t="s">
        <v>646</v>
      </c>
      <c r="I112" s="100" t="s">
        <v>1012</v>
      </c>
      <c r="J112" s="4">
        <v>31</v>
      </c>
    </row>
    <row r="113" spans="1:10">
      <c r="A113" s="100" t="s">
        <v>19</v>
      </c>
      <c r="B113" s="100" t="s">
        <v>564</v>
      </c>
      <c r="C113" s="4">
        <v>1</v>
      </c>
      <c r="G113" s="100" t="s">
        <v>80</v>
      </c>
      <c r="H113" s="100" t="s">
        <v>169</v>
      </c>
      <c r="I113" s="100" t="s">
        <v>357</v>
      </c>
      <c r="J113" s="4">
        <v>7</v>
      </c>
    </row>
    <row r="114" spans="1:10">
      <c r="A114" s="100" t="s">
        <v>19</v>
      </c>
      <c r="B114" s="100" t="s">
        <v>69</v>
      </c>
      <c r="C114" s="4">
        <v>1</v>
      </c>
      <c r="G114" s="100" t="s">
        <v>907</v>
      </c>
      <c r="H114" s="100" t="s">
        <v>286</v>
      </c>
      <c r="I114" s="100" t="s">
        <v>357</v>
      </c>
      <c r="J114" s="4">
        <v>52</v>
      </c>
    </row>
    <row r="115" spans="1:10">
      <c r="A115" s="100" t="s">
        <v>19</v>
      </c>
      <c r="B115" s="100" t="s">
        <v>92</v>
      </c>
      <c r="C115" s="4">
        <v>1</v>
      </c>
      <c r="G115" s="100" t="s">
        <v>97</v>
      </c>
      <c r="H115" s="100" t="s">
        <v>186</v>
      </c>
      <c r="I115" s="100" t="s">
        <v>358</v>
      </c>
      <c r="J115" s="4"/>
    </row>
    <row r="116" spans="1:10">
      <c r="A116" s="100" t="s">
        <v>19</v>
      </c>
      <c r="B116" s="100" t="s">
        <v>89</v>
      </c>
      <c r="C116" s="4">
        <v>1</v>
      </c>
      <c r="G116" s="100" t="s">
        <v>96</v>
      </c>
      <c r="H116" s="100" t="s">
        <v>185</v>
      </c>
      <c r="I116" s="100" t="s">
        <v>358</v>
      </c>
      <c r="J116" s="4"/>
    </row>
    <row r="117" spans="1:10">
      <c r="A117" s="100" t="s">
        <v>19</v>
      </c>
      <c r="B117" s="100" t="s">
        <v>70</v>
      </c>
      <c r="C117" s="4">
        <v>1</v>
      </c>
      <c r="G117" s="100" t="s">
        <v>34</v>
      </c>
      <c r="H117" s="100" t="s">
        <v>121</v>
      </c>
      <c r="I117" s="100" t="s">
        <v>1025</v>
      </c>
      <c r="J117" s="4">
        <v>365</v>
      </c>
    </row>
    <row r="118" spans="1:10">
      <c r="A118" s="100" t="s">
        <v>19</v>
      </c>
      <c r="B118" s="100" t="s">
        <v>555</v>
      </c>
      <c r="C118" s="4">
        <v>1</v>
      </c>
      <c r="G118" s="100" t="s">
        <v>52</v>
      </c>
      <c r="H118" s="100" t="s">
        <v>139</v>
      </c>
      <c r="I118" s="100" t="s">
        <v>1025</v>
      </c>
      <c r="J118" s="4">
        <v>112</v>
      </c>
    </row>
    <row r="119" spans="1:10">
      <c r="A119" s="100" t="s">
        <v>19</v>
      </c>
      <c r="B119" s="100" t="s">
        <v>80</v>
      </c>
      <c r="C119" s="4">
        <v>1</v>
      </c>
      <c r="G119" s="100" t="s">
        <v>107</v>
      </c>
      <c r="H119" s="100" t="s">
        <v>196</v>
      </c>
      <c r="I119" s="100" t="s">
        <v>357</v>
      </c>
      <c r="J119" s="4">
        <v>5</v>
      </c>
    </row>
    <row r="120" spans="1:10">
      <c r="A120" s="100" t="s">
        <v>19</v>
      </c>
      <c r="B120" s="100" t="s">
        <v>97</v>
      </c>
      <c r="C120" s="4">
        <v>1</v>
      </c>
      <c r="G120" s="100" t="s">
        <v>633</v>
      </c>
      <c r="H120" s="100" t="s">
        <v>637</v>
      </c>
      <c r="I120" s="100" t="s">
        <v>358</v>
      </c>
      <c r="J120" s="4"/>
    </row>
    <row r="121" spans="1:10">
      <c r="A121" s="100" t="s">
        <v>19</v>
      </c>
      <c r="B121" s="100" t="s">
        <v>96</v>
      </c>
      <c r="C121" s="4">
        <v>1</v>
      </c>
      <c r="G121" s="100" t="s">
        <v>634</v>
      </c>
      <c r="H121" s="100" t="s">
        <v>638</v>
      </c>
      <c r="I121" s="100" t="s">
        <v>358</v>
      </c>
      <c r="J121"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topLeftCell="U1" workbookViewId="0">
      <selection activeCell="AB4" sqref="AB4"/>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100"/>
    <col min="12" max="12" width="10.140625" customWidth="1"/>
    <col min="13" max="13" width="9.140625" style="100"/>
    <col min="14" max="14" width="22.7109375" customWidth="1"/>
    <col min="15" max="15" width="16.42578125" style="100" customWidth="1"/>
    <col min="16" max="16" width="19.140625" customWidth="1"/>
    <col min="18" max="18" width="16.28515625" customWidth="1"/>
    <col min="20" max="20" width="23.140625" customWidth="1"/>
    <col min="22" max="22" width="35.28515625" customWidth="1"/>
    <col min="23" max="23" width="9.140625" style="100"/>
    <col min="24" max="24" width="23.5703125" style="100"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9" customFormat="1" ht="16.5" customHeight="1">
      <c r="A1" s="59" t="s">
        <v>340</v>
      </c>
      <c r="B1" s="59" t="s">
        <v>342</v>
      </c>
      <c r="C1" s="59" t="s">
        <v>341</v>
      </c>
      <c r="D1" s="59" t="s">
        <v>210</v>
      </c>
      <c r="E1" s="59" t="s">
        <v>344</v>
      </c>
      <c r="F1" s="59" t="s">
        <v>343</v>
      </c>
      <c r="J1" s="3" t="s">
        <v>10</v>
      </c>
      <c r="K1" s="3"/>
      <c r="L1" s="3" t="s">
        <v>7</v>
      </c>
      <c r="M1" s="3"/>
      <c r="N1" s="3" t="s">
        <v>24</v>
      </c>
      <c r="O1" s="3"/>
      <c r="P1" s="3" t="s">
        <v>356</v>
      </c>
      <c r="R1" s="59" t="s">
        <v>756</v>
      </c>
      <c r="T1" s="59" t="s">
        <v>761</v>
      </c>
      <c r="V1" s="59" t="s">
        <v>842</v>
      </c>
      <c r="W1" s="100"/>
      <c r="X1" s="100" t="s">
        <v>851</v>
      </c>
      <c r="Z1" s="59" t="s">
        <v>829</v>
      </c>
      <c r="AA1" s="59" t="s">
        <v>202</v>
      </c>
      <c r="AB1" s="59" t="s">
        <v>827</v>
      </c>
      <c r="AE1" s="59" t="s">
        <v>868</v>
      </c>
      <c r="AF1" s="59" t="s">
        <v>755</v>
      </c>
      <c r="AG1" s="59" t="s">
        <v>869</v>
      </c>
      <c r="AH1" s="59" t="s">
        <v>870</v>
      </c>
    </row>
    <row r="2" spans="1:35" ht="16.5" customHeight="1">
      <c r="A2" t="s">
        <v>230</v>
      </c>
      <c r="B2" t="s">
        <v>327</v>
      </c>
      <c r="C2" t="s">
        <v>317</v>
      </c>
      <c r="D2" t="s">
        <v>320</v>
      </c>
      <c r="E2">
        <v>12</v>
      </c>
      <c r="F2">
        <v>2</v>
      </c>
      <c r="J2" s="66" t="s">
        <v>7</v>
      </c>
      <c r="K2" s="66"/>
      <c r="L2" s="66" t="s">
        <v>17</v>
      </c>
      <c r="M2" s="66"/>
      <c r="N2" s="66" t="s">
        <v>21</v>
      </c>
      <c r="O2" s="66"/>
      <c r="P2" s="66" t="s">
        <v>351</v>
      </c>
      <c r="R2" t="s">
        <v>750</v>
      </c>
      <c r="T2" t="s">
        <v>917</v>
      </c>
      <c r="V2" t="s">
        <v>782</v>
      </c>
      <c r="X2" s="100" t="s">
        <v>852</v>
      </c>
      <c r="Z2" s="310" t="s">
        <v>800</v>
      </c>
      <c r="AA2" s="310"/>
      <c r="AB2" s="310"/>
      <c r="AE2" t="s">
        <v>871</v>
      </c>
      <c r="AF2" s="326" t="s">
        <v>893</v>
      </c>
      <c r="AG2" s="129">
        <v>0</v>
      </c>
      <c r="AH2">
        <v>0.5</v>
      </c>
    </row>
    <row r="3" spans="1:35" ht="16.5" customHeight="1">
      <c r="A3" t="s">
        <v>335</v>
      </c>
      <c r="B3" t="s">
        <v>336</v>
      </c>
      <c r="C3" t="s">
        <v>337</v>
      </c>
      <c r="D3" t="s">
        <v>338</v>
      </c>
      <c r="E3" s="100">
        <v>12</v>
      </c>
      <c r="F3">
        <v>1</v>
      </c>
      <c r="J3" s="3"/>
      <c r="K3" s="3"/>
      <c r="L3" s="66" t="s">
        <v>15</v>
      </c>
      <c r="M3" s="66"/>
      <c r="N3" s="66" t="s">
        <v>841</v>
      </c>
      <c r="O3" s="66"/>
      <c r="P3" s="66" t="s">
        <v>352</v>
      </c>
      <c r="R3" t="s">
        <v>914</v>
      </c>
      <c r="T3" t="s">
        <v>752</v>
      </c>
      <c r="V3" t="s">
        <v>850</v>
      </c>
      <c r="X3" s="100" t="s">
        <v>853</v>
      </c>
      <c r="Z3" s="308" t="s">
        <v>290</v>
      </c>
      <c r="AA3" s="308" t="s">
        <v>681</v>
      </c>
      <c r="AB3" s="309" t="s">
        <v>1050</v>
      </c>
      <c r="AE3" s="100" t="s">
        <v>872</v>
      </c>
      <c r="AF3" s="326" t="s">
        <v>894</v>
      </c>
      <c r="AG3">
        <v>0.5</v>
      </c>
      <c r="AH3">
        <v>1</v>
      </c>
    </row>
    <row r="4" spans="1:35" ht="16.5" customHeight="1">
      <c r="A4" t="s">
        <v>308</v>
      </c>
      <c r="B4" t="s">
        <v>328</v>
      </c>
      <c r="C4" t="s">
        <v>313</v>
      </c>
      <c r="D4" t="s">
        <v>323</v>
      </c>
      <c r="E4" s="100">
        <v>12</v>
      </c>
      <c r="F4">
        <v>1</v>
      </c>
      <c r="J4" s="66"/>
      <c r="K4" s="66"/>
      <c r="L4" s="66" t="s">
        <v>20</v>
      </c>
      <c r="M4" s="66"/>
      <c r="N4" s="66" t="s">
        <v>1024</v>
      </c>
      <c r="O4" s="66"/>
      <c r="P4" s="66" t="s">
        <v>350</v>
      </c>
      <c r="R4" t="s">
        <v>677</v>
      </c>
      <c r="T4" t="s">
        <v>751</v>
      </c>
      <c r="V4" t="s">
        <v>845</v>
      </c>
      <c r="X4" s="100" t="s">
        <v>854</v>
      </c>
      <c r="Z4" s="308" t="s">
        <v>642</v>
      </c>
      <c r="AA4" s="308" t="s">
        <v>828</v>
      </c>
      <c r="AB4" s="309" t="s">
        <v>898</v>
      </c>
      <c r="AE4" s="100" t="s">
        <v>873</v>
      </c>
      <c r="AF4" s="326" t="s">
        <v>884</v>
      </c>
      <c r="AG4">
        <v>1</v>
      </c>
      <c r="AH4">
        <v>2</v>
      </c>
    </row>
    <row r="5" spans="1:35" ht="16.5" customHeight="1">
      <c r="A5" t="s">
        <v>231</v>
      </c>
      <c r="B5" t="s">
        <v>329</v>
      </c>
      <c r="C5" t="s">
        <v>318</v>
      </c>
      <c r="D5" t="s">
        <v>321</v>
      </c>
      <c r="E5" s="100">
        <v>12</v>
      </c>
      <c r="F5">
        <v>1</v>
      </c>
      <c r="J5" s="3"/>
      <c r="K5" s="3"/>
      <c r="L5" s="66" t="s">
        <v>900</v>
      </c>
      <c r="M5" s="66"/>
      <c r="N5" s="66" t="s">
        <v>22</v>
      </c>
      <c r="O5" s="66"/>
      <c r="P5" s="66"/>
      <c r="R5" t="s">
        <v>915</v>
      </c>
      <c r="T5" t="s">
        <v>918</v>
      </c>
      <c r="V5" t="s">
        <v>847</v>
      </c>
      <c r="X5" s="100" t="s">
        <v>855</v>
      </c>
      <c r="Z5" s="308" t="s">
        <v>730</v>
      </c>
      <c r="AA5" s="308" t="s">
        <v>680</v>
      </c>
      <c r="AB5" s="309" t="s">
        <v>831</v>
      </c>
      <c r="AE5" s="100" t="s">
        <v>874</v>
      </c>
      <c r="AF5" s="326" t="s">
        <v>883</v>
      </c>
      <c r="AG5">
        <v>2</v>
      </c>
      <c r="AH5">
        <v>3</v>
      </c>
    </row>
    <row r="6" spans="1:35" ht="16.5" customHeight="1">
      <c r="A6" t="s">
        <v>614</v>
      </c>
      <c r="B6" t="s">
        <v>330</v>
      </c>
      <c r="C6" t="s">
        <v>322</v>
      </c>
      <c r="D6" t="s">
        <v>326</v>
      </c>
      <c r="E6" s="100">
        <v>12</v>
      </c>
      <c r="F6">
        <v>2</v>
      </c>
      <c r="J6" s="66"/>
      <c r="K6" s="66"/>
      <c r="L6" s="66" t="s">
        <v>11</v>
      </c>
      <c r="M6" s="66"/>
      <c r="N6" s="66" t="s">
        <v>23</v>
      </c>
      <c r="O6" s="66"/>
      <c r="P6" s="66"/>
      <c r="R6" t="s">
        <v>916</v>
      </c>
      <c r="T6" t="s">
        <v>921</v>
      </c>
      <c r="V6" t="s">
        <v>846</v>
      </c>
      <c r="X6" s="100" t="s">
        <v>867</v>
      </c>
      <c r="Z6" s="308" t="s">
        <v>1005</v>
      </c>
      <c r="AA6" s="308" t="s">
        <v>1006</v>
      </c>
      <c r="AB6" s="309" t="s">
        <v>1008</v>
      </c>
      <c r="AE6" s="100" t="s">
        <v>875</v>
      </c>
      <c r="AF6" s="326" t="s">
        <v>885</v>
      </c>
      <c r="AG6">
        <v>3</v>
      </c>
      <c r="AH6">
        <v>5</v>
      </c>
    </row>
    <row r="7" spans="1:35" ht="16.5" customHeight="1">
      <c r="A7" t="s">
        <v>204</v>
      </c>
      <c r="B7" t="s">
        <v>331</v>
      </c>
      <c r="C7" t="s">
        <v>314</v>
      </c>
      <c r="D7" t="s">
        <v>324</v>
      </c>
      <c r="E7" s="100">
        <v>12</v>
      </c>
      <c r="F7">
        <v>1</v>
      </c>
      <c r="J7" s="66"/>
      <c r="K7" s="66"/>
      <c r="L7" s="66" t="s">
        <v>12</v>
      </c>
      <c r="M7" s="66"/>
      <c r="N7" s="66"/>
      <c r="O7" s="66"/>
      <c r="P7" s="66"/>
      <c r="R7" t="s">
        <v>892</v>
      </c>
      <c r="T7" t="s">
        <v>919</v>
      </c>
      <c r="V7" t="s">
        <v>848</v>
      </c>
      <c r="X7" s="100" t="s">
        <v>856</v>
      </c>
      <c r="Z7" s="308" t="s">
        <v>287</v>
      </c>
      <c r="AA7" s="308" t="s">
        <v>830</v>
      </c>
      <c r="AB7" s="309" t="s">
        <v>1007</v>
      </c>
      <c r="AE7" s="100" t="s">
        <v>876</v>
      </c>
      <c r="AF7" s="326" t="s">
        <v>886</v>
      </c>
      <c r="AG7">
        <v>5</v>
      </c>
      <c r="AH7">
        <v>11</v>
      </c>
    </row>
    <row r="8" spans="1:35" ht="16.5" customHeight="1">
      <c r="A8" t="s">
        <v>595</v>
      </c>
      <c r="B8" t="s">
        <v>597</v>
      </c>
      <c r="C8" t="s">
        <v>599</v>
      </c>
      <c r="D8" t="s">
        <v>601</v>
      </c>
      <c r="E8" s="100">
        <v>12</v>
      </c>
      <c r="F8">
        <v>1</v>
      </c>
      <c r="J8" s="66"/>
      <c r="K8" s="66"/>
      <c r="L8" s="66" t="s">
        <v>14</v>
      </c>
      <c r="M8" s="66"/>
      <c r="N8" s="66"/>
      <c r="O8" s="66"/>
      <c r="P8" s="66"/>
      <c r="T8" t="s">
        <v>922</v>
      </c>
      <c r="V8" t="s">
        <v>844</v>
      </c>
      <c r="X8" s="100" t="s">
        <v>857</v>
      </c>
      <c r="AE8" s="100" t="s">
        <v>877</v>
      </c>
      <c r="AF8" s="326" t="s">
        <v>887</v>
      </c>
      <c r="AG8">
        <v>11</v>
      </c>
      <c r="AH8">
        <v>15</v>
      </c>
    </row>
    <row r="9" spans="1:35" ht="16.5" customHeight="1">
      <c r="A9" t="s">
        <v>596</v>
      </c>
      <c r="B9" t="s">
        <v>598</v>
      </c>
      <c r="C9" t="s">
        <v>600</v>
      </c>
      <c r="D9" t="s">
        <v>602</v>
      </c>
      <c r="E9" s="100">
        <v>12</v>
      </c>
      <c r="F9">
        <v>5</v>
      </c>
      <c r="J9" s="66"/>
      <c r="K9" s="66"/>
      <c r="L9" s="66" t="s">
        <v>18</v>
      </c>
      <c r="M9" s="66"/>
      <c r="N9" s="66"/>
      <c r="O9" s="66"/>
      <c r="P9" s="66"/>
      <c r="T9" t="s">
        <v>920</v>
      </c>
      <c r="V9" t="s">
        <v>843</v>
      </c>
      <c r="X9" s="100" t="s">
        <v>858</v>
      </c>
      <c r="AE9" s="100" t="s">
        <v>878</v>
      </c>
      <c r="AF9" s="326" t="s">
        <v>888</v>
      </c>
      <c r="AG9">
        <v>15</v>
      </c>
      <c r="AH9">
        <v>18</v>
      </c>
    </row>
    <row r="10" spans="1:35" ht="16.5" customHeight="1">
      <c r="A10" t="s">
        <v>309</v>
      </c>
      <c r="B10" s="100" t="s">
        <v>332</v>
      </c>
      <c r="C10" s="100" t="s">
        <v>315</v>
      </c>
      <c r="D10" s="100" t="s">
        <v>325</v>
      </c>
      <c r="E10" s="100">
        <v>12</v>
      </c>
      <c r="F10" s="100">
        <v>1</v>
      </c>
      <c r="J10" s="66"/>
      <c r="K10" s="66"/>
      <c r="L10" s="66" t="s">
        <v>16</v>
      </c>
      <c r="M10" s="66"/>
      <c r="N10" s="66"/>
      <c r="O10" s="66"/>
      <c r="P10" s="66"/>
      <c r="V10" t="s">
        <v>849</v>
      </c>
      <c r="X10" s="100" t="s">
        <v>859</v>
      </c>
      <c r="AE10" s="100" t="s">
        <v>879</v>
      </c>
      <c r="AF10" s="326" t="s">
        <v>889</v>
      </c>
      <c r="AG10">
        <v>18</v>
      </c>
      <c r="AH10">
        <v>24</v>
      </c>
    </row>
    <row r="11" spans="1:35" ht="16.5" customHeight="1">
      <c r="A11" t="s">
        <v>310</v>
      </c>
      <c r="B11" s="100" t="s">
        <v>333</v>
      </c>
      <c r="C11" s="100" t="s">
        <v>316</v>
      </c>
      <c r="D11" s="100" t="s">
        <v>319</v>
      </c>
      <c r="E11" s="100">
        <v>12</v>
      </c>
      <c r="F11" s="100">
        <v>1</v>
      </c>
      <c r="J11" s="66"/>
      <c r="K11" s="66"/>
      <c r="L11" s="66" t="s">
        <v>19</v>
      </c>
      <c r="M11" s="66"/>
      <c r="N11" s="66"/>
      <c r="O11" s="66"/>
      <c r="P11" s="66"/>
      <c r="X11" s="100" t="s">
        <v>860</v>
      </c>
      <c r="AE11" s="100" t="s">
        <v>880</v>
      </c>
      <c r="AF11" s="326" t="s">
        <v>890</v>
      </c>
      <c r="AG11">
        <v>24</v>
      </c>
      <c r="AH11">
        <v>49</v>
      </c>
    </row>
    <row r="12" spans="1:35" ht="16.5" customHeight="1">
      <c r="A12" s="100" t="s">
        <v>963</v>
      </c>
      <c r="B12" s="100" t="s">
        <v>967</v>
      </c>
      <c r="C12" s="100" t="s">
        <v>968</v>
      </c>
      <c r="D12" s="100" t="s">
        <v>969</v>
      </c>
      <c r="E12" s="100">
        <v>12</v>
      </c>
      <c r="F12" s="100">
        <v>1</v>
      </c>
      <c r="X12" s="100" t="s">
        <v>861</v>
      </c>
      <c r="AE12" s="100" t="s">
        <v>881</v>
      </c>
      <c r="AF12" s="326" t="s">
        <v>891</v>
      </c>
      <c r="AG12">
        <v>49</v>
      </c>
      <c r="AH12">
        <v>60</v>
      </c>
    </row>
    <row r="13" spans="1:35" ht="16.5" customHeight="1">
      <c r="X13" s="100" t="s">
        <v>862</v>
      </c>
      <c r="AE13" s="100" t="s">
        <v>882</v>
      </c>
      <c r="AF13" s="326" t="s">
        <v>892</v>
      </c>
      <c r="AG13">
        <v>60</v>
      </c>
    </row>
    <row r="14" spans="1:35" ht="16.5" customHeight="1">
      <c r="X14" s="100" t="s">
        <v>866</v>
      </c>
      <c r="AE14" s="100"/>
      <c r="AF14" s="100"/>
      <c r="AG14" s="100"/>
      <c r="AH14" s="100"/>
      <c r="AI14" s="100"/>
    </row>
    <row r="15" spans="1:35" ht="16.5" customHeight="1">
      <c r="X15" s="100" t="s">
        <v>863</v>
      </c>
    </row>
    <row r="16" spans="1:35" ht="16.5" customHeight="1">
      <c r="X16" s="100" t="s">
        <v>864</v>
      </c>
    </row>
    <row r="17" spans="1:24" ht="16.5" customHeight="1">
      <c r="X17" s="100" t="s">
        <v>865</v>
      </c>
    </row>
    <row r="19" spans="1:24" ht="16.5" customHeight="1">
      <c r="A19" s="84">
        <v>42522</v>
      </c>
    </row>
    <row r="20" spans="1:24" ht="16.5" customHeight="1">
      <c r="A20" s="3"/>
    </row>
  </sheetData>
  <sortState ref="A1:C8">
    <sortCondition ref="A2"/>
  </sortState>
  <printOptions gridLines="1"/>
  <pageMargins left="0.25" right="0.25" top="0.75" bottom="0.75" header="0.3" footer="0.3"/>
  <pageSetup paperSize="9" scale="25"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8" sqref="B38"/>
    </sheetView>
  </sheetViews>
  <sheetFormatPr defaultRowHeight="15"/>
  <cols>
    <col min="1" max="1" width="33" customWidth="1"/>
    <col min="2" max="2" width="148.28515625" customWidth="1"/>
  </cols>
  <sheetData>
    <row r="1" spans="1:2" hidden="1"/>
    <row r="2" spans="1:2" ht="33" customHeight="1" thickBot="1">
      <c r="A2" s="825" t="s">
        <v>799</v>
      </c>
      <c r="B2" s="827" t="s">
        <v>807</v>
      </c>
    </row>
    <row r="3" spans="1:2" ht="15.75" hidden="1" customHeight="1" thickBot="1">
      <c r="A3" s="826"/>
      <c r="B3" s="828"/>
    </row>
    <row r="4" spans="1:2" ht="30.75" customHeight="1">
      <c r="A4" s="825" t="s">
        <v>803</v>
      </c>
      <c r="B4" s="827" t="s">
        <v>808</v>
      </c>
    </row>
    <row r="5" spans="1:2" ht="45" customHeight="1" thickBot="1">
      <c r="A5" s="826"/>
      <c r="B5" s="828"/>
    </row>
    <row r="6" spans="1:2" ht="37.5" customHeight="1" thickBot="1">
      <c r="A6" s="190" t="s">
        <v>805</v>
      </c>
      <c r="B6" s="189" t="s">
        <v>809</v>
      </c>
    </row>
    <row r="7" spans="1:2" ht="66.75" customHeight="1" thickBot="1">
      <c r="A7" s="191" t="s">
        <v>804</v>
      </c>
      <c r="B7" s="189" t="s">
        <v>796</v>
      </c>
    </row>
    <row r="8" spans="1:2" ht="38.25" customHeight="1" thickBot="1">
      <c r="A8" s="190" t="s">
        <v>806</v>
      </c>
      <c r="B8" s="189" t="s">
        <v>747</v>
      </c>
    </row>
    <row r="9" spans="1:2" ht="38.25" customHeight="1" thickBot="1">
      <c r="A9" s="192" t="s">
        <v>201</v>
      </c>
      <c r="B9" s="193" t="s">
        <v>745</v>
      </c>
    </row>
    <row r="10" spans="1:2" ht="38.25" customHeight="1" thickBot="1">
      <c r="A10" s="192" t="s">
        <v>21</v>
      </c>
      <c r="B10" s="193" t="s">
        <v>797</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P139"/>
  <sheetViews>
    <sheetView showZeros="0" zoomScale="88" zoomScaleNormal="88" workbookViewId="0">
      <selection activeCell="C18" sqref="C18"/>
    </sheetView>
  </sheetViews>
  <sheetFormatPr defaultColWidth="9.140625" defaultRowHeight="15"/>
  <cols>
    <col min="1" max="1" width="17.140625" style="21" customWidth="1"/>
    <col min="2" max="2" width="14" style="21" customWidth="1"/>
    <col min="3" max="3" width="17.85546875" style="21" customWidth="1"/>
    <col min="4" max="4" width="18" style="21" customWidth="1"/>
    <col min="5" max="5" width="19" style="21" customWidth="1"/>
    <col min="6" max="6" width="19.140625" style="21" customWidth="1"/>
    <col min="7" max="7" width="17.140625" style="1" customWidth="1"/>
    <col min="8" max="8" width="28.28515625" style="21" customWidth="1"/>
    <col min="9" max="9" width="28.28515625" style="1" customWidth="1"/>
    <col min="10" max="10" width="32.42578125" style="1" customWidth="1"/>
    <col min="11" max="11" width="26.85546875" style="1" customWidth="1"/>
    <col min="12" max="12" width="51" style="21" customWidth="1"/>
    <col min="13" max="13" width="27.5703125" style="21" customWidth="1"/>
    <col min="14" max="14" width="15.140625" style="21" customWidth="1"/>
    <col min="15" max="15" width="14" style="21" customWidth="1"/>
    <col min="16" max="16" width="16.28515625" style="21" customWidth="1"/>
    <col min="17" max="17" width="6.28515625" style="348" bestFit="1" customWidth="1"/>
    <col min="18" max="18" width="11" style="643" bestFit="1" customWidth="1"/>
    <col min="19" max="19" width="6.85546875" style="349" bestFit="1" customWidth="1"/>
    <col min="20" max="20" width="19.42578125" style="316" customWidth="1"/>
    <col min="21" max="21" width="12.7109375" style="316" customWidth="1"/>
    <col min="22" max="22" width="23.28515625" style="350" bestFit="1" customWidth="1"/>
    <col min="23" max="23" width="11.140625" style="350" customWidth="1"/>
    <col min="24" max="24" width="15.7109375" style="21" customWidth="1"/>
    <col min="25" max="25" width="11.28515625" style="21" customWidth="1"/>
    <col min="26" max="26" width="12.7109375" style="21" customWidth="1"/>
    <col min="27" max="27" width="21.7109375" style="21" customWidth="1"/>
    <col min="28" max="28" width="20.28515625" style="21" customWidth="1"/>
    <col min="29" max="29" width="32" style="21" customWidth="1"/>
    <col min="30" max="30" width="30" style="21" customWidth="1"/>
    <col min="31" max="31" width="12.5703125" style="79" customWidth="1"/>
    <col min="32" max="32" width="18" style="21" customWidth="1"/>
    <col min="33" max="33" width="52.140625" style="21" customWidth="1"/>
    <col min="34" max="34" width="69.7109375" style="21" customWidth="1"/>
    <col min="35" max="35" width="12.28515625" style="88" customWidth="1"/>
    <col min="36" max="63" width="9.140625" style="21"/>
    <col min="64" max="65" width="9.140625" style="79"/>
    <col min="66" max="16384" width="9.140625" style="21"/>
  </cols>
  <sheetData>
    <row r="1" spans="1:67" ht="34.5" customHeight="1">
      <c r="A1" s="665"/>
      <c r="B1" s="666"/>
      <c r="C1" s="666"/>
      <c r="D1" s="666"/>
      <c r="E1" s="666"/>
      <c r="F1" s="666"/>
      <c r="G1" s="666"/>
      <c r="H1" s="666"/>
      <c r="I1" s="666"/>
      <c r="J1" s="666"/>
      <c r="K1" s="666"/>
      <c r="L1" s="666"/>
      <c r="M1" s="666"/>
      <c r="N1" s="666"/>
      <c r="O1" s="666"/>
      <c r="P1" s="666"/>
      <c r="Q1" s="666"/>
      <c r="R1" s="667"/>
      <c r="S1" s="666"/>
      <c r="T1" s="666"/>
      <c r="U1" s="666"/>
      <c r="V1" s="666"/>
      <c r="W1" s="666"/>
      <c r="X1" s="666"/>
      <c r="Y1" s="666"/>
      <c r="Z1" s="666"/>
      <c r="AA1" s="666"/>
      <c r="AB1" s="666"/>
      <c r="AC1" s="666"/>
      <c r="AD1" s="666"/>
      <c r="AE1" s="666"/>
      <c r="AF1" s="666"/>
      <c r="AG1" s="666"/>
      <c r="AH1" s="666"/>
      <c r="AI1" s="668"/>
      <c r="BJ1" s="79"/>
      <c r="BK1" s="79"/>
      <c r="BL1" s="21"/>
      <c r="BM1" s="21"/>
    </row>
    <row r="2" spans="1:67" ht="26.25">
      <c r="A2" s="669" t="s">
        <v>810</v>
      </c>
      <c r="B2" s="656"/>
      <c r="C2" s="656"/>
      <c r="D2" s="656"/>
      <c r="E2" s="656"/>
      <c r="F2" s="656"/>
      <c r="G2" s="656"/>
      <c r="H2" s="656"/>
      <c r="I2" s="656"/>
      <c r="J2" s="656"/>
      <c r="K2" s="656"/>
      <c r="L2" s="656"/>
      <c r="M2" s="656"/>
      <c r="N2" s="656"/>
      <c r="O2" s="656"/>
      <c r="P2" s="656"/>
      <c r="Q2" s="656"/>
      <c r="R2" s="640"/>
      <c r="S2" s="656"/>
      <c r="T2" s="656"/>
      <c r="U2" s="656"/>
      <c r="V2" s="656"/>
      <c r="W2" s="656"/>
      <c r="X2" s="656"/>
      <c r="Y2" s="656"/>
      <c r="Z2" s="656"/>
      <c r="AA2" s="656"/>
      <c r="AB2" s="656"/>
      <c r="AC2" s="656"/>
      <c r="AD2" s="656"/>
      <c r="AE2" s="656"/>
      <c r="AF2" s="656"/>
      <c r="AG2" s="656"/>
      <c r="AH2" s="656"/>
      <c r="AI2" s="670"/>
      <c r="BH2" s="79"/>
      <c r="BI2" s="79"/>
      <c r="BL2" s="21"/>
      <c r="BM2" s="21"/>
    </row>
    <row r="3" spans="1:67" ht="18" customHeight="1">
      <c r="A3" s="829">
        <f>Report_Date</f>
        <v>42522</v>
      </c>
      <c r="B3" s="830"/>
      <c r="C3" s="671"/>
      <c r="D3" s="671"/>
      <c r="E3" s="671"/>
      <c r="F3" s="671"/>
      <c r="G3" s="671"/>
      <c r="H3" s="671"/>
      <c r="I3" s="671"/>
      <c r="J3" s="671"/>
      <c r="K3" s="671"/>
      <c r="L3" s="671"/>
      <c r="M3" s="671"/>
      <c r="N3" s="671"/>
      <c r="O3" s="671"/>
      <c r="P3" s="671"/>
      <c r="Q3" s="671"/>
      <c r="R3" s="672"/>
      <c r="S3" s="671"/>
      <c r="T3" s="671"/>
      <c r="U3" s="671"/>
      <c r="V3" s="671"/>
      <c r="W3" s="671"/>
      <c r="X3" s="671"/>
      <c r="Y3" s="671"/>
      <c r="Z3" s="671"/>
      <c r="AA3" s="671"/>
      <c r="AB3" s="671"/>
      <c r="AC3" s="671"/>
      <c r="AD3" s="671"/>
      <c r="AE3" s="671"/>
      <c r="AF3" s="671"/>
      <c r="AG3" s="671"/>
      <c r="AH3" s="671"/>
      <c r="AI3" s="673"/>
      <c r="BH3" s="79"/>
      <c r="BI3" s="79"/>
      <c r="BL3" s="21"/>
      <c r="BM3" s="21"/>
    </row>
    <row r="4" spans="1:67" s="354" customFormat="1" ht="32.25" customHeight="1">
      <c r="A4" s="657" t="s">
        <v>354</v>
      </c>
      <c r="B4" s="658" t="s">
        <v>10</v>
      </c>
      <c r="C4" s="658" t="s">
        <v>346</v>
      </c>
      <c r="D4" s="658" t="s">
        <v>544</v>
      </c>
      <c r="E4" s="658" t="s">
        <v>545</v>
      </c>
      <c r="F4" s="657" t="s">
        <v>0</v>
      </c>
      <c r="G4" s="658" t="s">
        <v>347</v>
      </c>
      <c r="H4" s="658" t="s">
        <v>541</v>
      </c>
      <c r="I4" s="658" t="s">
        <v>540</v>
      </c>
      <c r="J4" s="658" t="s">
        <v>542</v>
      </c>
      <c r="K4" s="658" t="s">
        <v>543</v>
      </c>
      <c r="L4" s="657" t="s">
        <v>9</v>
      </c>
      <c r="M4" s="657" t="s">
        <v>8</v>
      </c>
      <c r="N4" s="658" t="s">
        <v>2</v>
      </c>
      <c r="O4" s="658" t="s">
        <v>3</v>
      </c>
      <c r="P4" s="657" t="s">
        <v>669</v>
      </c>
      <c r="Q4" s="659" t="s">
        <v>4</v>
      </c>
      <c r="R4" s="660" t="s">
        <v>5</v>
      </c>
      <c r="S4" s="661" t="s">
        <v>345</v>
      </c>
      <c r="T4" s="657" t="s">
        <v>840</v>
      </c>
      <c r="U4" s="657" t="s">
        <v>781</v>
      </c>
      <c r="V4" s="657" t="s">
        <v>24</v>
      </c>
      <c r="W4" s="657" t="s">
        <v>895</v>
      </c>
      <c r="X4" s="657" t="s">
        <v>670</v>
      </c>
      <c r="Y4" s="657" t="s">
        <v>783</v>
      </c>
      <c r="Z4" s="662" t="s">
        <v>784</v>
      </c>
      <c r="AA4" s="662" t="s">
        <v>789</v>
      </c>
      <c r="AB4" s="657" t="s">
        <v>687</v>
      </c>
      <c r="AC4" s="657" t="s">
        <v>686</v>
      </c>
      <c r="AD4" s="657" t="s">
        <v>348</v>
      </c>
      <c r="AE4" s="657" t="s">
        <v>349</v>
      </c>
      <c r="AF4" s="663" t="s">
        <v>359</v>
      </c>
      <c r="AG4" s="657" t="s">
        <v>353</v>
      </c>
      <c r="AH4" s="657" t="s">
        <v>827</v>
      </c>
      <c r="AI4" s="664" t="s">
        <v>838</v>
      </c>
      <c r="BN4" s="355"/>
      <c r="BO4" s="355"/>
    </row>
    <row r="5" spans="1:67" ht="13.5" customHeight="1">
      <c r="A5" s="386" t="s">
        <v>357</v>
      </c>
      <c r="B5" s="386" t="s">
        <v>7</v>
      </c>
      <c r="C5" s="386" t="s">
        <v>360</v>
      </c>
      <c r="D5" s="386" t="s">
        <v>19</v>
      </c>
      <c r="E5" s="386" t="s">
        <v>622</v>
      </c>
      <c r="F5" s="386" t="s">
        <v>19</v>
      </c>
      <c r="G5" s="386" t="s">
        <v>422</v>
      </c>
      <c r="H5" s="386" t="s">
        <v>80</v>
      </c>
      <c r="I5" s="386" t="s">
        <v>531</v>
      </c>
      <c r="J5" s="387" t="s">
        <v>80</v>
      </c>
      <c r="K5" s="386">
        <v>196129</v>
      </c>
      <c r="L5" s="386" t="s">
        <v>80</v>
      </c>
      <c r="M5" s="386" t="s">
        <v>169</v>
      </c>
      <c r="N5" s="85">
        <v>92.836860999999999</v>
      </c>
      <c r="O5" s="85">
        <v>20.226865</v>
      </c>
      <c r="P5" s="386"/>
      <c r="Q5" s="313">
        <v>7</v>
      </c>
      <c r="R5" s="641">
        <v>27</v>
      </c>
      <c r="S5" s="314">
        <v>3.8571428571428572</v>
      </c>
      <c r="T5" s="386" t="s">
        <v>351</v>
      </c>
      <c r="U5" s="386" t="s">
        <v>782</v>
      </c>
      <c r="V5" s="386" t="s">
        <v>841</v>
      </c>
      <c r="W5" s="388"/>
      <c r="X5" s="386"/>
      <c r="Y5" s="386" t="s">
        <v>7</v>
      </c>
      <c r="Z5" s="386" t="s">
        <v>785</v>
      </c>
      <c r="AA5" s="386" t="str">
        <f>CONCATENATE(Camp_List[[#This Row],[Ethnicity]],"-",Camp_List[[#This Row],[Religion]])</f>
        <v>Rakhine-Buddhist</v>
      </c>
      <c r="AB5" s="386" t="s">
        <v>685</v>
      </c>
      <c r="AC5" s="386" t="s">
        <v>287</v>
      </c>
      <c r="AD5" s="386" t="s">
        <v>514</v>
      </c>
      <c r="AE5" s="386" t="s">
        <v>530</v>
      </c>
      <c r="AF5" s="315">
        <v>41872</v>
      </c>
      <c r="AG5" s="386"/>
      <c r="AH5" s="85" t="str">
        <f>IFERROR(VLOOKUP(Camp_List[[#This Row],[Responsible Agency]],Organization_t[],3,0),"")</f>
        <v>Richard Kevin Tracey, CCCM/NFI Cluster Coordinator, tracey@unhcr.org,09448027896</v>
      </c>
      <c r="AI5" s="654">
        <f>IF((SUMIFS(Data_Shelter_t[Coverage],Data_Shelter_t[Pcode],Camp_List[[#This Row],[P_Code]]))&gt;1,1,SUMIFS(Data_Shelter_t[Coverage],Data_Shelter_t[Pcode],Camp_List[[#This Row],[P_Code]]))</f>
        <v>0</v>
      </c>
      <c r="BL5" s="21"/>
      <c r="BM5" s="21"/>
      <c r="BN5" s="79"/>
      <c r="BO5" s="79"/>
    </row>
    <row r="6" spans="1:67" ht="13.5" customHeight="1">
      <c r="A6" s="386" t="s">
        <v>357</v>
      </c>
      <c r="B6" s="386" t="s">
        <v>7</v>
      </c>
      <c r="C6" s="386" t="s">
        <v>360</v>
      </c>
      <c r="D6" s="386" t="s">
        <v>626</v>
      </c>
      <c r="E6" s="386" t="s">
        <v>627</v>
      </c>
      <c r="F6" s="386" t="s">
        <v>18</v>
      </c>
      <c r="G6" s="386" t="s">
        <v>414</v>
      </c>
      <c r="H6" s="386" t="s">
        <v>417</v>
      </c>
      <c r="I6" s="386" t="s">
        <v>416</v>
      </c>
      <c r="J6" s="386"/>
      <c r="K6" s="386"/>
      <c r="L6" s="386" t="s">
        <v>60</v>
      </c>
      <c r="M6" s="386" t="s">
        <v>149</v>
      </c>
      <c r="N6" s="85">
        <v>93.865170000000006</v>
      </c>
      <c r="O6" s="85">
        <v>19.091054</v>
      </c>
      <c r="P6" s="386"/>
      <c r="Q6" s="313">
        <v>18</v>
      </c>
      <c r="R6" s="797">
        <v>77</v>
      </c>
      <c r="S6" s="314">
        <v>4.2777777777777777</v>
      </c>
      <c r="T6" s="386" t="s">
        <v>351</v>
      </c>
      <c r="U6" s="386" t="s">
        <v>782</v>
      </c>
      <c r="V6" s="386" t="s">
        <v>23</v>
      </c>
      <c r="W6" s="388"/>
      <c r="X6" s="386"/>
      <c r="Y6" s="386" t="s">
        <v>7</v>
      </c>
      <c r="Z6" s="386" t="s">
        <v>785</v>
      </c>
      <c r="AA6" s="386" t="str">
        <f>CONCATENATE(Camp_List[[#This Row],[Ethnicity]],"-",Camp_List[[#This Row],[Religion]])</f>
        <v>Rakhine-Buddhist</v>
      </c>
      <c r="AB6" s="386" t="s">
        <v>685</v>
      </c>
      <c r="AC6" s="386" t="s">
        <v>287</v>
      </c>
      <c r="AD6" s="386" t="s">
        <v>514</v>
      </c>
      <c r="AE6" s="386" t="s">
        <v>530</v>
      </c>
      <c r="AF6" s="315">
        <v>42097</v>
      </c>
      <c r="AG6" s="386" t="s">
        <v>522</v>
      </c>
      <c r="AH6" s="85" t="str">
        <f>IFERROR(VLOOKUP(Camp_List[[#This Row],[Responsible Agency]],Organization_t[],3,0),"")</f>
        <v>Richard Kevin Tracey, CCCM/NFI Cluster Coordinator, tracey@unhcr.org,09448027896</v>
      </c>
      <c r="AI6" s="654">
        <f ca="1">IF((SUMIFS(Data_Shelter_t[Coverage],Data_Shelter_t[Pcode],Camp_List[[#This Row],[P_Code]]))&gt;1,1,SUMIFS(Data_Shelter_t[Coverage],Data_Shelter_t[Pcode],Camp_List[[#This Row],[P_Code]]))</f>
        <v>0</v>
      </c>
      <c r="BL6" s="21"/>
      <c r="BM6" s="21"/>
      <c r="BN6" s="79"/>
      <c r="BO6" s="79"/>
    </row>
    <row r="7" spans="1:67" ht="13.5" customHeight="1">
      <c r="A7" s="386" t="s">
        <v>357</v>
      </c>
      <c r="B7" s="386" t="s">
        <v>7</v>
      </c>
      <c r="C7" s="386" t="s">
        <v>360</v>
      </c>
      <c r="D7" s="386" t="s">
        <v>19</v>
      </c>
      <c r="E7" s="386" t="s">
        <v>622</v>
      </c>
      <c r="F7" s="386" t="s">
        <v>900</v>
      </c>
      <c r="G7" s="386" t="s">
        <v>382</v>
      </c>
      <c r="H7" s="386" t="s">
        <v>522</v>
      </c>
      <c r="I7" s="386" t="s">
        <v>554</v>
      </c>
      <c r="J7" s="386" t="s">
        <v>491</v>
      </c>
      <c r="K7" s="386" t="s">
        <v>492</v>
      </c>
      <c r="L7" s="386" t="s">
        <v>37</v>
      </c>
      <c r="M7" s="386" t="s">
        <v>124</v>
      </c>
      <c r="N7" s="85">
        <v>93.373951000000005</v>
      </c>
      <c r="O7" s="85">
        <v>20.041981</v>
      </c>
      <c r="P7" s="386"/>
      <c r="Q7" s="793">
        <v>42</v>
      </c>
      <c r="R7" s="797">
        <v>204</v>
      </c>
      <c r="S7" s="314">
        <v>4.8292682926829267</v>
      </c>
      <c r="T7" s="386" t="s">
        <v>351</v>
      </c>
      <c r="U7" s="386" t="s">
        <v>782</v>
      </c>
      <c r="V7" s="386" t="s">
        <v>22</v>
      </c>
      <c r="W7" s="388"/>
      <c r="X7" s="386"/>
      <c r="Y7" s="386" t="s">
        <v>7</v>
      </c>
      <c r="Z7" s="386" t="s">
        <v>785</v>
      </c>
      <c r="AA7" s="386" t="str">
        <f>CONCATENATE(Camp_List[[#This Row],[Ethnicity]],"-",Camp_List[[#This Row],[Religion]])</f>
        <v>Rakhine-Buddhist</v>
      </c>
      <c r="AB7" s="386" t="s">
        <v>685</v>
      </c>
      <c r="AC7" s="386" t="s">
        <v>730</v>
      </c>
      <c r="AD7" s="386" t="s">
        <v>912</v>
      </c>
      <c r="AE7" s="386" t="s">
        <v>913</v>
      </c>
      <c r="AF7" s="315">
        <v>42415</v>
      </c>
      <c r="AG7" s="386"/>
      <c r="AH7" s="85" t="str">
        <f>IFERROR(VLOOKUP(Camp_List[[#This Row],[Responsible Agency]],Organization_t[],3,0),"")</f>
        <v>Trisha Bury
Health Program Manager (Sittwe)
trisha.bury@ri.org</v>
      </c>
      <c r="AI7" s="654">
        <f ca="1">IF((SUMIFS(Data_Shelter_t[Coverage],Data_Shelter_t[Pcode],Camp_List[[#This Row],[P_Code]]))&gt;1,1,SUMIFS(Data_Shelter_t[Coverage],Data_Shelter_t[Pcode],Camp_List[[#This Row],[P_Code]]))</f>
        <v>1</v>
      </c>
      <c r="BL7" s="21"/>
      <c r="BM7" s="21"/>
      <c r="BN7" s="79"/>
      <c r="BO7" s="79"/>
    </row>
    <row r="8" spans="1:67" ht="13.5" customHeight="1">
      <c r="A8" s="386" t="s">
        <v>357</v>
      </c>
      <c r="B8" s="386" t="s">
        <v>7</v>
      </c>
      <c r="C8" s="386" t="s">
        <v>360</v>
      </c>
      <c r="D8" s="386" t="s">
        <v>626</v>
      </c>
      <c r="E8" s="386" t="s">
        <v>627</v>
      </c>
      <c r="F8" s="386" t="s">
        <v>17</v>
      </c>
      <c r="G8" s="386" t="s">
        <v>415</v>
      </c>
      <c r="H8" s="386" t="s">
        <v>419</v>
      </c>
      <c r="I8" s="386" t="s">
        <v>418</v>
      </c>
      <c r="J8" s="386" t="s">
        <v>483</v>
      </c>
      <c r="K8" s="386">
        <v>198469</v>
      </c>
      <c r="L8" s="386" t="s">
        <v>483</v>
      </c>
      <c r="M8" s="386" t="s">
        <v>147</v>
      </c>
      <c r="N8" s="85">
        <v>93.552452000000002</v>
      </c>
      <c r="O8" s="85">
        <v>19.421102000000001</v>
      </c>
      <c r="P8" s="386"/>
      <c r="Q8" s="313">
        <v>65</v>
      </c>
      <c r="R8" s="641">
        <v>327</v>
      </c>
      <c r="S8" s="314">
        <v>5.0307692307692307</v>
      </c>
      <c r="T8" s="386" t="s">
        <v>351</v>
      </c>
      <c r="U8" s="386" t="s">
        <v>782</v>
      </c>
      <c r="V8" s="386" t="s">
        <v>22</v>
      </c>
      <c r="W8" s="388"/>
      <c r="X8" s="386"/>
      <c r="Y8" s="386" t="s">
        <v>7</v>
      </c>
      <c r="Z8" s="386" t="s">
        <v>785</v>
      </c>
      <c r="AA8" s="386" t="str">
        <f>CONCATENATE(Camp_List[[#This Row],[Ethnicity]],"-",Camp_List[[#This Row],[Religion]])</f>
        <v>Rakhine-Buddhist</v>
      </c>
      <c r="AB8" s="386" t="s">
        <v>685</v>
      </c>
      <c r="AC8" s="386" t="s">
        <v>287</v>
      </c>
      <c r="AD8" s="386" t="s">
        <v>514</v>
      </c>
      <c r="AE8" s="386" t="s">
        <v>530</v>
      </c>
      <c r="AF8" s="315">
        <v>42097</v>
      </c>
      <c r="AG8" s="386"/>
      <c r="AH8" s="85" t="str">
        <f>IFERROR(VLOOKUP(Camp_List[[#This Row],[Responsible Agency]],Organization_t[],3,0),"")</f>
        <v>Richard Kevin Tracey, CCCM/NFI Cluster Coordinator, tracey@unhcr.org,09448027896</v>
      </c>
      <c r="AI8" s="654">
        <f ca="1">IF((SUMIFS(Data_Shelter_t[Coverage],Data_Shelter_t[Pcode],Camp_List[[#This Row],[P_Code]]))&gt;1,1,SUMIFS(Data_Shelter_t[Coverage],Data_Shelter_t[Pcode],Camp_List[[#This Row],[P_Code]]))</f>
        <v>0.86153846153846159</v>
      </c>
      <c r="BL8" s="21"/>
      <c r="BM8" s="21"/>
      <c r="BN8" s="79"/>
      <c r="BO8" s="79"/>
    </row>
    <row r="9" spans="1:67" ht="13.5" customHeight="1">
      <c r="A9" s="386" t="s">
        <v>357</v>
      </c>
      <c r="B9" s="386" t="s">
        <v>7</v>
      </c>
      <c r="C9" s="386" t="s">
        <v>360</v>
      </c>
      <c r="D9" s="386" t="s">
        <v>19</v>
      </c>
      <c r="E9" s="386" t="s">
        <v>622</v>
      </c>
      <c r="F9" s="386" t="s">
        <v>19</v>
      </c>
      <c r="G9" s="386" t="s">
        <v>422</v>
      </c>
      <c r="H9" s="386" t="s">
        <v>428</v>
      </c>
      <c r="I9" s="386" t="s">
        <v>427</v>
      </c>
      <c r="J9" s="386" t="s">
        <v>505</v>
      </c>
      <c r="K9" s="386">
        <v>196192</v>
      </c>
      <c r="L9" s="386" t="s">
        <v>568</v>
      </c>
      <c r="M9" s="386" t="s">
        <v>569</v>
      </c>
      <c r="N9" s="85">
        <v>92.804803000000007</v>
      </c>
      <c r="O9" s="85">
        <v>20.182987000000001</v>
      </c>
      <c r="P9" s="386"/>
      <c r="Q9" s="313">
        <v>41</v>
      </c>
      <c r="R9" s="641">
        <v>226</v>
      </c>
      <c r="S9" s="314">
        <v>5.5121951219512191</v>
      </c>
      <c r="T9" s="386" t="s">
        <v>351</v>
      </c>
      <c r="U9" s="386" t="s">
        <v>782</v>
      </c>
      <c r="V9" s="386" t="s">
        <v>841</v>
      </c>
      <c r="W9" s="386"/>
      <c r="X9" s="386"/>
      <c r="Y9" s="386"/>
      <c r="Z9" s="386" t="s">
        <v>678</v>
      </c>
      <c r="AA9" s="386" t="str">
        <f>CONCATENATE(Camp_List[[#This Row],[Ethnicity]],"-",Camp_List[[#This Row],[Religion]])</f>
        <v>-Muslim</v>
      </c>
      <c r="AB9" s="386" t="s">
        <v>685</v>
      </c>
      <c r="AC9" s="386" t="s">
        <v>287</v>
      </c>
      <c r="AD9" s="386" t="s">
        <v>514</v>
      </c>
      <c r="AE9" s="386" t="s">
        <v>530</v>
      </c>
      <c r="AF9" s="315">
        <v>41872</v>
      </c>
      <c r="AG9" s="386"/>
      <c r="AH9" s="85" t="str">
        <f>IFERROR(VLOOKUP(Camp_List[[#This Row],[Responsible Agency]],Organization_t[],3,0),"")</f>
        <v>Richard Kevin Tracey, CCCM/NFI Cluster Coordinator, tracey@unhcr.org,09448027896</v>
      </c>
      <c r="AI9" s="654">
        <f>IF((SUMIFS(Data_Shelter_t[Coverage],Data_Shelter_t[Pcode],Camp_List[[#This Row],[P_Code]]))&gt;1,1,SUMIFS(Data_Shelter_t[Coverage],Data_Shelter_t[Pcode],Camp_List[[#This Row],[P_Code]]))</f>
        <v>0</v>
      </c>
      <c r="BL9" s="21"/>
      <c r="BM9" s="21"/>
      <c r="BN9" s="79"/>
      <c r="BO9" s="79"/>
    </row>
    <row r="10" spans="1:67" ht="13.5" customHeight="1">
      <c r="A10" s="386" t="s">
        <v>357</v>
      </c>
      <c r="B10" s="386" t="s">
        <v>7</v>
      </c>
      <c r="C10" s="386" t="s">
        <v>360</v>
      </c>
      <c r="D10" s="386" t="s">
        <v>19</v>
      </c>
      <c r="E10" s="386" t="s">
        <v>622</v>
      </c>
      <c r="F10" s="386" t="s">
        <v>19</v>
      </c>
      <c r="G10" s="386" t="s">
        <v>422</v>
      </c>
      <c r="H10" s="386" t="s">
        <v>426</v>
      </c>
      <c r="I10" s="386" t="s">
        <v>425</v>
      </c>
      <c r="J10" s="386" t="s">
        <v>506</v>
      </c>
      <c r="K10" s="386">
        <v>196206</v>
      </c>
      <c r="L10" s="386" t="s">
        <v>557</v>
      </c>
      <c r="M10" s="386" t="s">
        <v>558</v>
      </c>
      <c r="N10" s="85">
        <v>92.830074999999994</v>
      </c>
      <c r="O10" s="85">
        <v>20.167421999999998</v>
      </c>
      <c r="P10" s="386"/>
      <c r="Q10" s="313">
        <v>518</v>
      </c>
      <c r="R10" s="641">
        <v>2951</v>
      </c>
      <c r="S10" s="314">
        <v>5.6969111969111967</v>
      </c>
      <c r="T10" s="386" t="s">
        <v>351</v>
      </c>
      <c r="U10" s="386" t="s">
        <v>782</v>
      </c>
      <c r="V10" s="386" t="s">
        <v>841</v>
      </c>
      <c r="W10" s="388"/>
      <c r="X10" s="386"/>
      <c r="Y10" s="386"/>
      <c r="Z10" s="386" t="s">
        <v>678</v>
      </c>
      <c r="AA10" s="386" t="str">
        <f>CONCATENATE(Camp_List[[#This Row],[Ethnicity]],"-",Camp_List[[#This Row],[Religion]])</f>
        <v>-Muslim</v>
      </c>
      <c r="AB10" s="386" t="s">
        <v>685</v>
      </c>
      <c r="AC10" s="386" t="s">
        <v>287</v>
      </c>
      <c r="AD10" s="386" t="s">
        <v>514</v>
      </c>
      <c r="AE10" s="386" t="s">
        <v>530</v>
      </c>
      <c r="AF10" s="315">
        <v>41872</v>
      </c>
      <c r="AG10" s="386"/>
      <c r="AH10" s="85" t="str">
        <f>IFERROR(VLOOKUP(Camp_List[[#This Row],[Responsible Agency]],Organization_t[],3,0),"")</f>
        <v>Richard Kevin Tracey, CCCM/NFI Cluster Coordinator, tracey@unhcr.org,09448027896</v>
      </c>
      <c r="AI10" s="654">
        <f>IF((SUMIFS(Data_Shelter_t[Coverage],Data_Shelter_t[Pcode],Camp_List[[#This Row],[P_Code]]))&gt;1,1,SUMIFS(Data_Shelter_t[Coverage],Data_Shelter_t[Pcode],Camp_List[[#This Row],[P_Code]]))</f>
        <v>0</v>
      </c>
      <c r="BL10" s="21"/>
      <c r="BM10" s="21"/>
      <c r="BN10" s="79"/>
      <c r="BO10" s="79"/>
    </row>
    <row r="11" spans="1:67" ht="13.5" customHeight="1">
      <c r="A11" s="386" t="s">
        <v>357</v>
      </c>
      <c r="B11" s="386" t="s">
        <v>7</v>
      </c>
      <c r="C11" s="386" t="s">
        <v>360</v>
      </c>
      <c r="D11" s="386" t="s">
        <v>19</v>
      </c>
      <c r="E11" s="386" t="s">
        <v>622</v>
      </c>
      <c r="F11" s="386" t="s">
        <v>19</v>
      </c>
      <c r="G11" s="386" t="s">
        <v>422</v>
      </c>
      <c r="H11" s="386" t="s">
        <v>426</v>
      </c>
      <c r="I11" s="386" t="s">
        <v>425</v>
      </c>
      <c r="J11" s="386" t="s">
        <v>507</v>
      </c>
      <c r="K11" s="386">
        <v>196186</v>
      </c>
      <c r="L11" s="386" t="s">
        <v>555</v>
      </c>
      <c r="M11" s="386" t="s">
        <v>282</v>
      </c>
      <c r="N11" s="85">
        <v>92.842230000000001</v>
      </c>
      <c r="O11" s="85">
        <v>20.181742</v>
      </c>
      <c r="P11" s="386"/>
      <c r="Q11" s="313">
        <v>496</v>
      </c>
      <c r="R11" s="641">
        <v>2942</v>
      </c>
      <c r="S11" s="314">
        <v>5.931451612903226</v>
      </c>
      <c r="T11" s="386" t="s">
        <v>351</v>
      </c>
      <c r="U11" s="386" t="s">
        <v>782</v>
      </c>
      <c r="V11" s="386" t="s">
        <v>841</v>
      </c>
      <c r="W11" s="388"/>
      <c r="X11" s="386"/>
      <c r="Y11" s="386"/>
      <c r="Z11" s="386" t="s">
        <v>678</v>
      </c>
      <c r="AA11" s="386" t="str">
        <f>CONCATENATE(Camp_List[[#This Row],[Ethnicity]],"-",Camp_List[[#This Row],[Religion]])</f>
        <v>-Muslim</v>
      </c>
      <c r="AB11" s="386" t="s">
        <v>685</v>
      </c>
      <c r="AC11" s="386" t="s">
        <v>287</v>
      </c>
      <c r="AD11" s="386" t="s">
        <v>514</v>
      </c>
      <c r="AE11" s="386" t="s">
        <v>530</v>
      </c>
      <c r="AF11" s="315">
        <v>41872</v>
      </c>
      <c r="AG11" s="386"/>
      <c r="AH11" s="85" t="str">
        <f>IFERROR(VLOOKUP(Camp_List[[#This Row],[Responsible Agency]],Organization_t[],3,0),"")</f>
        <v>Richard Kevin Tracey, CCCM/NFI Cluster Coordinator, tracey@unhcr.org,09448027896</v>
      </c>
      <c r="AI11" s="654">
        <f>IF((SUMIFS(Data_Shelter_t[Coverage],Data_Shelter_t[Pcode],Camp_List[[#This Row],[P_Code]]))&gt;1,1,SUMIFS(Data_Shelter_t[Coverage],Data_Shelter_t[Pcode],Camp_List[[#This Row],[P_Code]]))</f>
        <v>0</v>
      </c>
      <c r="BL11" s="21"/>
      <c r="BM11" s="21"/>
      <c r="BN11" s="79"/>
      <c r="BO11" s="79"/>
    </row>
    <row r="12" spans="1:67" ht="13.5" customHeight="1">
      <c r="A12" s="386" t="s">
        <v>357</v>
      </c>
      <c r="B12" s="386" t="s">
        <v>7</v>
      </c>
      <c r="C12" s="386" t="s">
        <v>360</v>
      </c>
      <c r="D12" s="386" t="s">
        <v>19</v>
      </c>
      <c r="E12" s="386" t="s">
        <v>622</v>
      </c>
      <c r="F12" s="386" t="s">
        <v>19</v>
      </c>
      <c r="G12" s="386" t="s">
        <v>422</v>
      </c>
      <c r="H12" s="386" t="s">
        <v>510</v>
      </c>
      <c r="I12" s="386" t="s">
        <v>589</v>
      </c>
      <c r="J12" s="386"/>
      <c r="K12" s="386" t="s">
        <v>511</v>
      </c>
      <c r="L12" s="386" t="s">
        <v>61</v>
      </c>
      <c r="M12" s="386" t="s">
        <v>150</v>
      </c>
      <c r="N12" s="85">
        <v>92.875814000000005</v>
      </c>
      <c r="O12" s="85">
        <v>20.128488999999998</v>
      </c>
      <c r="P12" s="386"/>
      <c r="Q12" s="793">
        <v>397</v>
      </c>
      <c r="R12" s="797">
        <v>2104</v>
      </c>
      <c r="S12" s="314">
        <v>5.1612090680100753</v>
      </c>
      <c r="T12" s="386" t="s">
        <v>351</v>
      </c>
      <c r="U12" s="386" t="s">
        <v>782</v>
      </c>
      <c r="V12" s="386" t="s">
        <v>22</v>
      </c>
      <c r="W12" s="386"/>
      <c r="X12" s="386"/>
      <c r="Y12" s="386"/>
      <c r="Z12" s="386" t="s">
        <v>678</v>
      </c>
      <c r="AA12" s="386" t="str">
        <f>CONCATENATE(Camp_List[[#This Row],[Ethnicity]],"-",Camp_List[[#This Row],[Religion]])</f>
        <v>-Muslim</v>
      </c>
      <c r="AB12" s="386" t="s">
        <v>684</v>
      </c>
      <c r="AC12" s="386" t="s">
        <v>642</v>
      </c>
      <c r="AD12" s="386" t="s">
        <v>912</v>
      </c>
      <c r="AE12" s="386" t="s">
        <v>913</v>
      </c>
      <c r="AF12" s="315">
        <v>42471</v>
      </c>
      <c r="AG12" s="809" t="s">
        <v>1035</v>
      </c>
      <c r="AH12" s="85" t="str">
        <f>IFERROR(VLOOKUP(Camp_List[[#This Row],[Responsible Agency]],Organization_t[],3,0),"")</f>
        <v>Yadu Shresk
Emergency Project Coordinator
campro.mmr@lwfdws.org</v>
      </c>
      <c r="AI12" s="654">
        <f ca="1">IF((SUMIFS(Data_Shelter_t[Coverage],Data_Shelter_t[Pcode],Camp_List[[#This Row],[P_Code]]))&gt;1,1,SUMIFS(Data_Shelter_t[Coverage],Data_Shelter_t[Pcode],Camp_List[[#This Row],[P_Code]]))</f>
        <v>1</v>
      </c>
      <c r="BL12" s="21"/>
      <c r="BM12" s="21"/>
      <c r="BN12" s="79"/>
      <c r="BO12" s="79"/>
    </row>
    <row r="13" spans="1:67" ht="13.5" customHeight="1">
      <c r="A13" s="386" t="s">
        <v>357</v>
      </c>
      <c r="B13" s="386" t="s">
        <v>7</v>
      </c>
      <c r="C13" s="386" t="s">
        <v>360</v>
      </c>
      <c r="D13" s="386" t="s">
        <v>19</v>
      </c>
      <c r="E13" s="386" t="s">
        <v>622</v>
      </c>
      <c r="F13" s="386" t="s">
        <v>19</v>
      </c>
      <c r="G13" s="386" t="s">
        <v>422</v>
      </c>
      <c r="H13" s="386" t="s">
        <v>428</v>
      </c>
      <c r="I13" s="386" t="s">
        <v>427</v>
      </c>
      <c r="J13" s="386" t="s">
        <v>505</v>
      </c>
      <c r="K13" s="386">
        <v>196192</v>
      </c>
      <c r="L13" s="386" t="s">
        <v>648</v>
      </c>
      <c r="M13" s="386" t="s">
        <v>650</v>
      </c>
      <c r="N13" s="85">
        <v>92.813028000000003</v>
      </c>
      <c r="O13" s="85">
        <v>20.179417000000001</v>
      </c>
      <c r="P13" s="386"/>
      <c r="Q13" s="313">
        <v>997</v>
      </c>
      <c r="R13" s="641">
        <v>4851</v>
      </c>
      <c r="S13" s="314">
        <v>4.8655967903711135</v>
      </c>
      <c r="T13" s="386" t="s">
        <v>351</v>
      </c>
      <c r="U13" s="386" t="s">
        <v>782</v>
      </c>
      <c r="V13" s="386" t="s">
        <v>22</v>
      </c>
      <c r="W13" s="386"/>
      <c r="X13" s="386"/>
      <c r="Y13" s="386"/>
      <c r="Z13" s="386" t="s">
        <v>678</v>
      </c>
      <c r="AA13" s="386" t="str">
        <f>CONCATENATE(Camp_List[[#This Row],[Ethnicity]],"-",Camp_List[[#This Row],[Religion]])</f>
        <v>-Muslim</v>
      </c>
      <c r="AB13" s="386" t="s">
        <v>684</v>
      </c>
      <c r="AC13" s="386" t="s">
        <v>290</v>
      </c>
      <c r="AD13" s="386" t="s">
        <v>912</v>
      </c>
      <c r="AE13" s="386" t="s">
        <v>913</v>
      </c>
      <c r="AF13" s="315">
        <v>42087</v>
      </c>
      <c r="AG13" s="386"/>
      <c r="AH13" s="85" t="str">
        <f>IFERROR(VLOOKUP(Camp_List[[#This Row],[Responsible Agency]],Organization_t[],3,0),"")</f>
        <v>Bruce Spires
, CCCM Project Coordinator,
bruce.spires@drcmm.org, 09423662612</v>
      </c>
      <c r="AI13" s="654">
        <f ca="1">IF((SUMIFS(Data_Shelter_t[Coverage],Data_Shelter_t[Pcode],Camp_List[[#This Row],[P_Code]]))&gt;1,1,SUMIFS(Data_Shelter_t[Coverage],Data_Shelter_t[Pcode],Camp_List[[#This Row],[P_Code]]))</f>
        <v>1</v>
      </c>
      <c r="BL13" s="21"/>
      <c r="BM13" s="21"/>
      <c r="BN13" s="79"/>
      <c r="BO13" s="79"/>
    </row>
    <row r="14" spans="1:67" ht="13.5" customHeight="1">
      <c r="A14" s="386" t="s">
        <v>357</v>
      </c>
      <c r="B14" s="386" t="s">
        <v>7</v>
      </c>
      <c r="C14" s="386" t="s">
        <v>360</v>
      </c>
      <c r="D14" s="386" t="s">
        <v>19</v>
      </c>
      <c r="E14" s="386" t="s">
        <v>622</v>
      </c>
      <c r="F14" s="386" t="s">
        <v>19</v>
      </c>
      <c r="G14" s="386" t="s">
        <v>422</v>
      </c>
      <c r="H14" s="386" t="s">
        <v>428</v>
      </c>
      <c r="I14" s="386" t="s">
        <v>427</v>
      </c>
      <c r="J14" s="386" t="s">
        <v>505</v>
      </c>
      <c r="K14" s="386">
        <v>196192</v>
      </c>
      <c r="L14" s="386" t="s">
        <v>649</v>
      </c>
      <c r="M14" s="386" t="s">
        <v>651</v>
      </c>
      <c r="N14" s="85">
        <v>92.807552000000001</v>
      </c>
      <c r="O14" s="85">
        <v>20.181405999999999</v>
      </c>
      <c r="P14" s="386"/>
      <c r="Q14" s="792">
        <v>1297</v>
      </c>
      <c r="R14" s="796">
        <v>6917</v>
      </c>
      <c r="S14" s="799">
        <v>5.3330763299922896</v>
      </c>
      <c r="T14" s="386" t="s">
        <v>351</v>
      </c>
      <c r="U14" s="386" t="s">
        <v>782</v>
      </c>
      <c r="V14" s="386" t="s">
        <v>22</v>
      </c>
      <c r="W14" s="386"/>
      <c r="X14" s="386"/>
      <c r="Y14" s="386"/>
      <c r="Z14" s="386" t="s">
        <v>678</v>
      </c>
      <c r="AA14" s="386" t="str">
        <f>CONCATENATE(Camp_List[[#This Row],[Ethnicity]],"-",Camp_List[[#This Row],[Religion]])</f>
        <v>-Muslim</v>
      </c>
      <c r="AB14" s="386" t="s">
        <v>684</v>
      </c>
      <c r="AC14" s="386" t="s">
        <v>290</v>
      </c>
      <c r="AD14" s="386" t="s">
        <v>912</v>
      </c>
      <c r="AE14" s="386" t="s">
        <v>913</v>
      </c>
      <c r="AF14" s="315">
        <v>42088</v>
      </c>
      <c r="AG14" s="386"/>
      <c r="AH14" s="85" t="str">
        <f>IFERROR(VLOOKUP(Camp_List[[#This Row],[Responsible Agency]],Organization_t[],3,0),"")</f>
        <v>Bruce Spires
, CCCM Project Coordinator,
bruce.spires@drcmm.org, 09423662612</v>
      </c>
      <c r="AI14" s="654">
        <f ca="1">IF((SUMIFS(Data_Shelter_t[Coverage],Data_Shelter_t[Pcode],Camp_List[[#This Row],[P_Code]]))&gt;1,1,SUMIFS(Data_Shelter_t[Coverage],Data_Shelter_t[Pcode],Camp_List[[#This Row],[P_Code]]))</f>
        <v>1</v>
      </c>
      <c r="BL14" s="21"/>
      <c r="BM14" s="21"/>
      <c r="BN14" s="79"/>
      <c r="BO14" s="79"/>
    </row>
    <row r="15" spans="1:67" ht="13.5" customHeight="1">
      <c r="A15" s="386" t="s">
        <v>357</v>
      </c>
      <c r="B15" s="386" t="s">
        <v>7</v>
      </c>
      <c r="C15" s="386" t="s">
        <v>360</v>
      </c>
      <c r="D15" s="386" t="s">
        <v>19</v>
      </c>
      <c r="E15" s="386" t="s">
        <v>622</v>
      </c>
      <c r="F15" s="386" t="s">
        <v>19</v>
      </c>
      <c r="G15" s="386" t="s">
        <v>422</v>
      </c>
      <c r="H15" s="386" t="s">
        <v>426</v>
      </c>
      <c r="I15" s="788" t="s">
        <v>425</v>
      </c>
      <c r="J15" s="386" t="s">
        <v>506</v>
      </c>
      <c r="K15" s="788">
        <v>196206</v>
      </c>
      <c r="L15" s="386" t="s">
        <v>63</v>
      </c>
      <c r="M15" s="386" t="s">
        <v>152</v>
      </c>
      <c r="N15" s="85">
        <v>92.827427</v>
      </c>
      <c r="O15" s="85">
        <v>20.16846</v>
      </c>
      <c r="P15" s="386"/>
      <c r="Q15" s="313">
        <v>1397</v>
      </c>
      <c r="R15" s="641">
        <v>8189</v>
      </c>
      <c r="S15" s="314">
        <v>5.8618468146027203</v>
      </c>
      <c r="T15" s="386" t="s">
        <v>351</v>
      </c>
      <c r="U15" s="386" t="s">
        <v>782</v>
      </c>
      <c r="V15" s="386" t="s">
        <v>22</v>
      </c>
      <c r="W15" s="386"/>
      <c r="X15" s="386"/>
      <c r="Y15" s="386"/>
      <c r="Z15" s="386" t="s">
        <v>678</v>
      </c>
      <c r="AA15" s="386" t="str">
        <f>CONCATENATE(Camp_List[[#This Row],[Ethnicity]],"-",Camp_List[[#This Row],[Religion]])</f>
        <v>-Muslim</v>
      </c>
      <c r="AB15" s="386" t="s">
        <v>684</v>
      </c>
      <c r="AC15" s="386" t="s">
        <v>290</v>
      </c>
      <c r="AD15" s="386" t="s">
        <v>912</v>
      </c>
      <c r="AE15" s="386" t="s">
        <v>913</v>
      </c>
      <c r="AF15" s="315">
        <v>42082</v>
      </c>
      <c r="AG15" s="386"/>
      <c r="AH15" s="85" t="str">
        <f>IFERROR(VLOOKUP(Camp_List[[#This Row],[Responsible Agency]],Organization_t[],3,0),"")</f>
        <v>Bruce Spires
, CCCM Project Coordinator,
bruce.spires@drcmm.org, 09423662612</v>
      </c>
      <c r="AI15" s="654">
        <f ca="1">IF((SUMIFS(Data_Shelter_t[Coverage],Data_Shelter_t[Pcode],Camp_List[[#This Row],[P_Code]]))&gt;1,1,SUMIFS(Data_Shelter_t[Coverage],Data_Shelter_t[Pcode],Camp_List[[#This Row],[P_Code]]))</f>
        <v>1</v>
      </c>
      <c r="BL15" s="21"/>
      <c r="BM15" s="21"/>
      <c r="BN15" s="79"/>
      <c r="BO15" s="79"/>
    </row>
    <row r="16" spans="1:67" ht="13.5" customHeight="1">
      <c r="A16" s="386" t="s">
        <v>357</v>
      </c>
      <c r="B16" s="386" t="s">
        <v>7</v>
      </c>
      <c r="C16" s="386" t="s">
        <v>360</v>
      </c>
      <c r="D16" s="386" t="s">
        <v>19</v>
      </c>
      <c r="E16" s="386" t="s">
        <v>622</v>
      </c>
      <c r="F16" s="386" t="s">
        <v>19</v>
      </c>
      <c r="G16" s="386" t="s">
        <v>422</v>
      </c>
      <c r="H16" s="386" t="s">
        <v>428</v>
      </c>
      <c r="I16" s="386" t="s">
        <v>427</v>
      </c>
      <c r="J16" s="386" t="s">
        <v>428</v>
      </c>
      <c r="K16" s="386">
        <v>196191</v>
      </c>
      <c r="L16" s="386" t="s">
        <v>64</v>
      </c>
      <c r="M16" s="386" t="s">
        <v>153</v>
      </c>
      <c r="N16" s="85">
        <v>92.823166999999998</v>
      </c>
      <c r="O16" s="85">
        <v>20.181778000000001</v>
      </c>
      <c r="P16" s="386"/>
      <c r="Q16" s="793">
        <v>799</v>
      </c>
      <c r="R16" s="797">
        <v>4285</v>
      </c>
      <c r="S16" s="314">
        <v>5.4411027568922306</v>
      </c>
      <c r="T16" s="386" t="s">
        <v>351</v>
      </c>
      <c r="U16" s="386" t="s">
        <v>782</v>
      </c>
      <c r="V16" s="386" t="s">
        <v>22</v>
      </c>
      <c r="W16" s="388"/>
      <c r="X16" s="386"/>
      <c r="Y16" s="386"/>
      <c r="Z16" s="386" t="s">
        <v>678</v>
      </c>
      <c r="AA16" s="386" t="str">
        <f>CONCATENATE(Camp_List[[#This Row],[Ethnicity]],"-",Camp_List[[#This Row],[Religion]])</f>
        <v>-Muslim</v>
      </c>
      <c r="AB16" s="386" t="s">
        <v>684</v>
      </c>
      <c r="AC16" s="386" t="s">
        <v>642</v>
      </c>
      <c r="AD16" s="386" t="s">
        <v>912</v>
      </c>
      <c r="AE16" s="386" t="s">
        <v>913</v>
      </c>
      <c r="AF16" s="315">
        <v>42471</v>
      </c>
      <c r="AG16" s="809" t="s">
        <v>1036</v>
      </c>
      <c r="AH16" s="85" t="str">
        <f>IFERROR(VLOOKUP(Camp_List[[#This Row],[Responsible Agency]],Organization_t[],3,0),"")</f>
        <v>Yadu Shresk
Emergency Project Coordinator
campro.mmr@lwfdws.org</v>
      </c>
      <c r="AI16" s="654">
        <f ca="1">IF((SUMIFS(Data_Shelter_t[Coverage],Data_Shelter_t[Pcode],Camp_List[[#This Row],[P_Code]]))&gt;1,1,SUMIFS(Data_Shelter_t[Coverage],Data_Shelter_t[Pcode],Camp_List[[#This Row],[P_Code]]))</f>
        <v>1</v>
      </c>
      <c r="BL16" s="21"/>
      <c r="BM16" s="21"/>
      <c r="BN16" s="79"/>
      <c r="BO16" s="79"/>
    </row>
    <row r="17" spans="1:68" ht="13.5" customHeight="1">
      <c r="A17" s="386" t="s">
        <v>357</v>
      </c>
      <c r="B17" s="386" t="s">
        <v>7</v>
      </c>
      <c r="C17" s="386" t="s">
        <v>360</v>
      </c>
      <c r="D17" s="386" t="s">
        <v>19</v>
      </c>
      <c r="E17" s="386" t="s">
        <v>622</v>
      </c>
      <c r="F17" s="386" t="s">
        <v>19</v>
      </c>
      <c r="G17" s="386" t="s">
        <v>422</v>
      </c>
      <c r="H17" s="386" t="s">
        <v>426</v>
      </c>
      <c r="I17" s="386" t="s">
        <v>425</v>
      </c>
      <c r="J17" s="386" t="s">
        <v>426</v>
      </c>
      <c r="K17" s="386">
        <v>196200</v>
      </c>
      <c r="L17" s="386" t="s">
        <v>647</v>
      </c>
      <c r="M17" s="386" t="s">
        <v>283</v>
      </c>
      <c r="N17" s="85">
        <v>92.831000000000003</v>
      </c>
      <c r="O17" s="85">
        <v>20.185917</v>
      </c>
      <c r="P17" s="386"/>
      <c r="Q17" s="313">
        <v>624</v>
      </c>
      <c r="R17" s="641">
        <v>3352</v>
      </c>
      <c r="S17" s="314">
        <v>5.3717948717948714</v>
      </c>
      <c r="T17" s="386" t="s">
        <v>351</v>
      </c>
      <c r="U17" s="386" t="s">
        <v>782</v>
      </c>
      <c r="V17" s="386" t="s">
        <v>22</v>
      </c>
      <c r="W17" s="388"/>
      <c r="X17" s="386"/>
      <c r="Y17" s="386"/>
      <c r="Z17" s="386" t="s">
        <v>678</v>
      </c>
      <c r="AA17" s="386" t="str">
        <f>CONCATENATE(Camp_List[[#This Row],[Ethnicity]],"-",Camp_List[[#This Row],[Religion]])</f>
        <v>-Muslim</v>
      </c>
      <c r="AB17" s="386" t="s">
        <v>684</v>
      </c>
      <c r="AC17" s="386" t="s">
        <v>1005</v>
      </c>
      <c r="AD17" s="386" t="s">
        <v>912</v>
      </c>
      <c r="AE17" s="386" t="s">
        <v>913</v>
      </c>
      <c r="AF17" s="315">
        <v>42163</v>
      </c>
      <c r="AG17" s="386"/>
      <c r="AH17" s="85" t="str">
        <f>IFERROR(VLOOKUP(Camp_List[[#This Row],[Responsible Agency]],Organization_t[],3,0),"")</f>
        <v>Richard Nixon Okello, CCCM Project Coordinator, richard.okello@nrc.no,09451359894</v>
      </c>
      <c r="AI17" s="654">
        <f ca="1">IF((SUMIFS(Data_Shelter_t[Coverage],Data_Shelter_t[Pcode],Camp_List[[#This Row],[P_Code]]))&gt;1,1,SUMIFS(Data_Shelter_t[Coverage],Data_Shelter_t[Pcode],Camp_List[[#This Row],[P_Code]]))</f>
        <v>1</v>
      </c>
      <c r="BL17" s="21"/>
      <c r="BM17" s="21"/>
      <c r="BN17" s="79"/>
      <c r="BO17" s="79"/>
    </row>
    <row r="18" spans="1:68" ht="13.5" customHeight="1">
      <c r="A18" s="386" t="s">
        <v>357</v>
      </c>
      <c r="B18" s="386" t="s">
        <v>7</v>
      </c>
      <c r="C18" s="386" t="s">
        <v>360</v>
      </c>
      <c r="D18" s="386" t="s">
        <v>19</v>
      </c>
      <c r="E18" s="386" t="s">
        <v>622</v>
      </c>
      <c r="F18" s="386" t="s">
        <v>19</v>
      </c>
      <c r="G18" s="386" t="s">
        <v>422</v>
      </c>
      <c r="H18" s="386" t="s">
        <v>424</v>
      </c>
      <c r="I18" s="386" t="s">
        <v>423</v>
      </c>
      <c r="J18" s="386" t="s">
        <v>559</v>
      </c>
      <c r="K18" s="386">
        <v>196158</v>
      </c>
      <c r="L18" s="386" t="s">
        <v>652</v>
      </c>
      <c r="M18" s="386" t="s">
        <v>560</v>
      </c>
      <c r="N18" s="85">
        <v>92.774193999999994</v>
      </c>
      <c r="O18" s="85">
        <v>20.206778</v>
      </c>
      <c r="P18" s="386"/>
      <c r="Q18" s="313">
        <v>649</v>
      </c>
      <c r="R18" s="641">
        <v>3389</v>
      </c>
      <c r="S18" s="314">
        <v>5.221879815100154</v>
      </c>
      <c r="T18" s="386" t="s">
        <v>351</v>
      </c>
      <c r="U18" s="386" t="s">
        <v>782</v>
      </c>
      <c r="V18" s="386" t="s">
        <v>22</v>
      </c>
      <c r="W18" s="388"/>
      <c r="X18" s="386"/>
      <c r="Y18" s="386"/>
      <c r="Z18" s="386" t="s">
        <v>678</v>
      </c>
      <c r="AA18" s="386" t="str">
        <f>CONCATENATE(Camp_List[[#This Row],[Ethnicity]],"-",Camp_List[[#This Row],[Religion]])</f>
        <v>-Muslim</v>
      </c>
      <c r="AB18" s="386" t="s">
        <v>684</v>
      </c>
      <c r="AC18" s="386" t="s">
        <v>290</v>
      </c>
      <c r="AD18" s="386" t="s">
        <v>912</v>
      </c>
      <c r="AE18" s="386" t="s">
        <v>913</v>
      </c>
      <c r="AF18" s="315">
        <v>42080</v>
      </c>
      <c r="AG18" s="386"/>
      <c r="AH18" s="85" t="str">
        <f>IFERROR(VLOOKUP(Camp_List[[#This Row],[Responsible Agency]],Organization_t[],3,0),"")</f>
        <v>Bruce Spires
, CCCM Project Coordinator,
bruce.spires@drcmm.org, 09423662612</v>
      </c>
      <c r="AI18" s="654">
        <f ca="1">IF((SUMIFS(Data_Shelter_t[Coverage],Data_Shelter_t[Pcode],Camp_List[[#This Row],[P_Code]]))&gt;1,1,SUMIFS(Data_Shelter_t[Coverage],Data_Shelter_t[Pcode],Camp_List[[#This Row],[P_Code]]))</f>
        <v>0.98613251155624038</v>
      </c>
      <c r="BL18" s="21"/>
      <c r="BM18" s="21"/>
      <c r="BN18" s="79"/>
      <c r="BO18" s="79"/>
    </row>
    <row r="19" spans="1:68" ht="13.5" customHeight="1">
      <c r="A19" s="386" t="s">
        <v>357</v>
      </c>
      <c r="B19" s="386" t="s">
        <v>7</v>
      </c>
      <c r="C19" s="386" t="s">
        <v>360</v>
      </c>
      <c r="D19" s="386" t="s">
        <v>19</v>
      </c>
      <c r="E19" s="386" t="s">
        <v>622</v>
      </c>
      <c r="F19" s="386" t="s">
        <v>19</v>
      </c>
      <c r="G19" s="386" t="s">
        <v>422</v>
      </c>
      <c r="H19" s="386" t="s">
        <v>428</v>
      </c>
      <c r="I19" s="386" t="s">
        <v>427</v>
      </c>
      <c r="J19" s="386" t="s">
        <v>505</v>
      </c>
      <c r="K19" s="386">
        <v>196192</v>
      </c>
      <c r="L19" s="386" t="s">
        <v>653</v>
      </c>
      <c r="M19" s="386" t="s">
        <v>655</v>
      </c>
      <c r="N19" s="85">
        <v>92.798880999999994</v>
      </c>
      <c r="O19" s="85">
        <v>20.18994</v>
      </c>
      <c r="P19" s="386"/>
      <c r="Q19" s="313">
        <v>2629</v>
      </c>
      <c r="R19" s="641">
        <v>13655</v>
      </c>
      <c r="S19" s="314">
        <v>5.1939901103081016</v>
      </c>
      <c r="T19" s="386" t="s">
        <v>351</v>
      </c>
      <c r="U19" s="386" t="s">
        <v>782</v>
      </c>
      <c r="V19" s="386" t="s">
        <v>22</v>
      </c>
      <c r="W19" s="388"/>
      <c r="X19" s="386"/>
      <c r="Y19" s="386"/>
      <c r="Z19" s="386" t="s">
        <v>678</v>
      </c>
      <c r="AA19" s="386" t="str">
        <f>CONCATENATE(Camp_List[[#This Row],[Ethnicity]],"-",Camp_List[[#This Row],[Religion]])</f>
        <v>-Muslim</v>
      </c>
      <c r="AB19" s="386" t="s">
        <v>684</v>
      </c>
      <c r="AC19" s="386" t="s">
        <v>290</v>
      </c>
      <c r="AD19" s="386" t="s">
        <v>912</v>
      </c>
      <c r="AE19" s="386" t="s">
        <v>913</v>
      </c>
      <c r="AF19" s="315">
        <v>42101</v>
      </c>
      <c r="AG19" s="789" t="s">
        <v>683</v>
      </c>
      <c r="AH19" s="21" t="str">
        <f>IFERROR(VLOOKUP(Camp_List[[#This Row],[Responsible Agency]],Organization_t[],3,0),"")</f>
        <v>Bruce Spires
, CCCM Project Coordinator,
bruce.spires@drcmm.org, 09423662612</v>
      </c>
      <c r="AI19" s="654">
        <f ca="1">IF((SUMIFS(Data_Shelter_t[Coverage],Data_Shelter_t[Pcode],Camp_List[[#This Row],[P_Code]]))&gt;1,1,SUMIFS(Data_Shelter_t[Coverage],Data_Shelter_t[Pcode],Camp_List[[#This Row],[P_Code]]))</f>
        <v>1</v>
      </c>
      <c r="BL19" s="21"/>
      <c r="BM19" s="21"/>
      <c r="BN19" s="79"/>
      <c r="BO19" s="79"/>
    </row>
    <row r="20" spans="1:68" ht="13.5" customHeight="1">
      <c r="A20" s="386" t="s">
        <v>357</v>
      </c>
      <c r="B20" s="386" t="s">
        <v>7</v>
      </c>
      <c r="C20" s="386" t="s">
        <v>360</v>
      </c>
      <c r="D20" s="386" t="s">
        <v>19</v>
      </c>
      <c r="E20" s="386" t="s">
        <v>622</v>
      </c>
      <c r="F20" s="386" t="s">
        <v>19</v>
      </c>
      <c r="G20" s="386" t="s">
        <v>422</v>
      </c>
      <c r="H20" s="386" t="s">
        <v>428</v>
      </c>
      <c r="I20" s="386" t="s">
        <v>427</v>
      </c>
      <c r="J20" s="386" t="s">
        <v>505</v>
      </c>
      <c r="K20" s="386">
        <v>196192</v>
      </c>
      <c r="L20" s="386" t="s">
        <v>654</v>
      </c>
      <c r="M20" s="386" t="s">
        <v>656</v>
      </c>
      <c r="N20" s="85">
        <v>92.802295999999998</v>
      </c>
      <c r="O20" s="85">
        <v>20.185092000000001</v>
      </c>
      <c r="P20" s="386"/>
      <c r="Q20" s="794">
        <v>2245</v>
      </c>
      <c r="R20" s="794">
        <v>11731</v>
      </c>
      <c r="S20" s="314">
        <v>5.2180115916183683</v>
      </c>
      <c r="T20" s="386" t="s">
        <v>351</v>
      </c>
      <c r="U20" s="386" t="s">
        <v>782</v>
      </c>
      <c r="V20" s="386" t="s">
        <v>22</v>
      </c>
      <c r="W20" s="388"/>
      <c r="X20" s="386"/>
      <c r="Y20" s="386"/>
      <c r="Z20" s="386" t="s">
        <v>678</v>
      </c>
      <c r="AA20" s="386" t="str">
        <f>CONCATENATE(Camp_List[[#This Row],[Ethnicity]],"-",Camp_List[[#This Row],[Religion]])</f>
        <v>-Muslim</v>
      </c>
      <c r="AB20" s="386" t="s">
        <v>684</v>
      </c>
      <c r="AC20" s="386" t="s">
        <v>642</v>
      </c>
      <c r="AD20" s="386" t="s">
        <v>912</v>
      </c>
      <c r="AE20" s="386" t="s">
        <v>913</v>
      </c>
      <c r="AF20" s="315">
        <v>42471</v>
      </c>
      <c r="AG20" s="809" t="s">
        <v>1037</v>
      </c>
      <c r="AH20" s="85" t="str">
        <f>IFERROR(VLOOKUP(Camp_List[[#This Row],[Responsible Agency]],Organization_t[],3,0),"")</f>
        <v>Yadu Shresk
Emergency Project Coordinator
campro.mmr@lwfdws.org</v>
      </c>
      <c r="AI20" s="654">
        <f ca="1">IF((SUMIFS(Data_Shelter_t[Coverage],Data_Shelter_t[Pcode],Camp_List[[#This Row],[P_Code]]))&gt;1,1,SUMIFS(Data_Shelter_t[Coverage],Data_Shelter_t[Pcode],Camp_List[[#This Row],[P_Code]]))</f>
        <v>1</v>
      </c>
      <c r="BL20" s="21"/>
      <c r="BM20" s="21"/>
      <c r="BN20" s="79"/>
      <c r="BO20" s="79"/>
    </row>
    <row r="21" spans="1:68" ht="13.5" customHeight="1">
      <c r="A21" s="386" t="s">
        <v>357</v>
      </c>
      <c r="B21" s="386" t="s">
        <v>7</v>
      </c>
      <c r="C21" s="386" t="s">
        <v>360</v>
      </c>
      <c r="D21" s="386" t="s">
        <v>19</v>
      </c>
      <c r="E21" s="386" t="s">
        <v>622</v>
      </c>
      <c r="F21" s="386" t="s">
        <v>19</v>
      </c>
      <c r="G21" s="386" t="s">
        <v>422</v>
      </c>
      <c r="H21" s="386" t="s">
        <v>424</v>
      </c>
      <c r="I21" s="386" t="s">
        <v>423</v>
      </c>
      <c r="J21" s="386" t="s">
        <v>67</v>
      </c>
      <c r="K21" s="386">
        <v>196154</v>
      </c>
      <c r="L21" s="386" t="s">
        <v>67</v>
      </c>
      <c r="M21" s="386" t="s">
        <v>156</v>
      </c>
      <c r="N21" s="85">
        <v>92.792479999999998</v>
      </c>
      <c r="O21" s="85">
        <v>20.202525000000001</v>
      </c>
      <c r="P21" s="386"/>
      <c r="Q21" s="313">
        <v>2436</v>
      </c>
      <c r="R21" s="641">
        <v>12178</v>
      </c>
      <c r="S21" s="314">
        <v>4.9991789819376029</v>
      </c>
      <c r="T21" s="386" t="s">
        <v>351</v>
      </c>
      <c r="U21" s="386" t="s">
        <v>782</v>
      </c>
      <c r="V21" s="386" t="s">
        <v>22</v>
      </c>
      <c r="W21" s="388"/>
      <c r="X21" s="386"/>
      <c r="Y21" s="386"/>
      <c r="Z21" s="386" t="s">
        <v>678</v>
      </c>
      <c r="AA21" s="386" t="str">
        <f>CONCATENATE(Camp_List[[#This Row],[Ethnicity]],"-",Camp_List[[#This Row],[Religion]])</f>
        <v>-Muslim</v>
      </c>
      <c r="AB21" s="386" t="s">
        <v>684</v>
      </c>
      <c r="AC21" s="386" t="s">
        <v>290</v>
      </c>
      <c r="AD21" s="386" t="s">
        <v>912</v>
      </c>
      <c r="AE21" s="386" t="s">
        <v>913</v>
      </c>
      <c r="AF21" s="315">
        <v>42102</v>
      </c>
      <c r="AG21" s="386" t="s">
        <v>682</v>
      </c>
      <c r="AH21" s="21" t="str">
        <f>IFERROR(VLOOKUP(Camp_List[[#This Row],[Responsible Agency]],Organization_t[],3,0),"")</f>
        <v>Bruce Spires
, CCCM Project Coordinator,
bruce.spires@drcmm.org, 09423662612</v>
      </c>
      <c r="AI21" s="654">
        <f ca="1">IF((SUMIFS(Data_Shelter_t[Coverage],Data_Shelter_t[Pcode],Camp_List[[#This Row],[P_Code]]))&gt;1,1,SUMIFS(Data_Shelter_t[Coverage],Data_Shelter_t[Pcode],Camp_List[[#This Row],[P_Code]]))</f>
        <v>1</v>
      </c>
      <c r="BL21" s="21"/>
      <c r="BM21" s="21"/>
      <c r="BN21" s="79"/>
      <c r="BO21" s="79"/>
    </row>
    <row r="22" spans="1:68" ht="13.5" customHeight="1">
      <c r="A22" s="386" t="s">
        <v>357</v>
      </c>
      <c r="B22" s="386" t="s">
        <v>7</v>
      </c>
      <c r="C22" s="386" t="s">
        <v>360</v>
      </c>
      <c r="D22" s="386" t="s">
        <v>19</v>
      </c>
      <c r="E22" s="386" t="s">
        <v>622</v>
      </c>
      <c r="F22" s="787" t="s">
        <v>19</v>
      </c>
      <c r="G22" s="386" t="s">
        <v>422</v>
      </c>
      <c r="H22" s="386" t="s">
        <v>426</v>
      </c>
      <c r="I22" s="386" t="s">
        <v>425</v>
      </c>
      <c r="J22" s="787" t="s">
        <v>507</v>
      </c>
      <c r="K22" s="386">
        <v>196186</v>
      </c>
      <c r="L22" s="787" t="s">
        <v>70</v>
      </c>
      <c r="M22" s="790" t="s">
        <v>159</v>
      </c>
      <c r="N22" s="85">
        <v>92.831879000000001</v>
      </c>
      <c r="O22" s="85">
        <v>20.179939999999998</v>
      </c>
      <c r="P22" s="791"/>
      <c r="Q22" s="795">
        <v>984</v>
      </c>
      <c r="R22" s="798">
        <v>5656</v>
      </c>
      <c r="S22" s="800">
        <v>5.7479674796747968</v>
      </c>
      <c r="T22" s="386" t="s">
        <v>351</v>
      </c>
      <c r="U22" s="386" t="s">
        <v>782</v>
      </c>
      <c r="V22" s="386" t="s">
        <v>22</v>
      </c>
      <c r="W22" s="388"/>
      <c r="X22" s="386"/>
      <c r="Y22" s="386"/>
      <c r="Z22" s="386" t="s">
        <v>678</v>
      </c>
      <c r="AA22" s="386" t="str">
        <f>CONCATENATE(Camp_List[[#This Row],[Ethnicity]],"-",Camp_List[[#This Row],[Religion]])</f>
        <v>-Muslim</v>
      </c>
      <c r="AB22" s="386" t="s">
        <v>684</v>
      </c>
      <c r="AC22" s="386" t="s">
        <v>1005</v>
      </c>
      <c r="AD22" s="386" t="s">
        <v>912</v>
      </c>
      <c r="AE22" s="386" t="s">
        <v>913</v>
      </c>
      <c r="AF22" s="315">
        <v>42171</v>
      </c>
      <c r="AG22" s="386"/>
      <c r="AH22" s="812" t="str">
        <f>IFERROR(VLOOKUP(Camp_List[[#This Row],[Responsible Agency]],Organization_t[],3,0),"")</f>
        <v>Richard Nixon Okello, CCCM Project Coordinator, richard.okello@nrc.no,09451359894</v>
      </c>
      <c r="AI22" s="654">
        <f ca="1">IF((SUMIFS(Data_Shelter_t[Coverage],Data_Shelter_t[Pcode],Camp_List[[#This Row],[P_Code]]))&gt;1,1,SUMIFS(Data_Shelter_t[Coverage],Data_Shelter_t[Pcode],Camp_List[[#This Row],[P_Code]]))</f>
        <v>1</v>
      </c>
      <c r="BL22" s="21"/>
      <c r="BM22" s="21"/>
      <c r="BN22" s="79"/>
      <c r="BO22" s="79"/>
    </row>
    <row r="23" spans="1:68" ht="13.5" customHeight="1">
      <c r="A23" s="386" t="s">
        <v>357</v>
      </c>
      <c r="B23" s="386" t="s">
        <v>7</v>
      </c>
      <c r="C23" s="386" t="s">
        <v>360</v>
      </c>
      <c r="D23" s="386" t="s">
        <v>19</v>
      </c>
      <c r="E23" s="386" t="s">
        <v>622</v>
      </c>
      <c r="F23" s="386" t="s">
        <v>19</v>
      </c>
      <c r="G23" s="386" t="s">
        <v>422</v>
      </c>
      <c r="H23" s="386" t="s">
        <v>426</v>
      </c>
      <c r="I23" s="386" t="s">
        <v>425</v>
      </c>
      <c r="J23" s="386" t="s">
        <v>504</v>
      </c>
      <c r="K23" s="386">
        <v>196211</v>
      </c>
      <c r="L23" s="386" t="s">
        <v>68</v>
      </c>
      <c r="M23" s="386" t="s">
        <v>157</v>
      </c>
      <c r="N23" s="85">
        <v>92.839416999999997</v>
      </c>
      <c r="O23" s="85">
        <v>20.1585</v>
      </c>
      <c r="P23" s="386"/>
      <c r="Q23" s="794">
        <v>2145</v>
      </c>
      <c r="R23" s="794">
        <v>11703</v>
      </c>
      <c r="S23" s="314">
        <v>5.4372960372960373</v>
      </c>
      <c r="T23" s="386" t="s">
        <v>351</v>
      </c>
      <c r="U23" s="386" t="s">
        <v>782</v>
      </c>
      <c r="V23" s="386" t="s">
        <v>23</v>
      </c>
      <c r="W23" s="388"/>
      <c r="X23" s="386"/>
      <c r="Y23" s="386"/>
      <c r="Z23" s="386" t="s">
        <v>678</v>
      </c>
      <c r="AA23" s="386" t="str">
        <f>CONCATENATE(Camp_List[[#This Row],[Ethnicity]],"-",Camp_List[[#This Row],[Religion]])</f>
        <v>-Muslim</v>
      </c>
      <c r="AB23" s="386" t="s">
        <v>684</v>
      </c>
      <c r="AC23" s="386" t="s">
        <v>642</v>
      </c>
      <c r="AD23" s="386" t="s">
        <v>912</v>
      </c>
      <c r="AE23" s="386" t="s">
        <v>913</v>
      </c>
      <c r="AF23" s="315">
        <v>42471</v>
      </c>
      <c r="AG23" s="810" t="s">
        <v>1038</v>
      </c>
      <c r="AH23" s="21" t="str">
        <f>IFERROR(VLOOKUP(Camp_List[[#This Row],[Responsible Agency]],Organization_t[],3,0),"")</f>
        <v>Yadu Shresk
Emergency Project Coordinator
campro.mmr@lwfdws.org</v>
      </c>
      <c r="AI23" s="654">
        <f>IF((SUMIFS(Data_Shelter_t[Coverage],Data_Shelter_t[Pcode],Camp_List[[#This Row],[P_Code]]))&gt;1,1,SUMIFS(Data_Shelter_t[Coverage],Data_Shelter_t[Pcode],Camp_List[[#This Row],[P_Code]]))</f>
        <v>0</v>
      </c>
      <c r="BL23" s="21"/>
      <c r="BM23" s="21"/>
      <c r="BN23" s="79"/>
      <c r="BO23" s="79"/>
    </row>
    <row r="24" spans="1:68" ht="13.5" customHeight="1">
      <c r="A24" s="386" t="s">
        <v>357</v>
      </c>
      <c r="B24" s="386" t="s">
        <v>7</v>
      </c>
      <c r="C24" s="386" t="s">
        <v>360</v>
      </c>
      <c r="D24" s="386" t="s">
        <v>19</v>
      </c>
      <c r="E24" s="386" t="s">
        <v>622</v>
      </c>
      <c r="F24" s="386" t="s">
        <v>16</v>
      </c>
      <c r="G24" s="386" t="s">
        <v>407</v>
      </c>
      <c r="H24" s="386" t="s">
        <v>409</v>
      </c>
      <c r="I24" s="386" t="s">
        <v>408</v>
      </c>
      <c r="J24" s="386" t="s">
        <v>502</v>
      </c>
      <c r="K24" s="386">
        <v>197651</v>
      </c>
      <c r="L24" s="386" t="s">
        <v>623</v>
      </c>
      <c r="M24" s="386" t="s">
        <v>144</v>
      </c>
      <c r="N24" s="85">
        <v>92.660360999999995</v>
      </c>
      <c r="O24" s="85">
        <v>20.408453000000002</v>
      </c>
      <c r="P24" s="386"/>
      <c r="Q24" s="793">
        <v>217</v>
      </c>
      <c r="R24" s="641">
        <v>1297</v>
      </c>
      <c r="S24" s="314">
        <v>5.8853211009174311</v>
      </c>
      <c r="T24" s="386" t="s">
        <v>351</v>
      </c>
      <c r="U24" s="386" t="s">
        <v>782</v>
      </c>
      <c r="V24" s="386" t="s">
        <v>22</v>
      </c>
      <c r="W24" s="388"/>
      <c r="X24" s="386"/>
      <c r="Y24" s="386"/>
      <c r="Z24" s="386" t="s">
        <v>678</v>
      </c>
      <c r="AA24" s="386" t="str">
        <f>CONCATENATE(Camp_List[[#This Row],[Ethnicity]],"-",Camp_List[[#This Row],[Religion]])</f>
        <v>-Muslim</v>
      </c>
      <c r="AB24" s="386" t="s">
        <v>685</v>
      </c>
      <c r="AC24" s="386" t="s">
        <v>287</v>
      </c>
      <c r="AD24" s="386" t="s">
        <v>514</v>
      </c>
      <c r="AE24" s="386" t="s">
        <v>530</v>
      </c>
      <c r="AF24" s="315">
        <v>42415</v>
      </c>
      <c r="AG24" s="386"/>
      <c r="AH24" s="85" t="str">
        <f>IFERROR(VLOOKUP(Camp_List[[#This Row],[Responsible Agency]],Organization_t[],3,0),"")</f>
        <v>Richard Kevin Tracey, CCCM/NFI Cluster Coordinator, tracey@unhcr.org,09448027896</v>
      </c>
      <c r="AI24" s="654">
        <f ca="1">IF((SUMIFS(Data_Shelter_t[Coverage],Data_Shelter_t[Pcode],Camp_List[[#This Row],[P_Code]]))&gt;1,1,SUMIFS(Data_Shelter_t[Coverage],Data_Shelter_t[Pcode],Camp_List[[#This Row],[P_Code]]))</f>
        <v>0.88479262672811065</v>
      </c>
      <c r="BL24" s="21"/>
      <c r="BM24" s="21"/>
      <c r="BN24" s="79"/>
      <c r="BO24" s="79"/>
    </row>
    <row r="25" spans="1:68" ht="13.5" customHeight="1">
      <c r="A25" s="386" t="s">
        <v>357</v>
      </c>
      <c r="B25" s="386" t="s">
        <v>7</v>
      </c>
      <c r="C25" s="386" t="s">
        <v>360</v>
      </c>
      <c r="D25" s="386" t="s">
        <v>19</v>
      </c>
      <c r="E25" s="386" t="s">
        <v>622</v>
      </c>
      <c r="F25" s="386" t="s">
        <v>16</v>
      </c>
      <c r="G25" s="386" t="s">
        <v>407</v>
      </c>
      <c r="H25" s="386" t="s">
        <v>409</v>
      </c>
      <c r="I25" s="386" t="s">
        <v>408</v>
      </c>
      <c r="J25" s="386" t="s">
        <v>625</v>
      </c>
      <c r="K25" s="386">
        <v>197652</v>
      </c>
      <c r="L25" s="386" t="s">
        <v>409</v>
      </c>
      <c r="M25" s="386" t="s">
        <v>624</v>
      </c>
      <c r="N25" s="85">
        <v>92.639589000000001</v>
      </c>
      <c r="O25" s="85">
        <v>20.447261000000001</v>
      </c>
      <c r="P25" s="386"/>
      <c r="Q25" s="313">
        <v>193</v>
      </c>
      <c r="R25" s="641">
        <v>961</v>
      </c>
      <c r="S25" s="314">
        <v>4.624365482233503</v>
      </c>
      <c r="T25" s="386" t="s">
        <v>351</v>
      </c>
      <c r="U25" s="386" t="s">
        <v>782</v>
      </c>
      <c r="V25" s="386" t="s">
        <v>22</v>
      </c>
      <c r="W25" s="388"/>
      <c r="X25" s="386"/>
      <c r="Y25" s="386"/>
      <c r="Z25" s="386" t="s">
        <v>678</v>
      </c>
      <c r="AA25" s="386" t="str">
        <f>CONCATENATE(Camp_List[[#This Row],[Ethnicity]],"-",Camp_List[[#This Row],[Religion]])</f>
        <v>-Muslim</v>
      </c>
      <c r="AB25" s="386" t="s">
        <v>685</v>
      </c>
      <c r="AC25" s="386" t="s">
        <v>287</v>
      </c>
      <c r="AD25" s="386" t="s">
        <v>514</v>
      </c>
      <c r="AE25" s="386" t="s">
        <v>530</v>
      </c>
      <c r="AF25" s="315">
        <v>42415</v>
      </c>
      <c r="AG25" s="789"/>
      <c r="AH25" s="21" t="str">
        <f>IFERROR(VLOOKUP(Camp_List[[#This Row],[Responsible Agency]],Organization_t[],3,0),"")</f>
        <v>Richard Kevin Tracey, CCCM/NFI Cluster Coordinator, tracey@unhcr.org,09448027896</v>
      </c>
      <c r="AI25" s="654">
        <f ca="1">IF((SUMIFS(Data_Shelter_t[Coverage],Data_Shelter_t[Pcode],Camp_List[[#This Row],[P_Code]]))&gt;1,1,SUMIFS(Data_Shelter_t[Coverage],Data_Shelter_t[Pcode],Camp_List[[#This Row],[P_Code]]))</f>
        <v>1</v>
      </c>
      <c r="BL25" s="21"/>
      <c r="BM25" s="21"/>
      <c r="BN25" s="79"/>
      <c r="BO25" s="79"/>
    </row>
    <row r="26" spans="1:68" ht="13.5" customHeight="1">
      <c r="A26" s="386" t="s">
        <v>357</v>
      </c>
      <c r="B26" s="386" t="s">
        <v>7</v>
      </c>
      <c r="C26" s="386" t="s">
        <v>360</v>
      </c>
      <c r="D26" s="386" t="s">
        <v>19</v>
      </c>
      <c r="E26" s="386" t="s">
        <v>622</v>
      </c>
      <c r="F26" s="386" t="s">
        <v>16</v>
      </c>
      <c r="G26" s="386" t="s">
        <v>407</v>
      </c>
      <c r="H26" s="386" t="s">
        <v>411</v>
      </c>
      <c r="I26" s="386" t="s">
        <v>410</v>
      </c>
      <c r="J26" s="386" t="s">
        <v>411</v>
      </c>
      <c r="K26" s="386">
        <v>197590</v>
      </c>
      <c r="L26" s="386" t="s">
        <v>57</v>
      </c>
      <c r="M26" s="386" t="s">
        <v>145</v>
      </c>
      <c r="N26" s="85">
        <v>92.640022000000002</v>
      </c>
      <c r="O26" s="85">
        <v>20.569219</v>
      </c>
      <c r="P26" s="386"/>
      <c r="Q26" s="313">
        <v>251</v>
      </c>
      <c r="R26" s="641">
        <v>1308</v>
      </c>
      <c r="S26" s="314">
        <v>4.9240000000000004</v>
      </c>
      <c r="T26" s="386" t="s">
        <v>351</v>
      </c>
      <c r="U26" s="386" t="s">
        <v>782</v>
      </c>
      <c r="V26" s="386" t="s">
        <v>23</v>
      </c>
      <c r="W26" s="388"/>
      <c r="X26" s="386"/>
      <c r="Y26" s="386"/>
      <c r="Z26" s="386" t="s">
        <v>678</v>
      </c>
      <c r="AA26" s="386" t="str">
        <f>CONCATENATE(Camp_List[[#This Row],[Ethnicity]],"-",Camp_List[[#This Row],[Religion]])</f>
        <v>-Muslim</v>
      </c>
      <c r="AB26" s="386" t="s">
        <v>685</v>
      </c>
      <c r="AC26" s="386" t="s">
        <v>287</v>
      </c>
      <c r="AD26" s="386" t="s">
        <v>514</v>
      </c>
      <c r="AE26" s="386" t="s">
        <v>530</v>
      </c>
      <c r="AF26" s="315">
        <v>42415</v>
      </c>
      <c r="AG26" s="789"/>
      <c r="AH26" s="21" t="str">
        <f>IFERROR(VLOOKUP(Camp_List[[#This Row],[Responsible Agency]],Organization_t[],3,0),"")</f>
        <v>Richard Kevin Tracey, CCCM/NFI Cluster Coordinator, tracey@unhcr.org,09448027896</v>
      </c>
      <c r="AI26" s="654">
        <f>IF((SUMIFS(Data_Shelter_t[Coverage],Data_Shelter_t[Pcode],Camp_List[[#This Row],[P_Code]]))&gt;1,1,SUMIFS(Data_Shelter_t[Coverage],Data_Shelter_t[Pcode],Camp_List[[#This Row],[P_Code]]))</f>
        <v>0</v>
      </c>
      <c r="BL26" s="21"/>
      <c r="BM26" s="21"/>
      <c r="BN26" s="79"/>
      <c r="BO26" s="79"/>
    </row>
    <row r="27" spans="1:68" ht="13.5" customHeight="1">
      <c r="A27" s="386" t="s">
        <v>357</v>
      </c>
      <c r="B27" s="386" t="s">
        <v>7</v>
      </c>
      <c r="C27" s="386" t="s">
        <v>360</v>
      </c>
      <c r="D27" s="386" t="s">
        <v>626</v>
      </c>
      <c r="E27" s="386" t="s">
        <v>627</v>
      </c>
      <c r="F27" s="386" t="s">
        <v>18</v>
      </c>
      <c r="G27" s="386" t="s">
        <v>414</v>
      </c>
      <c r="H27" s="386" t="s">
        <v>417</v>
      </c>
      <c r="I27" s="386" t="s">
        <v>416</v>
      </c>
      <c r="J27" s="386"/>
      <c r="K27" s="386"/>
      <c r="L27" s="386" t="s">
        <v>59</v>
      </c>
      <c r="M27" s="386" t="s">
        <v>148</v>
      </c>
      <c r="N27" s="85">
        <v>93.857592999999994</v>
      </c>
      <c r="O27" s="85">
        <v>19.088283000000001</v>
      </c>
      <c r="P27" s="386"/>
      <c r="Q27" s="313">
        <v>57</v>
      </c>
      <c r="R27" s="797">
        <v>187</v>
      </c>
      <c r="S27" s="314">
        <v>3.1166666666666667</v>
      </c>
      <c r="T27" s="386" t="s">
        <v>351</v>
      </c>
      <c r="U27" s="386" t="s">
        <v>782</v>
      </c>
      <c r="V27" s="386" t="s">
        <v>22</v>
      </c>
      <c r="W27" s="386"/>
      <c r="X27" s="386"/>
      <c r="Y27" s="386"/>
      <c r="Z27" s="386" t="s">
        <v>678</v>
      </c>
      <c r="AA27" s="386" t="str">
        <f>CONCATENATE(Camp_List[[#This Row],[Ethnicity]],"-",Camp_List[[#This Row],[Religion]])</f>
        <v>-Muslim</v>
      </c>
      <c r="AB27" s="386" t="s">
        <v>685</v>
      </c>
      <c r="AC27" s="386" t="s">
        <v>287</v>
      </c>
      <c r="AD27" s="386" t="s">
        <v>514</v>
      </c>
      <c r="AE27" s="386" t="s">
        <v>530</v>
      </c>
      <c r="AF27" s="315">
        <v>42471</v>
      </c>
      <c r="AG27" s="807" t="s">
        <v>1042</v>
      </c>
      <c r="AH27" s="85" t="str">
        <f>IFERROR(VLOOKUP(Camp_List[[#This Row],[Responsible Agency]],Organization_t[],3,0),"")</f>
        <v>Richard Kevin Tracey, CCCM/NFI Cluster Coordinator, tracey@unhcr.org,09448027896</v>
      </c>
      <c r="AI27" s="654">
        <f ca="1">IF((SUMIFS(Data_Shelter_t[Coverage],Data_Shelter_t[Pcode],Camp_List[[#This Row],[P_Code]]))&gt;1,1,SUMIFS(Data_Shelter_t[Coverage],Data_Shelter_t[Pcode],Camp_List[[#This Row],[P_Code]]))</f>
        <v>1</v>
      </c>
      <c r="BL27" s="21"/>
      <c r="BM27" s="21"/>
      <c r="BN27" s="79"/>
      <c r="BO27" s="79"/>
    </row>
    <row r="28" spans="1:68" ht="13.5" customHeight="1">
      <c r="A28" s="386" t="s">
        <v>357</v>
      </c>
      <c r="B28" s="386" t="s">
        <v>7</v>
      </c>
      <c r="C28" s="386" t="s">
        <v>360</v>
      </c>
      <c r="D28" s="386" t="s">
        <v>19</v>
      </c>
      <c r="E28" s="386" t="s">
        <v>622</v>
      </c>
      <c r="F28" s="386" t="s">
        <v>14</v>
      </c>
      <c r="G28" s="386" t="s">
        <v>381</v>
      </c>
      <c r="H28" s="386" t="s">
        <v>387</v>
      </c>
      <c r="I28" s="386" t="s">
        <v>386</v>
      </c>
      <c r="J28" s="386" t="s">
        <v>499</v>
      </c>
      <c r="K28" s="386">
        <v>197537</v>
      </c>
      <c r="L28" s="386" t="s">
        <v>40</v>
      </c>
      <c r="M28" s="386" t="s">
        <v>127</v>
      </c>
      <c r="N28" s="85">
        <v>92.985095000000001</v>
      </c>
      <c r="O28" s="85">
        <v>20.108101999999999</v>
      </c>
      <c r="P28" s="386"/>
      <c r="Q28" s="793">
        <v>1228</v>
      </c>
      <c r="R28" s="797">
        <v>4357</v>
      </c>
      <c r="S28" s="314">
        <v>3.7019064124783361</v>
      </c>
      <c r="T28" s="386" t="s">
        <v>351</v>
      </c>
      <c r="U28" s="386" t="s">
        <v>782</v>
      </c>
      <c r="V28" s="386" t="s">
        <v>22</v>
      </c>
      <c r="W28" s="388"/>
      <c r="X28" s="386"/>
      <c r="Y28" s="386"/>
      <c r="Z28" s="386" t="s">
        <v>678</v>
      </c>
      <c r="AA28" s="386" t="str">
        <f>CONCATENATE(Camp_List[[#This Row],[Ethnicity]],"-",Camp_List[[#This Row],[Religion]])</f>
        <v>-Muslim</v>
      </c>
      <c r="AB28" s="386" t="s">
        <v>684</v>
      </c>
      <c r="AC28" s="386" t="s">
        <v>642</v>
      </c>
      <c r="AD28" s="386" t="s">
        <v>912</v>
      </c>
      <c r="AE28" s="386" t="s">
        <v>913</v>
      </c>
      <c r="AF28" s="315">
        <v>42471</v>
      </c>
      <c r="AG28" s="809" t="s">
        <v>1039</v>
      </c>
      <c r="AH28" s="85" t="str">
        <f>IFERROR(VLOOKUP(Camp_List[[#This Row],[Responsible Agency]],Organization_t[],3,0),"")</f>
        <v>Yadu Shresk
Emergency Project Coordinator
campro.mmr@lwfdws.org</v>
      </c>
      <c r="AI28" s="654">
        <f ca="1">IF((SUMIFS(Data_Shelter_t[Coverage],Data_Shelter_t[Pcode],Camp_List[[#This Row],[P_Code]]))&gt;1,1,SUMIFS(Data_Shelter_t[Coverage],Data_Shelter_t[Pcode],Camp_List[[#This Row],[P_Code]]))</f>
        <v>0.62540716612377845</v>
      </c>
      <c r="BL28" s="21"/>
      <c r="BM28" s="21"/>
      <c r="BN28" s="79"/>
      <c r="BO28" s="79"/>
    </row>
    <row r="29" spans="1:68" ht="13.5" customHeight="1">
      <c r="A29" s="386" t="s">
        <v>357</v>
      </c>
      <c r="B29" s="386" t="s">
        <v>7</v>
      </c>
      <c r="C29" s="386" t="s">
        <v>360</v>
      </c>
      <c r="D29" s="386" t="s">
        <v>19</v>
      </c>
      <c r="E29" s="386" t="s">
        <v>622</v>
      </c>
      <c r="F29" s="386" t="s">
        <v>900</v>
      </c>
      <c r="G29" s="386" t="s">
        <v>382</v>
      </c>
      <c r="H29" s="386" t="s">
        <v>389</v>
      </c>
      <c r="I29" s="386" t="s">
        <v>388</v>
      </c>
      <c r="J29" s="788" t="s">
        <v>520</v>
      </c>
      <c r="K29" s="386">
        <v>217973</v>
      </c>
      <c r="L29" s="386" t="s">
        <v>38</v>
      </c>
      <c r="M29" s="386" t="s">
        <v>125</v>
      </c>
      <c r="N29" s="85">
        <v>93.370037999999994</v>
      </c>
      <c r="O29" s="85">
        <v>20.037655000000001</v>
      </c>
      <c r="P29" s="386"/>
      <c r="Q29" s="793">
        <v>682</v>
      </c>
      <c r="R29" s="797">
        <v>2718</v>
      </c>
      <c r="S29" s="314">
        <v>4.043413173652695</v>
      </c>
      <c r="T29" s="386" t="s">
        <v>351</v>
      </c>
      <c r="U29" s="386" t="s">
        <v>782</v>
      </c>
      <c r="V29" s="386" t="s">
        <v>22</v>
      </c>
      <c r="W29" s="388"/>
      <c r="X29" s="386"/>
      <c r="Y29" s="386"/>
      <c r="Z29" s="386" t="s">
        <v>678</v>
      </c>
      <c r="AA29" s="386" t="str">
        <f>CONCATENATE(Camp_List[[#This Row],[Ethnicity]],"-",Camp_List[[#This Row],[Religion]])</f>
        <v>-Muslim</v>
      </c>
      <c r="AB29" s="386" t="s">
        <v>685</v>
      </c>
      <c r="AC29" s="386" t="s">
        <v>730</v>
      </c>
      <c r="AD29" s="386" t="s">
        <v>912</v>
      </c>
      <c r="AE29" s="386" t="s">
        <v>913</v>
      </c>
      <c r="AF29" s="315">
        <v>42471</v>
      </c>
      <c r="AG29" s="807" t="s">
        <v>1034</v>
      </c>
      <c r="AH29" s="85" t="str">
        <f>IFERROR(VLOOKUP(Camp_List[[#This Row],[Responsible Agency]],Organization_t[],3,0),"")</f>
        <v>Trisha Bury
Health Program Manager (Sittwe)
trisha.bury@ri.org</v>
      </c>
      <c r="AI29" s="654">
        <f ca="1">IF((SUMIFS(Data_Shelter_t[Coverage],Data_Shelter_t[Pcode],Camp_List[[#This Row],[P_Code]]))&gt;1,1,SUMIFS(Data_Shelter_t[Coverage],Data_Shelter_t[Pcode],Camp_List[[#This Row],[P_Code]]))</f>
        <v>1</v>
      </c>
      <c r="BL29" s="21"/>
      <c r="BM29" s="21"/>
      <c r="BN29" s="79"/>
      <c r="BO29" s="79"/>
    </row>
    <row r="30" spans="1:68" ht="13.5" customHeight="1">
      <c r="A30" s="386" t="s">
        <v>357</v>
      </c>
      <c r="B30" s="386" t="s">
        <v>7</v>
      </c>
      <c r="C30" s="386" t="s">
        <v>360</v>
      </c>
      <c r="D30" s="386" t="s">
        <v>20</v>
      </c>
      <c r="E30" s="386" t="s">
        <v>640</v>
      </c>
      <c r="F30" s="386" t="s">
        <v>20</v>
      </c>
      <c r="G30" s="386" t="s">
        <v>457</v>
      </c>
      <c r="H30" s="386" t="s">
        <v>458</v>
      </c>
      <c r="I30" s="386" t="s">
        <v>524</v>
      </c>
      <c r="J30" s="386"/>
      <c r="K30" s="386" t="s">
        <v>459</v>
      </c>
      <c r="L30" s="386" t="s">
        <v>106</v>
      </c>
      <c r="M30" s="386" t="s">
        <v>195</v>
      </c>
      <c r="N30" s="85">
        <v>92.365793999999994</v>
      </c>
      <c r="O30" s="85">
        <v>20.819958</v>
      </c>
      <c r="P30" s="389"/>
      <c r="Q30" s="313">
        <v>16</v>
      </c>
      <c r="R30" s="641">
        <v>110</v>
      </c>
      <c r="S30" s="314">
        <v>6.875</v>
      </c>
      <c r="T30" s="386" t="s">
        <v>351</v>
      </c>
      <c r="U30" s="386" t="s">
        <v>782</v>
      </c>
      <c r="V30" s="386" t="s">
        <v>23</v>
      </c>
      <c r="W30" s="386"/>
      <c r="X30" s="386"/>
      <c r="Y30" s="386"/>
      <c r="Z30" s="386" t="s">
        <v>678</v>
      </c>
      <c r="AA30" s="386" t="str">
        <f>CONCATENATE(Camp_List[[#This Row],[Ethnicity]],"-",Camp_List[[#This Row],[Religion]])</f>
        <v>-Muslim</v>
      </c>
      <c r="AB30" s="386" t="s">
        <v>685</v>
      </c>
      <c r="AC30" s="386" t="s">
        <v>287</v>
      </c>
      <c r="AD30" s="386" t="s">
        <v>514</v>
      </c>
      <c r="AE30" s="386" t="s">
        <v>530</v>
      </c>
      <c r="AF30" s="315">
        <v>41548</v>
      </c>
      <c r="AG30" s="386"/>
      <c r="AH30" s="85" t="str">
        <f>IFERROR(VLOOKUP(Camp_List[[#This Row],[Responsible Agency]],Organization_t[],3,0),"")</f>
        <v>Richard Kevin Tracey, CCCM/NFI Cluster Coordinator, tracey@unhcr.org,09448027896</v>
      </c>
      <c r="AI30" s="654">
        <f>IF((SUMIFS(Data_Shelter_t[Coverage],Data_Shelter_t[Pcode],Camp_List[[#This Row],[P_Code]]))&gt;1,1,SUMIFS(Data_Shelter_t[Coverage],Data_Shelter_t[Pcode],Camp_List[[#This Row],[P_Code]]))</f>
        <v>0</v>
      </c>
      <c r="BL30" s="21"/>
      <c r="BM30" s="21"/>
      <c r="BO30" s="79"/>
      <c r="BP30" s="79"/>
    </row>
    <row r="31" spans="1:68" ht="13.5" customHeight="1">
      <c r="A31" s="386" t="s">
        <v>357</v>
      </c>
      <c r="B31" s="386" t="s">
        <v>7</v>
      </c>
      <c r="C31" s="386" t="s">
        <v>360</v>
      </c>
      <c r="D31" s="386" t="s">
        <v>20</v>
      </c>
      <c r="E31" s="386" t="s">
        <v>640</v>
      </c>
      <c r="F31" s="386" t="s">
        <v>20</v>
      </c>
      <c r="G31" s="386" t="s">
        <v>457</v>
      </c>
      <c r="H31" s="386" t="s">
        <v>465</v>
      </c>
      <c r="I31" s="386" t="s">
        <v>464</v>
      </c>
      <c r="J31" s="386" t="s">
        <v>479</v>
      </c>
      <c r="K31" s="386">
        <v>197988</v>
      </c>
      <c r="L31" s="386" t="s">
        <v>110</v>
      </c>
      <c r="M31" s="386" t="s">
        <v>199</v>
      </c>
      <c r="N31" s="85">
        <v>92.443427999999997</v>
      </c>
      <c r="O31" s="85">
        <v>20.714846999999999</v>
      </c>
      <c r="P31" s="389"/>
      <c r="Q31" s="313">
        <v>48</v>
      </c>
      <c r="R31" s="641">
        <v>291</v>
      </c>
      <c r="S31" s="314">
        <v>6.020833333333333</v>
      </c>
      <c r="T31" s="386" t="s">
        <v>351</v>
      </c>
      <c r="U31" s="386" t="s">
        <v>782</v>
      </c>
      <c r="V31" s="386" t="s">
        <v>23</v>
      </c>
      <c r="W31" s="386"/>
      <c r="X31" s="386"/>
      <c r="Y31" s="386"/>
      <c r="Z31" s="386" t="s">
        <v>678</v>
      </c>
      <c r="AA31" s="386" t="str">
        <f>CONCATENATE(Camp_List[[#This Row],[Ethnicity]],"-",Camp_List[[#This Row],[Religion]])</f>
        <v>-Muslim</v>
      </c>
      <c r="AB31" s="386" t="s">
        <v>685</v>
      </c>
      <c r="AC31" s="386" t="s">
        <v>287</v>
      </c>
      <c r="AD31" s="386" t="s">
        <v>514</v>
      </c>
      <c r="AE31" s="386" t="s">
        <v>530</v>
      </c>
      <c r="AF31" s="315">
        <v>42471</v>
      </c>
      <c r="AG31" s="785" t="s">
        <v>1043</v>
      </c>
      <c r="AH31" s="85" t="str">
        <f>IFERROR(VLOOKUP(Camp_List[[#This Row],[Responsible Agency]],Organization_t[],3,0),"")</f>
        <v>Richard Kevin Tracey, CCCM/NFI Cluster Coordinator, tracey@unhcr.org,09448027896</v>
      </c>
      <c r="AI31" s="654">
        <f>IF((SUMIFS(Data_Shelter_t[Coverage],Data_Shelter_t[Pcode],Camp_List[[#This Row],[P_Code]]))&gt;1,1,SUMIFS(Data_Shelter_t[Coverage],Data_Shelter_t[Pcode],Camp_List[[#This Row],[P_Code]]))</f>
        <v>0</v>
      </c>
      <c r="BL31" s="21"/>
      <c r="BM31" s="21"/>
      <c r="BO31" s="79"/>
      <c r="BP31" s="79"/>
    </row>
    <row r="32" spans="1:68" ht="13.5" customHeight="1">
      <c r="A32" s="386" t="s">
        <v>357</v>
      </c>
      <c r="B32" s="386" t="s">
        <v>7</v>
      </c>
      <c r="C32" s="386" t="s">
        <v>631</v>
      </c>
      <c r="D32" s="386" t="s">
        <v>20</v>
      </c>
      <c r="E32" s="386" t="s">
        <v>640</v>
      </c>
      <c r="F32" s="386" t="s">
        <v>20</v>
      </c>
      <c r="G32" s="386" t="s">
        <v>457</v>
      </c>
      <c r="H32" s="386" t="s">
        <v>461</v>
      </c>
      <c r="I32" s="386" t="s">
        <v>460</v>
      </c>
      <c r="J32" s="788" t="s">
        <v>470</v>
      </c>
      <c r="K32" s="386">
        <v>198049</v>
      </c>
      <c r="L32" s="386" t="s">
        <v>635</v>
      </c>
      <c r="M32" s="386" t="s">
        <v>639</v>
      </c>
      <c r="N32" s="85">
        <v>92.435378</v>
      </c>
      <c r="O32" s="85">
        <v>20.713882999999999</v>
      </c>
      <c r="P32" s="386"/>
      <c r="Q32" s="313">
        <v>59</v>
      </c>
      <c r="R32" s="641">
        <v>338</v>
      </c>
      <c r="S32" s="314">
        <v>5.7288135593220337</v>
      </c>
      <c r="T32" s="386" t="s">
        <v>351</v>
      </c>
      <c r="U32" s="386" t="s">
        <v>782</v>
      </c>
      <c r="V32" s="386" t="s">
        <v>23</v>
      </c>
      <c r="W32" s="386"/>
      <c r="X32" s="386"/>
      <c r="Y32" s="386"/>
      <c r="Z32" s="386" t="s">
        <v>678</v>
      </c>
      <c r="AA32" s="386" t="str">
        <f>CONCATENATE(Camp_List[[#This Row],[Ethnicity]],"-",Camp_List[[#This Row],[Religion]])</f>
        <v>-Muslim</v>
      </c>
      <c r="AB32" s="386" t="s">
        <v>685</v>
      </c>
      <c r="AC32" s="386" t="s">
        <v>287</v>
      </c>
      <c r="AD32" s="386" t="s">
        <v>514</v>
      </c>
      <c r="AE32" s="386" t="s">
        <v>530</v>
      </c>
      <c r="AF32" s="315">
        <v>41548</v>
      </c>
      <c r="AG32" s="386"/>
      <c r="AH32" s="85" t="str">
        <f>IFERROR(VLOOKUP(Camp_List[[#This Row],[Responsible Agency]],Organization_t[],3,0),"")</f>
        <v>Richard Kevin Tracey, CCCM/NFI Cluster Coordinator, tracey@unhcr.org,09448027896</v>
      </c>
      <c r="AI32" s="654">
        <f>IF((SUMIFS(Data_Shelter_t[Coverage],Data_Shelter_t[Pcode],Camp_List[[#This Row],[P_Code]]))&gt;1,1,SUMIFS(Data_Shelter_t[Coverage],Data_Shelter_t[Pcode],Camp_List[[#This Row],[P_Code]]))</f>
        <v>0</v>
      </c>
      <c r="BL32" s="21"/>
      <c r="BM32" s="21"/>
      <c r="BO32" s="79"/>
      <c r="BP32" s="79"/>
    </row>
    <row r="33" spans="1:68" ht="13.5" customHeight="1">
      <c r="A33" s="386" t="s">
        <v>357</v>
      </c>
      <c r="B33" s="386" t="s">
        <v>7</v>
      </c>
      <c r="C33" s="386" t="s">
        <v>360</v>
      </c>
      <c r="D33" s="386" t="s">
        <v>20</v>
      </c>
      <c r="E33" s="386" t="s">
        <v>640</v>
      </c>
      <c r="F33" s="386" t="s">
        <v>20</v>
      </c>
      <c r="G33" s="386" t="s">
        <v>457</v>
      </c>
      <c r="H33" s="386" t="s">
        <v>458</v>
      </c>
      <c r="I33" s="386" t="s">
        <v>524</v>
      </c>
      <c r="J33" s="386"/>
      <c r="K33" s="386" t="s">
        <v>459</v>
      </c>
      <c r="L33" s="386" t="s">
        <v>905</v>
      </c>
      <c r="M33" s="386" t="s">
        <v>194</v>
      </c>
      <c r="N33" s="85">
        <v>92.362932999999998</v>
      </c>
      <c r="O33" s="85">
        <v>20.827044000000001</v>
      </c>
      <c r="P33" s="389"/>
      <c r="Q33" s="313">
        <v>20</v>
      </c>
      <c r="R33" s="641">
        <v>102</v>
      </c>
      <c r="S33" s="314">
        <v>5.0999999999999996</v>
      </c>
      <c r="T33" s="386" t="s">
        <v>351</v>
      </c>
      <c r="U33" s="386" t="s">
        <v>782</v>
      </c>
      <c r="V33" s="386" t="s">
        <v>23</v>
      </c>
      <c r="W33" s="386"/>
      <c r="X33" s="386"/>
      <c r="Y33" s="386"/>
      <c r="Z33" s="386" t="s">
        <v>678</v>
      </c>
      <c r="AA33" s="386" t="str">
        <f>CONCATENATE(Camp_List[[#This Row],[Ethnicity]],"-",Camp_List[[#This Row],[Religion]])</f>
        <v>-Muslim</v>
      </c>
      <c r="AB33" s="386" t="s">
        <v>685</v>
      </c>
      <c r="AC33" s="386" t="s">
        <v>287</v>
      </c>
      <c r="AD33" s="386" t="s">
        <v>514</v>
      </c>
      <c r="AE33" s="386" t="s">
        <v>530</v>
      </c>
      <c r="AF33" s="315">
        <v>42018</v>
      </c>
      <c r="AG33" s="386"/>
      <c r="AH33" s="85" t="str">
        <f>IFERROR(VLOOKUP(Camp_List[[#This Row],[Responsible Agency]],Organization_t[],3,0),"")</f>
        <v>Richard Kevin Tracey, CCCM/NFI Cluster Coordinator, tracey@unhcr.org,09448027896</v>
      </c>
      <c r="AI33" s="654">
        <f>IF((SUMIFS(Data_Shelter_t[Coverage],Data_Shelter_t[Pcode],Camp_List[[#This Row],[P_Code]]))&gt;1,1,SUMIFS(Data_Shelter_t[Coverage],Data_Shelter_t[Pcode],Camp_List[[#This Row],[P_Code]]))</f>
        <v>0</v>
      </c>
      <c r="BL33" s="21"/>
      <c r="BM33" s="21"/>
      <c r="BO33" s="79"/>
      <c r="BP33" s="79"/>
    </row>
    <row r="34" spans="1:68" ht="13.5" customHeight="1">
      <c r="A34" s="386" t="s">
        <v>357</v>
      </c>
      <c r="B34" s="386" t="s">
        <v>7</v>
      </c>
      <c r="C34" s="386" t="s">
        <v>360</v>
      </c>
      <c r="D34" s="386" t="s">
        <v>20</v>
      </c>
      <c r="E34" s="386" t="s">
        <v>640</v>
      </c>
      <c r="F34" s="386" t="s">
        <v>20</v>
      </c>
      <c r="G34" s="386" t="s">
        <v>457</v>
      </c>
      <c r="H34" s="386" t="s">
        <v>522</v>
      </c>
      <c r="I34" s="386" t="s">
        <v>524</v>
      </c>
      <c r="J34" s="386"/>
      <c r="K34" s="386"/>
      <c r="L34" s="386" t="s">
        <v>104</v>
      </c>
      <c r="M34" s="386" t="s">
        <v>193</v>
      </c>
      <c r="N34" s="85">
        <v>92.362196999999995</v>
      </c>
      <c r="O34" s="85">
        <v>20.824777999999998</v>
      </c>
      <c r="P34" s="389"/>
      <c r="Q34" s="313">
        <v>6</v>
      </c>
      <c r="R34" s="641">
        <v>37</v>
      </c>
      <c r="S34" s="314">
        <v>6.166666666666667</v>
      </c>
      <c r="T34" s="386" t="s">
        <v>351</v>
      </c>
      <c r="U34" s="386" t="s">
        <v>782</v>
      </c>
      <c r="V34" s="386" t="s">
        <v>23</v>
      </c>
      <c r="W34" s="386"/>
      <c r="X34" s="386"/>
      <c r="Y34" s="386"/>
      <c r="Z34" s="386" t="s">
        <v>678</v>
      </c>
      <c r="AA34" s="386" t="str">
        <f>CONCATENATE(Camp_List[[#This Row],[Ethnicity]],"-",Camp_List[[#This Row],[Religion]])</f>
        <v>-Muslim</v>
      </c>
      <c r="AB34" s="386" t="s">
        <v>685</v>
      </c>
      <c r="AC34" s="386" t="s">
        <v>287</v>
      </c>
      <c r="AD34" s="386" t="s">
        <v>514</v>
      </c>
      <c r="AE34" s="386" t="s">
        <v>530</v>
      </c>
      <c r="AF34" s="315">
        <v>41548</v>
      </c>
      <c r="AG34" s="386" t="s">
        <v>523</v>
      </c>
      <c r="AH34" s="85" t="str">
        <f>IFERROR(VLOOKUP(Camp_List[[#This Row],[Responsible Agency]],Organization_t[],3,0),"")</f>
        <v>Richard Kevin Tracey, CCCM/NFI Cluster Coordinator, tracey@unhcr.org,09448027896</v>
      </c>
      <c r="AI34" s="654">
        <f>IF((SUMIFS(Data_Shelter_t[Coverage],Data_Shelter_t[Pcode],Camp_List[[#This Row],[P_Code]]))&gt;1,1,SUMIFS(Data_Shelter_t[Coverage],Data_Shelter_t[Pcode],Camp_List[[#This Row],[P_Code]]))</f>
        <v>0</v>
      </c>
      <c r="BL34" s="21"/>
      <c r="BM34" s="21"/>
      <c r="BO34" s="79"/>
      <c r="BP34" s="79"/>
    </row>
    <row r="35" spans="1:68" ht="13.5" customHeight="1">
      <c r="A35" s="386" t="s">
        <v>357</v>
      </c>
      <c r="B35" s="386" t="s">
        <v>7</v>
      </c>
      <c r="C35" s="386" t="s">
        <v>360</v>
      </c>
      <c r="D35" s="386" t="s">
        <v>20</v>
      </c>
      <c r="E35" s="386" t="s">
        <v>640</v>
      </c>
      <c r="F35" s="386" t="s">
        <v>20</v>
      </c>
      <c r="G35" s="386" t="s">
        <v>457</v>
      </c>
      <c r="H35" s="386" t="s">
        <v>473</v>
      </c>
      <c r="I35" s="386" t="s">
        <v>472</v>
      </c>
      <c r="J35" s="386" t="s">
        <v>474</v>
      </c>
      <c r="K35" s="386">
        <v>197868</v>
      </c>
      <c r="L35" s="789" t="s">
        <v>906</v>
      </c>
      <c r="M35" s="388" t="s">
        <v>285</v>
      </c>
      <c r="N35" s="85">
        <v>92.338031000000001</v>
      </c>
      <c r="O35" s="85">
        <v>21.066663999999999</v>
      </c>
      <c r="P35" s="789"/>
      <c r="Q35" s="313">
        <v>8</v>
      </c>
      <c r="R35" s="641">
        <v>58</v>
      </c>
      <c r="S35" s="314">
        <v>7.375</v>
      </c>
      <c r="T35" s="388" t="s">
        <v>351</v>
      </c>
      <c r="U35" s="386" t="s">
        <v>782</v>
      </c>
      <c r="V35" s="386" t="s">
        <v>23</v>
      </c>
      <c r="W35" s="386"/>
      <c r="X35" s="386"/>
      <c r="Y35" s="386"/>
      <c r="Z35" s="386" t="s">
        <v>678</v>
      </c>
      <c r="AA35" s="386" t="str">
        <f>CONCATENATE(Camp_List[[#This Row],[Ethnicity]],"-",Camp_List[[#This Row],[Religion]])</f>
        <v>-Muslim</v>
      </c>
      <c r="AB35" s="386" t="s">
        <v>685</v>
      </c>
      <c r="AC35" s="386" t="s">
        <v>287</v>
      </c>
      <c r="AD35" s="386" t="s">
        <v>514</v>
      </c>
      <c r="AE35" s="386" t="s">
        <v>530</v>
      </c>
      <c r="AF35" s="315">
        <v>42471</v>
      </c>
      <c r="AG35" s="784" t="s">
        <v>1044</v>
      </c>
      <c r="AH35" s="85" t="str">
        <f>IFERROR(VLOOKUP(Camp_List[[#This Row],[Responsible Agency]],Organization_t[],3,0),"")</f>
        <v>Richard Kevin Tracey, CCCM/NFI Cluster Coordinator, tracey@unhcr.org,09448027896</v>
      </c>
      <c r="AI35" s="654">
        <f>IF((SUMIFS(Data_Shelter_t[Coverage],Data_Shelter_t[Pcode],Camp_List[[#This Row],[P_Code]]))&gt;1,1,SUMIFS(Data_Shelter_t[Coverage],Data_Shelter_t[Pcode],Camp_List[[#This Row],[P_Code]]))</f>
        <v>0</v>
      </c>
      <c r="BL35" s="21"/>
      <c r="BM35" s="21"/>
      <c r="BO35" s="79"/>
      <c r="BP35" s="79"/>
    </row>
    <row r="36" spans="1:68" ht="13.5" customHeight="1">
      <c r="A36" s="386" t="s">
        <v>357</v>
      </c>
      <c r="B36" s="386" t="s">
        <v>7</v>
      </c>
      <c r="C36" s="386" t="s">
        <v>360</v>
      </c>
      <c r="D36" s="386" t="s">
        <v>20</v>
      </c>
      <c r="E36" s="386" t="s">
        <v>640</v>
      </c>
      <c r="F36" s="386" t="s">
        <v>20</v>
      </c>
      <c r="G36" s="386" t="s">
        <v>457</v>
      </c>
      <c r="H36" s="386" t="s">
        <v>463</v>
      </c>
      <c r="I36" s="386" t="s">
        <v>462</v>
      </c>
      <c r="J36" s="386" t="s">
        <v>480</v>
      </c>
      <c r="K36" s="386">
        <v>197990</v>
      </c>
      <c r="L36" s="386" t="s">
        <v>108</v>
      </c>
      <c r="M36" s="386" t="s">
        <v>197</v>
      </c>
      <c r="N36" s="85">
        <v>92.401293999999993</v>
      </c>
      <c r="O36" s="85">
        <v>20.824517</v>
      </c>
      <c r="P36" s="389"/>
      <c r="Q36" s="313">
        <v>5</v>
      </c>
      <c r="R36" s="641">
        <v>35</v>
      </c>
      <c r="S36" s="314">
        <v>7</v>
      </c>
      <c r="T36" s="386" t="s">
        <v>351</v>
      </c>
      <c r="U36" s="386" t="s">
        <v>782</v>
      </c>
      <c r="V36" s="386" t="s">
        <v>23</v>
      </c>
      <c r="W36" s="386"/>
      <c r="X36" s="386"/>
      <c r="Y36" s="386"/>
      <c r="Z36" s="386" t="s">
        <v>678</v>
      </c>
      <c r="AA36" s="386" t="str">
        <f>CONCATENATE(Camp_List[[#This Row],[Ethnicity]],"-",Camp_List[[#This Row],[Religion]])</f>
        <v>-Muslim</v>
      </c>
      <c r="AB36" s="386" t="s">
        <v>685</v>
      </c>
      <c r="AC36" s="386" t="s">
        <v>287</v>
      </c>
      <c r="AD36" s="386" t="s">
        <v>514</v>
      </c>
      <c r="AE36" s="386" t="s">
        <v>530</v>
      </c>
      <c r="AF36" s="315">
        <v>41548</v>
      </c>
      <c r="AG36" s="386"/>
      <c r="AH36" s="85" t="str">
        <f>IFERROR(VLOOKUP(Camp_List[[#This Row],[Responsible Agency]],Organization_t[],3,0),"")</f>
        <v>Richard Kevin Tracey, CCCM/NFI Cluster Coordinator, tracey@unhcr.org,09448027896</v>
      </c>
      <c r="AI36" s="654">
        <f>IF((SUMIFS(Data_Shelter_t[Coverage],Data_Shelter_t[Pcode],Camp_List[[#This Row],[P_Code]]))&gt;1,1,SUMIFS(Data_Shelter_t[Coverage],Data_Shelter_t[Pcode],Camp_List[[#This Row],[P_Code]]))</f>
        <v>0</v>
      </c>
      <c r="BL36" s="21"/>
      <c r="BM36" s="21"/>
      <c r="BO36" s="79"/>
      <c r="BP36" s="79"/>
    </row>
    <row r="37" spans="1:68" ht="13.5" customHeight="1">
      <c r="A37" s="386" t="s">
        <v>357</v>
      </c>
      <c r="B37" s="386" t="s">
        <v>7</v>
      </c>
      <c r="C37" s="386" t="s">
        <v>360</v>
      </c>
      <c r="D37" s="386" t="s">
        <v>20</v>
      </c>
      <c r="E37" s="386" t="s">
        <v>640</v>
      </c>
      <c r="F37" s="386" t="s">
        <v>20</v>
      </c>
      <c r="G37" s="386" t="s">
        <v>457</v>
      </c>
      <c r="H37" s="386" t="s">
        <v>463</v>
      </c>
      <c r="I37" s="386" t="s">
        <v>462</v>
      </c>
      <c r="J37" s="386"/>
      <c r="K37" s="386"/>
      <c r="L37" s="789" t="s">
        <v>907</v>
      </c>
      <c r="M37" s="388" t="s">
        <v>286</v>
      </c>
      <c r="N37" s="85">
        <v>92.416683000000006</v>
      </c>
      <c r="O37" s="85">
        <v>20.833831</v>
      </c>
      <c r="P37" s="789"/>
      <c r="Q37" s="313">
        <v>52</v>
      </c>
      <c r="R37" s="641">
        <v>377</v>
      </c>
      <c r="S37" s="314">
        <v>7.5384615384615383</v>
      </c>
      <c r="T37" s="388" t="s">
        <v>351</v>
      </c>
      <c r="U37" s="386" t="s">
        <v>782</v>
      </c>
      <c r="V37" s="386" t="s">
        <v>23</v>
      </c>
      <c r="W37" s="386"/>
      <c r="X37" s="386"/>
      <c r="Y37" s="386"/>
      <c r="Z37" s="386" t="s">
        <v>678</v>
      </c>
      <c r="AA37" s="386" t="str">
        <f>CONCATENATE(Camp_List[[#This Row],[Ethnicity]],"-",Camp_List[[#This Row],[Religion]])</f>
        <v>-Muslim</v>
      </c>
      <c r="AB37" s="386" t="s">
        <v>685</v>
      </c>
      <c r="AC37" s="386" t="s">
        <v>287</v>
      </c>
      <c r="AD37" s="386" t="s">
        <v>514</v>
      </c>
      <c r="AE37" s="386" t="s">
        <v>530</v>
      </c>
      <c r="AF37" s="315">
        <v>42471</v>
      </c>
      <c r="AG37" s="784" t="s">
        <v>1045</v>
      </c>
      <c r="AH37" s="85" t="str">
        <f>IFERROR(VLOOKUP(Camp_List[[#This Row],[Responsible Agency]],Organization_t[],3,0),"")</f>
        <v>Richard Kevin Tracey, CCCM/NFI Cluster Coordinator, tracey@unhcr.org,09448027896</v>
      </c>
      <c r="AI37" s="654">
        <f>IF((SUMIFS(Data_Shelter_t[Coverage],Data_Shelter_t[Pcode],Camp_List[[#This Row],[P_Code]]))&gt;1,1,SUMIFS(Data_Shelter_t[Coverage],Data_Shelter_t[Pcode],Camp_List[[#This Row],[P_Code]]))</f>
        <v>0</v>
      </c>
      <c r="BL37" s="21"/>
      <c r="BM37" s="21"/>
      <c r="BO37" s="79"/>
      <c r="BP37" s="79"/>
    </row>
    <row r="38" spans="1:68" ht="13.5" customHeight="1">
      <c r="A38" s="386" t="s">
        <v>357</v>
      </c>
      <c r="B38" s="386" t="s">
        <v>7</v>
      </c>
      <c r="C38" s="386" t="s">
        <v>360</v>
      </c>
      <c r="D38" s="386" t="s">
        <v>20</v>
      </c>
      <c r="E38" s="386" t="s">
        <v>640</v>
      </c>
      <c r="F38" s="386" t="s">
        <v>20</v>
      </c>
      <c r="G38" s="386" t="s">
        <v>457</v>
      </c>
      <c r="H38" s="386" t="s">
        <v>468</v>
      </c>
      <c r="I38" s="386" t="s">
        <v>524</v>
      </c>
      <c r="J38" s="386"/>
      <c r="K38" s="386" t="s">
        <v>469</v>
      </c>
      <c r="L38" s="386" t="s">
        <v>107</v>
      </c>
      <c r="M38" s="386" t="s">
        <v>196</v>
      </c>
      <c r="N38" s="85">
        <v>92.367852999999997</v>
      </c>
      <c r="O38" s="85">
        <v>20.825306000000001</v>
      </c>
      <c r="P38" s="389"/>
      <c r="Q38" s="313">
        <v>5</v>
      </c>
      <c r="R38" s="641">
        <v>30</v>
      </c>
      <c r="S38" s="314">
        <v>7.6</v>
      </c>
      <c r="T38" s="386" t="s">
        <v>351</v>
      </c>
      <c r="U38" s="386" t="s">
        <v>782</v>
      </c>
      <c r="V38" s="386" t="s">
        <v>23</v>
      </c>
      <c r="W38" s="386"/>
      <c r="X38" s="386"/>
      <c r="Y38" s="386"/>
      <c r="Z38" s="386" t="s">
        <v>678</v>
      </c>
      <c r="AA38" s="386" t="str">
        <f>CONCATENATE(Camp_List[[#This Row],[Ethnicity]],"-",Camp_List[[#This Row],[Religion]])</f>
        <v>-Muslim</v>
      </c>
      <c r="AB38" s="386" t="s">
        <v>685</v>
      </c>
      <c r="AC38" s="386" t="s">
        <v>287</v>
      </c>
      <c r="AD38" s="386" t="s">
        <v>514</v>
      </c>
      <c r="AE38" s="386" t="s">
        <v>530</v>
      </c>
      <c r="AF38" s="315">
        <v>42471</v>
      </c>
      <c r="AG38" s="784" t="s">
        <v>1046</v>
      </c>
      <c r="AH38" s="85" t="str">
        <f>IFERROR(VLOOKUP(Camp_List[[#This Row],[Responsible Agency]],Organization_t[],3,0),"")</f>
        <v>Richard Kevin Tracey, CCCM/NFI Cluster Coordinator, tracey@unhcr.org,09448027896</v>
      </c>
      <c r="AI38" s="654">
        <f>IF((SUMIFS(Data_Shelter_t[Coverage],Data_Shelter_t[Pcode],Camp_List[[#This Row],[P_Code]]))&gt;1,1,SUMIFS(Data_Shelter_t[Coverage],Data_Shelter_t[Pcode],Camp_List[[#This Row],[P_Code]]))</f>
        <v>0</v>
      </c>
      <c r="BL38" s="21"/>
      <c r="BM38" s="21"/>
      <c r="BO38" s="79"/>
      <c r="BP38" s="79"/>
    </row>
    <row r="39" spans="1:68" ht="13.5" customHeight="1">
      <c r="A39" s="386" t="s">
        <v>357</v>
      </c>
      <c r="B39" s="386" t="s">
        <v>7</v>
      </c>
      <c r="C39" s="386" t="s">
        <v>360</v>
      </c>
      <c r="D39" s="386" t="s">
        <v>19</v>
      </c>
      <c r="E39" s="386" t="s">
        <v>622</v>
      </c>
      <c r="F39" s="386" t="s">
        <v>15</v>
      </c>
      <c r="G39" s="386" t="s">
        <v>390</v>
      </c>
      <c r="H39" s="386" t="s">
        <v>401</v>
      </c>
      <c r="I39" s="386" t="s">
        <v>400</v>
      </c>
      <c r="J39" s="386" t="s">
        <v>487</v>
      </c>
      <c r="K39" s="788">
        <v>196829</v>
      </c>
      <c r="L39" s="386" t="s">
        <v>47</v>
      </c>
      <c r="M39" s="386" t="s">
        <v>134</v>
      </c>
      <c r="N39" s="85">
        <v>92.965980999999999</v>
      </c>
      <c r="O39" s="85">
        <v>20.865687000000001</v>
      </c>
      <c r="P39" s="386"/>
      <c r="Q39" s="313">
        <v>85</v>
      </c>
      <c r="R39" s="641">
        <v>546</v>
      </c>
      <c r="S39" s="314">
        <v>6.8</v>
      </c>
      <c r="T39" s="386" t="s">
        <v>351</v>
      </c>
      <c r="U39" s="386" t="s">
        <v>782</v>
      </c>
      <c r="V39" s="386" t="s">
        <v>23</v>
      </c>
      <c r="W39" s="388" t="s">
        <v>896</v>
      </c>
      <c r="X39" s="386"/>
      <c r="Y39" s="386"/>
      <c r="Z39" s="386" t="s">
        <v>678</v>
      </c>
      <c r="AA39" s="386" t="str">
        <f>CONCATENATE(Camp_List[[#This Row],[Ethnicity]],"-",Camp_List[[#This Row],[Religion]])</f>
        <v>-Muslim</v>
      </c>
      <c r="AB39" s="386" t="s">
        <v>685</v>
      </c>
      <c r="AC39" s="386" t="s">
        <v>287</v>
      </c>
      <c r="AD39" s="386" t="s">
        <v>514</v>
      </c>
      <c r="AE39" s="386" t="s">
        <v>961</v>
      </c>
      <c r="AF39" s="315">
        <v>42471</v>
      </c>
      <c r="AG39" s="784" t="s">
        <v>1047</v>
      </c>
      <c r="AH39" s="85" t="str">
        <f>IFERROR(VLOOKUP(Camp_List[[#This Row],[Responsible Agency]],Organization_t[],3,0),"")</f>
        <v>Richard Kevin Tracey, CCCM/NFI Cluster Coordinator, tracey@unhcr.org,09448027896</v>
      </c>
      <c r="AI39" s="654">
        <f ca="1">IF((SUMIFS(Data_Shelter_t[Coverage],Data_Shelter_t[Pcode],Camp_List[[#This Row],[P_Code]]))&gt;1,1,SUMIFS(Data_Shelter_t[Coverage],Data_Shelter_t[Pcode],Camp_List[[#This Row],[P_Code]]))</f>
        <v>0.84705882352941175</v>
      </c>
      <c r="BL39" s="21"/>
      <c r="BM39" s="21"/>
      <c r="BO39" s="79"/>
      <c r="BP39" s="79"/>
    </row>
    <row r="40" spans="1:68" ht="13.5" customHeight="1">
      <c r="A40" s="386" t="s">
        <v>357</v>
      </c>
      <c r="B40" s="386" t="s">
        <v>7</v>
      </c>
      <c r="C40" s="386" t="s">
        <v>360</v>
      </c>
      <c r="D40" s="386" t="s">
        <v>626</v>
      </c>
      <c r="E40" s="386" t="s">
        <v>627</v>
      </c>
      <c r="F40" s="386" t="s">
        <v>17</v>
      </c>
      <c r="G40" s="386" t="s">
        <v>415</v>
      </c>
      <c r="H40" s="386" t="s">
        <v>420</v>
      </c>
      <c r="I40" s="386" t="s">
        <v>421</v>
      </c>
      <c r="J40" s="386" t="s">
        <v>482</v>
      </c>
      <c r="K40" s="386">
        <v>198486</v>
      </c>
      <c r="L40" s="386" t="s">
        <v>58</v>
      </c>
      <c r="M40" s="386" t="s">
        <v>146</v>
      </c>
      <c r="N40" s="85">
        <v>93.512326000000002</v>
      </c>
      <c r="O40" s="85">
        <v>19.424576999999999</v>
      </c>
      <c r="P40" s="386"/>
      <c r="Q40" s="313">
        <v>427</v>
      </c>
      <c r="R40" s="641">
        <v>1274</v>
      </c>
      <c r="S40" s="314">
        <v>2.9836065573770494</v>
      </c>
      <c r="T40" s="386" t="s">
        <v>351</v>
      </c>
      <c r="U40" s="386" t="s">
        <v>782</v>
      </c>
      <c r="V40" s="386" t="s">
        <v>22</v>
      </c>
      <c r="W40" s="388"/>
      <c r="X40" s="386"/>
      <c r="Y40" s="386"/>
      <c r="Z40" s="386" t="s">
        <v>678</v>
      </c>
      <c r="AA40" s="386" t="str">
        <f>CONCATENATE(Camp_List[[#This Row],[Ethnicity]],"-",Camp_List[[#This Row],[Religion]])</f>
        <v>-Muslim</v>
      </c>
      <c r="AB40" s="386" t="s">
        <v>685</v>
      </c>
      <c r="AC40" s="386" t="s">
        <v>287</v>
      </c>
      <c r="AD40" s="386" t="s">
        <v>514</v>
      </c>
      <c r="AE40" s="386" t="s">
        <v>530</v>
      </c>
      <c r="AF40" s="315">
        <v>42097</v>
      </c>
      <c r="AG40" s="386"/>
      <c r="AH40" s="85" t="str">
        <f>IFERROR(VLOOKUP(Camp_List[[#This Row],[Responsible Agency]],Organization_t[],3,0),"")</f>
        <v>Richard Kevin Tracey, CCCM/NFI Cluster Coordinator, tracey@unhcr.org,09448027896</v>
      </c>
      <c r="AI40" s="654">
        <f ca="1">IF((SUMIFS(Data_Shelter_t[Coverage],Data_Shelter_t[Pcode],Camp_List[[#This Row],[P_Code]]))&gt;1,1,SUMIFS(Data_Shelter_t[Coverage],Data_Shelter_t[Pcode],Camp_List[[#This Row],[P_Code]]))</f>
        <v>0.99297423887587821</v>
      </c>
      <c r="BL40" s="21"/>
      <c r="BM40" s="21"/>
      <c r="BO40" s="79"/>
      <c r="BP40" s="79"/>
    </row>
    <row r="41" spans="1:68" ht="13.5" customHeight="1">
      <c r="A41" s="386" t="s">
        <v>357</v>
      </c>
      <c r="B41" s="386" t="s">
        <v>7</v>
      </c>
      <c r="C41" s="386" t="s">
        <v>360</v>
      </c>
      <c r="D41" s="386" t="s">
        <v>19</v>
      </c>
      <c r="E41" s="386" t="s">
        <v>622</v>
      </c>
      <c r="F41" s="386" t="s">
        <v>14</v>
      </c>
      <c r="G41" s="386" t="s">
        <v>381</v>
      </c>
      <c r="H41" s="386" t="s">
        <v>43</v>
      </c>
      <c r="I41" s="386" t="s">
        <v>385</v>
      </c>
      <c r="J41" s="386" t="s">
        <v>498</v>
      </c>
      <c r="K41" s="386">
        <v>197548</v>
      </c>
      <c r="L41" s="386" t="s">
        <v>43</v>
      </c>
      <c r="M41" s="386" t="s">
        <v>130</v>
      </c>
      <c r="N41" s="85">
        <v>92.993758999999997</v>
      </c>
      <c r="O41" s="85">
        <v>20.064226000000001</v>
      </c>
      <c r="P41" s="386"/>
      <c r="Q41" s="313">
        <v>794</v>
      </c>
      <c r="R41" s="641">
        <v>2668</v>
      </c>
      <c r="S41" s="314">
        <v>3.7519500780031203</v>
      </c>
      <c r="T41" s="386" t="s">
        <v>351</v>
      </c>
      <c r="U41" s="386" t="s">
        <v>782</v>
      </c>
      <c r="V41" s="386" t="s">
        <v>22</v>
      </c>
      <c r="W41" s="388"/>
      <c r="X41" s="386"/>
      <c r="Y41" s="386" t="s">
        <v>792</v>
      </c>
      <c r="Z41" s="386" t="s">
        <v>678</v>
      </c>
      <c r="AA41" s="386" t="str">
        <f>CONCATENATE(Camp_List[[#This Row],[Ethnicity]],"-",Camp_List[[#This Row],[Religion]])</f>
        <v>Kaman-Muslim</v>
      </c>
      <c r="AB41" s="386" t="s">
        <v>684</v>
      </c>
      <c r="AC41" s="386" t="s">
        <v>290</v>
      </c>
      <c r="AD41" s="386" t="s">
        <v>912</v>
      </c>
      <c r="AE41" s="386" t="s">
        <v>913</v>
      </c>
      <c r="AF41" s="315">
        <v>42212</v>
      </c>
      <c r="AG41" s="386"/>
      <c r="AH41" s="85" t="str">
        <f>IFERROR(VLOOKUP(Camp_List[[#This Row],[Responsible Agency]],Organization_t[],3,0),"")</f>
        <v>Bruce Spires
, CCCM Project Coordinator,
bruce.spires@drcmm.org, 09423662612</v>
      </c>
      <c r="AI41" s="654">
        <f ca="1">IF((SUMIFS(Data_Shelter_t[Coverage],Data_Shelter_t[Pcode],Camp_List[[#This Row],[P_Code]]))&gt;1,1,SUMIFS(Data_Shelter_t[Coverage],Data_Shelter_t[Pcode],Camp_List[[#This Row],[P_Code]]))</f>
        <v>1</v>
      </c>
      <c r="BL41" s="21"/>
      <c r="BM41" s="21"/>
      <c r="BO41" s="79"/>
      <c r="BP41" s="79"/>
    </row>
    <row r="42" spans="1:68" ht="13.5" customHeight="1">
      <c r="A42" s="386" t="s">
        <v>357</v>
      </c>
      <c r="B42" s="386" t="s">
        <v>7</v>
      </c>
      <c r="C42" s="386" t="s">
        <v>360</v>
      </c>
      <c r="D42" s="386" t="s">
        <v>19</v>
      </c>
      <c r="E42" s="386" t="s">
        <v>622</v>
      </c>
      <c r="F42" s="386" t="s">
        <v>14</v>
      </c>
      <c r="G42" s="386" t="s">
        <v>381</v>
      </c>
      <c r="H42" s="386" t="s">
        <v>384</v>
      </c>
      <c r="I42" s="386" t="s">
        <v>383</v>
      </c>
      <c r="J42" s="386" t="s">
        <v>497</v>
      </c>
      <c r="K42" s="386" t="s">
        <v>1029</v>
      </c>
      <c r="L42" s="386" t="s">
        <v>41</v>
      </c>
      <c r="M42" s="386" t="s">
        <v>128</v>
      </c>
      <c r="N42" s="85">
        <v>93.154551999999995</v>
      </c>
      <c r="O42" s="85">
        <v>20.073437999999999</v>
      </c>
      <c r="P42" s="386"/>
      <c r="Q42" s="793">
        <v>857</v>
      </c>
      <c r="R42" s="797">
        <v>3344</v>
      </c>
      <c r="S42" s="801">
        <v>4.7418321588725201</v>
      </c>
      <c r="T42" s="386" t="s">
        <v>351</v>
      </c>
      <c r="U42" s="386" t="s">
        <v>782</v>
      </c>
      <c r="V42" s="802" t="s">
        <v>22</v>
      </c>
      <c r="W42" s="803"/>
      <c r="X42" s="386"/>
      <c r="Y42" s="386"/>
      <c r="Z42" s="386" t="s">
        <v>678</v>
      </c>
      <c r="AA42" s="386" t="str">
        <f>CONCATENATE(Camp_List[[#This Row],[Ethnicity]],"-",Camp_List[[#This Row],[Religion]])</f>
        <v>-Muslim</v>
      </c>
      <c r="AB42" s="386" t="s">
        <v>684</v>
      </c>
      <c r="AC42" s="806" t="s">
        <v>642</v>
      </c>
      <c r="AD42" s="386"/>
      <c r="AE42" s="386" t="s">
        <v>913</v>
      </c>
      <c r="AF42" s="315">
        <v>42471</v>
      </c>
      <c r="AG42" s="808" t="s">
        <v>1040</v>
      </c>
      <c r="AH42" s="804" t="str">
        <f>IFERROR(VLOOKUP(Camp_List[[#This Row],[Responsible Agency]],Organization_t[],3,0),"")</f>
        <v>Yadu Shresk
Emergency Project Coordinator
campro.mmr@lwfdws.org</v>
      </c>
      <c r="AI42" s="813">
        <f ca="1">IF((SUMIFS(Data_Shelter_t[Coverage],Data_Shelter_t[Pcode],Camp_List[[#This Row],[P_Code]]))&gt;1,1,SUMIFS(Data_Shelter_t[Coverage],Data_Shelter_t[Pcode],Camp_List[[#This Row],[P_Code]]))</f>
        <v>1</v>
      </c>
      <c r="BL42" s="21"/>
      <c r="BM42" s="21"/>
      <c r="BO42" s="79"/>
      <c r="BP42" s="79"/>
    </row>
    <row r="43" spans="1:68" ht="13.5" customHeight="1">
      <c r="A43" s="386" t="s">
        <v>357</v>
      </c>
      <c r="B43" s="609" t="s">
        <v>7</v>
      </c>
      <c r="C43" s="609" t="s">
        <v>360</v>
      </c>
      <c r="D43" s="609" t="s">
        <v>19</v>
      </c>
      <c r="E43" s="609" t="s">
        <v>622</v>
      </c>
      <c r="F43" s="609" t="s">
        <v>14</v>
      </c>
      <c r="G43" s="609" t="s">
        <v>381</v>
      </c>
      <c r="H43" s="386" t="s">
        <v>387</v>
      </c>
      <c r="I43" s="386" t="s">
        <v>386</v>
      </c>
      <c r="J43" s="386" t="s">
        <v>42</v>
      </c>
      <c r="K43" s="386" t="s">
        <v>1028</v>
      </c>
      <c r="L43" s="609" t="s">
        <v>42</v>
      </c>
      <c r="M43" s="609" t="s">
        <v>129</v>
      </c>
      <c r="N43" s="610">
        <v>93.010368999999997</v>
      </c>
      <c r="O43" s="610">
        <v>20.090183</v>
      </c>
      <c r="P43" s="609"/>
      <c r="Q43" s="313">
        <v>1152</v>
      </c>
      <c r="R43" s="641">
        <v>5060</v>
      </c>
      <c r="S43" s="801">
        <v>4.8249227600411899</v>
      </c>
      <c r="T43" s="386" t="s">
        <v>351</v>
      </c>
      <c r="U43" s="609"/>
      <c r="V43" s="802" t="s">
        <v>22</v>
      </c>
      <c r="W43" s="609"/>
      <c r="X43" s="609"/>
      <c r="Y43" s="609"/>
      <c r="Z43" s="386" t="s">
        <v>678</v>
      </c>
      <c r="AA43" s="386" t="str">
        <f>CONCATENATE(Camp_List[[#This Row],[Ethnicity]],"-",Camp_List[[#This Row],[Religion]])</f>
        <v>-Muslim</v>
      </c>
      <c r="AB43" s="806" t="s">
        <v>684</v>
      </c>
      <c r="AC43" s="806" t="s">
        <v>290</v>
      </c>
      <c r="AD43" s="609"/>
      <c r="AE43" s="386" t="s">
        <v>913</v>
      </c>
      <c r="AF43" s="315">
        <v>42471</v>
      </c>
      <c r="AG43" s="811" t="s">
        <v>1049</v>
      </c>
      <c r="AH43" s="805" t="str">
        <f>IFERROR(VLOOKUP(Camp_List[[#This Row],[Responsible Agency]],Organization_t[],3,0),"")</f>
        <v>Bruce Spires
, CCCM Project Coordinator,
bruce.spires@drcmm.org, 09423662612</v>
      </c>
      <c r="AI43" s="813">
        <f ca="1">IF((SUMIFS(Data_Shelter_t[Coverage],Data_Shelter_t[Pcode],Camp_List[[#This Row],[P_Code]]))&gt;1,1,SUMIFS(Data_Shelter_t[Coverage],Data_Shelter_t[Pcode],Camp_List[[#This Row],[P_Code]]))</f>
        <v>0.84027777777777779</v>
      </c>
      <c r="BL43" s="21"/>
      <c r="BM43" s="21"/>
      <c r="BO43" s="79"/>
      <c r="BP43" s="79"/>
    </row>
    <row r="44" spans="1:68" ht="13.5" customHeight="1">
      <c r="A44" s="784" t="s">
        <v>1012</v>
      </c>
      <c r="B44" s="386" t="s">
        <v>7</v>
      </c>
      <c r="C44" s="386" t="s">
        <v>360</v>
      </c>
      <c r="D44" s="386" t="s">
        <v>19</v>
      </c>
      <c r="E44" s="386" t="s">
        <v>622</v>
      </c>
      <c r="F44" s="386" t="s">
        <v>19</v>
      </c>
      <c r="G44" s="386" t="s">
        <v>422</v>
      </c>
      <c r="H44" s="386" t="s">
        <v>522</v>
      </c>
      <c r="I44" s="386" t="s">
        <v>575</v>
      </c>
      <c r="J44" s="386" t="s">
        <v>576</v>
      </c>
      <c r="K44" s="386" t="s">
        <v>577</v>
      </c>
      <c r="L44" s="386" t="s">
        <v>657</v>
      </c>
      <c r="M44" s="386" t="s">
        <v>659</v>
      </c>
      <c r="N44" s="85">
        <v>92.887277999999995</v>
      </c>
      <c r="O44" s="85">
        <v>20.151471999999998</v>
      </c>
      <c r="P44" s="386"/>
      <c r="Q44" s="313">
        <v>249</v>
      </c>
      <c r="R44" s="641">
        <v>1282</v>
      </c>
      <c r="S44" s="314">
        <v>5.1485943775100402</v>
      </c>
      <c r="T44" s="386" t="s">
        <v>351</v>
      </c>
      <c r="U44" s="386"/>
      <c r="V44" s="386" t="s">
        <v>1024</v>
      </c>
      <c r="W44" s="388"/>
      <c r="X44" s="386"/>
      <c r="Y44" s="386" t="s">
        <v>7</v>
      </c>
      <c r="Z44" s="386" t="s">
        <v>785</v>
      </c>
      <c r="AA44" s="386" t="str">
        <f>CONCATENATE(Camp_List[[#This Row],[Ethnicity]],"-",Camp_List[[#This Row],[Religion]])</f>
        <v>Rakhine-Buddhist</v>
      </c>
      <c r="AB44" s="386"/>
      <c r="AC44" s="386"/>
      <c r="AD44" s="386" t="s">
        <v>912</v>
      </c>
      <c r="AE44" s="386" t="s">
        <v>913</v>
      </c>
      <c r="AF44" s="315">
        <v>42447</v>
      </c>
      <c r="AG44" s="386" t="s">
        <v>1014</v>
      </c>
      <c r="AH44" s="21" t="str">
        <f>IFERROR(VLOOKUP(Camp_List[[#This Row],[Responsible Agency]],Organization_t[],3,0),"")</f>
        <v/>
      </c>
      <c r="AI44" s="654">
        <f ca="1">IF((SUMIFS(Data_Shelter_t[Coverage],Data_Shelter_t[Pcode],Camp_List[[#This Row],[P_Code]]))&gt;1,1,SUMIFS(Data_Shelter_t[Coverage],Data_Shelter_t[Pcode],Camp_List[[#This Row],[P_Code]]))</f>
        <v>1</v>
      </c>
      <c r="BL44" s="21"/>
      <c r="BM44" s="21"/>
      <c r="BO44" s="79"/>
      <c r="BP44" s="79"/>
    </row>
    <row r="45" spans="1:68" ht="13.5" customHeight="1">
      <c r="A45" s="784" t="s">
        <v>1012</v>
      </c>
      <c r="B45" s="386" t="s">
        <v>7</v>
      </c>
      <c r="C45" s="386" t="s">
        <v>360</v>
      </c>
      <c r="D45" s="386" t="s">
        <v>19</v>
      </c>
      <c r="E45" s="386" t="s">
        <v>622</v>
      </c>
      <c r="F45" s="386" t="s">
        <v>19</v>
      </c>
      <c r="G45" s="386" t="s">
        <v>422</v>
      </c>
      <c r="H45" s="386" t="s">
        <v>522</v>
      </c>
      <c r="I45" s="386" t="s">
        <v>575</v>
      </c>
      <c r="J45" s="386" t="s">
        <v>576</v>
      </c>
      <c r="K45" s="386" t="s">
        <v>577</v>
      </c>
      <c r="L45" s="386" t="s">
        <v>658</v>
      </c>
      <c r="M45" s="386" t="s">
        <v>660</v>
      </c>
      <c r="N45" s="85">
        <v>92.887277999999995</v>
      </c>
      <c r="O45" s="85">
        <v>20.151471999999998</v>
      </c>
      <c r="P45" s="386"/>
      <c r="Q45" s="313">
        <v>418</v>
      </c>
      <c r="R45" s="641">
        <v>2200</v>
      </c>
      <c r="S45" s="314">
        <v>5.2631578947368425</v>
      </c>
      <c r="T45" s="386" t="s">
        <v>351</v>
      </c>
      <c r="U45" s="386"/>
      <c r="V45" s="386" t="s">
        <v>1024</v>
      </c>
      <c r="W45" s="388"/>
      <c r="X45" s="386"/>
      <c r="Y45" s="386" t="s">
        <v>7</v>
      </c>
      <c r="Z45" s="386" t="s">
        <v>785</v>
      </c>
      <c r="AA45" s="386" t="str">
        <f>CONCATENATE(Camp_List[[#This Row],[Ethnicity]],"-",Camp_List[[#This Row],[Religion]])</f>
        <v>Rakhine-Buddhist</v>
      </c>
      <c r="AB45" s="386"/>
      <c r="AC45" s="386"/>
      <c r="AD45" s="386" t="s">
        <v>912</v>
      </c>
      <c r="AE45" s="386" t="s">
        <v>913</v>
      </c>
      <c r="AF45" s="315">
        <v>42447</v>
      </c>
      <c r="AG45" s="386" t="s">
        <v>1014</v>
      </c>
      <c r="AH45" s="21" t="str">
        <f>IFERROR(VLOOKUP(Camp_List[[#This Row],[Responsible Agency]],Organization_t[],3,0),"")</f>
        <v/>
      </c>
      <c r="AI45" s="654">
        <f ca="1">IF((SUMIFS(Data_Shelter_t[Coverage],Data_Shelter_t[Pcode],Camp_List[[#This Row],[P_Code]]))&gt;1,1,SUMIFS(Data_Shelter_t[Coverage],Data_Shelter_t[Pcode],Camp_List[[#This Row],[P_Code]]))</f>
        <v>1</v>
      </c>
      <c r="BL45" s="21"/>
      <c r="BM45" s="21"/>
      <c r="BO45" s="79"/>
      <c r="BP45" s="79"/>
    </row>
    <row r="46" spans="1:68" ht="13.5" customHeight="1">
      <c r="A46" s="784" t="s">
        <v>1012</v>
      </c>
      <c r="B46" s="386" t="s">
        <v>7</v>
      </c>
      <c r="C46" s="386" t="s">
        <v>360</v>
      </c>
      <c r="D46" s="386" t="s">
        <v>19</v>
      </c>
      <c r="E46" s="386" t="s">
        <v>622</v>
      </c>
      <c r="F46" s="386" t="s">
        <v>19</v>
      </c>
      <c r="G46" s="386" t="s">
        <v>422</v>
      </c>
      <c r="H46" s="386" t="s">
        <v>432</v>
      </c>
      <c r="I46" s="386" t="s">
        <v>575</v>
      </c>
      <c r="J46" s="386"/>
      <c r="K46" s="386" t="s">
        <v>431</v>
      </c>
      <c r="L46" s="386" t="s">
        <v>78</v>
      </c>
      <c r="M46" s="386" t="s">
        <v>167</v>
      </c>
      <c r="N46" s="85">
        <v>92.880319999999998</v>
      </c>
      <c r="O46" s="85">
        <v>20.148584</v>
      </c>
      <c r="P46" s="386"/>
      <c r="Q46" s="313">
        <v>72</v>
      </c>
      <c r="R46" s="641">
        <v>462</v>
      </c>
      <c r="S46" s="314">
        <v>6.416666666666667</v>
      </c>
      <c r="T46" s="386" t="s">
        <v>351</v>
      </c>
      <c r="U46" s="386"/>
      <c r="V46" s="386" t="s">
        <v>1024</v>
      </c>
      <c r="W46" s="388"/>
      <c r="X46" s="386"/>
      <c r="Y46" s="386" t="s">
        <v>679</v>
      </c>
      <c r="Z46" s="386" t="s">
        <v>785</v>
      </c>
      <c r="AA46" s="386" t="str">
        <f>CONCATENATE(Camp_List[[#This Row],[Ethnicity]],"-",Camp_List[[#This Row],[Religion]])</f>
        <v>Maramargyi-Buddhist</v>
      </c>
      <c r="AB46" s="386"/>
      <c r="AC46" s="386"/>
      <c r="AD46" s="386" t="s">
        <v>912</v>
      </c>
      <c r="AE46" s="386" t="s">
        <v>913</v>
      </c>
      <c r="AF46" s="315">
        <v>42447</v>
      </c>
      <c r="AG46" s="386" t="s">
        <v>1014</v>
      </c>
      <c r="AH46" s="85" t="str">
        <f>IFERROR(VLOOKUP(Camp_List[[#This Row],[Responsible Agency]],Organization_t[],3,0),"")</f>
        <v/>
      </c>
      <c r="AI46" s="654">
        <f ca="1">IF((SUMIFS(Data_Shelter_t[Coverage],Data_Shelter_t[Pcode],Camp_List[[#This Row],[P_Code]]))&gt;1,1,SUMIFS(Data_Shelter_t[Coverage],Data_Shelter_t[Pcode],Camp_List[[#This Row],[P_Code]]))</f>
        <v>1</v>
      </c>
      <c r="BL46" s="21"/>
      <c r="BM46" s="21"/>
      <c r="BO46" s="79"/>
      <c r="BP46" s="79"/>
    </row>
    <row r="47" spans="1:68" ht="13.5" customHeight="1">
      <c r="A47" s="784" t="s">
        <v>1012</v>
      </c>
      <c r="B47" s="386" t="s">
        <v>7</v>
      </c>
      <c r="C47" s="386" t="s">
        <v>360</v>
      </c>
      <c r="D47" s="386" t="s">
        <v>19</v>
      </c>
      <c r="E47" s="386" t="s">
        <v>622</v>
      </c>
      <c r="F47" s="386" t="s">
        <v>19</v>
      </c>
      <c r="G47" s="386" t="s">
        <v>422</v>
      </c>
      <c r="H47" s="386" t="s">
        <v>432</v>
      </c>
      <c r="I47" s="386" t="s">
        <v>575</v>
      </c>
      <c r="J47" s="386"/>
      <c r="K47" s="386" t="s">
        <v>431</v>
      </c>
      <c r="L47" s="386" t="s">
        <v>247</v>
      </c>
      <c r="M47" s="386" t="s">
        <v>284</v>
      </c>
      <c r="N47" s="85">
        <v>92.879138999999995</v>
      </c>
      <c r="O47" s="85">
        <v>20.155805999999998</v>
      </c>
      <c r="P47" s="386"/>
      <c r="Q47" s="794">
        <v>151</v>
      </c>
      <c r="R47" s="794">
        <v>654</v>
      </c>
      <c r="S47" s="314">
        <v>4.2384105960264904</v>
      </c>
      <c r="T47" s="386" t="s">
        <v>351</v>
      </c>
      <c r="U47" s="386"/>
      <c r="V47" s="386" t="s">
        <v>1024</v>
      </c>
      <c r="W47" s="388"/>
      <c r="X47" s="386"/>
      <c r="Y47" s="386" t="s">
        <v>7</v>
      </c>
      <c r="Z47" s="386" t="s">
        <v>785</v>
      </c>
      <c r="AA47" s="386" t="str">
        <f>CONCATENATE(Camp_List[[#This Row],[Ethnicity]],"-",Camp_List[[#This Row],[Religion]])</f>
        <v>Rakhine-Buddhist</v>
      </c>
      <c r="AB47" s="386"/>
      <c r="AC47" s="386"/>
      <c r="AD47" s="386" t="s">
        <v>912</v>
      </c>
      <c r="AE47" s="386" t="s">
        <v>913</v>
      </c>
      <c r="AF47" s="315">
        <v>42471</v>
      </c>
      <c r="AG47" s="784" t="s">
        <v>1041</v>
      </c>
      <c r="AH47" s="85" t="str">
        <f>IFERROR(VLOOKUP(Camp_List[[#This Row],[Responsible Agency]],Organization_t[],3,0),"")</f>
        <v/>
      </c>
      <c r="AI47" s="654">
        <f ca="1">IF((SUMIFS(Data_Shelter_t[Coverage],Data_Shelter_t[Pcode],Camp_List[[#This Row],[P_Code]]))&gt;1,1,SUMIFS(Data_Shelter_t[Coverage],Data_Shelter_t[Pcode],Camp_List[[#This Row],[P_Code]]))</f>
        <v>1</v>
      </c>
      <c r="BL47" s="21"/>
      <c r="BM47" s="21"/>
      <c r="BO47" s="79"/>
      <c r="BP47" s="79"/>
    </row>
    <row r="48" spans="1:68" ht="13.5" customHeight="1">
      <c r="A48" s="784" t="s">
        <v>1012</v>
      </c>
      <c r="B48" s="386" t="s">
        <v>7</v>
      </c>
      <c r="C48" s="386" t="s">
        <v>360</v>
      </c>
      <c r="D48" s="386" t="s">
        <v>19</v>
      </c>
      <c r="E48" s="386" t="s">
        <v>622</v>
      </c>
      <c r="F48" s="386" t="s">
        <v>12</v>
      </c>
      <c r="G48" s="386" t="s">
        <v>374</v>
      </c>
      <c r="H48" s="386" t="s">
        <v>380</v>
      </c>
      <c r="I48" s="386" t="s">
        <v>379</v>
      </c>
      <c r="J48" s="386" t="s">
        <v>496</v>
      </c>
      <c r="K48" s="386">
        <v>196441</v>
      </c>
      <c r="L48" s="386" t="s">
        <v>36</v>
      </c>
      <c r="M48" s="386" t="s">
        <v>123</v>
      </c>
      <c r="N48" s="85">
        <v>93.239519999999999</v>
      </c>
      <c r="O48" s="85">
        <v>20.61692</v>
      </c>
      <c r="P48" s="386"/>
      <c r="Q48" s="313">
        <v>10</v>
      </c>
      <c r="R48" s="641">
        <v>64</v>
      </c>
      <c r="S48" s="314">
        <v>6.4</v>
      </c>
      <c r="T48" s="386" t="s">
        <v>351</v>
      </c>
      <c r="U48" s="386"/>
      <c r="V48" s="386" t="s">
        <v>1024</v>
      </c>
      <c r="W48" s="388" t="s">
        <v>897</v>
      </c>
      <c r="X48" s="386"/>
      <c r="Y48" s="386" t="s">
        <v>679</v>
      </c>
      <c r="Z48" s="789" t="s">
        <v>785</v>
      </c>
      <c r="AA48" s="789" t="str">
        <f>CONCATENATE(Camp_List[[#This Row],[Ethnicity]],"-",Camp_List[[#This Row],[Religion]])</f>
        <v>Maramargyi-Buddhist</v>
      </c>
      <c r="AB48" s="386"/>
      <c r="AC48" s="386"/>
      <c r="AD48" s="386" t="s">
        <v>514</v>
      </c>
      <c r="AE48" s="386" t="s">
        <v>530</v>
      </c>
      <c r="AF48" s="315">
        <v>42447</v>
      </c>
      <c r="AG48" s="386" t="s">
        <v>1014</v>
      </c>
      <c r="AH48" s="85" t="str">
        <f>IFERROR(VLOOKUP(Camp_List[[#This Row],[Responsible Agency]],Organization_t[],3,0),"")</f>
        <v/>
      </c>
      <c r="AI48" s="654">
        <f ca="1">IF((SUMIFS(Data_Shelter_t[Coverage],Data_Shelter_t[Pcode],Camp_List[[#This Row],[P_Code]]))&gt;1,1,SUMIFS(Data_Shelter_t[Coverage],Data_Shelter_t[Pcode],Camp_List[[#This Row],[P_Code]]))</f>
        <v>1</v>
      </c>
      <c r="BL48" s="21"/>
      <c r="BM48" s="21"/>
      <c r="BO48" s="79"/>
      <c r="BP48" s="79"/>
    </row>
    <row r="49" spans="1:68" ht="13.5" customHeight="1">
      <c r="A49" s="784" t="s">
        <v>1012</v>
      </c>
      <c r="B49" s="386" t="s">
        <v>7</v>
      </c>
      <c r="C49" s="386" t="s">
        <v>360</v>
      </c>
      <c r="D49" s="386" t="s">
        <v>19</v>
      </c>
      <c r="E49" s="386" t="s">
        <v>622</v>
      </c>
      <c r="F49" s="386" t="s">
        <v>12</v>
      </c>
      <c r="G49" s="386" t="s">
        <v>374</v>
      </c>
      <c r="H49" s="387" t="s">
        <v>643</v>
      </c>
      <c r="I49" s="386" t="s">
        <v>644</v>
      </c>
      <c r="J49" s="386" t="s">
        <v>645</v>
      </c>
      <c r="K49" s="386">
        <v>196501</v>
      </c>
      <c r="L49" s="386" t="s">
        <v>645</v>
      </c>
      <c r="M49" s="386" t="s">
        <v>646</v>
      </c>
      <c r="N49" s="85">
        <v>93.246863000000005</v>
      </c>
      <c r="O49" s="85">
        <v>20.495086000000001</v>
      </c>
      <c r="P49" s="386"/>
      <c r="Q49" s="313">
        <v>31</v>
      </c>
      <c r="R49" s="641">
        <v>131</v>
      </c>
      <c r="S49" s="314">
        <v>4.225806451612903</v>
      </c>
      <c r="T49" s="386" t="s">
        <v>351</v>
      </c>
      <c r="U49" s="386"/>
      <c r="V49" s="386" t="s">
        <v>1024</v>
      </c>
      <c r="W49" s="388" t="s">
        <v>897</v>
      </c>
      <c r="X49" s="386"/>
      <c r="Y49" s="386" t="s">
        <v>7</v>
      </c>
      <c r="Z49" s="386" t="s">
        <v>785</v>
      </c>
      <c r="AA49" s="386" t="str">
        <f>CONCATENATE(Camp_List[[#This Row],[Ethnicity]],"-",Camp_List[[#This Row],[Religion]])</f>
        <v>Rakhine-Buddhist</v>
      </c>
      <c r="AB49" s="386"/>
      <c r="AC49" s="386"/>
      <c r="AD49" s="386" t="s">
        <v>514</v>
      </c>
      <c r="AE49" s="386" t="s">
        <v>530</v>
      </c>
      <c r="AF49" s="315">
        <v>42447</v>
      </c>
      <c r="AG49" s="386" t="s">
        <v>1014</v>
      </c>
      <c r="AH49" s="85" t="str">
        <f>IFERROR(VLOOKUP(Camp_List[[#This Row],[Responsible Agency]],Organization_t[],3,0),"")</f>
        <v/>
      </c>
      <c r="AI49" s="654">
        <f ca="1">IF((SUMIFS(Data_Shelter_t[Coverage],Data_Shelter_t[Pcode],Camp_List[[#This Row],[P_Code]]))&gt;1,1,SUMIFS(Data_Shelter_t[Coverage],Data_Shelter_t[Pcode],Camp_List[[#This Row],[P_Code]]))</f>
        <v>1</v>
      </c>
      <c r="BL49" s="21"/>
      <c r="BM49" s="21"/>
      <c r="BO49" s="79"/>
      <c r="BP49" s="79"/>
    </row>
    <row r="50" spans="1:68" ht="13.5" customHeight="1">
      <c r="A50" s="785" t="s">
        <v>1012</v>
      </c>
      <c r="B50" s="609" t="s">
        <v>7</v>
      </c>
      <c r="C50" s="609" t="s">
        <v>360</v>
      </c>
      <c r="D50" s="609" t="s">
        <v>19</v>
      </c>
      <c r="E50" s="609" t="s">
        <v>622</v>
      </c>
      <c r="F50" s="609" t="s">
        <v>14</v>
      </c>
      <c r="G50" s="609" t="s">
        <v>381</v>
      </c>
      <c r="H50" s="386" t="s">
        <v>522</v>
      </c>
      <c r="I50" s="386" t="s">
        <v>588</v>
      </c>
      <c r="J50" s="386" t="s">
        <v>500</v>
      </c>
      <c r="K50" s="386" t="s">
        <v>501</v>
      </c>
      <c r="L50" s="386" t="s">
        <v>39</v>
      </c>
      <c r="M50" s="386" t="s">
        <v>126</v>
      </c>
      <c r="N50" s="85">
        <v>93.067891000000003</v>
      </c>
      <c r="O50" s="85">
        <v>20.173468</v>
      </c>
      <c r="P50" s="386"/>
      <c r="Q50" s="313">
        <v>21</v>
      </c>
      <c r="R50" s="641">
        <v>122</v>
      </c>
      <c r="S50" s="314">
        <v>5.8095238095238093</v>
      </c>
      <c r="T50" s="386" t="s">
        <v>351</v>
      </c>
      <c r="U50" s="386"/>
      <c r="V50" s="386" t="s">
        <v>1024</v>
      </c>
      <c r="W50" s="388"/>
      <c r="X50" s="386"/>
      <c r="Y50" s="386" t="s">
        <v>7</v>
      </c>
      <c r="Z50" s="386" t="s">
        <v>785</v>
      </c>
      <c r="AA50" s="386" t="str">
        <f>CONCATENATE(Camp_List[[#This Row],[Ethnicity]],"-",Camp_List[[#This Row],[Religion]])</f>
        <v>Rakhine-Buddhist</v>
      </c>
      <c r="AB50" s="386"/>
      <c r="AC50" s="386"/>
      <c r="AD50" s="386" t="s">
        <v>912</v>
      </c>
      <c r="AE50" s="386" t="s">
        <v>913</v>
      </c>
      <c r="AF50" s="315">
        <v>42447</v>
      </c>
      <c r="AG50" s="386" t="s">
        <v>1031</v>
      </c>
      <c r="AH50" s="85" t="str">
        <f>IFERROR(VLOOKUP(Camp_List[[#This Row],[Responsible Agency]],Organization_t[],3,0),"")</f>
        <v/>
      </c>
      <c r="AI50" s="654">
        <f ca="1">IF((SUMIFS(Data_Shelter_t[Coverage],Data_Shelter_t[Pcode],Camp_List[[#This Row],[P_Code]]))&gt;1,1,SUMIFS(Data_Shelter_t[Coverage],Data_Shelter_t[Pcode],Camp_List[[#This Row],[P_Code]]))</f>
        <v>1</v>
      </c>
      <c r="BL50" s="21"/>
      <c r="BM50" s="21"/>
      <c r="BO50" s="79"/>
      <c r="BP50" s="79"/>
    </row>
    <row r="51" spans="1:68" ht="13.5" customHeight="1">
      <c r="A51" s="784" t="s">
        <v>1012</v>
      </c>
      <c r="B51" s="386" t="s">
        <v>7</v>
      </c>
      <c r="C51" s="386" t="s">
        <v>360</v>
      </c>
      <c r="D51" s="386" t="s">
        <v>19</v>
      </c>
      <c r="E51" s="386" t="s">
        <v>622</v>
      </c>
      <c r="F51" s="386" t="s">
        <v>14</v>
      </c>
      <c r="G51" s="386" t="s">
        <v>381</v>
      </c>
      <c r="H51" s="386" t="s">
        <v>384</v>
      </c>
      <c r="I51" s="386" t="s">
        <v>383</v>
      </c>
      <c r="J51" s="386" t="s">
        <v>497</v>
      </c>
      <c r="K51" s="386" t="s">
        <v>1029</v>
      </c>
      <c r="L51" s="386" t="s">
        <v>41</v>
      </c>
      <c r="M51" s="386" t="s">
        <v>128</v>
      </c>
      <c r="N51" s="85">
        <v>93.154551999999995</v>
      </c>
      <c r="O51" s="85">
        <v>20.073437999999999</v>
      </c>
      <c r="P51" s="386"/>
      <c r="Q51" s="793">
        <v>891</v>
      </c>
      <c r="R51" s="797">
        <v>4170</v>
      </c>
      <c r="S51" s="801">
        <v>4.7418321588725201</v>
      </c>
      <c r="T51" s="386" t="s">
        <v>351</v>
      </c>
      <c r="U51" s="386"/>
      <c r="V51" s="802" t="s">
        <v>1024</v>
      </c>
      <c r="W51" s="803"/>
      <c r="X51" s="386"/>
      <c r="Y51" s="386"/>
      <c r="Z51" s="386" t="s">
        <v>678</v>
      </c>
      <c r="AA51" s="386" t="str">
        <f>CONCATENATE(Camp_List[[#This Row],[Ethnicity]],"-",Camp_List[[#This Row],[Religion]])</f>
        <v>-Muslim</v>
      </c>
      <c r="AB51" s="386"/>
      <c r="AC51" s="806"/>
      <c r="AD51" s="386" t="s">
        <v>912</v>
      </c>
      <c r="AE51" s="386" t="s">
        <v>913</v>
      </c>
      <c r="AF51" s="315">
        <v>42471</v>
      </c>
      <c r="AG51" s="808" t="s">
        <v>1048</v>
      </c>
      <c r="AH51" s="804" t="str">
        <f>IFERROR(VLOOKUP(Camp_List[[#This Row],[Responsible Agency]],Organization_t[],3,0),"")</f>
        <v/>
      </c>
      <c r="AI51" s="813">
        <f ca="1">IF((SUMIFS(Data_Shelter_t[Coverage],Data_Shelter_t[Pcode],Camp_List[[#This Row],[P_Code]]))&gt;1,1,SUMIFS(Data_Shelter_t[Coverage],Data_Shelter_t[Pcode],Camp_List[[#This Row],[P_Code]]))</f>
        <v>1</v>
      </c>
      <c r="BL51" s="21"/>
      <c r="BM51" s="21"/>
      <c r="BO51" s="79"/>
      <c r="BP51" s="79"/>
    </row>
    <row r="52" spans="1:68" ht="13.5" customHeight="1">
      <c r="A52" s="784" t="s">
        <v>1012</v>
      </c>
      <c r="B52" s="386" t="s">
        <v>7</v>
      </c>
      <c r="C52" s="386" t="s">
        <v>360</v>
      </c>
      <c r="D52" s="386" t="s">
        <v>19</v>
      </c>
      <c r="E52" s="386" t="s">
        <v>622</v>
      </c>
      <c r="F52" s="386" t="s">
        <v>15</v>
      </c>
      <c r="G52" s="386" t="s">
        <v>390</v>
      </c>
      <c r="H52" s="386" t="s">
        <v>394</v>
      </c>
      <c r="I52" s="386" t="s">
        <v>393</v>
      </c>
      <c r="J52" s="386" t="s">
        <v>484</v>
      </c>
      <c r="K52" s="386">
        <v>196838</v>
      </c>
      <c r="L52" s="386" t="s">
        <v>54</v>
      </c>
      <c r="M52" s="386" t="s">
        <v>141</v>
      </c>
      <c r="N52" s="85">
        <v>93.006497999999993</v>
      </c>
      <c r="O52" s="85">
        <v>20.886997999999998</v>
      </c>
      <c r="P52" s="386"/>
      <c r="Q52" s="793">
        <v>97</v>
      </c>
      <c r="R52" s="797">
        <v>557</v>
      </c>
      <c r="S52" s="801">
        <v>5.9381443298969074</v>
      </c>
      <c r="T52" s="386" t="s">
        <v>351</v>
      </c>
      <c r="U52" s="386"/>
      <c r="V52" s="802" t="s">
        <v>1024</v>
      </c>
      <c r="W52" s="803" t="s">
        <v>896</v>
      </c>
      <c r="X52" s="386"/>
      <c r="Y52" s="386"/>
      <c r="Z52" s="386" t="s">
        <v>678</v>
      </c>
      <c r="AA52" s="386" t="str">
        <f>CONCATENATE(Camp_List[[#This Row],[Ethnicity]],"-",Camp_List[[#This Row],[Religion]])</f>
        <v>-Muslim</v>
      </c>
      <c r="AB52" s="386"/>
      <c r="AC52" s="806"/>
      <c r="AD52" s="386" t="s">
        <v>514</v>
      </c>
      <c r="AE52" s="386" t="s">
        <v>961</v>
      </c>
      <c r="AF52" s="315">
        <v>42447</v>
      </c>
      <c r="AG52" s="808" t="s">
        <v>1014</v>
      </c>
      <c r="AH52" s="804" t="str">
        <f>IFERROR(VLOOKUP(Camp_List[[#This Row],[Responsible Agency]],Organization_t[],3,0),"")</f>
        <v/>
      </c>
      <c r="AI52" s="813">
        <f ca="1">IF((SUMIFS(Data_Shelter_t[Coverage],Data_Shelter_t[Pcode],Camp_List[[#This Row],[P_Code]]))&gt;1,1,SUMIFS(Data_Shelter_t[Coverage],Data_Shelter_t[Pcode],Camp_List[[#This Row],[P_Code]]))</f>
        <v>0.82474226804123707</v>
      </c>
      <c r="BL52" s="21"/>
      <c r="BM52" s="21"/>
      <c r="BO52" s="79"/>
      <c r="BP52" s="79"/>
    </row>
    <row r="53" spans="1:68" ht="15" customHeight="1">
      <c r="A53" s="786" t="s">
        <v>1025</v>
      </c>
      <c r="B53" s="386" t="s">
        <v>7</v>
      </c>
      <c r="C53" s="386" t="s">
        <v>360</v>
      </c>
      <c r="D53" s="386" t="s">
        <v>19</v>
      </c>
      <c r="E53" s="386" t="s">
        <v>622</v>
      </c>
      <c r="F53" s="386" t="s">
        <v>11</v>
      </c>
      <c r="G53" s="386" t="s">
        <v>361</v>
      </c>
      <c r="H53" s="386" t="s">
        <v>570</v>
      </c>
      <c r="I53" s="386" t="s">
        <v>571</v>
      </c>
      <c r="J53" s="386" t="s">
        <v>572</v>
      </c>
      <c r="K53" s="386">
        <v>197023</v>
      </c>
      <c r="L53" s="386" t="s">
        <v>573</v>
      </c>
      <c r="M53" s="386" t="s">
        <v>574</v>
      </c>
      <c r="N53" s="85">
        <v>93.314695</v>
      </c>
      <c r="O53" s="85">
        <v>20.409645000000001</v>
      </c>
      <c r="P53" s="386"/>
      <c r="Q53" s="313">
        <v>17</v>
      </c>
      <c r="R53" s="641">
        <v>72</v>
      </c>
      <c r="S53" s="314">
        <v>4</v>
      </c>
      <c r="T53" s="386" t="s">
        <v>351</v>
      </c>
      <c r="U53" s="386"/>
      <c r="V53" s="386" t="s">
        <v>1024</v>
      </c>
      <c r="W53" s="388" t="s">
        <v>897</v>
      </c>
      <c r="X53" s="386"/>
      <c r="Y53" s="789" t="s">
        <v>7</v>
      </c>
      <c r="Z53" s="789" t="s">
        <v>785</v>
      </c>
      <c r="AA53" s="789" t="str">
        <f>CONCATENATE(Camp_List[[#This Row],[Ethnicity]],"-",Camp_List[[#This Row],[Religion]])</f>
        <v>Rakhine-Buddhist</v>
      </c>
      <c r="AB53" s="386"/>
      <c r="AC53" s="386"/>
      <c r="AD53" s="386" t="s">
        <v>514</v>
      </c>
      <c r="AE53" s="386" t="s">
        <v>530</v>
      </c>
      <c r="AF53" s="315">
        <v>42447</v>
      </c>
      <c r="AG53" s="386" t="s">
        <v>1027</v>
      </c>
      <c r="AH53" s="85" t="str">
        <f>IFERROR(VLOOKUP(Camp_List[[#This Row],[Responsible Agency]],Organization_t[],3,0),"")</f>
        <v/>
      </c>
      <c r="AI53" s="654">
        <f ca="1">IF((SUMIFS(Data_Shelter_t[Coverage],Data_Shelter_t[Pcode],Camp_List[[#This Row],[P_Code]]))&gt;1,1,SUMIFS(Data_Shelter_t[Coverage],Data_Shelter_t[Pcode],Camp_List[[#This Row],[P_Code]]))</f>
        <v>1</v>
      </c>
      <c r="BL53" s="21"/>
      <c r="BM53" s="21"/>
      <c r="BO53" s="79"/>
      <c r="BP53" s="79"/>
    </row>
    <row r="54" spans="1:68" ht="15" customHeight="1">
      <c r="A54" s="786" t="s">
        <v>1025</v>
      </c>
      <c r="B54" s="386" t="s">
        <v>7</v>
      </c>
      <c r="C54" s="386" t="s">
        <v>360</v>
      </c>
      <c r="D54" s="386" t="s">
        <v>19</v>
      </c>
      <c r="E54" s="386" t="s">
        <v>622</v>
      </c>
      <c r="F54" s="386" t="s">
        <v>15</v>
      </c>
      <c r="G54" s="386" t="s">
        <v>390</v>
      </c>
      <c r="H54" s="386" t="s">
        <v>397</v>
      </c>
      <c r="I54" s="386" t="s">
        <v>396</v>
      </c>
      <c r="J54" s="386" t="s">
        <v>397</v>
      </c>
      <c r="K54" s="386">
        <v>196946</v>
      </c>
      <c r="L54" s="386" t="s">
        <v>48</v>
      </c>
      <c r="M54" s="386" t="s">
        <v>135</v>
      </c>
      <c r="N54" s="85">
        <v>92.961841000000007</v>
      </c>
      <c r="O54" s="85">
        <v>20.720213000000001</v>
      </c>
      <c r="P54" s="386"/>
      <c r="Q54" s="793">
        <v>92</v>
      </c>
      <c r="R54" s="797">
        <v>559</v>
      </c>
      <c r="S54" s="801">
        <v>6.0760869565217392</v>
      </c>
      <c r="T54" s="386" t="s">
        <v>351</v>
      </c>
      <c r="U54" s="386"/>
      <c r="V54" s="802" t="s">
        <v>1024</v>
      </c>
      <c r="W54" s="803" t="s">
        <v>896</v>
      </c>
      <c r="X54" s="386"/>
      <c r="Y54" s="386"/>
      <c r="Z54" s="386" t="s">
        <v>678</v>
      </c>
      <c r="AA54" s="804" t="str">
        <f>CONCATENATE(Camp_List[[#This Row],[Ethnicity]],"-",Camp_List[[#This Row],[Religion]])</f>
        <v>-Muslim</v>
      </c>
      <c r="AB54" s="386"/>
      <c r="AC54" s="806"/>
      <c r="AD54" s="386" t="s">
        <v>514</v>
      </c>
      <c r="AE54" s="386" t="s">
        <v>961</v>
      </c>
      <c r="AF54" s="315">
        <v>42447</v>
      </c>
      <c r="AG54" s="808" t="s">
        <v>1027</v>
      </c>
      <c r="AH54" s="804" t="str">
        <f>IFERROR(VLOOKUP(Camp_List[[#This Row],[Responsible Agency]],Organization_t[],3,0),"")</f>
        <v/>
      </c>
      <c r="AI54" s="813">
        <f ca="1">IF((SUMIFS(Data_Shelter_t[Coverage],Data_Shelter_t[Pcode],Camp_List[[#This Row],[P_Code]]))&gt;1,1,SUMIFS(Data_Shelter_t[Coverage],Data_Shelter_t[Pcode],Camp_List[[#This Row],[P_Code]]))</f>
        <v>1</v>
      </c>
      <c r="BL54" s="21"/>
      <c r="BM54" s="21"/>
      <c r="BO54" s="79"/>
      <c r="BP54" s="79"/>
    </row>
    <row r="55" spans="1:68" ht="15" customHeight="1">
      <c r="A55" s="786" t="s">
        <v>1025</v>
      </c>
      <c r="B55" s="386" t="s">
        <v>7</v>
      </c>
      <c r="C55" s="386" t="s">
        <v>360</v>
      </c>
      <c r="D55" s="386" t="s">
        <v>19</v>
      </c>
      <c r="E55" s="386" t="s">
        <v>622</v>
      </c>
      <c r="F55" s="386" t="s">
        <v>16</v>
      </c>
      <c r="G55" s="386" t="s">
        <v>407</v>
      </c>
      <c r="H55" s="386" t="s">
        <v>56</v>
      </c>
      <c r="I55" s="386" t="s">
        <v>412</v>
      </c>
      <c r="J55" s="386" t="s">
        <v>56</v>
      </c>
      <c r="K55" s="386">
        <v>197763</v>
      </c>
      <c r="L55" s="386" t="s">
        <v>56</v>
      </c>
      <c r="M55" s="386" t="s">
        <v>143</v>
      </c>
      <c r="N55" s="85">
        <v>92.781294000000003</v>
      </c>
      <c r="O55" s="85">
        <v>20.399269</v>
      </c>
      <c r="P55" s="386"/>
      <c r="Q55" s="793">
        <v>32</v>
      </c>
      <c r="R55" s="797">
        <v>157</v>
      </c>
      <c r="S55" s="801">
        <v>5.21875</v>
      </c>
      <c r="T55" s="386" t="s">
        <v>351</v>
      </c>
      <c r="U55" s="386"/>
      <c r="V55" s="802" t="s">
        <v>1024</v>
      </c>
      <c r="W55" s="803"/>
      <c r="X55" s="386"/>
      <c r="Y55" s="386"/>
      <c r="Z55" s="386" t="s">
        <v>678</v>
      </c>
      <c r="AA55" s="804" t="str">
        <f>CONCATENATE(Camp_List[[#This Row],[Ethnicity]],"-",Camp_List[[#This Row],[Religion]])</f>
        <v>-Muslim</v>
      </c>
      <c r="AB55" s="386"/>
      <c r="AC55" s="806"/>
      <c r="AD55" s="386" t="s">
        <v>514</v>
      </c>
      <c r="AE55" s="386" t="s">
        <v>530</v>
      </c>
      <c r="AF55" s="315">
        <v>42447</v>
      </c>
      <c r="AG55" s="808" t="s">
        <v>1027</v>
      </c>
      <c r="AH55" s="804" t="str">
        <f>IFERROR(VLOOKUP(Camp_List[[#This Row],[Responsible Agency]],Organization_t[],3,0),"")</f>
        <v/>
      </c>
      <c r="AI55" s="813">
        <f ca="1">IF((SUMIFS(Data_Shelter_t[Coverage],Data_Shelter_t[Pcode],Camp_List[[#This Row],[P_Code]]))&gt;1,1,SUMIFS(Data_Shelter_t[Coverage],Data_Shelter_t[Pcode],Camp_List[[#This Row],[P_Code]]))</f>
        <v>1</v>
      </c>
      <c r="BL55" s="21"/>
      <c r="BM55" s="21"/>
      <c r="BO55" s="79"/>
      <c r="BP55" s="79"/>
    </row>
    <row r="56" spans="1:68" ht="15" customHeight="1">
      <c r="A56" s="786" t="s">
        <v>1025</v>
      </c>
      <c r="B56" s="386" t="s">
        <v>7</v>
      </c>
      <c r="C56" s="386" t="s">
        <v>360</v>
      </c>
      <c r="D56" s="386" t="s">
        <v>19</v>
      </c>
      <c r="E56" s="386" t="s">
        <v>622</v>
      </c>
      <c r="F56" s="386" t="s">
        <v>16</v>
      </c>
      <c r="G56" s="386" t="s">
        <v>407</v>
      </c>
      <c r="H56" s="386" t="s">
        <v>55</v>
      </c>
      <c r="I56" s="386" t="s">
        <v>413</v>
      </c>
      <c r="J56" s="386" t="s">
        <v>503</v>
      </c>
      <c r="K56" s="386">
        <v>197780</v>
      </c>
      <c r="L56" s="386" t="s">
        <v>55</v>
      </c>
      <c r="M56" s="386" t="s">
        <v>142</v>
      </c>
      <c r="N56" s="85">
        <v>92.785706000000005</v>
      </c>
      <c r="O56" s="85">
        <v>20.335864000000001</v>
      </c>
      <c r="P56" s="386"/>
      <c r="Q56" s="793">
        <v>54</v>
      </c>
      <c r="R56" s="797">
        <v>332</v>
      </c>
      <c r="S56" s="801">
        <v>6.2857142857142856</v>
      </c>
      <c r="T56" s="386" t="s">
        <v>351</v>
      </c>
      <c r="U56" s="386"/>
      <c r="V56" s="802" t="s">
        <v>1024</v>
      </c>
      <c r="W56" s="803"/>
      <c r="X56" s="386"/>
      <c r="Y56" s="386"/>
      <c r="Z56" s="386" t="s">
        <v>678</v>
      </c>
      <c r="AA56" s="804" t="str">
        <f>CONCATENATE(Camp_List[[#This Row],[Ethnicity]],"-",Camp_List[[#This Row],[Religion]])</f>
        <v>-Muslim</v>
      </c>
      <c r="AB56" s="386"/>
      <c r="AC56" s="806"/>
      <c r="AD56" s="386" t="s">
        <v>514</v>
      </c>
      <c r="AE56" s="386" t="s">
        <v>530</v>
      </c>
      <c r="AF56" s="315">
        <v>42447</v>
      </c>
      <c r="AG56" s="808" t="s">
        <v>1027</v>
      </c>
      <c r="AH56" s="804" t="str">
        <f>IFERROR(VLOOKUP(Camp_List[[#This Row],[Responsible Agency]],Organization_t[],3,0),"")</f>
        <v/>
      </c>
      <c r="AI56" s="813">
        <f ca="1">IF((SUMIFS(Data_Shelter_t[Coverage],Data_Shelter_t[Pcode],Camp_List[[#This Row],[P_Code]]))&gt;1,1,SUMIFS(Data_Shelter_t[Coverage],Data_Shelter_t[Pcode],Camp_List[[#This Row],[P_Code]]))</f>
        <v>1</v>
      </c>
      <c r="BL56" s="21"/>
      <c r="BM56" s="21"/>
      <c r="BO56" s="79"/>
      <c r="BP56" s="79"/>
    </row>
    <row r="57" spans="1:68" ht="15" customHeight="1">
      <c r="A57" s="786" t="s">
        <v>1025</v>
      </c>
      <c r="B57" s="386" t="s">
        <v>7</v>
      </c>
      <c r="C57" s="386" t="s">
        <v>360</v>
      </c>
      <c r="D57" s="386" t="s">
        <v>19</v>
      </c>
      <c r="E57" s="386" t="s">
        <v>622</v>
      </c>
      <c r="F57" s="386" t="s">
        <v>12</v>
      </c>
      <c r="G57" s="386" t="s">
        <v>374</v>
      </c>
      <c r="H57" s="386" t="s">
        <v>377</v>
      </c>
      <c r="I57" s="386" t="s">
        <v>378</v>
      </c>
      <c r="J57" s="386" t="s">
        <v>377</v>
      </c>
      <c r="K57" s="386">
        <v>196428</v>
      </c>
      <c r="L57" s="386" t="s">
        <v>33</v>
      </c>
      <c r="M57" s="386" t="s">
        <v>120</v>
      </c>
      <c r="N57" s="85">
        <v>93.245551000000006</v>
      </c>
      <c r="O57" s="85">
        <v>20.576577</v>
      </c>
      <c r="P57" s="386"/>
      <c r="Q57" s="793">
        <v>204</v>
      </c>
      <c r="R57" s="797">
        <v>1265</v>
      </c>
      <c r="S57" s="801">
        <v>5.5245098039215685</v>
      </c>
      <c r="T57" s="386" t="s">
        <v>351</v>
      </c>
      <c r="U57" s="386"/>
      <c r="V57" s="802" t="s">
        <v>1024</v>
      </c>
      <c r="W57" s="803" t="s">
        <v>896</v>
      </c>
      <c r="X57" s="386"/>
      <c r="Y57" s="386"/>
      <c r="Z57" s="386" t="s">
        <v>678</v>
      </c>
      <c r="AA57" s="804" t="str">
        <f>CONCATENATE(Camp_List[[#This Row],[Ethnicity]],"-",Camp_List[[#This Row],[Religion]])</f>
        <v>-Muslim</v>
      </c>
      <c r="AB57" s="386"/>
      <c r="AC57" s="806"/>
      <c r="AD57" s="386" t="s">
        <v>514</v>
      </c>
      <c r="AE57" s="386" t="s">
        <v>961</v>
      </c>
      <c r="AF57" s="315">
        <v>42447</v>
      </c>
      <c r="AG57" s="808" t="s">
        <v>1027</v>
      </c>
      <c r="AH57" s="804" t="str">
        <f>IFERROR(VLOOKUP(Camp_List[[#This Row],[Responsible Agency]],Organization_t[],3,0),"")</f>
        <v/>
      </c>
      <c r="AI57" s="813">
        <f ca="1">IF((SUMIFS(Data_Shelter_t[Coverage],Data_Shelter_t[Pcode],Camp_List[[#This Row],[P_Code]]))&gt;1,1,SUMIFS(Data_Shelter_t[Coverage],Data_Shelter_t[Pcode],Camp_List[[#This Row],[P_Code]]))</f>
        <v>1</v>
      </c>
      <c r="BL57" s="21"/>
      <c r="BM57" s="21"/>
      <c r="BO57" s="79"/>
      <c r="BP57" s="79"/>
    </row>
    <row r="58" spans="1:68" ht="15" customHeight="1">
      <c r="A58" s="786" t="s">
        <v>1025</v>
      </c>
      <c r="B58" s="386" t="s">
        <v>7</v>
      </c>
      <c r="C58" s="386" t="s">
        <v>360</v>
      </c>
      <c r="D58" s="386" t="s">
        <v>19</v>
      </c>
      <c r="E58" s="386" t="s">
        <v>622</v>
      </c>
      <c r="F58" s="386" t="s">
        <v>12</v>
      </c>
      <c r="G58" s="386" t="s">
        <v>374</v>
      </c>
      <c r="H58" s="386" t="s">
        <v>376</v>
      </c>
      <c r="I58" s="386" t="s">
        <v>375</v>
      </c>
      <c r="J58" s="386" t="s">
        <v>376</v>
      </c>
      <c r="K58" s="386">
        <v>196507</v>
      </c>
      <c r="L58" s="386" t="s">
        <v>34</v>
      </c>
      <c r="M58" s="386" t="s">
        <v>121</v>
      </c>
      <c r="N58" s="85">
        <v>93.217039999999997</v>
      </c>
      <c r="O58" s="85">
        <v>20.501757999999999</v>
      </c>
      <c r="P58" s="386"/>
      <c r="Q58" s="793">
        <v>365</v>
      </c>
      <c r="R58" s="797">
        <v>2366</v>
      </c>
      <c r="S58" s="801">
        <v>6.4821917808219176</v>
      </c>
      <c r="T58" s="386" t="s">
        <v>351</v>
      </c>
      <c r="U58" s="386"/>
      <c r="V58" s="802" t="s">
        <v>1024</v>
      </c>
      <c r="W58" s="803" t="s">
        <v>896</v>
      </c>
      <c r="X58" s="386"/>
      <c r="Y58" s="386"/>
      <c r="Z58" s="386" t="s">
        <v>678</v>
      </c>
      <c r="AA58" s="804" t="str">
        <f>CONCATENATE(Camp_List[[#This Row],[Ethnicity]],"-",Camp_List[[#This Row],[Religion]])</f>
        <v>-Muslim</v>
      </c>
      <c r="AB58" s="386"/>
      <c r="AC58" s="806"/>
      <c r="AD58" s="386" t="s">
        <v>514</v>
      </c>
      <c r="AE58" s="386" t="s">
        <v>961</v>
      </c>
      <c r="AF58" s="315">
        <v>42447</v>
      </c>
      <c r="AG58" s="808" t="s">
        <v>1027</v>
      </c>
      <c r="AH58" s="804" t="str">
        <f>IFERROR(VLOOKUP(Camp_List[[#This Row],[Responsible Agency]],Organization_t[],3,0),"")</f>
        <v/>
      </c>
      <c r="AI58" s="813">
        <f ca="1">IF((SUMIFS(Data_Shelter_t[Coverage],Data_Shelter_t[Pcode],Camp_List[[#This Row],[P_Code]]))&gt;1,1,SUMIFS(Data_Shelter_t[Coverage],Data_Shelter_t[Pcode],Camp_List[[#This Row],[P_Code]]))</f>
        <v>1</v>
      </c>
      <c r="BL58" s="21"/>
      <c r="BM58" s="21"/>
      <c r="BO58" s="79"/>
      <c r="BP58" s="79"/>
    </row>
    <row r="59" spans="1:68" ht="15" customHeight="1">
      <c r="A59" s="786" t="s">
        <v>1025</v>
      </c>
      <c r="B59" s="386" t="s">
        <v>7</v>
      </c>
      <c r="C59" s="386" t="s">
        <v>360</v>
      </c>
      <c r="D59" s="386" t="s">
        <v>19</v>
      </c>
      <c r="E59" s="386" t="s">
        <v>622</v>
      </c>
      <c r="F59" s="386" t="s">
        <v>11</v>
      </c>
      <c r="G59" s="386" t="s">
        <v>361</v>
      </c>
      <c r="H59" s="386" t="s">
        <v>371</v>
      </c>
      <c r="I59" s="386" t="s">
        <v>370</v>
      </c>
      <c r="J59" s="386" t="s">
        <v>30</v>
      </c>
      <c r="K59" s="386">
        <v>197150</v>
      </c>
      <c r="L59" s="386" t="s">
        <v>30</v>
      </c>
      <c r="M59" s="386" t="s">
        <v>117</v>
      </c>
      <c r="N59" s="85">
        <v>93.299485000000004</v>
      </c>
      <c r="O59" s="85">
        <v>20.480898</v>
      </c>
      <c r="P59" s="386"/>
      <c r="Q59" s="793">
        <v>86</v>
      </c>
      <c r="R59" s="797">
        <v>444</v>
      </c>
      <c r="S59" s="801">
        <v>5.7674418604651159</v>
      </c>
      <c r="T59" s="386" t="s">
        <v>351</v>
      </c>
      <c r="U59" s="386"/>
      <c r="V59" s="802" t="s">
        <v>1024</v>
      </c>
      <c r="W59" s="803" t="s">
        <v>896</v>
      </c>
      <c r="X59" s="386"/>
      <c r="Y59" s="386"/>
      <c r="Z59" s="386" t="s">
        <v>678</v>
      </c>
      <c r="AA59" s="804" t="str">
        <f>CONCATENATE(Camp_List[[#This Row],[Ethnicity]],"-",Camp_List[[#This Row],[Religion]])</f>
        <v>-Muslim</v>
      </c>
      <c r="AB59" s="386"/>
      <c r="AC59" s="806"/>
      <c r="AD59" s="386" t="s">
        <v>514</v>
      </c>
      <c r="AE59" s="386" t="s">
        <v>961</v>
      </c>
      <c r="AF59" s="315">
        <v>42447</v>
      </c>
      <c r="AG59" s="808" t="s">
        <v>1027</v>
      </c>
      <c r="AH59" s="804" t="str">
        <f>IFERROR(VLOOKUP(Camp_List[[#This Row],[Responsible Agency]],Organization_t[],3,0),"")</f>
        <v/>
      </c>
      <c r="AI59" s="813">
        <f ca="1">IF((SUMIFS(Data_Shelter_t[Coverage],Data_Shelter_t[Pcode],Camp_List[[#This Row],[P_Code]]))&gt;1,1,SUMIFS(Data_Shelter_t[Coverage],Data_Shelter_t[Pcode],Camp_List[[#This Row],[P_Code]]))</f>
        <v>1</v>
      </c>
      <c r="BL59" s="21"/>
      <c r="BM59" s="21"/>
      <c r="BO59" s="79"/>
      <c r="BP59" s="79"/>
    </row>
    <row r="60" spans="1:68" ht="15" customHeight="1">
      <c r="A60" s="786" t="s">
        <v>1025</v>
      </c>
      <c r="B60" s="386" t="s">
        <v>7</v>
      </c>
      <c r="C60" s="386" t="s">
        <v>360</v>
      </c>
      <c r="D60" s="386" t="s">
        <v>19</v>
      </c>
      <c r="E60" s="386" t="s">
        <v>622</v>
      </c>
      <c r="F60" s="386" t="s">
        <v>11</v>
      </c>
      <c r="G60" s="386" t="s">
        <v>361</v>
      </c>
      <c r="H60" s="386" t="s">
        <v>367</v>
      </c>
      <c r="I60" s="386" t="s">
        <v>366</v>
      </c>
      <c r="J60" s="386" t="s">
        <v>367</v>
      </c>
      <c r="K60" s="386">
        <v>196984</v>
      </c>
      <c r="L60" s="386" t="s">
        <v>25</v>
      </c>
      <c r="M60" s="386" t="s">
        <v>112</v>
      </c>
      <c r="N60" s="85">
        <v>93.271642</v>
      </c>
      <c r="O60" s="85">
        <v>20.377523</v>
      </c>
      <c r="P60" s="386"/>
      <c r="Q60" s="793">
        <v>19</v>
      </c>
      <c r="R60" s="797">
        <v>142</v>
      </c>
      <c r="S60" s="801">
        <v>7.4736842105263159</v>
      </c>
      <c r="T60" s="386" t="s">
        <v>351</v>
      </c>
      <c r="U60" s="386"/>
      <c r="V60" s="802" t="s">
        <v>1024</v>
      </c>
      <c r="W60" s="803" t="s">
        <v>896</v>
      </c>
      <c r="X60" s="386"/>
      <c r="Y60" s="386"/>
      <c r="Z60" s="386" t="s">
        <v>678</v>
      </c>
      <c r="AA60" s="804" t="str">
        <f>CONCATENATE(Camp_List[[#This Row],[Ethnicity]],"-",Camp_List[[#This Row],[Religion]])</f>
        <v>-Muslim</v>
      </c>
      <c r="AB60" s="386"/>
      <c r="AC60" s="806"/>
      <c r="AD60" s="386" t="s">
        <v>514</v>
      </c>
      <c r="AE60" s="386" t="s">
        <v>530</v>
      </c>
      <c r="AF60" s="315">
        <v>42447</v>
      </c>
      <c r="AG60" s="808" t="s">
        <v>1027</v>
      </c>
      <c r="AH60" s="804" t="str">
        <f>IFERROR(VLOOKUP(Camp_List[[#This Row],[Responsible Agency]],Organization_t[],3,0),"")</f>
        <v/>
      </c>
      <c r="AI60" s="813">
        <f ca="1">IF((SUMIFS(Data_Shelter_t[Coverage],Data_Shelter_t[Pcode],Camp_List[[#This Row],[P_Code]]))&gt;1,1,SUMIFS(Data_Shelter_t[Coverage],Data_Shelter_t[Pcode],Camp_List[[#This Row],[P_Code]]))</f>
        <v>1</v>
      </c>
      <c r="BL60" s="21"/>
      <c r="BM60" s="21"/>
      <c r="BO60" s="79"/>
      <c r="BP60" s="79"/>
    </row>
    <row r="61" spans="1:68" ht="15" customHeight="1">
      <c r="A61" s="786" t="s">
        <v>1025</v>
      </c>
      <c r="B61" s="386" t="s">
        <v>7</v>
      </c>
      <c r="C61" s="386" t="s">
        <v>360</v>
      </c>
      <c r="D61" s="386" t="s">
        <v>19</v>
      </c>
      <c r="E61" s="386" t="s">
        <v>622</v>
      </c>
      <c r="F61" s="386" t="s">
        <v>11</v>
      </c>
      <c r="G61" s="386" t="s">
        <v>361</v>
      </c>
      <c r="H61" s="386" t="s">
        <v>365</v>
      </c>
      <c r="I61" s="386" t="s">
        <v>364</v>
      </c>
      <c r="J61" s="386" t="s">
        <v>493</v>
      </c>
      <c r="K61" s="386">
        <v>197025</v>
      </c>
      <c r="L61" s="386" t="s">
        <v>32</v>
      </c>
      <c r="M61" s="386" t="s">
        <v>119</v>
      </c>
      <c r="N61" s="85">
        <v>93.313627999999994</v>
      </c>
      <c r="O61" s="85">
        <v>20.407971</v>
      </c>
      <c r="P61" s="386"/>
      <c r="Q61" s="793">
        <v>225</v>
      </c>
      <c r="R61" s="797">
        <v>1377</v>
      </c>
      <c r="S61" s="801">
        <v>5.8577777777777778</v>
      </c>
      <c r="T61" s="386" t="s">
        <v>351</v>
      </c>
      <c r="U61" s="386"/>
      <c r="V61" s="802" t="s">
        <v>1024</v>
      </c>
      <c r="W61" s="803" t="s">
        <v>896</v>
      </c>
      <c r="X61" s="386"/>
      <c r="Y61" s="386"/>
      <c r="Z61" s="386" t="s">
        <v>678</v>
      </c>
      <c r="AA61" s="804" t="str">
        <f>CONCATENATE(Camp_List[[#This Row],[Ethnicity]],"-",Camp_List[[#This Row],[Religion]])</f>
        <v>-Muslim</v>
      </c>
      <c r="AB61" s="386"/>
      <c r="AC61" s="806"/>
      <c r="AD61" s="386" t="s">
        <v>514</v>
      </c>
      <c r="AE61" s="386" t="s">
        <v>961</v>
      </c>
      <c r="AF61" s="315">
        <v>42447</v>
      </c>
      <c r="AG61" s="808" t="s">
        <v>1027</v>
      </c>
      <c r="AH61" s="804" t="str">
        <f>IFERROR(VLOOKUP(Camp_List[[#This Row],[Responsible Agency]],Organization_t[],3,0),"")</f>
        <v/>
      </c>
      <c r="AI61" s="813">
        <f ca="1">IF((SUMIFS(Data_Shelter_t[Coverage],Data_Shelter_t[Pcode],Camp_List[[#This Row],[P_Code]]))&gt;1,1,SUMIFS(Data_Shelter_t[Coverage],Data_Shelter_t[Pcode],Camp_List[[#This Row],[P_Code]]))</f>
        <v>1</v>
      </c>
      <c r="BL61" s="21"/>
      <c r="BM61" s="21"/>
      <c r="BO61" s="79"/>
      <c r="BP61" s="79"/>
    </row>
    <row r="62" spans="1:68" ht="15" customHeight="1">
      <c r="A62" s="786" t="s">
        <v>1025</v>
      </c>
      <c r="B62" s="386" t="s">
        <v>7</v>
      </c>
      <c r="C62" s="386" t="s">
        <v>360</v>
      </c>
      <c r="D62" s="386" t="s">
        <v>19</v>
      </c>
      <c r="E62" s="386" t="s">
        <v>622</v>
      </c>
      <c r="F62" s="386" t="s">
        <v>11</v>
      </c>
      <c r="G62" s="386" t="s">
        <v>361</v>
      </c>
      <c r="H62" s="386" t="s">
        <v>369</v>
      </c>
      <c r="I62" s="386" t="s">
        <v>368</v>
      </c>
      <c r="J62" s="386" t="s">
        <v>27</v>
      </c>
      <c r="K62" s="386">
        <v>196995</v>
      </c>
      <c r="L62" s="386" t="s">
        <v>27</v>
      </c>
      <c r="M62" s="386" t="s">
        <v>114</v>
      </c>
      <c r="N62" s="85">
        <v>93.249669999999995</v>
      </c>
      <c r="O62" s="85">
        <v>20.39902</v>
      </c>
      <c r="P62" s="386"/>
      <c r="Q62" s="793">
        <v>86</v>
      </c>
      <c r="R62" s="797">
        <v>476</v>
      </c>
      <c r="S62" s="801">
        <v>6.058139534883721</v>
      </c>
      <c r="T62" s="386" t="s">
        <v>351</v>
      </c>
      <c r="U62" s="386"/>
      <c r="V62" s="802" t="s">
        <v>1024</v>
      </c>
      <c r="W62" s="803" t="s">
        <v>896</v>
      </c>
      <c r="X62" s="386"/>
      <c r="Y62" s="386"/>
      <c r="Z62" s="386" t="s">
        <v>678</v>
      </c>
      <c r="AA62" s="804" t="str">
        <f>CONCATENATE(Camp_List[[#This Row],[Ethnicity]],"-",Camp_List[[#This Row],[Religion]])</f>
        <v>-Muslim</v>
      </c>
      <c r="AB62" s="386"/>
      <c r="AC62" s="806"/>
      <c r="AD62" s="386" t="s">
        <v>514</v>
      </c>
      <c r="AE62" s="386" t="s">
        <v>961</v>
      </c>
      <c r="AF62" s="315">
        <v>42447</v>
      </c>
      <c r="AG62" s="808" t="s">
        <v>1027</v>
      </c>
      <c r="AH62" s="804" t="str">
        <f>IFERROR(VLOOKUP(Camp_List[[#This Row],[Responsible Agency]],Organization_t[],3,0),"")</f>
        <v/>
      </c>
      <c r="AI62" s="813">
        <f ca="1">IF((SUMIFS(Data_Shelter_t[Coverage],Data_Shelter_t[Pcode],Camp_List[[#This Row],[P_Code]]))&gt;1,1,SUMIFS(Data_Shelter_t[Coverage],Data_Shelter_t[Pcode],Camp_List[[#This Row],[P_Code]]))</f>
        <v>1</v>
      </c>
      <c r="BL62" s="21"/>
      <c r="BM62" s="21"/>
      <c r="BO62" s="79"/>
      <c r="BP62" s="79"/>
    </row>
    <row r="63" spans="1:68" ht="15" customHeight="1">
      <c r="A63" s="786" t="s">
        <v>1025</v>
      </c>
      <c r="B63" s="386" t="s">
        <v>7</v>
      </c>
      <c r="C63" s="386" t="s">
        <v>360</v>
      </c>
      <c r="D63" s="386" t="s">
        <v>19</v>
      </c>
      <c r="E63" s="386" t="s">
        <v>622</v>
      </c>
      <c r="F63" s="386" t="s">
        <v>11</v>
      </c>
      <c r="G63" s="386" t="s">
        <v>361</v>
      </c>
      <c r="H63" s="386" t="s">
        <v>367</v>
      </c>
      <c r="I63" s="386" t="s">
        <v>366</v>
      </c>
      <c r="J63" s="386" t="s">
        <v>494</v>
      </c>
      <c r="K63" s="386">
        <v>196997</v>
      </c>
      <c r="L63" s="386" t="s">
        <v>26</v>
      </c>
      <c r="M63" s="386" t="s">
        <v>113</v>
      </c>
      <c r="N63" s="85">
        <v>93.257272</v>
      </c>
      <c r="O63" s="85">
        <v>20.392137999999999</v>
      </c>
      <c r="P63" s="386"/>
      <c r="Q63" s="793">
        <v>203</v>
      </c>
      <c r="R63" s="797">
        <v>1420</v>
      </c>
      <c r="S63" s="801">
        <v>5.3529411764705879</v>
      </c>
      <c r="T63" s="386" t="s">
        <v>351</v>
      </c>
      <c r="U63" s="386"/>
      <c r="V63" s="802" t="s">
        <v>1024</v>
      </c>
      <c r="W63" s="803" t="s">
        <v>896</v>
      </c>
      <c r="X63" s="386"/>
      <c r="Y63" s="386"/>
      <c r="Z63" s="386" t="s">
        <v>678</v>
      </c>
      <c r="AA63" s="804" t="str">
        <f>CONCATENATE(Camp_List[[#This Row],[Ethnicity]],"-",Camp_List[[#This Row],[Religion]])</f>
        <v>-Muslim</v>
      </c>
      <c r="AB63" s="386"/>
      <c r="AC63" s="806"/>
      <c r="AD63" s="386" t="s">
        <v>514</v>
      </c>
      <c r="AE63" s="386" t="s">
        <v>961</v>
      </c>
      <c r="AF63" s="315">
        <v>42447</v>
      </c>
      <c r="AG63" s="808" t="s">
        <v>1027</v>
      </c>
      <c r="AH63" s="804" t="str">
        <f>IFERROR(VLOOKUP(Camp_List[[#This Row],[Responsible Agency]],Organization_t[],3,0),"")</f>
        <v/>
      </c>
      <c r="AI63" s="813">
        <f ca="1">IF((SUMIFS(Data_Shelter_t[Coverage],Data_Shelter_t[Pcode],Camp_List[[#This Row],[P_Code]]))&gt;1,1,SUMIFS(Data_Shelter_t[Coverage],Data_Shelter_t[Pcode],Camp_List[[#This Row],[P_Code]]))</f>
        <v>1</v>
      </c>
      <c r="BL63" s="21"/>
      <c r="BM63" s="21"/>
      <c r="BO63" s="79"/>
      <c r="BP63" s="79"/>
    </row>
    <row r="64" spans="1:68" ht="15" customHeight="1">
      <c r="A64" s="786" t="s">
        <v>1025</v>
      </c>
      <c r="B64" s="386" t="s">
        <v>7</v>
      </c>
      <c r="C64" s="386" t="s">
        <v>360</v>
      </c>
      <c r="D64" s="386" t="s">
        <v>19</v>
      </c>
      <c r="E64" s="386" t="s">
        <v>622</v>
      </c>
      <c r="F64" s="386" t="s">
        <v>11</v>
      </c>
      <c r="G64" s="386" t="s">
        <v>361</v>
      </c>
      <c r="H64" s="386" t="s">
        <v>363</v>
      </c>
      <c r="I64" s="386" t="s">
        <v>362</v>
      </c>
      <c r="J64" s="386" t="s">
        <v>363</v>
      </c>
      <c r="K64" s="386">
        <v>197062</v>
      </c>
      <c r="L64" s="386" t="s">
        <v>29</v>
      </c>
      <c r="M64" s="386" t="s">
        <v>116</v>
      </c>
      <c r="N64" s="85">
        <v>93.258573999999996</v>
      </c>
      <c r="O64" s="85">
        <v>20.587142</v>
      </c>
      <c r="P64" s="386"/>
      <c r="Q64" s="793">
        <v>275</v>
      </c>
      <c r="R64" s="797">
        <v>1707</v>
      </c>
      <c r="S64" s="801">
        <v>5.9527272727272731</v>
      </c>
      <c r="T64" s="386" t="s">
        <v>351</v>
      </c>
      <c r="U64" s="386"/>
      <c r="V64" s="802" t="s">
        <v>1024</v>
      </c>
      <c r="W64" s="803" t="s">
        <v>896</v>
      </c>
      <c r="X64" s="386"/>
      <c r="Y64" s="386"/>
      <c r="Z64" s="386" t="s">
        <v>678</v>
      </c>
      <c r="AA64" s="804" t="str">
        <f>CONCATENATE(Camp_List[[#This Row],[Ethnicity]],"-",Camp_List[[#This Row],[Religion]])</f>
        <v>-Muslim</v>
      </c>
      <c r="AB64" s="386"/>
      <c r="AC64" s="806"/>
      <c r="AD64" s="386" t="s">
        <v>514</v>
      </c>
      <c r="AE64" s="386" t="s">
        <v>961</v>
      </c>
      <c r="AF64" s="315">
        <v>42447</v>
      </c>
      <c r="AG64" s="808" t="s">
        <v>1027</v>
      </c>
      <c r="AH64" s="804" t="str">
        <f>IFERROR(VLOOKUP(Camp_List[[#This Row],[Responsible Agency]],Organization_t[],3,0),"")</f>
        <v/>
      </c>
      <c r="AI64" s="813">
        <f ca="1">IF((SUMIFS(Data_Shelter_t[Coverage],Data_Shelter_t[Pcode],Camp_List[[#This Row],[P_Code]]))&gt;1,1,SUMIFS(Data_Shelter_t[Coverage],Data_Shelter_t[Pcode],Camp_List[[#This Row],[P_Code]]))</f>
        <v>1</v>
      </c>
      <c r="BL64" s="21"/>
      <c r="BM64" s="21"/>
      <c r="BO64" s="79"/>
      <c r="BP64" s="79"/>
    </row>
    <row r="65" spans="1:68" ht="15" customHeight="1">
      <c r="A65" s="786" t="s">
        <v>1025</v>
      </c>
      <c r="B65" s="386" t="s">
        <v>7</v>
      </c>
      <c r="C65" s="386" t="s">
        <v>360</v>
      </c>
      <c r="D65" s="386" t="s">
        <v>19</v>
      </c>
      <c r="E65" s="386" t="s">
        <v>622</v>
      </c>
      <c r="F65" s="386" t="s">
        <v>15</v>
      </c>
      <c r="G65" s="386" t="s">
        <v>390</v>
      </c>
      <c r="H65" s="386" t="s">
        <v>403</v>
      </c>
      <c r="I65" s="386" t="s">
        <v>402</v>
      </c>
      <c r="J65" s="386" t="s">
        <v>46</v>
      </c>
      <c r="K65" s="386">
        <v>196786</v>
      </c>
      <c r="L65" s="386" t="s">
        <v>46</v>
      </c>
      <c r="M65" s="386" t="s">
        <v>133</v>
      </c>
      <c r="N65" s="85">
        <v>93.003204999999994</v>
      </c>
      <c r="O65" s="85">
        <v>20.921424999999999</v>
      </c>
      <c r="P65" s="386"/>
      <c r="Q65" s="793">
        <v>24</v>
      </c>
      <c r="R65" s="797">
        <v>140</v>
      </c>
      <c r="S65" s="801">
        <v>6.0869565217391308</v>
      </c>
      <c r="T65" s="386" t="s">
        <v>351</v>
      </c>
      <c r="U65" s="386"/>
      <c r="V65" s="802" t="s">
        <v>1024</v>
      </c>
      <c r="W65" s="803" t="s">
        <v>896</v>
      </c>
      <c r="X65" s="386"/>
      <c r="Y65" s="386"/>
      <c r="Z65" s="386" t="s">
        <v>678</v>
      </c>
      <c r="AA65" s="804" t="str">
        <f>CONCATENATE(Camp_List[[#This Row],[Ethnicity]],"-",Camp_List[[#This Row],[Religion]])</f>
        <v>-Muslim</v>
      </c>
      <c r="AB65" s="386"/>
      <c r="AC65" s="806"/>
      <c r="AD65" s="386" t="s">
        <v>514</v>
      </c>
      <c r="AE65" s="386" t="s">
        <v>530</v>
      </c>
      <c r="AF65" s="315">
        <v>42447</v>
      </c>
      <c r="AG65" s="808" t="s">
        <v>1027</v>
      </c>
      <c r="AH65" s="804" t="str">
        <f>IFERROR(VLOOKUP(Camp_List[[#This Row],[Responsible Agency]],Organization_t[],3,0),"")</f>
        <v/>
      </c>
      <c r="AI65" s="813">
        <f ca="1">IF((SUMIFS(Data_Shelter_t[Coverage],Data_Shelter_t[Pcode],Camp_List[[#This Row],[P_Code]]))&gt;1,1,SUMIFS(Data_Shelter_t[Coverage],Data_Shelter_t[Pcode],Camp_List[[#This Row],[P_Code]]))</f>
        <v>1</v>
      </c>
      <c r="BL65" s="21"/>
      <c r="BM65" s="21"/>
      <c r="BO65" s="79"/>
      <c r="BP65" s="79"/>
    </row>
    <row r="66" spans="1:68" ht="15" customHeight="1">
      <c r="A66" s="786" t="s">
        <v>1025</v>
      </c>
      <c r="B66" s="386" t="s">
        <v>7</v>
      </c>
      <c r="C66" s="386" t="s">
        <v>360</v>
      </c>
      <c r="D66" s="386" t="s">
        <v>19</v>
      </c>
      <c r="E66" s="386" t="s">
        <v>622</v>
      </c>
      <c r="F66" s="386" t="s">
        <v>15</v>
      </c>
      <c r="G66" s="386" t="s">
        <v>390</v>
      </c>
      <c r="H66" s="386" t="s">
        <v>49</v>
      </c>
      <c r="I66" s="386" t="s">
        <v>406</v>
      </c>
      <c r="J66" s="386" t="s">
        <v>490</v>
      </c>
      <c r="K66" s="386">
        <v>196842</v>
      </c>
      <c r="L66" s="386" t="s">
        <v>49</v>
      </c>
      <c r="M66" s="386" t="s">
        <v>136</v>
      </c>
      <c r="N66" s="85">
        <v>93.014349999999993</v>
      </c>
      <c r="O66" s="85">
        <v>20.896740000000001</v>
      </c>
      <c r="P66" s="386"/>
      <c r="Q66" s="793">
        <v>14</v>
      </c>
      <c r="R66" s="797">
        <v>84</v>
      </c>
      <c r="S66" s="801">
        <v>6</v>
      </c>
      <c r="T66" s="386" t="s">
        <v>351</v>
      </c>
      <c r="U66" s="386"/>
      <c r="V66" s="802" t="s">
        <v>1024</v>
      </c>
      <c r="W66" s="803" t="s">
        <v>896</v>
      </c>
      <c r="X66" s="386"/>
      <c r="Y66" s="386"/>
      <c r="Z66" s="386" t="s">
        <v>678</v>
      </c>
      <c r="AA66" s="804" t="str">
        <f>CONCATENATE(Camp_List[[#This Row],[Ethnicity]],"-",Camp_List[[#This Row],[Religion]])</f>
        <v>-Muslim</v>
      </c>
      <c r="AB66" s="386"/>
      <c r="AC66" s="806"/>
      <c r="AD66" s="386" t="s">
        <v>514</v>
      </c>
      <c r="AE66" s="386" t="s">
        <v>530</v>
      </c>
      <c r="AF66" s="315">
        <v>42447</v>
      </c>
      <c r="AG66" s="808" t="s">
        <v>1027</v>
      </c>
      <c r="AH66" s="804" t="str">
        <f>IFERROR(VLOOKUP(Camp_List[[#This Row],[Responsible Agency]],Organization_t[],3,0),"")</f>
        <v/>
      </c>
      <c r="AI66" s="813">
        <f ca="1">IF((SUMIFS(Data_Shelter_t[Coverage],Data_Shelter_t[Pcode],Camp_List[[#This Row],[P_Code]]))&gt;1,1,SUMIFS(Data_Shelter_t[Coverage],Data_Shelter_t[Pcode],Camp_List[[#This Row],[P_Code]]))</f>
        <v>1</v>
      </c>
      <c r="BL66" s="21"/>
      <c r="BM66" s="21"/>
      <c r="BO66" s="79"/>
      <c r="BP66" s="79"/>
    </row>
    <row r="67" spans="1:68" ht="15" customHeight="1">
      <c r="A67" s="786" t="s">
        <v>1025</v>
      </c>
      <c r="B67" s="386" t="s">
        <v>7</v>
      </c>
      <c r="C67" s="386" t="s">
        <v>360</v>
      </c>
      <c r="D67" s="386" t="s">
        <v>19</v>
      </c>
      <c r="E67" s="386" t="s">
        <v>622</v>
      </c>
      <c r="F67" s="386" t="s">
        <v>15</v>
      </c>
      <c r="G67" s="386" t="s">
        <v>390</v>
      </c>
      <c r="H67" s="386" t="s">
        <v>51</v>
      </c>
      <c r="I67" s="386" t="s">
        <v>395</v>
      </c>
      <c r="J67" s="386" t="s">
        <v>485</v>
      </c>
      <c r="K67" s="386">
        <v>196972</v>
      </c>
      <c r="L67" s="386" t="s">
        <v>51</v>
      </c>
      <c r="M67" s="386" t="s">
        <v>138</v>
      </c>
      <c r="N67" s="85">
        <v>93.014089999999996</v>
      </c>
      <c r="O67" s="85">
        <v>20.713259999999998</v>
      </c>
      <c r="P67" s="386"/>
      <c r="Q67" s="793">
        <v>116</v>
      </c>
      <c r="R67" s="797">
        <v>802</v>
      </c>
      <c r="S67" s="801">
        <v>6.8879310344827589</v>
      </c>
      <c r="T67" s="386" t="s">
        <v>351</v>
      </c>
      <c r="U67" s="386"/>
      <c r="V67" s="802" t="s">
        <v>1024</v>
      </c>
      <c r="W67" s="803" t="s">
        <v>896</v>
      </c>
      <c r="X67" s="386"/>
      <c r="Y67" s="386"/>
      <c r="Z67" s="386" t="s">
        <v>678</v>
      </c>
      <c r="AA67" s="804" t="str">
        <f>CONCATENATE(Camp_List[[#This Row],[Ethnicity]],"-",Camp_List[[#This Row],[Religion]])</f>
        <v>-Muslim</v>
      </c>
      <c r="AB67" s="386"/>
      <c r="AC67" s="806"/>
      <c r="AD67" s="386" t="s">
        <v>514</v>
      </c>
      <c r="AE67" s="386" t="s">
        <v>961</v>
      </c>
      <c r="AF67" s="315">
        <v>42447</v>
      </c>
      <c r="AG67" s="808" t="s">
        <v>1027</v>
      </c>
      <c r="AH67" s="804" t="str">
        <f>IFERROR(VLOOKUP(Camp_List[[#This Row],[Responsible Agency]],Organization_t[],3,0),"")</f>
        <v/>
      </c>
      <c r="AI67" s="813">
        <f ca="1">IF((SUMIFS(Data_Shelter_t[Coverage],Data_Shelter_t[Pcode],Camp_List[[#This Row],[P_Code]]))&gt;1,1,SUMIFS(Data_Shelter_t[Coverage],Data_Shelter_t[Pcode],Camp_List[[#This Row],[P_Code]]))</f>
        <v>0.68965517241379315</v>
      </c>
      <c r="BL67" s="21"/>
      <c r="BM67" s="21"/>
      <c r="BO67" s="79"/>
      <c r="BP67" s="79"/>
    </row>
    <row r="68" spans="1:68" ht="15" customHeight="1">
      <c r="A68" s="786" t="s">
        <v>1025</v>
      </c>
      <c r="B68" s="386" t="s">
        <v>7</v>
      </c>
      <c r="C68" s="386" t="s">
        <v>360</v>
      </c>
      <c r="D68" s="386" t="s">
        <v>19</v>
      </c>
      <c r="E68" s="386" t="s">
        <v>622</v>
      </c>
      <c r="F68" s="386" t="s">
        <v>15</v>
      </c>
      <c r="G68" s="386" t="s">
        <v>390</v>
      </c>
      <c r="H68" s="386" t="s">
        <v>392</v>
      </c>
      <c r="I68" s="386" t="s">
        <v>391</v>
      </c>
      <c r="J68" s="386" t="s">
        <v>50</v>
      </c>
      <c r="K68" s="386">
        <v>196945</v>
      </c>
      <c r="L68" s="386" t="s">
        <v>50</v>
      </c>
      <c r="M68" s="386" t="s">
        <v>137</v>
      </c>
      <c r="N68" s="85">
        <v>93.009900000000002</v>
      </c>
      <c r="O68" s="85">
        <v>20.696819999999999</v>
      </c>
      <c r="P68" s="386"/>
      <c r="Q68" s="793">
        <v>236</v>
      </c>
      <c r="R68" s="797">
        <v>1524</v>
      </c>
      <c r="S68" s="801">
        <v>6.4576271186440675</v>
      </c>
      <c r="T68" s="386" t="s">
        <v>351</v>
      </c>
      <c r="U68" s="386"/>
      <c r="V68" s="802" t="s">
        <v>1024</v>
      </c>
      <c r="W68" s="803" t="s">
        <v>896</v>
      </c>
      <c r="X68" s="386"/>
      <c r="Y68" s="386"/>
      <c r="Z68" s="386" t="s">
        <v>678</v>
      </c>
      <c r="AA68" s="804" t="str">
        <f>CONCATENATE(Camp_List[[#This Row],[Ethnicity]],"-",Camp_List[[#This Row],[Religion]])</f>
        <v>-Muslim</v>
      </c>
      <c r="AB68" s="386"/>
      <c r="AC68" s="806"/>
      <c r="AD68" s="386" t="s">
        <v>514</v>
      </c>
      <c r="AE68" s="386" t="s">
        <v>961</v>
      </c>
      <c r="AF68" s="315">
        <v>42447</v>
      </c>
      <c r="AG68" s="808" t="s">
        <v>1027</v>
      </c>
      <c r="AH68" s="804" t="str">
        <f>IFERROR(VLOOKUP(Camp_List[[#This Row],[Responsible Agency]],Organization_t[],3,0),"")</f>
        <v/>
      </c>
      <c r="AI68" s="813">
        <f ca="1">IF((SUMIFS(Data_Shelter_t[Coverage],Data_Shelter_t[Pcode],Camp_List[[#This Row],[P_Code]]))&gt;1,1,SUMIFS(Data_Shelter_t[Coverage],Data_Shelter_t[Pcode],Camp_List[[#This Row],[P_Code]]))</f>
        <v>0.98305084745762716</v>
      </c>
      <c r="BL68" s="21"/>
      <c r="BM68" s="21"/>
      <c r="BO68" s="79"/>
      <c r="BP68" s="79"/>
    </row>
    <row r="69" spans="1:68" ht="15" customHeight="1">
      <c r="A69" s="786" t="s">
        <v>1025</v>
      </c>
      <c r="B69" s="386" t="s">
        <v>7</v>
      </c>
      <c r="C69" s="386" t="s">
        <v>360</v>
      </c>
      <c r="D69" s="386" t="s">
        <v>19</v>
      </c>
      <c r="E69" s="386" t="s">
        <v>622</v>
      </c>
      <c r="F69" s="386" t="s">
        <v>15</v>
      </c>
      <c r="G69" s="386" t="s">
        <v>390</v>
      </c>
      <c r="H69" s="386" t="s">
        <v>405</v>
      </c>
      <c r="I69" s="386" t="s">
        <v>404</v>
      </c>
      <c r="J69" s="386" t="s">
        <v>489</v>
      </c>
      <c r="K69" s="386">
        <v>196873</v>
      </c>
      <c r="L69" s="386" t="s">
        <v>44</v>
      </c>
      <c r="M69" s="386" t="s">
        <v>131</v>
      </c>
      <c r="N69" s="85">
        <v>92.982675999999998</v>
      </c>
      <c r="O69" s="85">
        <v>20.805734000000001</v>
      </c>
      <c r="P69" s="386"/>
      <c r="Q69" s="793">
        <v>18</v>
      </c>
      <c r="R69" s="797">
        <v>157</v>
      </c>
      <c r="S69" s="801">
        <v>8.7222222222222214</v>
      </c>
      <c r="T69" s="386" t="s">
        <v>351</v>
      </c>
      <c r="U69" s="386"/>
      <c r="V69" s="802" t="s">
        <v>1024</v>
      </c>
      <c r="W69" s="803" t="s">
        <v>896</v>
      </c>
      <c r="X69" s="386"/>
      <c r="Y69" s="386"/>
      <c r="Z69" s="386" t="s">
        <v>678</v>
      </c>
      <c r="AA69" s="804" t="str">
        <f>CONCATENATE(Camp_List[[#This Row],[Ethnicity]],"-",Camp_List[[#This Row],[Religion]])</f>
        <v>-Muslim</v>
      </c>
      <c r="AB69" s="386"/>
      <c r="AC69" s="806"/>
      <c r="AD69" s="386" t="s">
        <v>514</v>
      </c>
      <c r="AE69" s="386" t="s">
        <v>530</v>
      </c>
      <c r="AF69" s="315">
        <v>42447</v>
      </c>
      <c r="AG69" s="808" t="s">
        <v>1027</v>
      </c>
      <c r="AH69" s="804" t="str">
        <f>IFERROR(VLOOKUP(Camp_List[[#This Row],[Responsible Agency]],Organization_t[],3,0),"")</f>
        <v/>
      </c>
      <c r="AI69" s="813">
        <f ca="1">IF((SUMIFS(Data_Shelter_t[Coverage],Data_Shelter_t[Pcode],Camp_List[[#This Row],[P_Code]]))&gt;1,1,SUMIFS(Data_Shelter_t[Coverage],Data_Shelter_t[Pcode],Camp_List[[#This Row],[P_Code]]))</f>
        <v>1</v>
      </c>
      <c r="BL69" s="21"/>
      <c r="BM69" s="21"/>
      <c r="BO69" s="79"/>
      <c r="BP69" s="79"/>
    </row>
    <row r="70" spans="1:68" ht="15" customHeight="1">
      <c r="A70" s="786" t="s">
        <v>1025</v>
      </c>
      <c r="B70" s="386" t="s">
        <v>7</v>
      </c>
      <c r="C70" s="386" t="s">
        <v>360</v>
      </c>
      <c r="D70" s="386" t="s">
        <v>19</v>
      </c>
      <c r="E70" s="386" t="s">
        <v>622</v>
      </c>
      <c r="F70" s="386" t="s">
        <v>15</v>
      </c>
      <c r="G70" s="386" t="s">
        <v>390</v>
      </c>
      <c r="H70" s="386" t="s">
        <v>399</v>
      </c>
      <c r="I70" s="386" t="s">
        <v>398</v>
      </c>
      <c r="J70" s="386" t="s">
        <v>486</v>
      </c>
      <c r="K70" s="386">
        <v>196868</v>
      </c>
      <c r="L70" s="386" t="s">
        <v>53</v>
      </c>
      <c r="M70" s="386" t="s">
        <v>140</v>
      </c>
      <c r="N70" s="85">
        <v>92.987399999999994</v>
      </c>
      <c r="O70" s="85">
        <v>20.78332</v>
      </c>
      <c r="P70" s="386"/>
      <c r="Q70" s="793">
        <v>144</v>
      </c>
      <c r="R70" s="797">
        <v>1006</v>
      </c>
      <c r="S70" s="801">
        <v>7.1388888888888893</v>
      </c>
      <c r="T70" s="386" t="s">
        <v>351</v>
      </c>
      <c r="U70" s="386"/>
      <c r="V70" s="802" t="s">
        <v>1024</v>
      </c>
      <c r="W70" s="803" t="s">
        <v>896</v>
      </c>
      <c r="X70" s="386"/>
      <c r="Y70" s="386"/>
      <c r="Z70" s="386" t="s">
        <v>678</v>
      </c>
      <c r="AA70" s="804" t="str">
        <f>CONCATENATE(Camp_List[[#This Row],[Ethnicity]],"-",Camp_List[[#This Row],[Religion]])</f>
        <v>-Muslim</v>
      </c>
      <c r="AB70" s="386"/>
      <c r="AC70" s="806"/>
      <c r="AD70" s="386" t="s">
        <v>514</v>
      </c>
      <c r="AE70" s="386" t="s">
        <v>961</v>
      </c>
      <c r="AF70" s="315">
        <v>42447</v>
      </c>
      <c r="AG70" s="808" t="s">
        <v>1027</v>
      </c>
      <c r="AH70" s="804" t="str">
        <f>IFERROR(VLOOKUP(Camp_List[[#This Row],[Responsible Agency]],Organization_t[],3,0),"")</f>
        <v/>
      </c>
      <c r="AI70" s="813">
        <f ca="1">IF((SUMIFS(Data_Shelter_t[Coverage],Data_Shelter_t[Pcode],Camp_List[[#This Row],[P_Code]]))&gt;1,1,SUMIFS(Data_Shelter_t[Coverage],Data_Shelter_t[Pcode],Camp_List[[#This Row],[P_Code]]))</f>
        <v>1</v>
      </c>
      <c r="BL70" s="21"/>
      <c r="BM70" s="21"/>
      <c r="BO70" s="79"/>
      <c r="BP70" s="79"/>
    </row>
    <row r="71" spans="1:68" ht="15" customHeight="1">
      <c r="A71" s="786" t="s">
        <v>1025</v>
      </c>
      <c r="B71" s="386" t="s">
        <v>7</v>
      </c>
      <c r="C71" s="386" t="s">
        <v>360</v>
      </c>
      <c r="D71" s="386" t="s">
        <v>19</v>
      </c>
      <c r="E71" s="386" t="s">
        <v>622</v>
      </c>
      <c r="F71" s="386" t="s">
        <v>15</v>
      </c>
      <c r="G71" s="386" t="s">
        <v>390</v>
      </c>
      <c r="H71" s="386" t="s">
        <v>403</v>
      </c>
      <c r="I71" s="386" t="s">
        <v>402</v>
      </c>
      <c r="J71" s="386" t="s">
        <v>488</v>
      </c>
      <c r="K71" s="386">
        <v>196789</v>
      </c>
      <c r="L71" s="386" t="s">
        <v>45</v>
      </c>
      <c r="M71" s="386" t="s">
        <v>132</v>
      </c>
      <c r="N71" s="85">
        <v>93.000815000000003</v>
      </c>
      <c r="O71" s="85">
        <v>20.929649000000001</v>
      </c>
      <c r="P71" s="386"/>
      <c r="Q71" s="793">
        <v>63</v>
      </c>
      <c r="R71" s="797">
        <v>414</v>
      </c>
      <c r="S71" s="801">
        <v>6.67741935483871</v>
      </c>
      <c r="T71" s="386" t="s">
        <v>351</v>
      </c>
      <c r="U71" s="386"/>
      <c r="V71" s="802" t="s">
        <v>1024</v>
      </c>
      <c r="W71" s="803" t="s">
        <v>896</v>
      </c>
      <c r="X71" s="386"/>
      <c r="Y71" s="386"/>
      <c r="Z71" s="386" t="s">
        <v>678</v>
      </c>
      <c r="AA71" s="804" t="str">
        <f>CONCATENATE(Camp_List[[#This Row],[Ethnicity]],"-",Camp_List[[#This Row],[Religion]])</f>
        <v>-Muslim</v>
      </c>
      <c r="AB71" s="386"/>
      <c r="AC71" s="806"/>
      <c r="AD71" s="386" t="s">
        <v>514</v>
      </c>
      <c r="AE71" s="386" t="s">
        <v>530</v>
      </c>
      <c r="AF71" s="315">
        <v>42447</v>
      </c>
      <c r="AG71" s="808" t="s">
        <v>1027</v>
      </c>
      <c r="AH71" s="804" t="str">
        <f>IFERROR(VLOOKUP(Camp_List[[#This Row],[Responsible Agency]],Organization_t[],3,0),"")</f>
        <v/>
      </c>
      <c r="AI71" s="813">
        <f ca="1">IF((SUMIFS(Data_Shelter_t[Coverage],Data_Shelter_t[Pcode],Camp_List[[#This Row],[P_Code]]))&gt;1,1,SUMIFS(Data_Shelter_t[Coverage],Data_Shelter_t[Pcode],Camp_List[[#This Row],[P_Code]]))</f>
        <v>1</v>
      </c>
      <c r="BL71" s="21"/>
      <c r="BM71" s="21"/>
      <c r="BO71" s="79"/>
      <c r="BP71" s="79"/>
    </row>
    <row r="72" spans="1:68" ht="15" customHeight="1">
      <c r="A72" s="786" t="s">
        <v>1025</v>
      </c>
      <c r="B72" s="386" t="s">
        <v>7</v>
      </c>
      <c r="C72" s="386" t="s">
        <v>360</v>
      </c>
      <c r="D72" s="386" t="s">
        <v>19</v>
      </c>
      <c r="E72" s="386" t="s">
        <v>622</v>
      </c>
      <c r="F72" s="386" t="s">
        <v>15</v>
      </c>
      <c r="G72" s="386" t="s">
        <v>390</v>
      </c>
      <c r="H72" s="386" t="s">
        <v>397</v>
      </c>
      <c r="I72" s="386" t="s">
        <v>396</v>
      </c>
      <c r="J72" s="386" t="s">
        <v>52</v>
      </c>
      <c r="K72" s="386">
        <v>196952</v>
      </c>
      <c r="L72" s="386" t="s">
        <v>52</v>
      </c>
      <c r="M72" s="386" t="s">
        <v>139</v>
      </c>
      <c r="N72" s="85">
        <v>92.969350000000006</v>
      </c>
      <c r="O72" s="85">
        <v>20.727589999999999</v>
      </c>
      <c r="P72" s="386"/>
      <c r="Q72" s="793">
        <v>112</v>
      </c>
      <c r="R72" s="797">
        <v>738</v>
      </c>
      <c r="S72" s="801">
        <v>6.5625</v>
      </c>
      <c r="T72" s="386" t="s">
        <v>351</v>
      </c>
      <c r="U72" s="386"/>
      <c r="V72" s="802" t="s">
        <v>1024</v>
      </c>
      <c r="W72" s="803" t="s">
        <v>896</v>
      </c>
      <c r="X72" s="386"/>
      <c r="Y72" s="386"/>
      <c r="Z72" s="386" t="s">
        <v>678</v>
      </c>
      <c r="AA72" s="804" t="str">
        <f>CONCATENATE(Camp_List[[#This Row],[Ethnicity]],"-",Camp_List[[#This Row],[Religion]])</f>
        <v>-Muslim</v>
      </c>
      <c r="AB72" s="386"/>
      <c r="AC72" s="806"/>
      <c r="AD72" s="386" t="s">
        <v>514</v>
      </c>
      <c r="AE72" s="386" t="s">
        <v>961</v>
      </c>
      <c r="AF72" s="315">
        <v>42447</v>
      </c>
      <c r="AG72" s="808" t="s">
        <v>1027</v>
      </c>
      <c r="AH72" s="804" t="str">
        <f>IFERROR(VLOOKUP(Camp_List[[#This Row],[Responsible Agency]],Organization_t[],3,0),"")</f>
        <v/>
      </c>
      <c r="AI72" s="813">
        <f ca="1">IF((SUMIFS(Data_Shelter_t[Coverage],Data_Shelter_t[Pcode],Camp_List[[#This Row],[P_Code]]))&gt;1,1,SUMIFS(Data_Shelter_t[Coverage],Data_Shelter_t[Pcode],Camp_List[[#This Row],[P_Code]]))</f>
        <v>1</v>
      </c>
      <c r="BL72" s="21"/>
      <c r="BM72" s="21"/>
      <c r="BO72" s="79"/>
      <c r="BP72" s="79"/>
    </row>
    <row r="73" spans="1:68" ht="15" hidden="1" customHeight="1">
      <c r="A73" s="386" t="s">
        <v>358</v>
      </c>
      <c r="B73" s="386" t="s">
        <v>7</v>
      </c>
      <c r="C73" s="386" t="s">
        <v>360</v>
      </c>
      <c r="D73" s="386" t="s">
        <v>20</v>
      </c>
      <c r="E73" s="386" t="s">
        <v>640</v>
      </c>
      <c r="F73" s="386" t="s">
        <v>20</v>
      </c>
      <c r="G73" s="386" t="s">
        <v>457</v>
      </c>
      <c r="H73" s="386" t="s">
        <v>466</v>
      </c>
      <c r="I73" s="386" t="s">
        <v>467</v>
      </c>
      <c r="J73" s="386" t="s">
        <v>475</v>
      </c>
      <c r="K73" s="386">
        <v>217897</v>
      </c>
      <c r="L73" s="386" t="s">
        <v>101</v>
      </c>
      <c r="M73" s="386" t="s">
        <v>190</v>
      </c>
      <c r="N73" s="85">
        <v>92.416263999999998</v>
      </c>
      <c r="O73" s="85">
        <v>20.796128</v>
      </c>
      <c r="P73" s="386"/>
      <c r="Q73" s="793"/>
      <c r="R73" s="797"/>
      <c r="S73" s="801">
        <v>0</v>
      </c>
      <c r="T73" s="386" t="s">
        <v>351</v>
      </c>
      <c r="U73" s="386" t="s">
        <v>782</v>
      </c>
      <c r="V73" s="802" t="s">
        <v>22</v>
      </c>
      <c r="W73" s="803"/>
      <c r="X73" s="386"/>
      <c r="Y73" s="386"/>
      <c r="Z73" s="386"/>
      <c r="AA73" s="804" t="str">
        <f>CONCATENATE(Camp_List[[#This Row],[Ethnicity]],"-",Camp_List[[#This Row],[Religion]])</f>
        <v>-</v>
      </c>
      <c r="AB73" s="386"/>
      <c r="AC73" s="806" t="s">
        <v>800</v>
      </c>
      <c r="AD73" s="386" t="s">
        <v>514</v>
      </c>
      <c r="AE73" s="386" t="s">
        <v>530</v>
      </c>
      <c r="AF73" s="315">
        <v>41520</v>
      </c>
      <c r="AG73" s="808"/>
      <c r="AH73" s="804">
        <f>IFERROR(VLOOKUP(Camp_List[[#This Row],[Responsible Agency]],Organization_t[],3,0),"")</f>
        <v>0</v>
      </c>
      <c r="AI73" s="813">
        <f ca="1">IF((SUMIFS(Data_Shelter_t[Coverage],Data_Shelter_t[Pcode],Camp_List[[#This Row],[P_Code]]))&gt;1,1,SUMIFS(Data_Shelter_t[Coverage],Data_Shelter_t[Pcode],Camp_List[[#This Row],[P_Code]]))</f>
        <v>0</v>
      </c>
      <c r="BL73" s="21"/>
      <c r="BM73" s="21"/>
      <c r="BO73" s="79"/>
      <c r="BP73" s="79"/>
    </row>
    <row r="74" spans="1:68" ht="15" hidden="1" customHeight="1">
      <c r="A74" s="386" t="s">
        <v>358</v>
      </c>
      <c r="B74" s="386" t="s">
        <v>7</v>
      </c>
      <c r="C74" s="386" t="s">
        <v>628</v>
      </c>
      <c r="D74" s="386" t="s">
        <v>20</v>
      </c>
      <c r="E74" s="386" t="s">
        <v>640</v>
      </c>
      <c r="F74" s="386" t="s">
        <v>20</v>
      </c>
      <c r="G74" s="386" t="s">
        <v>457</v>
      </c>
      <c r="H74" s="386" t="s">
        <v>522</v>
      </c>
      <c r="I74" s="386" t="s">
        <v>524</v>
      </c>
      <c r="J74" s="386"/>
      <c r="K74" s="386"/>
      <c r="L74" s="386" t="s">
        <v>632</v>
      </c>
      <c r="M74" s="386" t="s">
        <v>636</v>
      </c>
      <c r="N74" s="85">
        <v>92.365618999999995</v>
      </c>
      <c r="O74" s="85">
        <v>20.820316999999999</v>
      </c>
      <c r="P74" s="386"/>
      <c r="Q74" s="793"/>
      <c r="R74" s="797"/>
      <c r="S74" s="801">
        <v>0</v>
      </c>
      <c r="T74" s="386" t="s">
        <v>351</v>
      </c>
      <c r="U74" s="386" t="s">
        <v>782</v>
      </c>
      <c r="V74" s="802" t="s">
        <v>22</v>
      </c>
      <c r="W74" s="803"/>
      <c r="X74" s="386"/>
      <c r="Y74" s="386"/>
      <c r="Z74" s="386"/>
      <c r="AA74" s="804" t="str">
        <f>CONCATENATE(Camp_List[[#This Row],[Ethnicity]],"-",Camp_List[[#This Row],[Religion]])</f>
        <v>-</v>
      </c>
      <c r="AB74" s="386"/>
      <c r="AC74" s="806" t="s">
        <v>800</v>
      </c>
      <c r="AD74" s="386" t="s">
        <v>514</v>
      </c>
      <c r="AE74" s="386" t="s">
        <v>530</v>
      </c>
      <c r="AF74" s="315">
        <v>41548</v>
      </c>
      <c r="AG74" s="808"/>
      <c r="AH74" s="804">
        <f>IFERROR(VLOOKUP(Camp_List[[#This Row],[Responsible Agency]],Organization_t[],3,0),"")</f>
        <v>0</v>
      </c>
      <c r="AI74" s="813">
        <f>IF((SUMIFS(Data_Shelter_t[Coverage],Data_Shelter_t[Pcode],Camp_List[[#This Row],[P_Code]]))&gt;1,1,SUMIFS(Data_Shelter_t[Coverage],Data_Shelter_t[Pcode],Camp_List[[#This Row],[P_Code]]))</f>
        <v>0</v>
      </c>
      <c r="BL74" s="21"/>
      <c r="BM74" s="21"/>
      <c r="BO74" s="79"/>
      <c r="BP74" s="79"/>
    </row>
    <row r="75" spans="1:68" ht="15" hidden="1" customHeight="1">
      <c r="A75" s="386" t="s">
        <v>358</v>
      </c>
      <c r="B75" s="386" t="s">
        <v>7</v>
      </c>
      <c r="C75" s="386" t="s">
        <v>360</v>
      </c>
      <c r="D75" s="386" t="s">
        <v>20</v>
      </c>
      <c r="E75" s="386" t="s">
        <v>640</v>
      </c>
      <c r="F75" s="386" t="s">
        <v>20</v>
      </c>
      <c r="G75" s="386" t="s">
        <v>457</v>
      </c>
      <c r="H75" s="386" t="s">
        <v>466</v>
      </c>
      <c r="I75" s="386" t="s">
        <v>467</v>
      </c>
      <c r="J75" s="386" t="s">
        <v>471</v>
      </c>
      <c r="K75" s="386">
        <v>217895</v>
      </c>
      <c r="L75" s="386" t="s">
        <v>103</v>
      </c>
      <c r="M75" s="386" t="s">
        <v>192</v>
      </c>
      <c r="N75" s="85">
        <v>92.423364000000007</v>
      </c>
      <c r="O75" s="85">
        <v>20.801544</v>
      </c>
      <c r="P75" s="386"/>
      <c r="Q75" s="793"/>
      <c r="R75" s="797"/>
      <c r="S75" s="801">
        <v>0</v>
      </c>
      <c r="T75" s="386" t="s">
        <v>351</v>
      </c>
      <c r="U75" s="386" t="s">
        <v>782</v>
      </c>
      <c r="V75" s="802" t="s">
        <v>22</v>
      </c>
      <c r="W75" s="803"/>
      <c r="X75" s="386"/>
      <c r="Y75" s="386"/>
      <c r="Z75" s="386"/>
      <c r="AA75" s="804" t="str">
        <f>CONCATENATE(Camp_List[[#This Row],[Ethnicity]],"-",Camp_List[[#This Row],[Religion]])</f>
        <v>-</v>
      </c>
      <c r="AB75" s="386"/>
      <c r="AC75" s="806" t="s">
        <v>800</v>
      </c>
      <c r="AD75" s="386" t="s">
        <v>514</v>
      </c>
      <c r="AE75" s="386" t="s">
        <v>530</v>
      </c>
      <c r="AF75" s="315">
        <v>41520</v>
      </c>
      <c r="AG75" s="808"/>
      <c r="AH75" s="804">
        <f>IFERROR(VLOOKUP(Camp_List[[#This Row],[Responsible Agency]],Organization_t[],3,0),"")</f>
        <v>0</v>
      </c>
      <c r="AI75" s="813">
        <f ca="1">IF((SUMIFS(Data_Shelter_t[Coverage],Data_Shelter_t[Pcode],Camp_List[[#This Row],[P_Code]]))&gt;1,1,SUMIFS(Data_Shelter_t[Coverage],Data_Shelter_t[Pcode],Camp_List[[#This Row],[P_Code]]))</f>
        <v>0</v>
      </c>
      <c r="BL75" s="21"/>
      <c r="BM75" s="21"/>
      <c r="BO75" s="79"/>
      <c r="BP75" s="79"/>
    </row>
    <row r="76" spans="1:68" ht="15" hidden="1" customHeight="1">
      <c r="A76" s="386" t="s">
        <v>358</v>
      </c>
      <c r="B76" s="386" t="s">
        <v>7</v>
      </c>
      <c r="C76" s="386" t="s">
        <v>360</v>
      </c>
      <c r="D76" s="386" t="s">
        <v>20</v>
      </c>
      <c r="E76" s="386" t="s">
        <v>640</v>
      </c>
      <c r="F76" s="386" t="s">
        <v>20</v>
      </c>
      <c r="G76" s="386" t="s">
        <v>457</v>
      </c>
      <c r="H76" s="386" t="s">
        <v>476</v>
      </c>
      <c r="I76" s="386" t="s">
        <v>477</v>
      </c>
      <c r="J76" s="386" t="s">
        <v>478</v>
      </c>
      <c r="K76" s="386">
        <v>217898</v>
      </c>
      <c r="L76" s="386" t="s">
        <v>102</v>
      </c>
      <c r="M76" s="386" t="s">
        <v>191</v>
      </c>
      <c r="N76" s="85">
        <v>92.424138999999997</v>
      </c>
      <c r="O76" s="85">
        <v>20.762730999999999</v>
      </c>
      <c r="P76" s="386"/>
      <c r="Q76" s="793"/>
      <c r="R76" s="797"/>
      <c r="S76" s="801">
        <v>0</v>
      </c>
      <c r="T76" s="386" t="s">
        <v>351</v>
      </c>
      <c r="U76" s="386" t="s">
        <v>782</v>
      </c>
      <c r="V76" s="802" t="s">
        <v>22</v>
      </c>
      <c r="W76" s="803"/>
      <c r="X76" s="386"/>
      <c r="Y76" s="386"/>
      <c r="Z76" s="386"/>
      <c r="AA76" s="804" t="str">
        <f>CONCATENATE(Camp_List[[#This Row],[Ethnicity]],"-",Camp_List[[#This Row],[Religion]])</f>
        <v>-</v>
      </c>
      <c r="AB76" s="386"/>
      <c r="AC76" s="806" t="s">
        <v>800</v>
      </c>
      <c r="AD76" s="386" t="s">
        <v>514</v>
      </c>
      <c r="AE76" s="386" t="s">
        <v>530</v>
      </c>
      <c r="AF76" s="315">
        <v>41520</v>
      </c>
      <c r="AG76" s="808"/>
      <c r="AH76" s="804">
        <f>IFERROR(VLOOKUP(Camp_List[[#This Row],[Responsible Agency]],Organization_t[],3,0),"")</f>
        <v>0</v>
      </c>
      <c r="AI76" s="813">
        <f ca="1">IF((SUMIFS(Data_Shelter_t[Coverage],Data_Shelter_t[Pcode],Camp_List[[#This Row],[P_Code]]))&gt;1,1,SUMIFS(Data_Shelter_t[Coverage],Data_Shelter_t[Pcode],Camp_List[[#This Row],[P_Code]]))</f>
        <v>0</v>
      </c>
      <c r="BL76" s="21"/>
      <c r="BM76" s="21"/>
      <c r="BO76" s="79"/>
      <c r="BP76" s="79"/>
    </row>
    <row r="77" spans="1:68" ht="15" hidden="1" customHeight="1">
      <c r="A77" s="386" t="s">
        <v>358</v>
      </c>
      <c r="B77" s="386" t="s">
        <v>7</v>
      </c>
      <c r="C77" s="386" t="s">
        <v>360</v>
      </c>
      <c r="D77" s="386" t="s">
        <v>20</v>
      </c>
      <c r="E77" s="386" t="s">
        <v>640</v>
      </c>
      <c r="F77" s="386" t="s">
        <v>20</v>
      </c>
      <c r="G77" s="386" t="s">
        <v>457</v>
      </c>
      <c r="H77" s="386" t="s">
        <v>279</v>
      </c>
      <c r="I77" s="386" t="s">
        <v>279</v>
      </c>
      <c r="J77" s="386" t="s">
        <v>279</v>
      </c>
      <c r="K77" s="386" t="s">
        <v>279</v>
      </c>
      <c r="L77" s="386" t="s">
        <v>100</v>
      </c>
      <c r="M77" s="386" t="s">
        <v>189</v>
      </c>
      <c r="N77" s="85" t="s">
        <v>279</v>
      </c>
      <c r="O77" s="85" t="s">
        <v>279</v>
      </c>
      <c r="P77" s="386"/>
      <c r="Q77" s="793"/>
      <c r="R77" s="797"/>
      <c r="S77" s="801">
        <v>0</v>
      </c>
      <c r="T77" s="386" t="s">
        <v>351</v>
      </c>
      <c r="U77" s="386" t="s">
        <v>782</v>
      </c>
      <c r="V77" s="802" t="s">
        <v>22</v>
      </c>
      <c r="W77" s="803"/>
      <c r="X77" s="386"/>
      <c r="Y77" s="386"/>
      <c r="Z77" s="386"/>
      <c r="AA77" s="804" t="str">
        <f>CONCATENATE(Camp_List[[#This Row],[Ethnicity]],"-",Camp_List[[#This Row],[Religion]])</f>
        <v>-</v>
      </c>
      <c r="AB77" s="386"/>
      <c r="AC77" s="806" t="s">
        <v>800</v>
      </c>
      <c r="AD77" s="386" t="s">
        <v>514</v>
      </c>
      <c r="AE77" s="386" t="s">
        <v>530</v>
      </c>
      <c r="AF77" s="315">
        <v>41520</v>
      </c>
      <c r="AG77" s="808"/>
      <c r="AH77" s="804">
        <f>IFERROR(VLOOKUP(Camp_List[[#This Row],[Responsible Agency]],Organization_t[],3,0),"")</f>
        <v>0</v>
      </c>
      <c r="AI77" s="813">
        <f ca="1">IF((SUMIFS(Data_Shelter_t[Coverage],Data_Shelter_t[Pcode],Camp_List[[#This Row],[P_Code]]))&gt;1,1,SUMIFS(Data_Shelter_t[Coverage],Data_Shelter_t[Pcode],Camp_List[[#This Row],[P_Code]]))</f>
        <v>0</v>
      </c>
      <c r="BL77" s="21"/>
      <c r="BM77" s="21"/>
      <c r="BO77" s="79"/>
      <c r="BP77" s="79"/>
    </row>
    <row r="78" spans="1:68" ht="15" hidden="1" customHeight="1">
      <c r="A78" s="386" t="s">
        <v>358</v>
      </c>
      <c r="B78" s="386" t="s">
        <v>7</v>
      </c>
      <c r="C78" s="386" t="s">
        <v>360</v>
      </c>
      <c r="D78" s="386" t="s">
        <v>20</v>
      </c>
      <c r="E78" s="386" t="s">
        <v>640</v>
      </c>
      <c r="F78" s="386" t="s">
        <v>20</v>
      </c>
      <c r="G78" s="386" t="s">
        <v>457</v>
      </c>
      <c r="H78" s="386" t="s">
        <v>279</v>
      </c>
      <c r="I78" s="386" t="s">
        <v>279</v>
      </c>
      <c r="J78" s="386" t="s">
        <v>279</v>
      </c>
      <c r="K78" s="386" t="s">
        <v>279</v>
      </c>
      <c r="L78" s="386" t="s">
        <v>98</v>
      </c>
      <c r="M78" s="386" t="s">
        <v>187</v>
      </c>
      <c r="N78" s="85" t="s">
        <v>279</v>
      </c>
      <c r="O78" s="85" t="s">
        <v>279</v>
      </c>
      <c r="P78" s="386"/>
      <c r="Q78" s="793"/>
      <c r="R78" s="797"/>
      <c r="S78" s="801">
        <v>0</v>
      </c>
      <c r="T78" s="386" t="s">
        <v>351</v>
      </c>
      <c r="U78" s="386" t="s">
        <v>782</v>
      </c>
      <c r="V78" s="802" t="s">
        <v>22</v>
      </c>
      <c r="W78" s="803"/>
      <c r="X78" s="386"/>
      <c r="Y78" s="386"/>
      <c r="Z78" s="386"/>
      <c r="AA78" s="804" t="str">
        <f>CONCATENATE(Camp_List[[#This Row],[Ethnicity]],"-",Camp_List[[#This Row],[Religion]])</f>
        <v>-</v>
      </c>
      <c r="AB78" s="386"/>
      <c r="AC78" s="806" t="s">
        <v>800</v>
      </c>
      <c r="AD78" s="386" t="s">
        <v>514</v>
      </c>
      <c r="AE78" s="386" t="s">
        <v>530</v>
      </c>
      <c r="AF78" s="315">
        <v>41520</v>
      </c>
      <c r="AG78" s="808"/>
      <c r="AH78" s="804">
        <f>IFERROR(VLOOKUP(Camp_List[[#This Row],[Responsible Agency]],Organization_t[],3,0),"")</f>
        <v>0</v>
      </c>
      <c r="AI78" s="813">
        <f ca="1">IF((SUMIFS(Data_Shelter_t[Coverage],Data_Shelter_t[Pcode],Camp_List[[#This Row],[P_Code]]))&gt;1,1,SUMIFS(Data_Shelter_t[Coverage],Data_Shelter_t[Pcode],Camp_List[[#This Row],[P_Code]]))</f>
        <v>0</v>
      </c>
      <c r="BL78" s="21"/>
      <c r="BM78" s="21"/>
      <c r="BO78" s="79"/>
      <c r="BP78" s="79"/>
    </row>
    <row r="79" spans="1:68" ht="15" hidden="1" customHeight="1">
      <c r="A79" s="386" t="s">
        <v>358</v>
      </c>
      <c r="B79" s="386" t="s">
        <v>7</v>
      </c>
      <c r="C79" s="386" t="s">
        <v>360</v>
      </c>
      <c r="D79" s="386" t="s">
        <v>20</v>
      </c>
      <c r="E79" s="386" t="s">
        <v>640</v>
      </c>
      <c r="F79" s="386" t="s">
        <v>20</v>
      </c>
      <c r="G79" s="386" t="s">
        <v>457</v>
      </c>
      <c r="H79" s="386" t="s">
        <v>456</v>
      </c>
      <c r="I79" s="386" t="s">
        <v>455</v>
      </c>
      <c r="J79" s="386" t="s">
        <v>481</v>
      </c>
      <c r="K79" s="386">
        <v>198016</v>
      </c>
      <c r="L79" s="386" t="s">
        <v>99</v>
      </c>
      <c r="M79" s="386" t="s">
        <v>188</v>
      </c>
      <c r="N79" s="85">
        <v>92.429599999999994</v>
      </c>
      <c r="O79" s="85">
        <v>20.729866999999999</v>
      </c>
      <c r="P79" s="386"/>
      <c r="Q79" s="793"/>
      <c r="R79" s="797"/>
      <c r="S79" s="801">
        <v>0</v>
      </c>
      <c r="T79" s="386" t="s">
        <v>351</v>
      </c>
      <c r="U79" s="386" t="s">
        <v>782</v>
      </c>
      <c r="V79" s="802" t="s">
        <v>22</v>
      </c>
      <c r="W79" s="803"/>
      <c r="X79" s="386"/>
      <c r="Y79" s="386"/>
      <c r="Z79" s="386"/>
      <c r="AA79" s="804" t="str">
        <f>CONCATENATE(Camp_List[[#This Row],[Ethnicity]],"-",Camp_List[[#This Row],[Religion]])</f>
        <v>-</v>
      </c>
      <c r="AB79" s="386"/>
      <c r="AC79" s="806" t="s">
        <v>800</v>
      </c>
      <c r="AD79" s="386" t="s">
        <v>514</v>
      </c>
      <c r="AE79" s="386" t="s">
        <v>530</v>
      </c>
      <c r="AF79" s="315">
        <v>41520</v>
      </c>
      <c r="AG79" s="808"/>
      <c r="AH79" s="804">
        <f>IFERROR(VLOOKUP(Camp_List[[#This Row],[Responsible Agency]],Organization_t[],3,0),"")</f>
        <v>0</v>
      </c>
      <c r="AI79" s="813">
        <f ca="1">IF((SUMIFS(Data_Shelter_t[Coverage],Data_Shelter_t[Pcode],Camp_List[[#This Row],[P_Code]]))&gt;1,1,SUMIFS(Data_Shelter_t[Coverage],Data_Shelter_t[Pcode],Camp_List[[#This Row],[P_Code]]))</f>
        <v>0</v>
      </c>
      <c r="BL79" s="21"/>
      <c r="BM79" s="21"/>
      <c r="BO79" s="79"/>
      <c r="BP79" s="79"/>
    </row>
    <row r="80" spans="1:68" ht="15" hidden="1" customHeight="1">
      <c r="A80" s="386" t="s">
        <v>358</v>
      </c>
      <c r="B80" s="386" t="s">
        <v>7</v>
      </c>
      <c r="C80" s="386" t="s">
        <v>629</v>
      </c>
      <c r="D80" s="386" t="s">
        <v>20</v>
      </c>
      <c r="E80" s="386" t="s">
        <v>640</v>
      </c>
      <c r="F80" s="386" t="s">
        <v>20</v>
      </c>
      <c r="G80" s="386" t="s">
        <v>457</v>
      </c>
      <c r="H80" s="386" t="s">
        <v>522</v>
      </c>
      <c r="I80" s="386" t="s">
        <v>524</v>
      </c>
      <c r="J80" s="386"/>
      <c r="K80" s="386"/>
      <c r="L80" s="386" t="s">
        <v>633</v>
      </c>
      <c r="M80" s="386" t="s">
        <v>637</v>
      </c>
      <c r="N80" s="85">
        <v>92.367536000000001</v>
      </c>
      <c r="O80" s="85">
        <v>20.825500000000002</v>
      </c>
      <c r="P80" s="386"/>
      <c r="Q80" s="793"/>
      <c r="R80" s="797"/>
      <c r="S80" s="801">
        <v>0</v>
      </c>
      <c r="T80" s="386" t="s">
        <v>351</v>
      </c>
      <c r="U80" s="386" t="s">
        <v>782</v>
      </c>
      <c r="V80" s="802" t="s">
        <v>22</v>
      </c>
      <c r="W80" s="803"/>
      <c r="X80" s="386"/>
      <c r="Y80" s="386"/>
      <c r="Z80" s="386"/>
      <c r="AA80" s="804" t="str">
        <f>CONCATENATE(Camp_List[[#This Row],[Ethnicity]],"-",Camp_List[[#This Row],[Religion]])</f>
        <v>-</v>
      </c>
      <c r="AB80" s="386"/>
      <c r="AC80" s="806" t="s">
        <v>800</v>
      </c>
      <c r="AD80" s="386" t="s">
        <v>514</v>
      </c>
      <c r="AE80" s="386" t="s">
        <v>530</v>
      </c>
      <c r="AF80" s="315">
        <v>41548</v>
      </c>
      <c r="AG80" s="808"/>
      <c r="AH80" s="804">
        <f>IFERROR(VLOOKUP(Camp_List[[#This Row],[Responsible Agency]],Organization_t[],3,0),"")</f>
        <v>0</v>
      </c>
      <c r="AI80" s="813">
        <f>IF((SUMIFS(Data_Shelter_t[Coverage],Data_Shelter_t[Pcode],Camp_List[[#This Row],[P_Code]]))&gt;1,1,SUMIFS(Data_Shelter_t[Coverage],Data_Shelter_t[Pcode],Camp_List[[#This Row],[P_Code]]))</f>
        <v>0</v>
      </c>
      <c r="BL80" s="21"/>
      <c r="BM80" s="21"/>
      <c r="BO80" s="79"/>
      <c r="BP80" s="79"/>
    </row>
    <row r="81" spans="1:68" ht="15" hidden="1" customHeight="1">
      <c r="A81" s="386" t="s">
        <v>358</v>
      </c>
      <c r="B81" s="386" t="s">
        <v>7</v>
      </c>
      <c r="C81" s="386" t="s">
        <v>360</v>
      </c>
      <c r="D81" s="386" t="s">
        <v>20</v>
      </c>
      <c r="E81" s="386" t="s">
        <v>640</v>
      </c>
      <c r="F81" s="386" t="s">
        <v>20</v>
      </c>
      <c r="G81" s="386" t="s">
        <v>457</v>
      </c>
      <c r="H81" s="386" t="s">
        <v>461</v>
      </c>
      <c r="I81" s="386" t="s">
        <v>460</v>
      </c>
      <c r="J81" s="386" t="s">
        <v>470</v>
      </c>
      <c r="K81" s="386">
        <v>198049</v>
      </c>
      <c r="L81" s="386" t="s">
        <v>111</v>
      </c>
      <c r="M81" s="386" t="s">
        <v>200</v>
      </c>
      <c r="N81" s="85">
        <v>92.435074999999998</v>
      </c>
      <c r="O81" s="85">
        <v>20.714532999999999</v>
      </c>
      <c r="P81" s="386"/>
      <c r="Q81" s="793"/>
      <c r="R81" s="797"/>
      <c r="S81" s="801">
        <v>0</v>
      </c>
      <c r="T81" s="386" t="s">
        <v>351</v>
      </c>
      <c r="U81" s="386" t="s">
        <v>782</v>
      </c>
      <c r="V81" s="802" t="s">
        <v>23</v>
      </c>
      <c r="W81" s="803"/>
      <c r="X81" s="386"/>
      <c r="Y81" s="386"/>
      <c r="Z81" s="386"/>
      <c r="AA81" s="804" t="str">
        <f>CONCATENATE(Camp_List[[#This Row],[Ethnicity]],"-",Camp_List[[#This Row],[Religion]])</f>
        <v>-</v>
      </c>
      <c r="AB81" s="386"/>
      <c r="AC81" s="806" t="s">
        <v>800</v>
      </c>
      <c r="AD81" s="386" t="s">
        <v>514</v>
      </c>
      <c r="AE81" s="386" t="s">
        <v>530</v>
      </c>
      <c r="AF81" s="315">
        <v>41520</v>
      </c>
      <c r="AG81" s="808"/>
      <c r="AH81" s="804">
        <f>IFERROR(VLOOKUP(Camp_List[[#This Row],[Responsible Agency]],Organization_t[],3,0),"")</f>
        <v>0</v>
      </c>
      <c r="AI81" s="813">
        <f>IF((SUMIFS(Data_Shelter_t[Coverage],Data_Shelter_t[Pcode],Camp_List[[#This Row],[P_Code]]))&gt;1,1,SUMIFS(Data_Shelter_t[Coverage],Data_Shelter_t[Pcode],Camp_List[[#This Row],[P_Code]]))</f>
        <v>0</v>
      </c>
      <c r="BL81" s="21"/>
      <c r="BM81" s="21"/>
      <c r="BO81" s="79"/>
      <c r="BP81" s="79"/>
    </row>
    <row r="82" spans="1:68" ht="15" hidden="1" customHeight="1">
      <c r="A82" s="386" t="s">
        <v>358</v>
      </c>
      <c r="B82" s="386" t="s">
        <v>7</v>
      </c>
      <c r="C82" s="386" t="s">
        <v>360</v>
      </c>
      <c r="D82" s="386" t="s">
        <v>20</v>
      </c>
      <c r="E82" s="386" t="s">
        <v>640</v>
      </c>
      <c r="F82" s="386" t="s">
        <v>20</v>
      </c>
      <c r="G82" s="386" t="s">
        <v>457</v>
      </c>
      <c r="H82" s="386" t="s">
        <v>461</v>
      </c>
      <c r="I82" s="386" t="s">
        <v>460</v>
      </c>
      <c r="J82" s="386" t="s">
        <v>461</v>
      </c>
      <c r="K82" s="386">
        <v>198045</v>
      </c>
      <c r="L82" s="386" t="s">
        <v>109</v>
      </c>
      <c r="M82" s="386" t="s">
        <v>198</v>
      </c>
      <c r="N82" s="85">
        <v>92.426885999999996</v>
      </c>
      <c r="O82" s="85">
        <v>20.717331000000001</v>
      </c>
      <c r="P82" s="386"/>
      <c r="Q82" s="793"/>
      <c r="R82" s="797"/>
      <c r="S82" s="801">
        <v>0</v>
      </c>
      <c r="T82" s="386" t="s">
        <v>351</v>
      </c>
      <c r="U82" s="386" t="s">
        <v>782</v>
      </c>
      <c r="V82" s="802" t="s">
        <v>23</v>
      </c>
      <c r="W82" s="803"/>
      <c r="X82" s="386"/>
      <c r="Y82" s="386"/>
      <c r="Z82" s="386"/>
      <c r="AA82" s="804" t="str">
        <f>CONCATENATE(Camp_List[[#This Row],[Ethnicity]],"-",Camp_List[[#This Row],[Religion]])</f>
        <v>-</v>
      </c>
      <c r="AB82" s="386"/>
      <c r="AC82" s="806" t="s">
        <v>800</v>
      </c>
      <c r="AD82" s="386" t="s">
        <v>514</v>
      </c>
      <c r="AE82" s="386" t="s">
        <v>530</v>
      </c>
      <c r="AF82" s="315">
        <v>41520</v>
      </c>
      <c r="AG82" s="808"/>
      <c r="AH82" s="804">
        <f>IFERROR(VLOOKUP(Camp_List[[#This Row],[Responsible Agency]],Organization_t[],3,0),"")</f>
        <v>0</v>
      </c>
      <c r="AI82" s="813">
        <f>IF((SUMIFS(Data_Shelter_t[Coverage],Data_Shelter_t[Pcode],Camp_List[[#This Row],[P_Code]]))&gt;1,1,SUMIFS(Data_Shelter_t[Coverage],Data_Shelter_t[Pcode],Camp_List[[#This Row],[P_Code]]))</f>
        <v>0</v>
      </c>
      <c r="BL82" s="21"/>
      <c r="BM82" s="21"/>
      <c r="BO82" s="79"/>
      <c r="BP82" s="79"/>
    </row>
    <row r="83" spans="1:68" ht="15" hidden="1" customHeight="1">
      <c r="A83" s="386" t="s">
        <v>358</v>
      </c>
      <c r="B83" s="386" t="s">
        <v>7</v>
      </c>
      <c r="C83" s="386" t="s">
        <v>630</v>
      </c>
      <c r="D83" s="386" t="s">
        <v>20</v>
      </c>
      <c r="E83" s="386" t="s">
        <v>640</v>
      </c>
      <c r="F83" s="386" t="s">
        <v>20</v>
      </c>
      <c r="G83" s="386" t="s">
        <v>457</v>
      </c>
      <c r="H83" s="386" t="s">
        <v>522</v>
      </c>
      <c r="I83" s="386" t="s">
        <v>524</v>
      </c>
      <c r="J83" s="386"/>
      <c r="K83" s="386"/>
      <c r="L83" s="386" t="s">
        <v>634</v>
      </c>
      <c r="M83" s="386" t="s">
        <v>638</v>
      </c>
      <c r="N83" s="85">
        <v>92.367932999999994</v>
      </c>
      <c r="O83" s="85">
        <v>20.825417000000002</v>
      </c>
      <c r="P83" s="386"/>
      <c r="Q83" s="793"/>
      <c r="R83" s="797"/>
      <c r="S83" s="801">
        <v>0</v>
      </c>
      <c r="T83" s="386" t="s">
        <v>351</v>
      </c>
      <c r="U83" s="386" t="s">
        <v>782</v>
      </c>
      <c r="V83" s="802" t="s">
        <v>23</v>
      </c>
      <c r="W83" s="803"/>
      <c r="X83" s="386"/>
      <c r="Y83" s="386"/>
      <c r="Z83" s="386"/>
      <c r="AA83" s="804" t="str">
        <f>CONCATENATE(Camp_List[[#This Row],[Ethnicity]],"-",Camp_List[[#This Row],[Religion]])</f>
        <v>-</v>
      </c>
      <c r="AB83" s="386"/>
      <c r="AC83" s="806" t="s">
        <v>800</v>
      </c>
      <c r="AD83" s="386" t="s">
        <v>514</v>
      </c>
      <c r="AE83" s="386" t="s">
        <v>530</v>
      </c>
      <c r="AF83" s="315">
        <v>41548</v>
      </c>
      <c r="AG83" s="808"/>
      <c r="AH83" s="804">
        <f>IFERROR(VLOOKUP(Camp_List[[#This Row],[Responsible Agency]],Organization_t[],3,0),"")</f>
        <v>0</v>
      </c>
      <c r="AI83" s="813">
        <f>IF((SUMIFS(Data_Shelter_t[Coverage],Data_Shelter_t[Pcode],Camp_List[[#This Row],[P_Code]]))&gt;1,1,SUMIFS(Data_Shelter_t[Coverage],Data_Shelter_t[Pcode],Camp_List[[#This Row],[P_Code]]))</f>
        <v>0</v>
      </c>
      <c r="BL83" s="21"/>
      <c r="BM83" s="21"/>
      <c r="BO83" s="79"/>
      <c r="BP83" s="79"/>
    </row>
    <row r="84" spans="1:68" ht="15" hidden="1" customHeight="1">
      <c r="A84" s="386" t="s">
        <v>358</v>
      </c>
      <c r="B84" s="386" t="s">
        <v>7</v>
      </c>
      <c r="C84" s="386" t="s">
        <v>360</v>
      </c>
      <c r="D84" s="386"/>
      <c r="E84" s="386"/>
      <c r="F84" s="386" t="s">
        <v>11</v>
      </c>
      <c r="G84" s="386" t="s">
        <v>361</v>
      </c>
      <c r="H84" s="386" t="s">
        <v>373</v>
      </c>
      <c r="I84" s="386" t="s">
        <v>372</v>
      </c>
      <c r="J84" s="386" t="s">
        <v>495</v>
      </c>
      <c r="K84" s="386">
        <v>197063</v>
      </c>
      <c r="L84" s="386" t="s">
        <v>28</v>
      </c>
      <c r="M84" s="386" t="s">
        <v>115</v>
      </c>
      <c r="N84" s="85">
        <v>93.258476000000002</v>
      </c>
      <c r="O84" s="85">
        <v>20.554084</v>
      </c>
      <c r="P84" s="386"/>
      <c r="Q84" s="793"/>
      <c r="R84" s="797"/>
      <c r="S84" s="801">
        <v>0</v>
      </c>
      <c r="T84" s="386" t="s">
        <v>351</v>
      </c>
      <c r="U84" s="386" t="s">
        <v>782</v>
      </c>
      <c r="V84" s="802" t="s">
        <v>23</v>
      </c>
      <c r="W84" s="803"/>
      <c r="X84" s="386"/>
      <c r="Y84" s="386"/>
      <c r="Z84" s="386"/>
      <c r="AA84" s="804" t="str">
        <f>CONCATENATE(Camp_List[[#This Row],[Ethnicity]],"-",Camp_List[[#This Row],[Religion]])</f>
        <v>-</v>
      </c>
      <c r="AB84" s="386"/>
      <c r="AC84" s="806" t="s">
        <v>800</v>
      </c>
      <c r="AD84" s="386" t="s">
        <v>514</v>
      </c>
      <c r="AE84" s="386" t="s">
        <v>530</v>
      </c>
      <c r="AF84" s="315">
        <v>41520</v>
      </c>
      <c r="AG84" s="808"/>
      <c r="AH84" s="804">
        <f>IFERROR(VLOOKUP(Camp_List[[#This Row],[Responsible Agency]],Organization_t[],3,0),"")</f>
        <v>0</v>
      </c>
      <c r="AI84" s="813">
        <f>IF((SUMIFS(Data_Shelter_t[Coverage],Data_Shelter_t[Pcode],Camp_List[[#This Row],[P_Code]]))&gt;1,1,SUMIFS(Data_Shelter_t[Coverage],Data_Shelter_t[Pcode],Camp_List[[#This Row],[P_Code]]))</f>
        <v>0</v>
      </c>
      <c r="BL84" s="21"/>
      <c r="BM84" s="21"/>
      <c r="BO84" s="79"/>
      <c r="BP84" s="79"/>
    </row>
    <row r="85" spans="1:68" ht="15" hidden="1" customHeight="1">
      <c r="A85" s="386" t="s">
        <v>358</v>
      </c>
      <c r="B85" s="386" t="s">
        <v>7</v>
      </c>
      <c r="C85" s="386" t="s">
        <v>360</v>
      </c>
      <c r="D85" s="386"/>
      <c r="E85" s="386"/>
      <c r="F85" s="386" t="s">
        <v>11</v>
      </c>
      <c r="G85" s="386" t="s">
        <v>361</v>
      </c>
      <c r="H85" s="386" t="s">
        <v>365</v>
      </c>
      <c r="I85" s="386" t="s">
        <v>364</v>
      </c>
      <c r="J85" s="386" t="s">
        <v>31</v>
      </c>
      <c r="K85" s="386">
        <v>197021</v>
      </c>
      <c r="L85" s="386" t="s">
        <v>31</v>
      </c>
      <c r="M85" s="386" t="s">
        <v>118</v>
      </c>
      <c r="N85" s="85">
        <v>93.321956999999998</v>
      </c>
      <c r="O85" s="85">
        <v>20.403735999999999</v>
      </c>
      <c r="P85" s="386"/>
      <c r="Q85" s="793"/>
      <c r="R85" s="797"/>
      <c r="S85" s="801">
        <v>0</v>
      </c>
      <c r="T85" s="386" t="s">
        <v>351</v>
      </c>
      <c r="U85" s="386" t="s">
        <v>782</v>
      </c>
      <c r="V85" s="802" t="s">
        <v>23</v>
      </c>
      <c r="W85" s="803"/>
      <c r="X85" s="386"/>
      <c r="Y85" s="386"/>
      <c r="Z85" s="386"/>
      <c r="AA85" s="804" t="str">
        <f>CONCATENATE(Camp_List[[#This Row],[Ethnicity]],"-",Camp_List[[#This Row],[Religion]])</f>
        <v>-</v>
      </c>
      <c r="AB85" s="386"/>
      <c r="AC85" s="806" t="s">
        <v>800</v>
      </c>
      <c r="AD85" s="386" t="s">
        <v>514</v>
      </c>
      <c r="AE85" s="386" t="s">
        <v>530</v>
      </c>
      <c r="AF85" s="315">
        <v>41520</v>
      </c>
      <c r="AG85" s="808"/>
      <c r="AH85" s="804">
        <f>IFERROR(VLOOKUP(Camp_List[[#This Row],[Responsible Agency]],Organization_t[],3,0),"")</f>
        <v>0</v>
      </c>
      <c r="AI85" s="813">
        <f>IF((SUMIFS(Data_Shelter_t[Coverage],Data_Shelter_t[Pcode],Camp_List[[#This Row],[P_Code]]))&gt;1,1,SUMIFS(Data_Shelter_t[Coverage],Data_Shelter_t[Pcode],Camp_List[[#This Row],[P_Code]]))</f>
        <v>0</v>
      </c>
      <c r="BL85" s="21"/>
      <c r="BM85" s="21"/>
      <c r="BO85" s="79"/>
      <c r="BP85" s="79"/>
    </row>
    <row r="86" spans="1:68" ht="15" hidden="1" customHeight="1">
      <c r="A86" s="386" t="s">
        <v>358</v>
      </c>
      <c r="B86" s="386" t="s">
        <v>7</v>
      </c>
      <c r="C86" s="386" t="s">
        <v>360</v>
      </c>
      <c r="D86" s="386" t="s">
        <v>19</v>
      </c>
      <c r="E86" s="386" t="s">
        <v>622</v>
      </c>
      <c r="F86" s="386" t="s">
        <v>12</v>
      </c>
      <c r="G86" s="386" t="s">
        <v>374</v>
      </c>
      <c r="H86" s="386" t="s">
        <v>522</v>
      </c>
      <c r="I86" s="386" t="s">
        <v>521</v>
      </c>
      <c r="J86" s="386"/>
      <c r="K86" s="386"/>
      <c r="L86" s="386" t="s">
        <v>35</v>
      </c>
      <c r="M86" s="386" t="s">
        <v>122</v>
      </c>
      <c r="N86" s="85">
        <v>93.187995999999998</v>
      </c>
      <c r="O86" s="85">
        <v>20.589569000000001</v>
      </c>
      <c r="P86" s="386" t="s">
        <v>942</v>
      </c>
      <c r="Q86" s="793"/>
      <c r="R86" s="797"/>
      <c r="S86" s="801">
        <v>0</v>
      </c>
      <c r="T86" s="386" t="s">
        <v>351</v>
      </c>
      <c r="U86" s="386" t="s">
        <v>782</v>
      </c>
      <c r="V86" s="802" t="s">
        <v>21</v>
      </c>
      <c r="W86" s="803"/>
      <c r="X86" s="386"/>
      <c r="Y86" s="386"/>
      <c r="Z86" s="386"/>
      <c r="AA86" s="804" t="str">
        <f>CONCATENATE(Camp_List[[#This Row],[Ethnicity]],"-",Camp_List[[#This Row],[Religion]])</f>
        <v>-</v>
      </c>
      <c r="AB86" s="386"/>
      <c r="AC86" s="806" t="s">
        <v>800</v>
      </c>
      <c r="AD86" s="386" t="s">
        <v>514</v>
      </c>
      <c r="AE86" s="386" t="s">
        <v>530</v>
      </c>
      <c r="AF86" s="315">
        <v>41548</v>
      </c>
      <c r="AG86" s="808" t="s">
        <v>523</v>
      </c>
      <c r="AH86" s="804">
        <f>IFERROR(VLOOKUP(Camp_List[[#This Row],[Responsible Agency]],Organization_t[],3,0),"")</f>
        <v>0</v>
      </c>
      <c r="AI86" s="813">
        <f>IF((SUMIFS(Data_Shelter_t[Coverage],Data_Shelter_t[Pcode],Camp_List[[#This Row],[P_Code]]))&gt;1,1,SUMIFS(Data_Shelter_t[Coverage],Data_Shelter_t[Pcode],Camp_List[[#This Row],[P_Code]]))</f>
        <v>0</v>
      </c>
      <c r="BL86" s="21"/>
      <c r="BM86" s="21"/>
      <c r="BO86" s="79"/>
      <c r="BP86" s="79"/>
    </row>
    <row r="87" spans="1:68" ht="15" hidden="1" customHeight="1">
      <c r="A87" s="386" t="s">
        <v>358</v>
      </c>
      <c r="B87" s="386" t="s">
        <v>7</v>
      </c>
      <c r="C87" s="386" t="s">
        <v>360</v>
      </c>
      <c r="D87" s="386" t="s">
        <v>19</v>
      </c>
      <c r="E87" s="386" t="s">
        <v>622</v>
      </c>
      <c r="F87" s="386" t="s">
        <v>14</v>
      </c>
      <c r="G87" s="386" t="s">
        <v>381</v>
      </c>
      <c r="H87" s="386" t="s">
        <v>43</v>
      </c>
      <c r="I87" s="386" t="s">
        <v>385</v>
      </c>
      <c r="J87" s="386" t="s">
        <v>498</v>
      </c>
      <c r="K87" s="386">
        <v>197548</v>
      </c>
      <c r="L87" s="386" t="s">
        <v>556</v>
      </c>
      <c r="M87" s="386" t="s">
        <v>280</v>
      </c>
      <c r="N87" s="85">
        <v>92.993758999999997</v>
      </c>
      <c r="O87" s="85">
        <v>20.064226000000001</v>
      </c>
      <c r="P87" s="386"/>
      <c r="Q87" s="793"/>
      <c r="R87" s="797"/>
      <c r="S87" s="801">
        <v>0</v>
      </c>
      <c r="T87" s="386" t="s">
        <v>351</v>
      </c>
      <c r="U87" s="386" t="s">
        <v>782</v>
      </c>
      <c r="V87" s="802" t="s">
        <v>23</v>
      </c>
      <c r="W87" s="803"/>
      <c r="X87" s="386"/>
      <c r="Y87" s="386"/>
      <c r="Z87" s="386"/>
      <c r="AA87" s="804" t="str">
        <f>CONCATENATE(Camp_List[[#This Row],[Ethnicity]],"-",Camp_List[[#This Row],[Religion]])</f>
        <v>-</v>
      </c>
      <c r="AB87" s="386"/>
      <c r="AC87" s="806" t="s">
        <v>800</v>
      </c>
      <c r="AD87" s="386" t="s">
        <v>514</v>
      </c>
      <c r="AE87" s="386" t="s">
        <v>530</v>
      </c>
      <c r="AF87" s="315">
        <v>42447</v>
      </c>
      <c r="AG87" s="808" t="s">
        <v>675</v>
      </c>
      <c r="AH87" s="804">
        <f>IFERROR(VLOOKUP(Camp_List[[#This Row],[Responsible Agency]],Organization_t[],3,0),"")</f>
        <v>0</v>
      </c>
      <c r="AI87" s="813">
        <f>IF((SUMIFS(Data_Shelter_t[Coverage],Data_Shelter_t[Pcode],Camp_List[[#This Row],[P_Code]]))&gt;1,1,SUMIFS(Data_Shelter_t[Coverage],Data_Shelter_t[Pcode],Camp_List[[#This Row],[P_Code]]))</f>
        <v>0</v>
      </c>
      <c r="BL87" s="21"/>
      <c r="BM87" s="21"/>
      <c r="BO87" s="79"/>
      <c r="BP87" s="79"/>
    </row>
    <row r="88" spans="1:68" ht="15" hidden="1" customHeight="1">
      <c r="A88" s="386" t="s">
        <v>358</v>
      </c>
      <c r="B88" s="386" t="s">
        <v>7</v>
      </c>
      <c r="C88" s="386" t="s">
        <v>360</v>
      </c>
      <c r="D88" s="386" t="s">
        <v>19</v>
      </c>
      <c r="E88" s="386" t="s">
        <v>622</v>
      </c>
      <c r="F88" s="386" t="s">
        <v>19</v>
      </c>
      <c r="G88" s="386" t="s">
        <v>422</v>
      </c>
      <c r="H88" s="386" t="s">
        <v>433</v>
      </c>
      <c r="I88" s="386" t="s">
        <v>575</v>
      </c>
      <c r="J88" s="386"/>
      <c r="K88" s="386" t="s">
        <v>434</v>
      </c>
      <c r="L88" s="386" t="s">
        <v>91</v>
      </c>
      <c r="M88" s="386" t="s">
        <v>180</v>
      </c>
      <c r="N88" s="85">
        <v>92.895899999999997</v>
      </c>
      <c r="O88" s="85">
        <v>20.1538</v>
      </c>
      <c r="P88" s="386"/>
      <c r="Q88" s="793"/>
      <c r="R88" s="797"/>
      <c r="S88" s="801">
        <v>0</v>
      </c>
      <c r="T88" s="386" t="s">
        <v>351</v>
      </c>
      <c r="U88" s="386" t="s">
        <v>782</v>
      </c>
      <c r="V88" s="802" t="s">
        <v>21</v>
      </c>
      <c r="W88" s="803"/>
      <c r="X88" s="386"/>
      <c r="Y88" s="386"/>
      <c r="Z88" s="386"/>
      <c r="AA88" s="804" t="str">
        <f>CONCATENATE(Camp_List[[#This Row],[Ethnicity]],"-",Camp_List[[#This Row],[Religion]])</f>
        <v>-</v>
      </c>
      <c r="AB88" s="386"/>
      <c r="AC88" s="806" t="s">
        <v>800</v>
      </c>
      <c r="AD88" s="386" t="s">
        <v>514</v>
      </c>
      <c r="AE88" s="386" t="s">
        <v>530</v>
      </c>
      <c r="AF88" s="315">
        <v>41520</v>
      </c>
      <c r="AG88" s="808"/>
      <c r="AH88" s="804">
        <f>IFERROR(VLOOKUP(Camp_List[[#This Row],[Responsible Agency]],Organization_t[],3,0),"")</f>
        <v>0</v>
      </c>
      <c r="AI88" s="813">
        <f>IF((SUMIFS(Data_Shelter_t[Coverage],Data_Shelter_t[Pcode],Camp_List[[#This Row],[P_Code]]))&gt;1,1,SUMIFS(Data_Shelter_t[Coverage],Data_Shelter_t[Pcode],Camp_List[[#This Row],[P_Code]]))</f>
        <v>0</v>
      </c>
      <c r="BL88" s="21"/>
      <c r="BM88" s="21"/>
      <c r="BO88" s="79"/>
      <c r="BP88" s="79"/>
    </row>
    <row r="89" spans="1:68" ht="15" hidden="1" customHeight="1">
      <c r="A89" s="386" t="s">
        <v>358</v>
      </c>
      <c r="B89" s="386" t="s">
        <v>7</v>
      </c>
      <c r="C89" s="386" t="s">
        <v>360</v>
      </c>
      <c r="D89" s="386" t="s">
        <v>19</v>
      </c>
      <c r="E89" s="386" t="s">
        <v>622</v>
      </c>
      <c r="F89" s="386" t="s">
        <v>19</v>
      </c>
      <c r="G89" s="386" t="s">
        <v>422</v>
      </c>
      <c r="H89" s="386" t="s">
        <v>441</v>
      </c>
      <c r="I89" s="386" t="s">
        <v>575</v>
      </c>
      <c r="J89" s="386"/>
      <c r="K89" s="386" t="s">
        <v>442</v>
      </c>
      <c r="L89" s="386" t="s">
        <v>81</v>
      </c>
      <c r="M89" s="386" t="s">
        <v>170</v>
      </c>
      <c r="N89" s="85">
        <v>92.894568000000007</v>
      </c>
      <c r="O89" s="85">
        <v>20.145585000000001</v>
      </c>
      <c r="P89" s="386"/>
      <c r="Q89" s="793"/>
      <c r="R89" s="797"/>
      <c r="S89" s="801">
        <v>0</v>
      </c>
      <c r="T89" s="386" t="s">
        <v>351</v>
      </c>
      <c r="U89" s="386" t="s">
        <v>782</v>
      </c>
      <c r="V89" s="802" t="s">
        <v>21</v>
      </c>
      <c r="W89" s="803"/>
      <c r="X89" s="386"/>
      <c r="Y89" s="386"/>
      <c r="Z89" s="386"/>
      <c r="AA89" s="804" t="str">
        <f>CONCATENATE(Camp_List[[#This Row],[Ethnicity]],"-",Camp_List[[#This Row],[Religion]])</f>
        <v>-</v>
      </c>
      <c r="AB89" s="386"/>
      <c r="AC89" s="806" t="s">
        <v>800</v>
      </c>
      <c r="AD89" s="386" t="s">
        <v>514</v>
      </c>
      <c r="AE89" s="386" t="s">
        <v>530</v>
      </c>
      <c r="AF89" s="315">
        <v>41520</v>
      </c>
      <c r="AG89" s="808"/>
      <c r="AH89" s="804">
        <f>IFERROR(VLOOKUP(Camp_List[[#This Row],[Responsible Agency]],Organization_t[],3,0),"")</f>
        <v>0</v>
      </c>
      <c r="AI89" s="813">
        <f>IF((SUMIFS(Data_Shelter_t[Coverage],Data_Shelter_t[Pcode],Camp_List[[#This Row],[P_Code]]))&gt;1,1,SUMIFS(Data_Shelter_t[Coverage],Data_Shelter_t[Pcode],Camp_List[[#This Row],[P_Code]]))</f>
        <v>0</v>
      </c>
      <c r="BL89" s="21"/>
      <c r="BM89" s="21"/>
      <c r="BO89" s="79"/>
      <c r="BP89" s="79"/>
    </row>
    <row r="90" spans="1:68" ht="15" hidden="1" customHeight="1">
      <c r="A90" s="386" t="s">
        <v>358</v>
      </c>
      <c r="B90" s="386" t="s">
        <v>7</v>
      </c>
      <c r="C90" s="386" t="s">
        <v>360</v>
      </c>
      <c r="D90" s="386" t="s">
        <v>19</v>
      </c>
      <c r="E90" s="386" t="s">
        <v>622</v>
      </c>
      <c r="F90" s="386" t="s">
        <v>19</v>
      </c>
      <c r="G90" s="386" t="s">
        <v>422</v>
      </c>
      <c r="H90" s="386" t="s">
        <v>443</v>
      </c>
      <c r="I90" s="386" t="s">
        <v>575</v>
      </c>
      <c r="J90" s="386"/>
      <c r="K90" s="386" t="s">
        <v>449</v>
      </c>
      <c r="L90" s="386" t="s">
        <v>82</v>
      </c>
      <c r="M90" s="386" t="s">
        <v>171</v>
      </c>
      <c r="N90" s="85">
        <v>92.898398</v>
      </c>
      <c r="O90" s="85">
        <v>20.152559</v>
      </c>
      <c r="P90" s="386"/>
      <c r="Q90" s="793"/>
      <c r="R90" s="797"/>
      <c r="S90" s="801">
        <v>0</v>
      </c>
      <c r="T90" s="386" t="s">
        <v>351</v>
      </c>
      <c r="U90" s="386" t="s">
        <v>782</v>
      </c>
      <c r="V90" s="802" t="s">
        <v>21</v>
      </c>
      <c r="W90" s="803"/>
      <c r="X90" s="386"/>
      <c r="Y90" s="386"/>
      <c r="Z90" s="386"/>
      <c r="AA90" s="804" t="str">
        <f>CONCATENATE(Camp_List[[#This Row],[Ethnicity]],"-",Camp_List[[#This Row],[Religion]])</f>
        <v>-</v>
      </c>
      <c r="AB90" s="386"/>
      <c r="AC90" s="806" t="s">
        <v>800</v>
      </c>
      <c r="AD90" s="386" t="s">
        <v>514</v>
      </c>
      <c r="AE90" s="386" t="s">
        <v>530</v>
      </c>
      <c r="AF90" s="315">
        <v>41520</v>
      </c>
      <c r="AG90" s="808"/>
      <c r="AH90" s="804">
        <f>IFERROR(VLOOKUP(Camp_List[[#This Row],[Responsible Agency]],Organization_t[],3,0),"")</f>
        <v>0</v>
      </c>
      <c r="AI90" s="813">
        <f>IF((SUMIFS(Data_Shelter_t[Coverage],Data_Shelter_t[Pcode],Camp_List[[#This Row],[P_Code]]))&gt;1,1,SUMIFS(Data_Shelter_t[Coverage],Data_Shelter_t[Pcode],Camp_List[[#This Row],[P_Code]]))</f>
        <v>0</v>
      </c>
      <c r="BL90" s="21"/>
      <c r="BM90" s="21"/>
      <c r="BO90" s="79"/>
      <c r="BP90" s="79"/>
    </row>
    <row r="91" spans="1:68" ht="15" hidden="1" customHeight="1">
      <c r="A91" s="386" t="s">
        <v>358</v>
      </c>
      <c r="B91" s="386" t="s">
        <v>7</v>
      </c>
      <c r="C91" s="386" t="s">
        <v>360</v>
      </c>
      <c r="D91" s="386" t="s">
        <v>19</v>
      </c>
      <c r="E91" s="386" t="s">
        <v>622</v>
      </c>
      <c r="F91" s="386" t="s">
        <v>19</v>
      </c>
      <c r="G91" s="386" t="s">
        <v>422</v>
      </c>
      <c r="H91" s="386" t="s">
        <v>441</v>
      </c>
      <c r="I91" s="386" t="s">
        <v>575</v>
      </c>
      <c r="J91" s="386"/>
      <c r="K91" s="386" t="s">
        <v>442</v>
      </c>
      <c r="L91" s="386" t="s">
        <v>95</v>
      </c>
      <c r="M91" s="386" t="s">
        <v>184</v>
      </c>
      <c r="N91" s="85">
        <v>92.895600000000002</v>
      </c>
      <c r="O91" s="85">
        <v>20.146916999999998</v>
      </c>
      <c r="P91" s="386"/>
      <c r="Q91" s="793"/>
      <c r="R91" s="797"/>
      <c r="S91" s="801">
        <v>0</v>
      </c>
      <c r="T91" s="386" t="s">
        <v>351</v>
      </c>
      <c r="U91" s="386" t="s">
        <v>782</v>
      </c>
      <c r="V91" s="802" t="s">
        <v>21</v>
      </c>
      <c r="W91" s="803"/>
      <c r="X91" s="386"/>
      <c r="Y91" s="386"/>
      <c r="Z91" s="386"/>
      <c r="AA91" s="804" t="str">
        <f>CONCATENATE(Camp_List[[#This Row],[Ethnicity]],"-",Camp_List[[#This Row],[Religion]])</f>
        <v>-</v>
      </c>
      <c r="AB91" s="386"/>
      <c r="AC91" s="806" t="s">
        <v>800</v>
      </c>
      <c r="AD91" s="386" t="s">
        <v>514</v>
      </c>
      <c r="AE91" s="386" t="s">
        <v>530</v>
      </c>
      <c r="AF91" s="315">
        <v>41520</v>
      </c>
      <c r="AG91" s="808"/>
      <c r="AH91" s="804">
        <f>IFERROR(VLOOKUP(Camp_List[[#This Row],[Responsible Agency]],Organization_t[],3,0),"")</f>
        <v>0</v>
      </c>
      <c r="AI91" s="813">
        <f>IF((SUMIFS(Data_Shelter_t[Coverage],Data_Shelter_t[Pcode],Camp_List[[#This Row],[P_Code]]))&gt;1,1,SUMIFS(Data_Shelter_t[Coverage],Data_Shelter_t[Pcode],Camp_List[[#This Row],[P_Code]]))</f>
        <v>0</v>
      </c>
      <c r="BL91" s="21"/>
      <c r="BM91" s="21"/>
      <c r="BO91" s="79"/>
      <c r="BP91" s="79"/>
    </row>
    <row r="92" spans="1:68" ht="15" hidden="1" customHeight="1">
      <c r="A92" s="386" t="s">
        <v>358</v>
      </c>
      <c r="B92" s="386" t="s">
        <v>7</v>
      </c>
      <c r="C92" s="386" t="s">
        <v>360</v>
      </c>
      <c r="D92" s="386" t="s">
        <v>19</v>
      </c>
      <c r="E92" s="386" t="s">
        <v>622</v>
      </c>
      <c r="F92" s="386" t="s">
        <v>19</v>
      </c>
      <c r="G92" s="386" t="s">
        <v>422</v>
      </c>
      <c r="H92" s="386" t="s">
        <v>433</v>
      </c>
      <c r="I92" s="386" t="s">
        <v>575</v>
      </c>
      <c r="J92" s="386"/>
      <c r="K92" s="386" t="s">
        <v>434</v>
      </c>
      <c r="L92" s="386" t="s">
        <v>83</v>
      </c>
      <c r="M92" s="386" t="s">
        <v>172</v>
      </c>
      <c r="N92" s="85">
        <v>92.896409000000006</v>
      </c>
      <c r="O92" s="85">
        <v>20.153753999999999</v>
      </c>
      <c r="P92" s="386"/>
      <c r="Q92" s="793"/>
      <c r="R92" s="797"/>
      <c r="S92" s="801">
        <v>0</v>
      </c>
      <c r="T92" s="386" t="s">
        <v>351</v>
      </c>
      <c r="U92" s="386" t="s">
        <v>782</v>
      </c>
      <c r="V92" s="802" t="s">
        <v>21</v>
      </c>
      <c r="W92" s="803"/>
      <c r="X92" s="386"/>
      <c r="Y92" s="386"/>
      <c r="Z92" s="386"/>
      <c r="AA92" s="804" t="str">
        <f>CONCATENATE(Camp_List[[#This Row],[Ethnicity]],"-",Camp_List[[#This Row],[Religion]])</f>
        <v>-</v>
      </c>
      <c r="AB92" s="386"/>
      <c r="AC92" s="806" t="s">
        <v>800</v>
      </c>
      <c r="AD92" s="386" t="s">
        <v>514</v>
      </c>
      <c r="AE92" s="386" t="s">
        <v>530</v>
      </c>
      <c r="AF92" s="315">
        <v>41520</v>
      </c>
      <c r="AG92" s="808"/>
      <c r="AH92" s="804">
        <f>IFERROR(VLOOKUP(Camp_List[[#This Row],[Responsible Agency]],Organization_t[],3,0),"")</f>
        <v>0</v>
      </c>
      <c r="AI92" s="813">
        <f>IF((SUMIFS(Data_Shelter_t[Coverage],Data_Shelter_t[Pcode],Camp_List[[#This Row],[P_Code]]))&gt;1,1,SUMIFS(Data_Shelter_t[Coverage],Data_Shelter_t[Pcode],Camp_List[[#This Row],[P_Code]]))</f>
        <v>0</v>
      </c>
      <c r="BL92" s="21"/>
      <c r="BM92" s="21"/>
      <c r="BO92" s="79"/>
      <c r="BP92" s="79"/>
    </row>
    <row r="93" spans="1:68" ht="15" hidden="1" customHeight="1">
      <c r="A93" s="386" t="s">
        <v>358</v>
      </c>
      <c r="B93" s="386" t="s">
        <v>7</v>
      </c>
      <c r="C93" s="386" t="s">
        <v>360</v>
      </c>
      <c r="D93" s="386" t="s">
        <v>19</v>
      </c>
      <c r="E93" s="386" t="s">
        <v>622</v>
      </c>
      <c r="F93" s="386" t="s">
        <v>19</v>
      </c>
      <c r="G93" s="386" t="s">
        <v>422</v>
      </c>
      <c r="H93" s="386" t="s">
        <v>448</v>
      </c>
      <c r="I93" s="386" t="s">
        <v>575</v>
      </c>
      <c r="J93" s="386"/>
      <c r="K93" s="386" t="s">
        <v>453</v>
      </c>
      <c r="L93" s="386" t="s">
        <v>93</v>
      </c>
      <c r="M93" s="386" t="s">
        <v>182</v>
      </c>
      <c r="N93" s="85">
        <v>92.894450000000006</v>
      </c>
      <c r="O93" s="85">
        <v>20.147099999999998</v>
      </c>
      <c r="P93" s="386"/>
      <c r="Q93" s="793"/>
      <c r="R93" s="797"/>
      <c r="S93" s="801">
        <v>0</v>
      </c>
      <c r="T93" s="386" t="s">
        <v>351</v>
      </c>
      <c r="U93" s="386" t="s">
        <v>782</v>
      </c>
      <c r="V93" s="802" t="s">
        <v>21</v>
      </c>
      <c r="W93" s="803"/>
      <c r="X93" s="386"/>
      <c r="Y93" s="386"/>
      <c r="Z93" s="386"/>
      <c r="AA93" s="804" t="str">
        <f>CONCATENATE(Camp_List[[#This Row],[Ethnicity]],"-",Camp_List[[#This Row],[Religion]])</f>
        <v>-</v>
      </c>
      <c r="AB93" s="386"/>
      <c r="AC93" s="806" t="s">
        <v>800</v>
      </c>
      <c r="AD93" s="386" t="s">
        <v>514</v>
      </c>
      <c r="AE93" s="386" t="s">
        <v>530</v>
      </c>
      <c r="AF93" s="315">
        <v>41520</v>
      </c>
      <c r="AG93" s="808"/>
      <c r="AH93" s="804">
        <f>IFERROR(VLOOKUP(Camp_List[[#This Row],[Responsible Agency]],Organization_t[],3,0),"")</f>
        <v>0</v>
      </c>
      <c r="AI93" s="813">
        <f>IF((SUMIFS(Data_Shelter_t[Coverage],Data_Shelter_t[Pcode],Camp_List[[#This Row],[P_Code]]))&gt;1,1,SUMIFS(Data_Shelter_t[Coverage],Data_Shelter_t[Pcode],Camp_List[[#This Row],[P_Code]]))</f>
        <v>0</v>
      </c>
      <c r="BL93" s="21"/>
      <c r="BM93" s="21"/>
      <c r="BO93" s="79"/>
      <c r="BP93" s="79"/>
    </row>
    <row r="94" spans="1:68" ht="15" hidden="1" customHeight="1">
      <c r="A94" s="386" t="s">
        <v>358</v>
      </c>
      <c r="B94" s="386" t="s">
        <v>7</v>
      </c>
      <c r="C94" s="386" t="s">
        <v>360</v>
      </c>
      <c r="D94" s="386" t="s">
        <v>19</v>
      </c>
      <c r="E94" s="386" t="s">
        <v>622</v>
      </c>
      <c r="F94" s="386" t="s">
        <v>19</v>
      </c>
      <c r="G94" s="386" t="s">
        <v>422</v>
      </c>
      <c r="H94" s="386" t="s">
        <v>444</v>
      </c>
      <c r="I94" s="386" t="s">
        <v>575</v>
      </c>
      <c r="J94" s="386"/>
      <c r="K94" s="386" t="s">
        <v>450</v>
      </c>
      <c r="L94" s="386" t="s">
        <v>84</v>
      </c>
      <c r="M94" s="386" t="s">
        <v>173</v>
      </c>
      <c r="N94" s="85">
        <v>92.896006</v>
      </c>
      <c r="O94" s="85">
        <v>20.154330999999999</v>
      </c>
      <c r="P94" s="386"/>
      <c r="Q94" s="793"/>
      <c r="R94" s="797"/>
      <c r="S94" s="801">
        <v>0</v>
      </c>
      <c r="T94" s="386" t="s">
        <v>351</v>
      </c>
      <c r="U94" s="386" t="s">
        <v>782</v>
      </c>
      <c r="V94" s="802" t="s">
        <v>21</v>
      </c>
      <c r="W94" s="803"/>
      <c r="X94" s="386"/>
      <c r="Y94" s="386"/>
      <c r="Z94" s="386"/>
      <c r="AA94" s="804" t="str">
        <f>CONCATENATE(Camp_List[[#This Row],[Ethnicity]],"-",Camp_List[[#This Row],[Religion]])</f>
        <v>-</v>
      </c>
      <c r="AB94" s="386"/>
      <c r="AC94" s="806" t="s">
        <v>800</v>
      </c>
      <c r="AD94" s="386" t="s">
        <v>514</v>
      </c>
      <c r="AE94" s="386" t="s">
        <v>530</v>
      </c>
      <c r="AF94" s="315">
        <v>41520</v>
      </c>
      <c r="AG94" s="808"/>
      <c r="AH94" s="804">
        <f>IFERROR(VLOOKUP(Camp_List[[#This Row],[Responsible Agency]],Organization_t[],3,0),"")</f>
        <v>0</v>
      </c>
      <c r="AI94" s="813">
        <f>IF((SUMIFS(Data_Shelter_t[Coverage],Data_Shelter_t[Pcode],Camp_List[[#This Row],[P_Code]]))&gt;1,1,SUMIFS(Data_Shelter_t[Coverage],Data_Shelter_t[Pcode],Camp_List[[#This Row],[P_Code]]))</f>
        <v>0</v>
      </c>
      <c r="BL94" s="21"/>
      <c r="BM94" s="21"/>
      <c r="BO94" s="79"/>
      <c r="BP94" s="79"/>
    </row>
    <row r="95" spans="1:68" ht="15" hidden="1" customHeight="1">
      <c r="A95" s="386" t="s">
        <v>358</v>
      </c>
      <c r="B95" s="386" t="s">
        <v>7</v>
      </c>
      <c r="C95" s="386" t="s">
        <v>360</v>
      </c>
      <c r="D95" s="386" t="s">
        <v>19</v>
      </c>
      <c r="E95" s="386" t="s">
        <v>622</v>
      </c>
      <c r="F95" s="386" t="s">
        <v>19</v>
      </c>
      <c r="G95" s="386" t="s">
        <v>422</v>
      </c>
      <c r="H95" s="386"/>
      <c r="I95" s="386"/>
      <c r="J95" s="386"/>
      <c r="K95" s="386"/>
      <c r="L95" s="386" t="s">
        <v>94</v>
      </c>
      <c r="M95" s="386" t="s">
        <v>183</v>
      </c>
      <c r="N95" s="85">
        <v>92.893904000000006</v>
      </c>
      <c r="O95" s="85">
        <v>20.146673</v>
      </c>
      <c r="P95" s="386"/>
      <c r="Q95" s="793"/>
      <c r="R95" s="797"/>
      <c r="S95" s="801">
        <v>0</v>
      </c>
      <c r="T95" s="386" t="s">
        <v>351</v>
      </c>
      <c r="U95" s="386" t="s">
        <v>782</v>
      </c>
      <c r="V95" s="802" t="s">
        <v>21</v>
      </c>
      <c r="W95" s="803"/>
      <c r="X95" s="386"/>
      <c r="Y95" s="386"/>
      <c r="Z95" s="386"/>
      <c r="AA95" s="804" t="str">
        <f>CONCATENATE(Camp_List[[#This Row],[Ethnicity]],"-",Camp_List[[#This Row],[Religion]])</f>
        <v>-</v>
      </c>
      <c r="AB95" s="386"/>
      <c r="AC95" s="806" t="s">
        <v>800</v>
      </c>
      <c r="AD95" s="386" t="s">
        <v>514</v>
      </c>
      <c r="AE95" s="386" t="s">
        <v>530</v>
      </c>
      <c r="AF95" s="315">
        <v>41520</v>
      </c>
      <c r="AG95" s="808"/>
      <c r="AH95" s="804">
        <f>IFERROR(VLOOKUP(Camp_List[[#This Row],[Responsible Agency]],Organization_t[],3,0),"")</f>
        <v>0</v>
      </c>
      <c r="AI95" s="813">
        <f>IF((SUMIFS(Data_Shelter_t[Coverage],Data_Shelter_t[Pcode],Camp_List[[#This Row],[P_Code]]))&gt;1,1,SUMIFS(Data_Shelter_t[Coverage],Data_Shelter_t[Pcode],Camp_List[[#This Row],[P_Code]]))</f>
        <v>0</v>
      </c>
      <c r="BL95" s="21"/>
      <c r="BM95" s="21"/>
      <c r="BO95" s="79"/>
      <c r="BP95" s="79"/>
    </row>
    <row r="96" spans="1:68" ht="15" hidden="1" customHeight="1">
      <c r="A96" s="386" t="s">
        <v>358</v>
      </c>
      <c r="B96" s="386" t="s">
        <v>7</v>
      </c>
      <c r="C96" s="386" t="s">
        <v>360</v>
      </c>
      <c r="D96" s="386" t="s">
        <v>19</v>
      </c>
      <c r="E96" s="386" t="s">
        <v>622</v>
      </c>
      <c r="F96" s="386" t="s">
        <v>19</v>
      </c>
      <c r="G96" s="386" t="s">
        <v>422</v>
      </c>
      <c r="H96" s="386" t="s">
        <v>445</v>
      </c>
      <c r="I96" s="386" t="s">
        <v>575</v>
      </c>
      <c r="J96" s="386"/>
      <c r="K96" s="386" t="s">
        <v>449</v>
      </c>
      <c r="L96" s="386" t="s">
        <v>85</v>
      </c>
      <c r="M96" s="386" t="s">
        <v>174</v>
      </c>
      <c r="N96" s="85">
        <v>92.897783000000004</v>
      </c>
      <c r="O96" s="85">
        <v>20.151050000000001</v>
      </c>
      <c r="P96" s="386"/>
      <c r="Q96" s="793"/>
      <c r="R96" s="797"/>
      <c r="S96" s="801">
        <v>0</v>
      </c>
      <c r="T96" s="386" t="s">
        <v>351</v>
      </c>
      <c r="U96" s="386" t="s">
        <v>782</v>
      </c>
      <c r="V96" s="802" t="s">
        <v>21</v>
      </c>
      <c r="W96" s="803"/>
      <c r="X96" s="386"/>
      <c r="Y96" s="386"/>
      <c r="Z96" s="386"/>
      <c r="AA96" s="804" t="str">
        <f>CONCATENATE(Camp_List[[#This Row],[Ethnicity]],"-",Camp_List[[#This Row],[Religion]])</f>
        <v>-</v>
      </c>
      <c r="AB96" s="386"/>
      <c r="AC96" s="806" t="s">
        <v>800</v>
      </c>
      <c r="AD96" s="386" t="s">
        <v>514</v>
      </c>
      <c r="AE96" s="386" t="s">
        <v>530</v>
      </c>
      <c r="AF96" s="315">
        <v>41520</v>
      </c>
      <c r="AG96" s="808"/>
      <c r="AH96" s="804">
        <f>IFERROR(VLOOKUP(Camp_List[[#This Row],[Responsible Agency]],Organization_t[],3,0),"")</f>
        <v>0</v>
      </c>
      <c r="AI96" s="813">
        <f>IF((SUMIFS(Data_Shelter_t[Coverage],Data_Shelter_t[Pcode],Camp_List[[#This Row],[P_Code]]))&gt;1,1,SUMIFS(Data_Shelter_t[Coverage],Data_Shelter_t[Pcode],Camp_List[[#This Row],[P_Code]]))</f>
        <v>0</v>
      </c>
      <c r="BL96" s="21"/>
      <c r="BM96" s="21"/>
      <c r="BO96" s="79"/>
      <c r="BP96" s="79"/>
    </row>
    <row r="97" spans="1:68" ht="15" hidden="1" customHeight="1">
      <c r="A97" s="386" t="s">
        <v>358</v>
      </c>
      <c r="B97" s="386" t="s">
        <v>7</v>
      </c>
      <c r="C97" s="386" t="s">
        <v>360</v>
      </c>
      <c r="D97" s="386" t="s">
        <v>19</v>
      </c>
      <c r="E97" s="386" t="s">
        <v>622</v>
      </c>
      <c r="F97" s="386" t="s">
        <v>19</v>
      </c>
      <c r="G97" s="386" t="s">
        <v>422</v>
      </c>
      <c r="H97" s="386" t="s">
        <v>446</v>
      </c>
      <c r="I97" s="386" t="s">
        <v>575</v>
      </c>
      <c r="J97" s="386"/>
      <c r="K97" s="386" t="s">
        <v>451</v>
      </c>
      <c r="L97" s="386" t="s">
        <v>86</v>
      </c>
      <c r="M97" s="386" t="s">
        <v>175</v>
      </c>
      <c r="N97" s="85">
        <v>92.896944000000005</v>
      </c>
      <c r="O97" s="85">
        <v>20.150891999999999</v>
      </c>
      <c r="P97" s="386"/>
      <c r="Q97" s="793"/>
      <c r="R97" s="797"/>
      <c r="S97" s="801">
        <v>0</v>
      </c>
      <c r="T97" s="386" t="s">
        <v>351</v>
      </c>
      <c r="U97" s="386" t="s">
        <v>782</v>
      </c>
      <c r="V97" s="802" t="s">
        <v>21</v>
      </c>
      <c r="W97" s="803"/>
      <c r="X97" s="386"/>
      <c r="Y97" s="386"/>
      <c r="Z97" s="386"/>
      <c r="AA97" s="804" t="str">
        <f>CONCATENATE(Camp_List[[#This Row],[Ethnicity]],"-",Camp_List[[#This Row],[Religion]])</f>
        <v>-</v>
      </c>
      <c r="AB97" s="386"/>
      <c r="AC97" s="806" t="s">
        <v>800</v>
      </c>
      <c r="AD97" s="386" t="s">
        <v>514</v>
      </c>
      <c r="AE97" s="386" t="s">
        <v>530</v>
      </c>
      <c r="AF97" s="315">
        <v>41520</v>
      </c>
      <c r="AG97" s="808"/>
      <c r="AH97" s="804">
        <f>IFERROR(VLOOKUP(Camp_List[[#This Row],[Responsible Agency]],Organization_t[],3,0),"")</f>
        <v>0</v>
      </c>
      <c r="AI97" s="813">
        <f>IF((SUMIFS(Data_Shelter_t[Coverage],Data_Shelter_t[Pcode],Camp_List[[#This Row],[P_Code]]))&gt;1,1,SUMIFS(Data_Shelter_t[Coverage],Data_Shelter_t[Pcode],Camp_List[[#This Row],[P_Code]]))</f>
        <v>0</v>
      </c>
      <c r="BL97" s="21"/>
      <c r="BM97" s="21"/>
      <c r="BO97" s="79"/>
      <c r="BP97" s="79"/>
    </row>
    <row r="98" spans="1:68" ht="15" hidden="1" customHeight="1">
      <c r="A98" s="386" t="s">
        <v>358</v>
      </c>
      <c r="B98" s="386" t="s">
        <v>7</v>
      </c>
      <c r="C98" s="386" t="s">
        <v>360</v>
      </c>
      <c r="D98" s="386" t="s">
        <v>19</v>
      </c>
      <c r="E98" s="386" t="s">
        <v>622</v>
      </c>
      <c r="F98" s="386" t="s">
        <v>19</v>
      </c>
      <c r="G98" s="386" t="s">
        <v>422</v>
      </c>
      <c r="H98" s="386" t="s">
        <v>433</v>
      </c>
      <c r="I98" s="386" t="s">
        <v>575</v>
      </c>
      <c r="J98" s="386"/>
      <c r="K98" s="386" t="s">
        <v>434</v>
      </c>
      <c r="L98" s="386" t="s">
        <v>87</v>
      </c>
      <c r="M98" s="386" t="s">
        <v>176</v>
      </c>
      <c r="N98" s="85">
        <v>92.894499999999994</v>
      </c>
      <c r="O98" s="85">
        <v>20.1462</v>
      </c>
      <c r="P98" s="386"/>
      <c r="Q98" s="793"/>
      <c r="R98" s="797"/>
      <c r="S98" s="801">
        <v>0</v>
      </c>
      <c r="T98" s="386" t="s">
        <v>351</v>
      </c>
      <c r="U98" s="386" t="s">
        <v>782</v>
      </c>
      <c r="V98" s="802" t="s">
        <v>21</v>
      </c>
      <c r="W98" s="803"/>
      <c r="X98" s="386"/>
      <c r="Y98" s="386"/>
      <c r="Z98" s="386"/>
      <c r="AA98" s="804" t="str">
        <f>CONCATENATE(Camp_List[[#This Row],[Ethnicity]],"-",Camp_List[[#This Row],[Religion]])</f>
        <v>-</v>
      </c>
      <c r="AB98" s="386"/>
      <c r="AC98" s="806" t="s">
        <v>800</v>
      </c>
      <c r="AD98" s="386" t="s">
        <v>514</v>
      </c>
      <c r="AE98" s="386" t="s">
        <v>530</v>
      </c>
      <c r="AF98" s="315">
        <v>41520</v>
      </c>
      <c r="AG98" s="808"/>
      <c r="AH98" s="804">
        <f>IFERROR(VLOOKUP(Camp_List[[#This Row],[Responsible Agency]],Organization_t[],3,0),"")</f>
        <v>0</v>
      </c>
      <c r="AI98" s="813">
        <f>IF((SUMIFS(Data_Shelter_t[Coverage],Data_Shelter_t[Pcode],Camp_List[[#This Row],[P_Code]]))&gt;1,1,SUMIFS(Data_Shelter_t[Coverage],Data_Shelter_t[Pcode],Camp_List[[#This Row],[P_Code]]))</f>
        <v>0</v>
      </c>
      <c r="BL98" s="21"/>
      <c r="BM98" s="21"/>
      <c r="BO98" s="79"/>
      <c r="BP98" s="79"/>
    </row>
    <row r="99" spans="1:68" ht="15" hidden="1" customHeight="1">
      <c r="A99" s="386" t="s">
        <v>358</v>
      </c>
      <c r="B99" s="386" t="s">
        <v>7</v>
      </c>
      <c r="C99" s="386" t="s">
        <v>360</v>
      </c>
      <c r="D99" s="386" t="s">
        <v>19</v>
      </c>
      <c r="E99" s="386" t="s">
        <v>622</v>
      </c>
      <c r="F99" s="386" t="s">
        <v>19</v>
      </c>
      <c r="G99" s="386" t="s">
        <v>422</v>
      </c>
      <c r="H99" s="386" t="s">
        <v>444</v>
      </c>
      <c r="I99" s="386" t="s">
        <v>575</v>
      </c>
      <c r="J99" s="386"/>
      <c r="K99" s="386" t="s">
        <v>450</v>
      </c>
      <c r="L99" s="386" t="s">
        <v>90</v>
      </c>
      <c r="M99" s="386" t="s">
        <v>179</v>
      </c>
      <c r="N99" s="85">
        <v>92.897932999999995</v>
      </c>
      <c r="O99" s="85">
        <v>20.155850000000001</v>
      </c>
      <c r="P99" s="386"/>
      <c r="Q99" s="793"/>
      <c r="R99" s="797"/>
      <c r="S99" s="801">
        <v>0</v>
      </c>
      <c r="T99" s="386" t="s">
        <v>351</v>
      </c>
      <c r="U99" s="386" t="s">
        <v>782</v>
      </c>
      <c r="V99" s="802" t="s">
        <v>21</v>
      </c>
      <c r="W99" s="803"/>
      <c r="X99" s="386"/>
      <c r="Y99" s="386"/>
      <c r="Z99" s="386"/>
      <c r="AA99" s="804" t="str">
        <f>CONCATENATE(Camp_List[[#This Row],[Ethnicity]],"-",Camp_List[[#This Row],[Religion]])</f>
        <v>-</v>
      </c>
      <c r="AB99" s="386"/>
      <c r="AC99" s="806" t="s">
        <v>800</v>
      </c>
      <c r="AD99" s="386" t="s">
        <v>514</v>
      </c>
      <c r="AE99" s="386" t="s">
        <v>530</v>
      </c>
      <c r="AF99" s="315">
        <v>41520</v>
      </c>
      <c r="AG99" s="808"/>
      <c r="AH99" s="804">
        <f>IFERROR(VLOOKUP(Camp_List[[#This Row],[Responsible Agency]],Organization_t[],3,0),"")</f>
        <v>0</v>
      </c>
      <c r="AI99" s="813">
        <f>IF((SUMIFS(Data_Shelter_t[Coverage],Data_Shelter_t[Pcode],Camp_List[[#This Row],[P_Code]]))&gt;1,1,SUMIFS(Data_Shelter_t[Coverage],Data_Shelter_t[Pcode],Camp_List[[#This Row],[P_Code]]))</f>
        <v>0</v>
      </c>
      <c r="BL99" s="21"/>
      <c r="BM99" s="21"/>
      <c r="BO99" s="79"/>
      <c r="BP99" s="79"/>
    </row>
    <row r="100" spans="1:68" ht="15" hidden="1" customHeight="1">
      <c r="A100" s="386" t="s">
        <v>358</v>
      </c>
      <c r="B100" s="386" t="s">
        <v>7</v>
      </c>
      <c r="C100" s="386" t="s">
        <v>360</v>
      </c>
      <c r="D100" s="386" t="s">
        <v>19</v>
      </c>
      <c r="E100" s="386" t="s">
        <v>622</v>
      </c>
      <c r="F100" s="386" t="s">
        <v>19</v>
      </c>
      <c r="G100" s="386" t="s">
        <v>422</v>
      </c>
      <c r="H100" s="386" t="s">
        <v>447</v>
      </c>
      <c r="I100" s="386" t="s">
        <v>575</v>
      </c>
      <c r="J100" s="386"/>
      <c r="K100" s="386" t="s">
        <v>452</v>
      </c>
      <c r="L100" s="386" t="s">
        <v>88</v>
      </c>
      <c r="M100" s="386" t="s">
        <v>177</v>
      </c>
      <c r="N100" s="85">
        <v>92.888949999999994</v>
      </c>
      <c r="O100" s="85">
        <v>20.125032999999998</v>
      </c>
      <c r="P100" s="386"/>
      <c r="Q100" s="793"/>
      <c r="R100" s="797"/>
      <c r="S100" s="801">
        <v>0</v>
      </c>
      <c r="T100" s="386" t="s">
        <v>351</v>
      </c>
      <c r="U100" s="386" t="s">
        <v>782</v>
      </c>
      <c r="V100" s="802" t="s">
        <v>21</v>
      </c>
      <c r="W100" s="803"/>
      <c r="X100" s="386"/>
      <c r="Y100" s="386"/>
      <c r="Z100" s="386"/>
      <c r="AA100" s="804" t="str">
        <f>CONCATENATE(Camp_List[[#This Row],[Ethnicity]],"-",Camp_List[[#This Row],[Religion]])</f>
        <v>-</v>
      </c>
      <c r="AB100" s="386"/>
      <c r="AC100" s="806" t="s">
        <v>800</v>
      </c>
      <c r="AD100" s="386" t="s">
        <v>514</v>
      </c>
      <c r="AE100" s="386" t="s">
        <v>530</v>
      </c>
      <c r="AF100" s="315">
        <v>41520</v>
      </c>
      <c r="AG100" s="808"/>
      <c r="AH100" s="804">
        <f>IFERROR(VLOOKUP(Camp_List[[#This Row],[Responsible Agency]],Organization_t[],3,0),"")</f>
        <v>0</v>
      </c>
      <c r="AI100" s="813">
        <f>IF((SUMIFS(Data_Shelter_t[Coverage],Data_Shelter_t[Pcode],Camp_List[[#This Row],[P_Code]]))&gt;1,1,SUMIFS(Data_Shelter_t[Coverage],Data_Shelter_t[Pcode],Camp_List[[#This Row],[P_Code]]))</f>
        <v>0</v>
      </c>
      <c r="BL100" s="21"/>
      <c r="BM100" s="21"/>
      <c r="BO100" s="79"/>
      <c r="BP100" s="79"/>
    </row>
    <row r="101" spans="1:68" ht="15" hidden="1" customHeight="1">
      <c r="A101" s="386" t="s">
        <v>358</v>
      </c>
      <c r="B101" s="386" t="s">
        <v>7</v>
      </c>
      <c r="C101" s="386" t="s">
        <v>360</v>
      </c>
      <c r="D101" s="386" t="s">
        <v>19</v>
      </c>
      <c r="E101" s="386" t="s">
        <v>622</v>
      </c>
      <c r="F101" s="386" t="s">
        <v>19</v>
      </c>
      <c r="G101" s="386" t="s">
        <v>422</v>
      </c>
      <c r="H101" s="386" t="s">
        <v>448</v>
      </c>
      <c r="I101" s="386" t="s">
        <v>575</v>
      </c>
      <c r="J101" s="386"/>
      <c r="K101" s="386" t="s">
        <v>453</v>
      </c>
      <c r="L101" s="386" t="s">
        <v>92</v>
      </c>
      <c r="M101" s="386" t="s">
        <v>181</v>
      </c>
      <c r="N101" s="85">
        <v>92.892431999999999</v>
      </c>
      <c r="O101" s="85">
        <v>20.146041</v>
      </c>
      <c r="P101" s="386"/>
      <c r="Q101" s="793"/>
      <c r="R101" s="797"/>
      <c r="S101" s="801">
        <v>0</v>
      </c>
      <c r="T101" s="386" t="s">
        <v>351</v>
      </c>
      <c r="U101" s="386" t="s">
        <v>782</v>
      </c>
      <c r="V101" s="802" t="s">
        <v>21</v>
      </c>
      <c r="W101" s="803"/>
      <c r="X101" s="386"/>
      <c r="Y101" s="386"/>
      <c r="Z101" s="386"/>
      <c r="AA101" s="804" t="str">
        <f>CONCATENATE(Camp_List[[#This Row],[Ethnicity]],"-",Camp_List[[#This Row],[Religion]])</f>
        <v>-</v>
      </c>
      <c r="AB101" s="386"/>
      <c r="AC101" s="806" t="s">
        <v>800</v>
      </c>
      <c r="AD101" s="386" t="s">
        <v>514</v>
      </c>
      <c r="AE101" s="386" t="s">
        <v>530</v>
      </c>
      <c r="AF101" s="315">
        <v>41520</v>
      </c>
      <c r="AG101" s="808"/>
      <c r="AH101" s="804">
        <f>IFERROR(VLOOKUP(Camp_List[[#This Row],[Responsible Agency]],Organization_t[],3,0),"")</f>
        <v>0</v>
      </c>
      <c r="AI101" s="813">
        <f>IF((SUMIFS(Data_Shelter_t[Coverage],Data_Shelter_t[Pcode],Camp_List[[#This Row],[P_Code]]))&gt;1,1,SUMIFS(Data_Shelter_t[Coverage],Data_Shelter_t[Pcode],Camp_List[[#This Row],[P_Code]]))</f>
        <v>0</v>
      </c>
      <c r="BL101" s="21"/>
      <c r="BM101" s="21"/>
      <c r="BO101" s="79"/>
      <c r="BP101" s="79"/>
    </row>
    <row r="102" spans="1:68" ht="15" hidden="1" customHeight="1">
      <c r="A102" s="386" t="s">
        <v>358</v>
      </c>
      <c r="B102" s="386" t="s">
        <v>7</v>
      </c>
      <c r="C102" s="386" t="s">
        <v>360</v>
      </c>
      <c r="D102" s="386" t="s">
        <v>19</v>
      </c>
      <c r="E102" s="386" t="s">
        <v>622</v>
      </c>
      <c r="F102" s="386" t="s">
        <v>19</v>
      </c>
      <c r="G102" s="386" t="s">
        <v>422</v>
      </c>
      <c r="H102" s="386" t="s">
        <v>433</v>
      </c>
      <c r="I102" s="386" t="s">
        <v>575</v>
      </c>
      <c r="J102" s="386"/>
      <c r="K102" s="386" t="s">
        <v>434</v>
      </c>
      <c r="L102" s="386" t="s">
        <v>89</v>
      </c>
      <c r="M102" s="386" t="s">
        <v>178</v>
      </c>
      <c r="N102" s="85">
        <v>92.896417999999997</v>
      </c>
      <c r="O102" s="85">
        <v>20.152895000000001</v>
      </c>
      <c r="P102" s="386"/>
      <c r="Q102" s="793"/>
      <c r="R102" s="797"/>
      <c r="S102" s="801">
        <v>0</v>
      </c>
      <c r="T102" s="386" t="s">
        <v>351</v>
      </c>
      <c r="U102" s="386" t="s">
        <v>782</v>
      </c>
      <c r="V102" s="802" t="s">
        <v>21</v>
      </c>
      <c r="W102" s="803"/>
      <c r="X102" s="386"/>
      <c r="Y102" s="386"/>
      <c r="Z102" s="386"/>
      <c r="AA102" s="804" t="str">
        <f>CONCATENATE(Camp_List[[#This Row],[Ethnicity]],"-",Camp_List[[#This Row],[Religion]])</f>
        <v>-</v>
      </c>
      <c r="AB102" s="386"/>
      <c r="AC102" s="806" t="s">
        <v>800</v>
      </c>
      <c r="AD102" s="386" t="s">
        <v>514</v>
      </c>
      <c r="AE102" s="386" t="s">
        <v>530</v>
      </c>
      <c r="AF102" s="315">
        <v>41520</v>
      </c>
      <c r="AG102" s="808"/>
      <c r="AH102" s="804">
        <f>IFERROR(VLOOKUP(Camp_List[[#This Row],[Responsible Agency]],Organization_t[],3,0),"")</f>
        <v>0</v>
      </c>
      <c r="AI102" s="813">
        <f>IF((SUMIFS(Data_Shelter_t[Coverage],Data_Shelter_t[Pcode],Camp_List[[#This Row],[P_Code]]))&gt;1,1,SUMIFS(Data_Shelter_t[Coverage],Data_Shelter_t[Pcode],Camp_List[[#This Row],[P_Code]]))</f>
        <v>0</v>
      </c>
      <c r="BL102" s="21"/>
      <c r="BM102" s="21"/>
      <c r="BO102" s="79"/>
      <c r="BP102" s="79"/>
    </row>
    <row r="103" spans="1:68" ht="15" hidden="1" customHeight="1">
      <c r="A103" s="386" t="s">
        <v>358</v>
      </c>
      <c r="B103" s="386" t="s">
        <v>7</v>
      </c>
      <c r="C103" s="386" t="s">
        <v>360</v>
      </c>
      <c r="D103" s="386" t="s">
        <v>19</v>
      </c>
      <c r="E103" s="386" t="s">
        <v>622</v>
      </c>
      <c r="F103" s="386" t="s">
        <v>19</v>
      </c>
      <c r="G103" s="386" t="s">
        <v>422</v>
      </c>
      <c r="H103" s="386" t="s">
        <v>444</v>
      </c>
      <c r="I103" s="386" t="s">
        <v>575</v>
      </c>
      <c r="J103" s="386"/>
      <c r="K103" s="386" t="s">
        <v>450</v>
      </c>
      <c r="L103" s="386" t="s">
        <v>97</v>
      </c>
      <c r="M103" s="386" t="s">
        <v>186</v>
      </c>
      <c r="N103" s="85">
        <v>92.896533000000005</v>
      </c>
      <c r="O103" s="85">
        <v>20.15465</v>
      </c>
      <c r="P103" s="386"/>
      <c r="Q103" s="793"/>
      <c r="R103" s="797"/>
      <c r="S103" s="801">
        <v>0</v>
      </c>
      <c r="T103" s="386" t="s">
        <v>351</v>
      </c>
      <c r="U103" s="386" t="s">
        <v>782</v>
      </c>
      <c r="V103" s="802" t="s">
        <v>21</v>
      </c>
      <c r="W103" s="803"/>
      <c r="X103" s="386"/>
      <c r="Y103" s="386"/>
      <c r="Z103" s="386"/>
      <c r="AA103" s="804" t="str">
        <f>CONCATENATE(Camp_List[[#This Row],[Ethnicity]],"-",Camp_List[[#This Row],[Religion]])</f>
        <v>-</v>
      </c>
      <c r="AB103" s="386"/>
      <c r="AC103" s="806" t="s">
        <v>800</v>
      </c>
      <c r="AD103" s="386" t="s">
        <v>514</v>
      </c>
      <c r="AE103" s="386" t="s">
        <v>530</v>
      </c>
      <c r="AF103" s="315">
        <v>41520</v>
      </c>
      <c r="AG103" s="808"/>
      <c r="AH103" s="804">
        <f>IFERROR(VLOOKUP(Camp_List[[#This Row],[Responsible Agency]],Organization_t[],3,0),"")</f>
        <v>0</v>
      </c>
      <c r="AI103" s="813">
        <f>IF((SUMIFS(Data_Shelter_t[Coverage],Data_Shelter_t[Pcode],Camp_List[[#This Row],[P_Code]]))&gt;1,1,SUMIFS(Data_Shelter_t[Coverage],Data_Shelter_t[Pcode],Camp_List[[#This Row],[P_Code]]))</f>
        <v>0</v>
      </c>
      <c r="BL103" s="21"/>
      <c r="BM103" s="21"/>
      <c r="BO103" s="79"/>
      <c r="BP103" s="79"/>
    </row>
    <row r="104" spans="1:68" ht="15" hidden="1" customHeight="1">
      <c r="A104" s="386" t="s">
        <v>358</v>
      </c>
      <c r="B104" s="386" t="s">
        <v>7</v>
      </c>
      <c r="C104" s="386" t="s">
        <v>360</v>
      </c>
      <c r="D104" s="386" t="s">
        <v>19</v>
      </c>
      <c r="E104" s="386" t="s">
        <v>622</v>
      </c>
      <c r="F104" s="386" t="s">
        <v>19</v>
      </c>
      <c r="G104" s="386" t="s">
        <v>422</v>
      </c>
      <c r="H104" s="386" t="s">
        <v>448</v>
      </c>
      <c r="I104" s="386" t="s">
        <v>575</v>
      </c>
      <c r="J104" s="386"/>
      <c r="K104" s="386" t="s">
        <v>453</v>
      </c>
      <c r="L104" s="386" t="s">
        <v>96</v>
      </c>
      <c r="M104" s="386" t="s">
        <v>185</v>
      </c>
      <c r="N104" s="85">
        <v>92.893332999999998</v>
      </c>
      <c r="O104" s="85">
        <v>20.146117</v>
      </c>
      <c r="P104" s="386"/>
      <c r="Q104" s="793"/>
      <c r="R104" s="797"/>
      <c r="S104" s="801">
        <v>0</v>
      </c>
      <c r="T104" s="386" t="s">
        <v>351</v>
      </c>
      <c r="U104" s="386" t="s">
        <v>782</v>
      </c>
      <c r="V104" s="802" t="s">
        <v>21</v>
      </c>
      <c r="W104" s="803"/>
      <c r="X104" s="386"/>
      <c r="Y104" s="386"/>
      <c r="Z104" s="386"/>
      <c r="AA104" s="804" t="str">
        <f>CONCATENATE(Camp_List[[#This Row],[Ethnicity]],"-",Camp_List[[#This Row],[Religion]])</f>
        <v>-</v>
      </c>
      <c r="AB104" s="386"/>
      <c r="AC104" s="806" t="s">
        <v>800</v>
      </c>
      <c r="AD104" s="386" t="s">
        <v>514</v>
      </c>
      <c r="AE104" s="386" t="s">
        <v>530</v>
      </c>
      <c r="AF104" s="315">
        <v>41520</v>
      </c>
      <c r="AG104" s="808"/>
      <c r="AH104" s="804">
        <f>IFERROR(VLOOKUP(Camp_List[[#This Row],[Responsible Agency]],Organization_t[],3,0),"")</f>
        <v>0</v>
      </c>
      <c r="AI104" s="813">
        <f>IF((SUMIFS(Data_Shelter_t[Coverage],Data_Shelter_t[Pcode],Camp_List[[#This Row],[P_Code]]))&gt;1,1,SUMIFS(Data_Shelter_t[Coverage],Data_Shelter_t[Pcode],Camp_List[[#This Row],[P_Code]]))</f>
        <v>0</v>
      </c>
      <c r="BL104" s="21"/>
      <c r="BM104" s="21"/>
      <c r="BO104" s="79"/>
      <c r="BP104" s="79"/>
    </row>
    <row r="105" spans="1:68" ht="15" hidden="1" customHeight="1">
      <c r="A105" s="386" t="s">
        <v>358</v>
      </c>
      <c r="B105" s="386" t="s">
        <v>7</v>
      </c>
      <c r="C105" s="386" t="s">
        <v>360</v>
      </c>
      <c r="D105" s="386" t="s">
        <v>19</v>
      </c>
      <c r="E105" s="386" t="s">
        <v>622</v>
      </c>
      <c r="F105" s="386" t="s">
        <v>19</v>
      </c>
      <c r="G105" s="386" t="s">
        <v>422</v>
      </c>
      <c r="H105" s="386" t="s">
        <v>428</v>
      </c>
      <c r="I105" s="386" t="s">
        <v>427</v>
      </c>
      <c r="J105" s="386" t="s">
        <v>505</v>
      </c>
      <c r="K105" s="386">
        <v>196192</v>
      </c>
      <c r="L105" s="386" t="s">
        <v>62</v>
      </c>
      <c r="M105" s="386" t="s">
        <v>151</v>
      </c>
      <c r="N105" s="85">
        <v>92.807418999999996</v>
      </c>
      <c r="O105" s="85">
        <v>20.181238</v>
      </c>
      <c r="P105" s="386"/>
      <c r="Q105" s="793"/>
      <c r="R105" s="797"/>
      <c r="S105" s="801">
        <v>0</v>
      </c>
      <c r="T105" s="386" t="s">
        <v>351</v>
      </c>
      <c r="U105" s="386" t="s">
        <v>782</v>
      </c>
      <c r="V105" s="802" t="s">
        <v>22</v>
      </c>
      <c r="W105" s="803"/>
      <c r="X105" s="386"/>
      <c r="Y105" s="386"/>
      <c r="Z105" s="386"/>
      <c r="AA105" s="804" t="str">
        <f>CONCATENATE(Camp_List[[#This Row],[Ethnicity]],"-",Camp_List[[#This Row],[Religion]])</f>
        <v>-</v>
      </c>
      <c r="AB105" s="386"/>
      <c r="AC105" s="806" t="s">
        <v>800</v>
      </c>
      <c r="AD105" s="386" t="s">
        <v>514</v>
      </c>
      <c r="AE105" s="386" t="s">
        <v>530</v>
      </c>
      <c r="AF105" s="315">
        <v>41548</v>
      </c>
      <c r="AG105" s="808"/>
      <c r="AH105" s="804">
        <f>IFERROR(VLOOKUP(Camp_List[[#This Row],[Responsible Agency]],Organization_t[],3,0),"")</f>
        <v>0</v>
      </c>
      <c r="AI105" s="813">
        <f>IF((SUMIFS(Data_Shelter_t[Coverage],Data_Shelter_t[Pcode],Camp_List[[#This Row],[P_Code]]))&gt;1,1,SUMIFS(Data_Shelter_t[Coverage],Data_Shelter_t[Pcode],Camp_List[[#This Row],[P_Code]]))</f>
        <v>0</v>
      </c>
      <c r="BL105" s="21"/>
      <c r="BM105" s="21"/>
      <c r="BO105" s="79"/>
      <c r="BP105" s="79"/>
    </row>
    <row r="106" spans="1:68" ht="15" hidden="1" customHeight="1">
      <c r="A106" s="386" t="s">
        <v>358</v>
      </c>
      <c r="B106" s="386" t="s">
        <v>7</v>
      </c>
      <c r="C106" s="386" t="s">
        <v>360</v>
      </c>
      <c r="D106" s="386" t="s">
        <v>19</v>
      </c>
      <c r="E106" s="386" t="s">
        <v>622</v>
      </c>
      <c r="F106" s="386" t="s">
        <v>19</v>
      </c>
      <c r="G106" s="386" t="s">
        <v>422</v>
      </c>
      <c r="H106" s="386" t="s">
        <v>439</v>
      </c>
      <c r="I106" s="386" t="s">
        <v>575</v>
      </c>
      <c r="J106" s="386"/>
      <c r="K106" s="386" t="s">
        <v>440</v>
      </c>
      <c r="L106" s="386" t="s">
        <v>77</v>
      </c>
      <c r="M106" s="386" t="s">
        <v>166</v>
      </c>
      <c r="N106" s="85">
        <v>92.889384000000007</v>
      </c>
      <c r="O106" s="85">
        <v>20.135473999999999</v>
      </c>
      <c r="P106" s="386"/>
      <c r="Q106" s="793"/>
      <c r="R106" s="797"/>
      <c r="S106" s="801">
        <v>0</v>
      </c>
      <c r="T106" s="386" t="s">
        <v>351</v>
      </c>
      <c r="U106" s="386" t="s">
        <v>782</v>
      </c>
      <c r="V106" s="802" t="s">
        <v>22</v>
      </c>
      <c r="W106" s="803"/>
      <c r="X106" s="386"/>
      <c r="Y106" s="386"/>
      <c r="Z106" s="386"/>
      <c r="AA106" s="804" t="str">
        <f>CONCATENATE(Camp_List[[#This Row],[Ethnicity]],"-",Camp_List[[#This Row],[Religion]])</f>
        <v>-</v>
      </c>
      <c r="AB106" s="386"/>
      <c r="AC106" s="806" t="s">
        <v>800</v>
      </c>
      <c r="AD106" s="386" t="s">
        <v>514</v>
      </c>
      <c r="AE106" s="386" t="s">
        <v>530</v>
      </c>
      <c r="AF106" s="315">
        <v>41520</v>
      </c>
      <c r="AG106" s="808"/>
      <c r="AH106" s="804">
        <f>IFERROR(VLOOKUP(Camp_List[[#This Row],[Responsible Agency]],Organization_t[],3,0),"")</f>
        <v>0</v>
      </c>
      <c r="AI106" s="813">
        <f>IF((SUMIFS(Data_Shelter_t[Coverage],Data_Shelter_t[Pcode],Camp_List[[#This Row],[P_Code]]))&gt;1,1,SUMIFS(Data_Shelter_t[Coverage],Data_Shelter_t[Pcode],Camp_List[[#This Row],[P_Code]]))</f>
        <v>0</v>
      </c>
      <c r="BL106" s="21"/>
      <c r="BM106" s="21"/>
      <c r="BO106" s="79"/>
      <c r="BP106" s="79"/>
    </row>
    <row r="107" spans="1:68" ht="15" hidden="1" customHeight="1">
      <c r="A107" s="386" t="s">
        <v>358</v>
      </c>
      <c r="B107" s="386" t="s">
        <v>7</v>
      </c>
      <c r="C107" s="386" t="s">
        <v>360</v>
      </c>
      <c r="D107" s="386" t="s">
        <v>19</v>
      </c>
      <c r="E107" s="386" t="s">
        <v>622</v>
      </c>
      <c r="F107" s="386" t="s">
        <v>19</v>
      </c>
      <c r="G107" s="386" t="s">
        <v>422</v>
      </c>
      <c r="H107" s="386" t="s">
        <v>433</v>
      </c>
      <c r="I107" s="386" t="s">
        <v>575</v>
      </c>
      <c r="J107" s="386"/>
      <c r="K107" s="386" t="s">
        <v>434</v>
      </c>
      <c r="L107" s="386" t="s">
        <v>79</v>
      </c>
      <c r="M107" s="386" t="s">
        <v>168</v>
      </c>
      <c r="N107" s="85">
        <v>92.897177999999997</v>
      </c>
      <c r="O107" s="85">
        <v>20.153129</v>
      </c>
      <c r="P107" s="386"/>
      <c r="Q107" s="793"/>
      <c r="R107" s="797"/>
      <c r="S107" s="801">
        <v>0</v>
      </c>
      <c r="T107" s="386" t="s">
        <v>351</v>
      </c>
      <c r="U107" s="386" t="s">
        <v>782</v>
      </c>
      <c r="V107" s="802" t="s">
        <v>22</v>
      </c>
      <c r="W107" s="803"/>
      <c r="X107" s="386"/>
      <c r="Y107" s="386"/>
      <c r="Z107" s="386"/>
      <c r="AA107" s="804" t="str">
        <f>CONCATENATE(Camp_List[[#This Row],[Ethnicity]],"-",Camp_List[[#This Row],[Religion]])</f>
        <v>-</v>
      </c>
      <c r="AB107" s="386"/>
      <c r="AC107" s="806" t="s">
        <v>800</v>
      </c>
      <c r="AD107" s="386" t="s">
        <v>514</v>
      </c>
      <c r="AE107" s="386" t="s">
        <v>530</v>
      </c>
      <c r="AF107" s="315">
        <v>41520</v>
      </c>
      <c r="AG107" s="808"/>
      <c r="AH107" s="804">
        <f>IFERROR(VLOOKUP(Camp_List[[#This Row],[Responsible Agency]],Organization_t[],3,0),"")</f>
        <v>0</v>
      </c>
      <c r="AI107" s="813">
        <f>IF((SUMIFS(Data_Shelter_t[Coverage],Data_Shelter_t[Pcode],Camp_List[[#This Row],[P_Code]]))&gt;1,1,SUMIFS(Data_Shelter_t[Coverage],Data_Shelter_t[Pcode],Camp_List[[#This Row],[P_Code]]))</f>
        <v>0</v>
      </c>
      <c r="BL107" s="21"/>
      <c r="BM107" s="21"/>
      <c r="BO107" s="79"/>
      <c r="BP107" s="79"/>
    </row>
    <row r="108" spans="1:68" ht="15" hidden="1" customHeight="1">
      <c r="A108" s="386" t="s">
        <v>358</v>
      </c>
      <c r="B108" s="386" t="s">
        <v>7</v>
      </c>
      <c r="C108" s="386" t="s">
        <v>360</v>
      </c>
      <c r="D108" s="386" t="s">
        <v>19</v>
      </c>
      <c r="E108" s="386" t="s">
        <v>622</v>
      </c>
      <c r="F108" s="386" t="s">
        <v>19</v>
      </c>
      <c r="G108" s="386" t="s">
        <v>422</v>
      </c>
      <c r="H108" s="386" t="s">
        <v>428</v>
      </c>
      <c r="I108" s="386" t="s">
        <v>427</v>
      </c>
      <c r="J108" s="386"/>
      <c r="K108" s="386"/>
      <c r="L108" s="386" t="s">
        <v>566</v>
      </c>
      <c r="M108" s="386" t="s">
        <v>567</v>
      </c>
      <c r="N108" s="85">
        <v>92.816638999999995</v>
      </c>
      <c r="O108" s="85">
        <v>20.180194</v>
      </c>
      <c r="P108" s="386"/>
      <c r="Q108" s="793"/>
      <c r="R108" s="797"/>
      <c r="S108" s="801">
        <v>0</v>
      </c>
      <c r="T108" s="386" t="s">
        <v>351</v>
      </c>
      <c r="U108" s="386" t="s">
        <v>782</v>
      </c>
      <c r="V108" s="802" t="s">
        <v>22</v>
      </c>
      <c r="W108" s="803"/>
      <c r="X108" s="386"/>
      <c r="Y108" s="386"/>
      <c r="Z108" s="386"/>
      <c r="AA108" s="804" t="str">
        <f>CONCATENATE(Camp_List[[#This Row],[Ethnicity]],"-",Camp_List[[#This Row],[Religion]])</f>
        <v>-</v>
      </c>
      <c r="AB108" s="386"/>
      <c r="AC108" s="806" t="s">
        <v>800</v>
      </c>
      <c r="AD108" s="386" t="s">
        <v>514</v>
      </c>
      <c r="AE108" s="386" t="s">
        <v>530</v>
      </c>
      <c r="AF108" s="315">
        <v>41548</v>
      </c>
      <c r="AG108" s="808"/>
      <c r="AH108" s="804">
        <f>IFERROR(VLOOKUP(Camp_List[[#This Row],[Responsible Agency]],Organization_t[],3,0),"")</f>
        <v>0</v>
      </c>
      <c r="AI108" s="813">
        <f>IF((SUMIFS(Data_Shelter_t[Coverage],Data_Shelter_t[Pcode],Camp_List[[#This Row],[P_Code]]))&gt;1,1,SUMIFS(Data_Shelter_t[Coverage],Data_Shelter_t[Pcode],Camp_List[[#This Row],[P_Code]]))</f>
        <v>0</v>
      </c>
      <c r="BL108" s="21"/>
      <c r="BM108" s="21"/>
      <c r="BO108" s="79"/>
      <c r="BP108" s="79"/>
    </row>
    <row r="109" spans="1:68" ht="15" hidden="1" customHeight="1">
      <c r="A109" s="386" t="s">
        <v>358</v>
      </c>
      <c r="B109" s="386" t="s">
        <v>7</v>
      </c>
      <c r="C109" s="386" t="s">
        <v>360</v>
      </c>
      <c r="D109" s="386" t="s">
        <v>19</v>
      </c>
      <c r="E109" s="386" t="s">
        <v>622</v>
      </c>
      <c r="F109" s="386" t="s">
        <v>19</v>
      </c>
      <c r="G109" s="386" t="s">
        <v>422</v>
      </c>
      <c r="H109" s="386" t="s">
        <v>426</v>
      </c>
      <c r="I109" s="386" t="s">
        <v>425</v>
      </c>
      <c r="J109" s="386" t="s">
        <v>512</v>
      </c>
      <c r="K109" s="386">
        <v>196207</v>
      </c>
      <c r="L109" s="386" t="s">
        <v>71</v>
      </c>
      <c r="M109" s="386" t="s">
        <v>160</v>
      </c>
      <c r="N109" s="85">
        <v>92.826407000000003</v>
      </c>
      <c r="O109" s="85">
        <v>20.175169</v>
      </c>
      <c r="P109" s="386"/>
      <c r="Q109" s="793"/>
      <c r="R109" s="797"/>
      <c r="S109" s="801">
        <v>0</v>
      </c>
      <c r="T109" s="386" t="s">
        <v>351</v>
      </c>
      <c r="U109" s="386" t="s">
        <v>782</v>
      </c>
      <c r="V109" s="802" t="s">
        <v>22</v>
      </c>
      <c r="W109" s="803"/>
      <c r="X109" s="386"/>
      <c r="Y109" s="386"/>
      <c r="Z109" s="386"/>
      <c r="AA109" s="804" t="str">
        <f>CONCATENATE(Camp_List[[#This Row],[Ethnicity]],"-",Camp_List[[#This Row],[Religion]])</f>
        <v>-</v>
      </c>
      <c r="AB109" s="386"/>
      <c r="AC109" s="806" t="s">
        <v>800</v>
      </c>
      <c r="AD109" s="386" t="s">
        <v>514</v>
      </c>
      <c r="AE109" s="386" t="s">
        <v>530</v>
      </c>
      <c r="AF109" s="315">
        <v>41520</v>
      </c>
      <c r="AG109" s="808"/>
      <c r="AH109" s="804">
        <f>IFERROR(VLOOKUP(Camp_List[[#This Row],[Responsible Agency]],Organization_t[],3,0),"")</f>
        <v>0</v>
      </c>
      <c r="AI109" s="813">
        <f>IF((SUMIFS(Data_Shelter_t[Coverage],Data_Shelter_t[Pcode],Camp_List[[#This Row],[P_Code]]))&gt;1,1,SUMIFS(Data_Shelter_t[Coverage],Data_Shelter_t[Pcode],Camp_List[[#This Row],[P_Code]]))</f>
        <v>0</v>
      </c>
      <c r="BL109" s="21"/>
      <c r="BM109" s="21"/>
      <c r="BO109" s="79"/>
      <c r="BP109" s="79"/>
    </row>
    <row r="110" spans="1:68" ht="15" hidden="1" customHeight="1">
      <c r="A110" s="386" t="s">
        <v>358</v>
      </c>
      <c r="B110" s="386" t="s">
        <v>7</v>
      </c>
      <c r="C110" s="386" t="s">
        <v>360</v>
      </c>
      <c r="D110" s="386" t="s">
        <v>19</v>
      </c>
      <c r="E110" s="386" t="s">
        <v>622</v>
      </c>
      <c r="F110" s="386" t="s">
        <v>19</v>
      </c>
      <c r="G110" s="386" t="s">
        <v>422</v>
      </c>
      <c r="H110" s="386" t="s">
        <v>436</v>
      </c>
      <c r="I110" s="386" t="s">
        <v>575</v>
      </c>
      <c r="J110" s="386"/>
      <c r="K110" s="386" t="s">
        <v>435</v>
      </c>
      <c r="L110" s="386" t="s">
        <v>75</v>
      </c>
      <c r="M110" s="386" t="s">
        <v>164</v>
      </c>
      <c r="N110" s="85">
        <v>92.886889999999994</v>
      </c>
      <c r="O110" s="85">
        <v>20.132694999999998</v>
      </c>
      <c r="P110" s="386"/>
      <c r="Q110" s="793"/>
      <c r="R110" s="797"/>
      <c r="S110" s="801">
        <v>0</v>
      </c>
      <c r="T110" s="386" t="s">
        <v>351</v>
      </c>
      <c r="U110" s="386" t="s">
        <v>782</v>
      </c>
      <c r="V110" s="802" t="s">
        <v>22</v>
      </c>
      <c r="W110" s="803"/>
      <c r="X110" s="386"/>
      <c r="Y110" s="386"/>
      <c r="Z110" s="386"/>
      <c r="AA110" s="804" t="str">
        <f>CONCATENATE(Camp_List[[#This Row],[Ethnicity]],"-",Camp_List[[#This Row],[Religion]])</f>
        <v>-</v>
      </c>
      <c r="AB110" s="386"/>
      <c r="AC110" s="806" t="s">
        <v>800</v>
      </c>
      <c r="AD110" s="386" t="s">
        <v>514</v>
      </c>
      <c r="AE110" s="386" t="s">
        <v>530</v>
      </c>
      <c r="AF110" s="315">
        <v>41520</v>
      </c>
      <c r="AG110" s="808"/>
      <c r="AH110" s="804">
        <f>IFERROR(VLOOKUP(Camp_List[[#This Row],[Responsible Agency]],Organization_t[],3,0),"")</f>
        <v>0</v>
      </c>
      <c r="AI110" s="813">
        <f>IF((SUMIFS(Data_Shelter_t[Coverage],Data_Shelter_t[Pcode],Camp_List[[#This Row],[P_Code]]))&gt;1,1,SUMIFS(Data_Shelter_t[Coverage],Data_Shelter_t[Pcode],Camp_List[[#This Row],[P_Code]]))</f>
        <v>0</v>
      </c>
      <c r="BL110" s="21"/>
      <c r="BM110" s="21"/>
      <c r="BO110" s="79"/>
      <c r="BP110" s="79"/>
    </row>
    <row r="111" spans="1:68" ht="15" hidden="1" customHeight="1">
      <c r="A111" s="386" t="s">
        <v>358</v>
      </c>
      <c r="B111" s="386" t="s">
        <v>7</v>
      </c>
      <c r="C111" s="386" t="s">
        <v>360</v>
      </c>
      <c r="D111" s="386" t="s">
        <v>19</v>
      </c>
      <c r="E111" s="386" t="s">
        <v>622</v>
      </c>
      <c r="F111" s="386" t="s">
        <v>19</v>
      </c>
      <c r="G111" s="386" t="s">
        <v>422</v>
      </c>
      <c r="H111" s="386" t="s">
        <v>437</v>
      </c>
      <c r="I111" s="386" t="s">
        <v>575</v>
      </c>
      <c r="J111" s="386"/>
      <c r="K111" s="386" t="s">
        <v>438</v>
      </c>
      <c r="L111" s="386" t="s">
        <v>76</v>
      </c>
      <c r="M111" s="386" t="s">
        <v>165</v>
      </c>
      <c r="N111" s="85">
        <v>92.860598999999993</v>
      </c>
      <c r="O111" s="85">
        <v>20.154343000000001</v>
      </c>
      <c r="P111" s="386"/>
      <c r="Q111" s="793"/>
      <c r="R111" s="797"/>
      <c r="S111" s="801">
        <v>0</v>
      </c>
      <c r="T111" s="386" t="s">
        <v>351</v>
      </c>
      <c r="U111" s="386" t="s">
        <v>782</v>
      </c>
      <c r="V111" s="802" t="s">
        <v>22</v>
      </c>
      <c r="W111" s="803"/>
      <c r="X111" s="386"/>
      <c r="Y111" s="386"/>
      <c r="Z111" s="386"/>
      <c r="AA111" s="804" t="str">
        <f>CONCATENATE(Camp_List[[#This Row],[Ethnicity]],"-",Camp_List[[#This Row],[Religion]])</f>
        <v>-</v>
      </c>
      <c r="AB111" s="386"/>
      <c r="AC111" s="806" t="s">
        <v>800</v>
      </c>
      <c r="AD111" s="386" t="s">
        <v>514</v>
      </c>
      <c r="AE111" s="386" t="s">
        <v>530</v>
      </c>
      <c r="AF111" s="315">
        <v>41520</v>
      </c>
      <c r="AG111" s="808"/>
      <c r="AH111" s="804">
        <f>IFERROR(VLOOKUP(Camp_List[[#This Row],[Responsible Agency]],Organization_t[],3,0),"")</f>
        <v>0</v>
      </c>
      <c r="AI111" s="813">
        <f>IF((SUMIFS(Data_Shelter_t[Coverage],Data_Shelter_t[Pcode],Camp_List[[#This Row],[P_Code]]))&gt;1,1,SUMIFS(Data_Shelter_t[Coverage],Data_Shelter_t[Pcode],Camp_List[[#This Row],[P_Code]]))</f>
        <v>0</v>
      </c>
      <c r="BL111" s="21"/>
      <c r="BM111" s="21"/>
      <c r="BO111" s="79"/>
      <c r="BP111" s="79"/>
    </row>
    <row r="112" spans="1:68" ht="15" hidden="1" customHeight="1">
      <c r="A112" s="386" t="s">
        <v>358</v>
      </c>
      <c r="B112" s="386" t="s">
        <v>7</v>
      </c>
      <c r="C112" s="386" t="s">
        <v>360</v>
      </c>
      <c r="D112" s="386" t="s">
        <v>19</v>
      </c>
      <c r="E112" s="386" t="s">
        <v>622</v>
      </c>
      <c r="F112" s="386" t="s">
        <v>19</v>
      </c>
      <c r="G112" s="386" t="s">
        <v>422</v>
      </c>
      <c r="H112" s="386" t="s">
        <v>428</v>
      </c>
      <c r="I112" s="386" t="s">
        <v>427</v>
      </c>
      <c r="J112" s="386" t="s">
        <v>505</v>
      </c>
      <c r="K112" s="386">
        <v>196192</v>
      </c>
      <c r="L112" s="386" t="s">
        <v>65</v>
      </c>
      <c r="M112" s="386" t="s">
        <v>154</v>
      </c>
      <c r="N112" s="85">
        <v>92.798676999999998</v>
      </c>
      <c r="O112" s="85">
        <v>20.187750999999999</v>
      </c>
      <c r="P112" s="386"/>
      <c r="Q112" s="793"/>
      <c r="R112" s="797"/>
      <c r="S112" s="801">
        <v>0</v>
      </c>
      <c r="T112" s="386" t="s">
        <v>351</v>
      </c>
      <c r="U112" s="386" t="s">
        <v>782</v>
      </c>
      <c r="V112" s="802" t="s">
        <v>22</v>
      </c>
      <c r="W112" s="803"/>
      <c r="X112" s="386"/>
      <c r="Y112" s="386"/>
      <c r="Z112" s="386"/>
      <c r="AA112" s="804" t="str">
        <f>CONCATENATE(Camp_List[[#This Row],[Ethnicity]],"-",Camp_List[[#This Row],[Religion]])</f>
        <v>-</v>
      </c>
      <c r="AB112" s="386"/>
      <c r="AC112" s="806" t="s">
        <v>800</v>
      </c>
      <c r="AD112" s="386" t="s">
        <v>514</v>
      </c>
      <c r="AE112" s="386" t="s">
        <v>530</v>
      </c>
      <c r="AF112" s="315">
        <v>41548</v>
      </c>
      <c r="AG112" s="808"/>
      <c r="AH112" s="804">
        <f>IFERROR(VLOOKUP(Camp_List[[#This Row],[Responsible Agency]],Organization_t[],3,0),"")</f>
        <v>0</v>
      </c>
      <c r="AI112" s="813">
        <f>IF((SUMIFS(Data_Shelter_t[Coverage],Data_Shelter_t[Pcode],Camp_List[[#This Row],[P_Code]]))&gt;1,1,SUMIFS(Data_Shelter_t[Coverage],Data_Shelter_t[Pcode],Camp_List[[#This Row],[P_Code]]))</f>
        <v>0</v>
      </c>
      <c r="BL112" s="21"/>
      <c r="BM112" s="21"/>
      <c r="BO112" s="79"/>
      <c r="BP112" s="79"/>
    </row>
    <row r="113" spans="1:68" ht="15" hidden="1" customHeight="1">
      <c r="A113" s="386" t="s">
        <v>358</v>
      </c>
      <c r="B113" s="386" t="s">
        <v>7</v>
      </c>
      <c r="C113" s="386" t="s">
        <v>360</v>
      </c>
      <c r="D113" s="386" t="s">
        <v>19</v>
      </c>
      <c r="E113" s="386" t="s">
        <v>622</v>
      </c>
      <c r="F113" s="386" t="s">
        <v>19</v>
      </c>
      <c r="G113" s="386" t="s">
        <v>422</v>
      </c>
      <c r="H113" s="386" t="s">
        <v>428</v>
      </c>
      <c r="I113" s="386" t="s">
        <v>427</v>
      </c>
      <c r="J113" s="386" t="s">
        <v>505</v>
      </c>
      <c r="K113" s="386">
        <v>196192</v>
      </c>
      <c r="L113" s="386" t="s">
        <v>246</v>
      </c>
      <c r="M113" s="386" t="s">
        <v>281</v>
      </c>
      <c r="N113" s="85">
        <v>92.800693999999993</v>
      </c>
      <c r="O113" s="85">
        <v>20.190055999999998</v>
      </c>
      <c r="P113" s="386"/>
      <c r="Q113" s="793"/>
      <c r="R113" s="797"/>
      <c r="S113" s="801">
        <v>0</v>
      </c>
      <c r="T113" s="386" t="s">
        <v>351</v>
      </c>
      <c r="U113" s="386" t="s">
        <v>782</v>
      </c>
      <c r="V113" s="802" t="s">
        <v>22</v>
      </c>
      <c r="W113" s="803"/>
      <c r="X113" s="386"/>
      <c r="Y113" s="386"/>
      <c r="Z113" s="386"/>
      <c r="AA113" s="804" t="str">
        <f>CONCATENATE(Camp_List[[#This Row],[Ethnicity]],"-",Camp_List[[#This Row],[Religion]])</f>
        <v>-</v>
      </c>
      <c r="AB113" s="386"/>
      <c r="AC113" s="806" t="s">
        <v>800</v>
      </c>
      <c r="AD113" s="386" t="s">
        <v>514</v>
      </c>
      <c r="AE113" s="386" t="s">
        <v>530</v>
      </c>
      <c r="AF113" s="315">
        <v>41548</v>
      </c>
      <c r="AG113" s="808"/>
      <c r="AH113" s="804">
        <f>IFERROR(VLOOKUP(Camp_List[[#This Row],[Responsible Agency]],Organization_t[],3,0),"")</f>
        <v>0</v>
      </c>
      <c r="AI113" s="813">
        <f>IF((SUMIFS(Data_Shelter_t[Coverage],Data_Shelter_t[Pcode],Camp_List[[#This Row],[P_Code]]))&gt;1,1,SUMIFS(Data_Shelter_t[Coverage],Data_Shelter_t[Pcode],Camp_List[[#This Row],[P_Code]]))</f>
        <v>0</v>
      </c>
      <c r="BL113" s="21"/>
      <c r="BM113" s="21"/>
      <c r="BO113" s="79"/>
      <c r="BP113" s="79"/>
    </row>
    <row r="114" spans="1:68" ht="15" hidden="1" customHeight="1">
      <c r="A114" s="386" t="s">
        <v>358</v>
      </c>
      <c r="B114" s="386" t="s">
        <v>7</v>
      </c>
      <c r="C114" s="386" t="s">
        <v>360</v>
      </c>
      <c r="D114" s="386" t="s">
        <v>19</v>
      </c>
      <c r="E114" s="386" t="s">
        <v>622</v>
      </c>
      <c r="F114" s="386" t="s">
        <v>19</v>
      </c>
      <c r="G114" s="386" t="s">
        <v>422</v>
      </c>
      <c r="H114" s="386" t="s">
        <v>428</v>
      </c>
      <c r="I114" s="386" t="s">
        <v>427</v>
      </c>
      <c r="J114" s="386" t="s">
        <v>505</v>
      </c>
      <c r="K114" s="386">
        <v>196192</v>
      </c>
      <c r="L114" s="386" t="s">
        <v>277</v>
      </c>
      <c r="M114" s="386" t="s">
        <v>561</v>
      </c>
      <c r="N114" s="85">
        <v>92.800528</v>
      </c>
      <c r="O114" s="85">
        <v>20.185583000000001</v>
      </c>
      <c r="P114" s="386"/>
      <c r="Q114" s="793"/>
      <c r="R114" s="797"/>
      <c r="S114" s="801">
        <v>0</v>
      </c>
      <c r="T114" s="386" t="s">
        <v>351</v>
      </c>
      <c r="U114" s="386" t="s">
        <v>782</v>
      </c>
      <c r="V114" s="802" t="s">
        <v>22</v>
      </c>
      <c r="W114" s="803"/>
      <c r="X114" s="386"/>
      <c r="Y114" s="386"/>
      <c r="Z114" s="386"/>
      <c r="AA114" s="804" t="str">
        <f>CONCATENATE(Camp_List[[#This Row],[Ethnicity]],"-",Camp_List[[#This Row],[Religion]])</f>
        <v>-</v>
      </c>
      <c r="AB114" s="386"/>
      <c r="AC114" s="806" t="s">
        <v>800</v>
      </c>
      <c r="AD114" s="386" t="s">
        <v>514</v>
      </c>
      <c r="AE114" s="386" t="s">
        <v>530</v>
      </c>
      <c r="AF114" s="315">
        <v>41548</v>
      </c>
      <c r="AG114" s="808" t="s">
        <v>562</v>
      </c>
      <c r="AH114" s="804">
        <f>IFERROR(VLOOKUP(Camp_List[[#This Row],[Responsible Agency]],Organization_t[],3,0),"")</f>
        <v>0</v>
      </c>
      <c r="AI114" s="813">
        <f>IF((SUMIFS(Data_Shelter_t[Coverage],Data_Shelter_t[Pcode],Camp_List[[#This Row],[P_Code]]))&gt;1,1,SUMIFS(Data_Shelter_t[Coverage],Data_Shelter_t[Pcode],Camp_List[[#This Row],[P_Code]]))</f>
        <v>0</v>
      </c>
      <c r="BL114" s="21"/>
      <c r="BM114" s="21"/>
      <c r="BO114" s="79"/>
      <c r="BP114" s="79"/>
    </row>
    <row r="115" spans="1:68" ht="15" hidden="1" customHeight="1">
      <c r="A115" s="386" t="s">
        <v>358</v>
      </c>
      <c r="B115" s="386" t="s">
        <v>7</v>
      </c>
      <c r="C115" s="386" t="s">
        <v>360</v>
      </c>
      <c r="D115" s="386" t="s">
        <v>19</v>
      </c>
      <c r="E115" s="386" t="s">
        <v>622</v>
      </c>
      <c r="F115" s="386" t="s">
        <v>19</v>
      </c>
      <c r="G115" s="386" t="s">
        <v>422</v>
      </c>
      <c r="H115" s="386" t="s">
        <v>428</v>
      </c>
      <c r="I115" s="386" t="s">
        <v>427</v>
      </c>
      <c r="J115" s="386" t="s">
        <v>505</v>
      </c>
      <c r="K115" s="386">
        <v>196192</v>
      </c>
      <c r="L115" s="386" t="s">
        <v>278</v>
      </c>
      <c r="M115" s="386" t="s">
        <v>563</v>
      </c>
      <c r="N115" s="85">
        <v>92.799861000000007</v>
      </c>
      <c r="O115" s="85">
        <v>20.185193999999999</v>
      </c>
      <c r="P115" s="386"/>
      <c r="Q115" s="793"/>
      <c r="R115" s="797"/>
      <c r="S115" s="801">
        <v>0</v>
      </c>
      <c r="T115" s="386" t="s">
        <v>351</v>
      </c>
      <c r="U115" s="386" t="s">
        <v>782</v>
      </c>
      <c r="V115" s="802" t="s">
        <v>22</v>
      </c>
      <c r="W115" s="803"/>
      <c r="X115" s="386"/>
      <c r="Y115" s="386"/>
      <c r="Z115" s="386"/>
      <c r="AA115" s="804" t="str">
        <f>CONCATENATE(Camp_List[[#This Row],[Ethnicity]],"-",Camp_List[[#This Row],[Religion]])</f>
        <v>-</v>
      </c>
      <c r="AB115" s="386"/>
      <c r="AC115" s="806" t="s">
        <v>800</v>
      </c>
      <c r="AD115" s="386" t="s">
        <v>514</v>
      </c>
      <c r="AE115" s="386" t="s">
        <v>530</v>
      </c>
      <c r="AF115" s="315">
        <v>41548</v>
      </c>
      <c r="AG115" s="808"/>
      <c r="AH115" s="804">
        <f>IFERROR(VLOOKUP(Camp_List[[#This Row],[Responsible Agency]],Organization_t[],3,0),"")</f>
        <v>0</v>
      </c>
      <c r="AI115" s="813">
        <f>IF((SUMIFS(Data_Shelter_t[Coverage],Data_Shelter_t[Pcode],Camp_List[[#This Row],[P_Code]]))&gt;1,1,SUMIFS(Data_Shelter_t[Coverage],Data_Shelter_t[Pcode],Camp_List[[#This Row],[P_Code]]))</f>
        <v>0</v>
      </c>
      <c r="BL115" s="21"/>
      <c r="BM115" s="21"/>
      <c r="BO115" s="79"/>
      <c r="BP115" s="79"/>
    </row>
    <row r="116" spans="1:68" ht="15" hidden="1" customHeight="1">
      <c r="A116" s="386" t="s">
        <v>358</v>
      </c>
      <c r="B116" s="386" t="s">
        <v>7</v>
      </c>
      <c r="C116" s="386" t="s">
        <v>360</v>
      </c>
      <c r="D116" s="386" t="s">
        <v>19</v>
      </c>
      <c r="E116" s="386" t="s">
        <v>622</v>
      </c>
      <c r="F116" s="386" t="s">
        <v>19</v>
      </c>
      <c r="G116" s="386" t="s">
        <v>422</v>
      </c>
      <c r="H116" s="386" t="s">
        <v>430</v>
      </c>
      <c r="I116" s="386" t="s">
        <v>429</v>
      </c>
      <c r="J116" s="386" t="s">
        <v>509</v>
      </c>
      <c r="K116" s="386">
        <v>196157</v>
      </c>
      <c r="L116" s="386" t="s">
        <v>66</v>
      </c>
      <c r="M116" s="386" t="s">
        <v>155</v>
      </c>
      <c r="N116" s="85">
        <v>92.788177000000005</v>
      </c>
      <c r="O116" s="85">
        <v>20.207284999999999</v>
      </c>
      <c r="P116" s="386"/>
      <c r="Q116" s="793"/>
      <c r="R116" s="797"/>
      <c r="S116" s="801">
        <v>0</v>
      </c>
      <c r="T116" s="386" t="s">
        <v>351</v>
      </c>
      <c r="U116" s="386" t="s">
        <v>782</v>
      </c>
      <c r="V116" s="802" t="s">
        <v>22</v>
      </c>
      <c r="W116" s="803"/>
      <c r="X116" s="386"/>
      <c r="Y116" s="386"/>
      <c r="Z116" s="386"/>
      <c r="AA116" s="804" t="str">
        <f>CONCATENATE(Camp_List[[#This Row],[Ethnicity]],"-",Camp_List[[#This Row],[Religion]])</f>
        <v>-</v>
      </c>
      <c r="AB116" s="386"/>
      <c r="AC116" s="806" t="s">
        <v>800</v>
      </c>
      <c r="AD116" s="386" t="s">
        <v>514</v>
      </c>
      <c r="AE116" s="386" t="s">
        <v>530</v>
      </c>
      <c r="AF116" s="315">
        <v>41548</v>
      </c>
      <c r="AG116" s="808"/>
      <c r="AH116" s="804">
        <f>IFERROR(VLOOKUP(Camp_List[[#This Row],[Responsible Agency]],Organization_t[],3,0),"")</f>
        <v>0</v>
      </c>
      <c r="AI116" s="813">
        <f>IF((SUMIFS(Data_Shelter_t[Coverage],Data_Shelter_t[Pcode],Camp_List[[#This Row],[P_Code]]))&gt;1,1,SUMIFS(Data_Shelter_t[Coverage],Data_Shelter_t[Pcode],Camp_List[[#This Row],[P_Code]]))</f>
        <v>0</v>
      </c>
      <c r="BL116" s="21"/>
      <c r="BM116" s="21"/>
      <c r="BO116" s="79"/>
      <c r="BP116" s="79"/>
    </row>
    <row r="117" spans="1:68" ht="15" hidden="1" customHeight="1">
      <c r="A117" s="386" t="s">
        <v>358</v>
      </c>
      <c r="B117" s="386" t="s">
        <v>7</v>
      </c>
      <c r="C117" s="386" t="s">
        <v>360</v>
      </c>
      <c r="D117" s="386" t="s">
        <v>19</v>
      </c>
      <c r="E117" s="386" t="s">
        <v>622</v>
      </c>
      <c r="F117" s="386" t="s">
        <v>19</v>
      </c>
      <c r="G117" s="386" t="s">
        <v>422</v>
      </c>
      <c r="H117" s="386" t="s">
        <v>426</v>
      </c>
      <c r="I117" s="386" t="s">
        <v>425</v>
      </c>
      <c r="J117" s="386" t="s">
        <v>508</v>
      </c>
      <c r="K117" s="386">
        <v>196209</v>
      </c>
      <c r="L117" s="386" t="s">
        <v>73</v>
      </c>
      <c r="M117" s="386" t="s">
        <v>162</v>
      </c>
      <c r="N117" s="85">
        <v>92.847966999999997</v>
      </c>
      <c r="O117" s="85">
        <v>20.147107999999999</v>
      </c>
      <c r="P117" s="386"/>
      <c r="Q117" s="793"/>
      <c r="R117" s="797"/>
      <c r="S117" s="801">
        <v>0</v>
      </c>
      <c r="T117" s="386" t="s">
        <v>351</v>
      </c>
      <c r="U117" s="386" t="s">
        <v>782</v>
      </c>
      <c r="V117" s="802" t="s">
        <v>23</v>
      </c>
      <c r="W117" s="803"/>
      <c r="X117" s="386"/>
      <c r="Y117" s="386"/>
      <c r="Z117" s="386"/>
      <c r="AA117" s="804" t="str">
        <f>CONCATENATE(Camp_List[[#This Row],[Ethnicity]],"-",Camp_List[[#This Row],[Religion]])</f>
        <v>-</v>
      </c>
      <c r="AB117" s="386"/>
      <c r="AC117" s="806" t="s">
        <v>800</v>
      </c>
      <c r="AD117" s="386" t="s">
        <v>514</v>
      </c>
      <c r="AE117" s="386" t="s">
        <v>530</v>
      </c>
      <c r="AF117" s="315">
        <v>41520</v>
      </c>
      <c r="AG117" s="808"/>
      <c r="AH117" s="804">
        <f>IFERROR(VLOOKUP(Camp_List[[#This Row],[Responsible Agency]],Organization_t[],3,0),"")</f>
        <v>0</v>
      </c>
      <c r="AI117" s="813">
        <f>IF((SUMIFS(Data_Shelter_t[Coverage],Data_Shelter_t[Pcode],Camp_List[[#This Row],[P_Code]]))&gt;1,1,SUMIFS(Data_Shelter_t[Coverage],Data_Shelter_t[Pcode],Camp_List[[#This Row],[P_Code]]))</f>
        <v>0</v>
      </c>
      <c r="BL117" s="21"/>
      <c r="BM117" s="21"/>
      <c r="BO117" s="79"/>
      <c r="BP117" s="79"/>
    </row>
    <row r="118" spans="1:68" ht="15" hidden="1" customHeight="1">
      <c r="A118" s="386" t="s">
        <v>358</v>
      </c>
      <c r="B118" s="386" t="s">
        <v>7</v>
      </c>
      <c r="C118" s="386" t="s">
        <v>360</v>
      </c>
      <c r="D118" s="386" t="s">
        <v>19</v>
      </c>
      <c r="E118" s="386" t="s">
        <v>622</v>
      </c>
      <c r="F118" s="386" t="s">
        <v>19</v>
      </c>
      <c r="G118" s="386" t="s">
        <v>422</v>
      </c>
      <c r="H118" s="386" t="s">
        <v>426</v>
      </c>
      <c r="I118" s="386" t="s">
        <v>425</v>
      </c>
      <c r="J118" s="386" t="s">
        <v>513</v>
      </c>
      <c r="K118" s="386">
        <v>196216</v>
      </c>
      <c r="L118" s="386" t="s">
        <v>74</v>
      </c>
      <c r="M118" s="386" t="s">
        <v>163</v>
      </c>
      <c r="N118" s="85">
        <v>92.848348000000001</v>
      </c>
      <c r="O118" s="85">
        <v>20.133385000000001</v>
      </c>
      <c r="P118" s="386"/>
      <c r="Q118" s="793"/>
      <c r="R118" s="797"/>
      <c r="S118" s="801">
        <v>0</v>
      </c>
      <c r="T118" s="386" t="s">
        <v>351</v>
      </c>
      <c r="U118" s="386" t="s">
        <v>782</v>
      </c>
      <c r="V118" s="802" t="s">
        <v>23</v>
      </c>
      <c r="W118" s="803"/>
      <c r="X118" s="386"/>
      <c r="Y118" s="386"/>
      <c r="Z118" s="386"/>
      <c r="AA118" s="804" t="str">
        <f>CONCATENATE(Camp_List[[#This Row],[Ethnicity]],"-",Camp_List[[#This Row],[Religion]])</f>
        <v>-</v>
      </c>
      <c r="AB118" s="386"/>
      <c r="AC118" s="806" t="s">
        <v>800</v>
      </c>
      <c r="AD118" s="386" t="s">
        <v>514</v>
      </c>
      <c r="AE118" s="386" t="s">
        <v>530</v>
      </c>
      <c r="AF118" s="315">
        <v>41520</v>
      </c>
      <c r="AG118" s="808"/>
      <c r="AH118" s="804">
        <f>IFERROR(VLOOKUP(Camp_List[[#This Row],[Responsible Agency]],Organization_t[],3,0),"")</f>
        <v>0</v>
      </c>
      <c r="AI118" s="813">
        <f>IF((SUMIFS(Data_Shelter_t[Coverage],Data_Shelter_t[Pcode],Camp_List[[#This Row],[P_Code]]))&gt;1,1,SUMIFS(Data_Shelter_t[Coverage],Data_Shelter_t[Pcode],Camp_List[[#This Row],[P_Code]]))</f>
        <v>0</v>
      </c>
      <c r="BL118" s="21"/>
      <c r="BM118" s="21"/>
      <c r="BO118" s="79"/>
      <c r="BP118" s="79"/>
    </row>
    <row r="119" spans="1:68" ht="15" hidden="1" customHeight="1">
      <c r="A119" s="386" t="s">
        <v>358</v>
      </c>
      <c r="B119" s="386" t="s">
        <v>7</v>
      </c>
      <c r="C119" s="386" t="s">
        <v>360</v>
      </c>
      <c r="D119" s="386" t="s">
        <v>19</v>
      </c>
      <c r="E119" s="386" t="s">
        <v>622</v>
      </c>
      <c r="F119" s="386" t="s">
        <v>19</v>
      </c>
      <c r="G119" s="386" t="s">
        <v>422</v>
      </c>
      <c r="H119" s="386" t="s">
        <v>424</v>
      </c>
      <c r="I119" s="386" t="s">
        <v>423</v>
      </c>
      <c r="J119" s="386" t="s">
        <v>67</v>
      </c>
      <c r="K119" s="386">
        <v>196154</v>
      </c>
      <c r="L119" s="386" t="s">
        <v>72</v>
      </c>
      <c r="M119" s="386" t="s">
        <v>161</v>
      </c>
      <c r="N119" s="85">
        <v>92.792958999999996</v>
      </c>
      <c r="O119" s="85">
        <v>20.205295</v>
      </c>
      <c r="P119" s="386"/>
      <c r="Q119" s="793"/>
      <c r="R119" s="797"/>
      <c r="S119" s="801">
        <v>0</v>
      </c>
      <c r="T119" s="386" t="s">
        <v>351</v>
      </c>
      <c r="U119" s="386" t="s">
        <v>782</v>
      </c>
      <c r="V119" s="802" t="s">
        <v>23</v>
      </c>
      <c r="W119" s="803"/>
      <c r="X119" s="386"/>
      <c r="Y119" s="386"/>
      <c r="Z119" s="386"/>
      <c r="AA119" s="804" t="str">
        <f>CONCATENATE(Camp_List[[#This Row],[Ethnicity]],"-",Camp_List[[#This Row],[Religion]])</f>
        <v>-</v>
      </c>
      <c r="AB119" s="386"/>
      <c r="AC119" s="806" t="s">
        <v>800</v>
      </c>
      <c r="AD119" s="386" t="s">
        <v>514</v>
      </c>
      <c r="AE119" s="386" t="s">
        <v>530</v>
      </c>
      <c r="AF119" s="315">
        <v>41520</v>
      </c>
      <c r="AG119" s="808"/>
      <c r="AH119" s="804">
        <f>IFERROR(VLOOKUP(Camp_List[[#This Row],[Responsible Agency]],Organization_t[],3,0),"")</f>
        <v>0</v>
      </c>
      <c r="AI119" s="813">
        <f>IF((SUMIFS(Data_Shelter_t[Coverage],Data_Shelter_t[Pcode],Camp_List[[#This Row],[P_Code]]))&gt;1,1,SUMIFS(Data_Shelter_t[Coverage],Data_Shelter_t[Pcode],Camp_List[[#This Row],[P_Code]]))</f>
        <v>0</v>
      </c>
      <c r="BL119" s="21"/>
      <c r="BM119" s="21"/>
      <c r="BO119" s="79"/>
      <c r="BP119" s="79"/>
    </row>
    <row r="120" spans="1:68" ht="15" hidden="1" customHeight="1">
      <c r="A120" s="386" t="s">
        <v>358</v>
      </c>
      <c r="B120" s="386" t="s">
        <v>7</v>
      </c>
      <c r="C120" s="386" t="s">
        <v>360</v>
      </c>
      <c r="D120" s="386" t="s">
        <v>19</v>
      </c>
      <c r="E120" s="386" t="s">
        <v>622</v>
      </c>
      <c r="F120" s="386" t="s">
        <v>19</v>
      </c>
      <c r="G120" s="386" t="s">
        <v>422</v>
      </c>
      <c r="H120" s="386" t="s">
        <v>522</v>
      </c>
      <c r="I120" s="386" t="s">
        <v>575</v>
      </c>
      <c r="J120" s="386" t="s">
        <v>576</v>
      </c>
      <c r="K120" s="386" t="s">
        <v>577</v>
      </c>
      <c r="L120" s="386" t="s">
        <v>578</v>
      </c>
      <c r="M120" s="386" t="s">
        <v>579</v>
      </c>
      <c r="N120" s="85">
        <v>92.887277999999995</v>
      </c>
      <c r="O120" s="85">
        <v>20.151471999999998</v>
      </c>
      <c r="P120" s="386"/>
      <c r="Q120" s="793"/>
      <c r="R120" s="797"/>
      <c r="S120" s="801">
        <v>0</v>
      </c>
      <c r="T120" s="386" t="s">
        <v>351</v>
      </c>
      <c r="U120" s="386" t="s">
        <v>782</v>
      </c>
      <c r="V120" s="802" t="s">
        <v>23</v>
      </c>
      <c r="W120" s="803"/>
      <c r="X120" s="386"/>
      <c r="Y120" s="386"/>
      <c r="Z120" s="386"/>
      <c r="AA120" s="804" t="str">
        <f>CONCATENATE(Camp_List[[#This Row],[Ethnicity]],"-",Camp_List[[#This Row],[Religion]])</f>
        <v>-</v>
      </c>
      <c r="AB120" s="386"/>
      <c r="AC120" s="806" t="s">
        <v>800</v>
      </c>
      <c r="AD120" s="386" t="s">
        <v>514</v>
      </c>
      <c r="AE120" s="386" t="s">
        <v>530</v>
      </c>
      <c r="AF120" s="315">
        <v>41548</v>
      </c>
      <c r="AG120" s="808"/>
      <c r="AH120" s="804">
        <f>IFERROR(VLOOKUP(Camp_List[[#This Row],[Responsible Agency]],Organization_t[],3,0),"")</f>
        <v>0</v>
      </c>
      <c r="AI120" s="813">
        <f>IF((SUMIFS(Data_Shelter_t[Coverage],Data_Shelter_t[Pcode],Camp_List[[#This Row],[P_Code]]))&gt;1,1,SUMIFS(Data_Shelter_t[Coverage],Data_Shelter_t[Pcode],Camp_List[[#This Row],[P_Code]]))</f>
        <v>0</v>
      </c>
      <c r="BL120" s="21"/>
      <c r="BM120" s="21"/>
      <c r="BO120" s="79"/>
      <c r="BP120" s="79"/>
    </row>
    <row r="121" spans="1:68" ht="15" hidden="1" customHeight="1">
      <c r="A121" s="386" t="s">
        <v>674</v>
      </c>
      <c r="B121" s="386" t="s">
        <v>7</v>
      </c>
      <c r="C121" s="386" t="s">
        <v>360</v>
      </c>
      <c r="D121" s="386" t="s">
        <v>19</v>
      </c>
      <c r="E121" s="386" t="s">
        <v>622</v>
      </c>
      <c r="F121" s="386" t="s">
        <v>19</v>
      </c>
      <c r="G121" s="386" t="s">
        <v>422</v>
      </c>
      <c r="H121" s="386" t="s">
        <v>426</v>
      </c>
      <c r="I121" s="386" t="s">
        <v>425</v>
      </c>
      <c r="J121" s="386" t="s">
        <v>504</v>
      </c>
      <c r="K121" s="386">
        <v>196211</v>
      </c>
      <c r="L121" s="386" t="s">
        <v>69</v>
      </c>
      <c r="M121" s="386" t="s">
        <v>158</v>
      </c>
      <c r="N121" s="85">
        <v>92.837576999999996</v>
      </c>
      <c r="O121" s="85">
        <v>20.156842000000001</v>
      </c>
      <c r="P121" s="386"/>
      <c r="Q121" s="793"/>
      <c r="R121" s="797"/>
      <c r="S121" s="801">
        <v>0</v>
      </c>
      <c r="T121" s="386" t="s">
        <v>351</v>
      </c>
      <c r="U121" s="386" t="s">
        <v>782</v>
      </c>
      <c r="V121" s="802" t="s">
        <v>23</v>
      </c>
      <c r="W121" s="803"/>
      <c r="X121" s="386"/>
      <c r="Y121" s="386"/>
      <c r="Z121" s="386"/>
      <c r="AA121" s="804" t="str">
        <f>CONCATENATE(Camp_List[[#This Row],[Ethnicity]],"-",Camp_List[[#This Row],[Religion]])</f>
        <v>-</v>
      </c>
      <c r="AB121" s="386"/>
      <c r="AC121" s="806" t="s">
        <v>800</v>
      </c>
      <c r="AD121" s="386" t="s">
        <v>514</v>
      </c>
      <c r="AE121" s="386" t="s">
        <v>530</v>
      </c>
      <c r="AF121" s="315">
        <v>41579</v>
      </c>
      <c r="AG121" s="808" t="s">
        <v>676</v>
      </c>
      <c r="AH121" s="804">
        <f>IFERROR(VLOOKUP(Camp_List[[#This Row],[Responsible Agency]],Organization_t[],3,0),"")</f>
        <v>0</v>
      </c>
      <c r="AI121" s="813">
        <f>IF((SUMIFS(Data_Shelter_t[Coverage],Data_Shelter_t[Pcode],Camp_List[[#This Row],[P_Code]]))&gt;1,1,SUMIFS(Data_Shelter_t[Coverage],Data_Shelter_t[Pcode],Camp_List[[#This Row],[P_Code]]))</f>
        <v>0</v>
      </c>
      <c r="BL121" s="21"/>
      <c r="BM121" s="21"/>
      <c r="BO121" s="79"/>
      <c r="BP121" s="79"/>
    </row>
    <row r="122" spans="1:68" ht="15" hidden="1" customHeight="1">
      <c r="A122" s="386" t="s">
        <v>358</v>
      </c>
      <c r="B122" s="386" t="s">
        <v>7</v>
      </c>
      <c r="C122" s="386" t="s">
        <v>360</v>
      </c>
      <c r="D122" s="386" t="s">
        <v>19</v>
      </c>
      <c r="E122" s="386" t="s">
        <v>622</v>
      </c>
      <c r="F122" s="386" t="s">
        <v>19</v>
      </c>
      <c r="G122" s="386" t="s">
        <v>422</v>
      </c>
      <c r="H122" s="386" t="s">
        <v>426</v>
      </c>
      <c r="I122" s="386" t="s">
        <v>425</v>
      </c>
      <c r="J122" s="386" t="s">
        <v>504</v>
      </c>
      <c r="K122" s="386">
        <v>196211</v>
      </c>
      <c r="L122" s="386" t="s">
        <v>564</v>
      </c>
      <c r="M122" s="386" t="s">
        <v>565</v>
      </c>
      <c r="N122" s="85">
        <v>92.839166000000006</v>
      </c>
      <c r="O122" s="85">
        <v>20.157311</v>
      </c>
      <c r="P122" s="386"/>
      <c r="Q122" s="793"/>
      <c r="R122" s="797"/>
      <c r="S122" s="801"/>
      <c r="T122" s="386" t="s">
        <v>351</v>
      </c>
      <c r="U122" s="386" t="s">
        <v>782</v>
      </c>
      <c r="V122" s="802" t="s">
        <v>841</v>
      </c>
      <c r="W122" s="803"/>
      <c r="X122" s="386"/>
      <c r="Y122" s="386"/>
      <c r="Z122" s="386"/>
      <c r="AA122" s="804"/>
      <c r="AB122" s="386"/>
      <c r="AC122" s="806"/>
      <c r="AD122" s="386"/>
      <c r="AE122" s="386"/>
      <c r="AF122" s="315">
        <v>42278</v>
      </c>
      <c r="AG122" s="808" t="s">
        <v>902</v>
      </c>
      <c r="AH122" s="804" t="str">
        <f>IFERROR(VLOOKUP(Camp_List[[#This Row],[Responsible Agency]],Organization_t[],3,0),"")</f>
        <v/>
      </c>
      <c r="AI122" s="813">
        <f>IF((SUMIFS(Data_Shelter_t[Coverage],Data_Shelter_t[Pcode],Camp_List[[#This Row],[P_Code]]))&gt;1,1,SUMIFS(Data_Shelter_t[Coverage],Data_Shelter_t[Pcode],Camp_List[[#This Row],[P_Code]]))</f>
        <v>0</v>
      </c>
      <c r="BL122" s="21"/>
      <c r="BM122" s="21"/>
      <c r="BO122" s="79"/>
      <c r="BP122" s="79"/>
    </row>
    <row r="123" spans="1:68">
      <c r="Q123" s="21"/>
      <c r="R123" s="642"/>
      <c r="S123" s="21"/>
    </row>
    <row r="124" spans="1:68">
      <c r="Q124" s="21"/>
      <c r="R124" s="642"/>
      <c r="S124" s="21"/>
      <c r="U124" s="637"/>
      <c r="V124" s="638"/>
    </row>
    <row r="125" spans="1:68">
      <c r="Q125" s="21"/>
      <c r="R125" s="642"/>
      <c r="S125" s="21"/>
      <c r="U125" s="637"/>
      <c r="V125" s="638"/>
    </row>
    <row r="126" spans="1:68">
      <c r="Q126" s="21"/>
      <c r="R126" s="642"/>
      <c r="S126" s="21"/>
      <c r="U126" s="637"/>
      <c r="V126" s="638"/>
    </row>
    <row r="127" spans="1:68">
      <c r="U127" s="637"/>
      <c r="V127" s="638"/>
    </row>
    <row r="128" spans="1:68">
      <c r="D128" s="625"/>
      <c r="K128" s="625"/>
      <c r="L128" s="626"/>
      <c r="U128" s="637"/>
      <c r="V128" s="638"/>
    </row>
    <row r="129" spans="4:22">
      <c r="D129" s="630"/>
      <c r="F129" s="626"/>
      <c r="K129" s="625"/>
      <c r="L129" s="626"/>
      <c r="U129" s="637"/>
      <c r="V129" s="638"/>
    </row>
    <row r="130" spans="4:22">
      <c r="D130" s="630"/>
      <c r="F130" s="626"/>
      <c r="K130" s="625"/>
      <c r="L130" s="627"/>
      <c r="U130" s="637"/>
      <c r="V130" s="639"/>
    </row>
    <row r="131" spans="4:22">
      <c r="D131" s="630"/>
      <c r="F131" s="626"/>
      <c r="K131" s="625"/>
      <c r="L131" s="626"/>
    </row>
    <row r="132" spans="4:22">
      <c r="D132" s="630"/>
      <c r="F132" s="626"/>
      <c r="K132" s="625"/>
      <c r="L132" s="626"/>
    </row>
    <row r="133" spans="4:22">
      <c r="D133" s="631"/>
      <c r="F133" s="626"/>
      <c r="K133" s="625"/>
      <c r="L133" s="626"/>
    </row>
    <row r="134" spans="4:22">
      <c r="D134" s="630"/>
      <c r="F134" s="626"/>
      <c r="K134" s="625"/>
      <c r="L134" s="628"/>
    </row>
    <row r="135" spans="4:22">
      <c r="D135" s="630"/>
      <c r="F135" s="626"/>
      <c r="K135" s="625"/>
      <c r="L135" s="626"/>
    </row>
    <row r="136" spans="4:22">
      <c r="D136" s="631"/>
      <c r="F136" s="626"/>
      <c r="K136" s="629"/>
      <c r="L136" s="628"/>
    </row>
    <row r="137" spans="4:22">
      <c r="K137" s="625"/>
      <c r="L137" s="626"/>
    </row>
    <row r="138" spans="4:22">
      <c r="K138" s="625"/>
      <c r="L138" s="626"/>
    </row>
    <row r="139" spans="4:22">
      <c r="K139" s="625"/>
      <c r="L139" s="626"/>
    </row>
  </sheetData>
  <sortState ref="A56:AJ88">
    <sortCondition ref="G1:G1048576"/>
    <sortCondition ref="L1:L1048576"/>
  </sortState>
  <mergeCells count="1">
    <mergeCell ref="A3:B3"/>
  </mergeCells>
  <conditionalFormatting sqref="A5:A51">
    <cfRule type="cellIs" dxfId="1142" priority="9" operator="equal">
      <formula>"close"</formula>
    </cfRule>
  </conditionalFormatting>
  <conditionalFormatting sqref="A73:A122">
    <cfRule type="cellIs" dxfId="1141" priority="4" operator="equal">
      <formula>"close"</formula>
    </cfRule>
  </conditionalFormatting>
  <conditionalFormatting sqref="A52">
    <cfRule type="cellIs" dxfId="1140" priority="3" operator="equal">
      <formula>"close"</formula>
    </cfRule>
  </conditionalFormatting>
  <conditionalFormatting sqref="A53">
    <cfRule type="cellIs" dxfId="1139" priority="2" operator="equal">
      <formula>"close"</formula>
    </cfRule>
  </conditionalFormatting>
  <conditionalFormatting sqref="A54:A72">
    <cfRule type="cellIs" dxfId="1138" priority="1" operator="equal">
      <formula>"close"</formula>
    </cfRule>
  </conditionalFormatting>
  <dataValidations count="3">
    <dataValidation type="list" allowBlank="1" showInputMessage="1" showErrorMessage="1" sqref="AC5:AC122">
      <formula1>Organization_Code</formula1>
    </dataValidation>
    <dataValidation type="list" allowBlank="1" showInputMessage="1" showErrorMessage="1" sqref="V5:V122">
      <formula1>Type_of_Accomodation</formula1>
    </dataValidation>
    <dataValidation type="list" allowBlank="1" showInputMessage="1" showErrorMessage="1" sqref="U5:U122">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98" t="s">
        <v>354</v>
      </c>
      <c r="B3" s="593" t="s">
        <v>10</v>
      </c>
      <c r="C3" s="593" t="s">
        <v>544</v>
      </c>
      <c r="D3" s="594" t="s">
        <v>0</v>
      </c>
      <c r="E3" s="594" t="s">
        <v>9</v>
      </c>
      <c r="F3" s="594" t="s">
        <v>8</v>
      </c>
      <c r="G3" s="593" t="s">
        <v>2</v>
      </c>
      <c r="H3" s="593" t="s">
        <v>3</v>
      </c>
      <c r="I3" s="594" t="s">
        <v>669</v>
      </c>
      <c r="J3" s="595" t="s">
        <v>4</v>
      </c>
      <c r="K3" s="595" t="s">
        <v>5</v>
      </c>
      <c r="L3" s="596" t="s">
        <v>345</v>
      </c>
      <c r="M3" s="594" t="s">
        <v>840</v>
      </c>
      <c r="N3" s="594" t="s">
        <v>781</v>
      </c>
      <c r="O3" s="594" t="s">
        <v>24</v>
      </c>
      <c r="P3" s="594" t="s">
        <v>895</v>
      </c>
      <c r="Q3" s="594" t="s">
        <v>670</v>
      </c>
      <c r="R3" s="594" t="s">
        <v>783</v>
      </c>
      <c r="S3" s="597" t="s">
        <v>784</v>
      </c>
      <c r="T3" s="597" t="s">
        <v>789</v>
      </c>
      <c r="U3" s="594" t="s">
        <v>687</v>
      </c>
      <c r="V3" s="594" t="s">
        <v>686</v>
      </c>
      <c r="W3" s="594" t="s">
        <v>348</v>
      </c>
      <c r="X3" s="594" t="s">
        <v>349</v>
      </c>
      <c r="Y3" s="594" t="s">
        <v>359</v>
      </c>
      <c r="Z3" s="594" t="s">
        <v>353</v>
      </c>
      <c r="AA3" s="594" t="s">
        <v>827</v>
      </c>
    </row>
    <row r="4" spans="1:27">
      <c r="A4" s="599" t="s">
        <v>358</v>
      </c>
      <c r="B4" s="611" t="s">
        <v>7</v>
      </c>
      <c r="C4" s="611" t="s">
        <v>19</v>
      </c>
      <c r="D4" s="611" t="s">
        <v>15</v>
      </c>
      <c r="E4" s="611" t="s">
        <v>46</v>
      </c>
      <c r="F4" s="611" t="s">
        <v>133</v>
      </c>
      <c r="G4" s="612">
        <v>93.003204999999994</v>
      </c>
      <c r="H4" s="612">
        <v>20.921424999999999</v>
      </c>
      <c r="I4" s="611"/>
      <c r="J4" s="603">
        <v>24</v>
      </c>
      <c r="K4" s="603">
        <v>140</v>
      </c>
      <c r="L4" s="604">
        <v>6.0869565217391308</v>
      </c>
      <c r="M4" s="605" t="s">
        <v>351</v>
      </c>
      <c r="N4" s="605" t="s">
        <v>782</v>
      </c>
      <c r="O4" s="605" t="s">
        <v>841</v>
      </c>
      <c r="P4" s="606" t="s">
        <v>896</v>
      </c>
      <c r="Q4" s="605"/>
      <c r="R4" s="605" t="s">
        <v>800</v>
      </c>
      <c r="S4" s="605" t="s">
        <v>678</v>
      </c>
      <c r="T4" s="605" t="s">
        <v>801</v>
      </c>
      <c r="U4" s="605" t="s">
        <v>685</v>
      </c>
      <c r="V4" s="605" t="s">
        <v>287</v>
      </c>
      <c r="W4" s="605" t="s">
        <v>514</v>
      </c>
      <c r="X4" s="605" t="s">
        <v>530</v>
      </c>
      <c r="Y4" s="608">
        <v>42415</v>
      </c>
      <c r="Z4" s="605" t="s">
        <v>978</v>
      </c>
      <c r="AA4" s="612" t="s">
        <v>1009</v>
      </c>
    </row>
    <row r="5" spans="1:27">
      <c r="A5" s="599" t="s">
        <v>358</v>
      </c>
      <c r="B5" s="611" t="s">
        <v>7</v>
      </c>
      <c r="C5" s="611" t="s">
        <v>19</v>
      </c>
      <c r="D5" s="611" t="s">
        <v>15</v>
      </c>
      <c r="E5" s="611" t="s">
        <v>49</v>
      </c>
      <c r="F5" s="611" t="s">
        <v>136</v>
      </c>
      <c r="G5" s="612">
        <v>93.014349999999993</v>
      </c>
      <c r="H5" s="612">
        <v>20.896740000000001</v>
      </c>
      <c r="I5" s="611"/>
      <c r="J5" s="603">
        <v>14</v>
      </c>
      <c r="K5" s="603">
        <v>84</v>
      </c>
      <c r="L5" s="604">
        <v>6</v>
      </c>
      <c r="M5" s="605" t="s">
        <v>351</v>
      </c>
      <c r="N5" s="605" t="s">
        <v>782</v>
      </c>
      <c r="O5" s="605" t="s">
        <v>841</v>
      </c>
      <c r="P5" s="606" t="s">
        <v>896</v>
      </c>
      <c r="Q5" s="605"/>
      <c r="R5" s="605" t="s">
        <v>800</v>
      </c>
      <c r="S5" s="605" t="s">
        <v>678</v>
      </c>
      <c r="T5" s="605" t="s">
        <v>801</v>
      </c>
      <c r="U5" s="605" t="s">
        <v>685</v>
      </c>
      <c r="V5" s="605" t="s">
        <v>287</v>
      </c>
      <c r="W5" s="605" t="s">
        <v>514</v>
      </c>
      <c r="X5" s="605" t="s">
        <v>530</v>
      </c>
      <c r="Y5" s="608">
        <v>42415</v>
      </c>
      <c r="Z5" s="605" t="s">
        <v>979</v>
      </c>
      <c r="AA5" s="612" t="s">
        <v>1009</v>
      </c>
    </row>
    <row r="6" spans="1:27">
      <c r="A6" s="599" t="s">
        <v>358</v>
      </c>
      <c r="B6" s="611" t="s">
        <v>7</v>
      </c>
      <c r="C6" s="611" t="s">
        <v>19</v>
      </c>
      <c r="D6" s="611" t="s">
        <v>15</v>
      </c>
      <c r="E6" s="611" t="s">
        <v>48</v>
      </c>
      <c r="F6" s="611" t="s">
        <v>135</v>
      </c>
      <c r="G6" s="612">
        <v>92.961841000000007</v>
      </c>
      <c r="H6" s="612">
        <v>20.720213000000001</v>
      </c>
      <c r="I6" s="611"/>
      <c r="J6" s="603">
        <v>92</v>
      </c>
      <c r="K6" s="603">
        <v>559</v>
      </c>
      <c r="L6" s="604">
        <v>6.0760869565217392</v>
      </c>
      <c r="M6" s="605" t="s">
        <v>351</v>
      </c>
      <c r="N6" s="605" t="s">
        <v>782</v>
      </c>
      <c r="O6" s="605" t="s">
        <v>841</v>
      </c>
      <c r="P6" s="606" t="s">
        <v>896</v>
      </c>
      <c r="Q6" s="605"/>
      <c r="R6" s="605" t="s">
        <v>800</v>
      </c>
      <c r="S6" s="605" t="s">
        <v>678</v>
      </c>
      <c r="T6" s="605" t="s">
        <v>801</v>
      </c>
      <c r="U6" s="605" t="s">
        <v>685</v>
      </c>
      <c r="V6" s="605" t="s">
        <v>287</v>
      </c>
      <c r="W6" s="605" t="s">
        <v>514</v>
      </c>
      <c r="X6" s="605" t="s">
        <v>961</v>
      </c>
      <c r="Y6" s="608">
        <v>42415</v>
      </c>
      <c r="Z6" s="605" t="s">
        <v>980</v>
      </c>
      <c r="AA6" s="612" t="s">
        <v>1009</v>
      </c>
    </row>
    <row r="7" spans="1:27">
      <c r="A7" s="599" t="s">
        <v>674</v>
      </c>
      <c r="B7" s="611" t="s">
        <v>7</v>
      </c>
      <c r="C7" s="611" t="s">
        <v>19</v>
      </c>
      <c r="D7" s="611" t="s">
        <v>15</v>
      </c>
      <c r="E7" s="611" t="s">
        <v>51</v>
      </c>
      <c r="F7" s="611" t="s">
        <v>138</v>
      </c>
      <c r="G7" s="612">
        <v>93.014089999999996</v>
      </c>
      <c r="H7" s="612">
        <v>20.713259999999998</v>
      </c>
      <c r="I7" s="611"/>
      <c r="J7" s="603">
        <v>116</v>
      </c>
      <c r="K7" s="603">
        <v>802</v>
      </c>
      <c r="L7" s="604">
        <v>6.8879310344827589</v>
      </c>
      <c r="M7" s="605" t="s">
        <v>351</v>
      </c>
      <c r="N7" s="605" t="s">
        <v>782</v>
      </c>
      <c r="O7" s="605" t="s">
        <v>841</v>
      </c>
      <c r="P7" s="606" t="s">
        <v>896</v>
      </c>
      <c r="Q7" s="605"/>
      <c r="R7" s="605" t="s">
        <v>800</v>
      </c>
      <c r="S7" s="605" t="s">
        <v>678</v>
      </c>
      <c r="T7" s="605" t="s">
        <v>801</v>
      </c>
      <c r="U7" s="605" t="s">
        <v>685</v>
      </c>
      <c r="V7" s="605" t="s">
        <v>287</v>
      </c>
      <c r="W7" s="605" t="s">
        <v>514</v>
      </c>
      <c r="X7" s="605" t="s">
        <v>961</v>
      </c>
      <c r="Y7" s="608">
        <v>42415</v>
      </c>
      <c r="Z7" s="605" t="s">
        <v>981</v>
      </c>
      <c r="AA7" s="612" t="s">
        <v>1009</v>
      </c>
    </row>
    <row r="8" spans="1:27">
      <c r="A8" s="599" t="s">
        <v>358</v>
      </c>
      <c r="B8" s="611" t="s">
        <v>7</v>
      </c>
      <c r="C8" s="611" t="s">
        <v>19</v>
      </c>
      <c r="D8" s="611" t="s">
        <v>15</v>
      </c>
      <c r="E8" s="611" t="s">
        <v>50</v>
      </c>
      <c r="F8" s="611" t="s">
        <v>137</v>
      </c>
      <c r="G8" s="612">
        <v>93.009900000000002</v>
      </c>
      <c r="H8" s="612">
        <v>20.696819999999999</v>
      </c>
      <c r="I8" s="611"/>
      <c r="J8" s="603">
        <v>236</v>
      </c>
      <c r="K8" s="603">
        <v>1524</v>
      </c>
      <c r="L8" s="604">
        <v>6.4576271186440675</v>
      </c>
      <c r="M8" s="605" t="s">
        <v>351</v>
      </c>
      <c r="N8" s="605" t="s">
        <v>782</v>
      </c>
      <c r="O8" s="605" t="s">
        <v>841</v>
      </c>
      <c r="P8" s="606" t="s">
        <v>896</v>
      </c>
      <c r="Q8" s="605"/>
      <c r="R8" s="605" t="s">
        <v>800</v>
      </c>
      <c r="S8" s="605" t="s">
        <v>678</v>
      </c>
      <c r="T8" s="605" t="s">
        <v>801</v>
      </c>
      <c r="U8" s="605" t="s">
        <v>685</v>
      </c>
      <c r="V8" s="605" t="s">
        <v>287</v>
      </c>
      <c r="W8" s="605" t="s">
        <v>514</v>
      </c>
      <c r="X8" s="605" t="s">
        <v>961</v>
      </c>
      <c r="Y8" s="608">
        <v>42415</v>
      </c>
      <c r="Z8" s="605" t="s">
        <v>982</v>
      </c>
      <c r="AA8" s="612" t="s">
        <v>1009</v>
      </c>
    </row>
    <row r="9" spans="1:27">
      <c r="A9" s="599" t="s">
        <v>358</v>
      </c>
      <c r="B9" s="611" t="s">
        <v>7</v>
      </c>
      <c r="C9" s="611" t="s">
        <v>19</v>
      </c>
      <c r="D9" s="611" t="s">
        <v>15</v>
      </c>
      <c r="E9" s="611" t="s">
        <v>54</v>
      </c>
      <c r="F9" s="611" t="s">
        <v>141</v>
      </c>
      <c r="G9" s="612">
        <v>93.006497999999993</v>
      </c>
      <c r="H9" s="612">
        <v>20.886997999999998</v>
      </c>
      <c r="I9" s="611"/>
      <c r="J9" s="603">
        <v>97</v>
      </c>
      <c r="K9" s="603">
        <v>557</v>
      </c>
      <c r="L9" s="604">
        <v>5.9381443298969074</v>
      </c>
      <c r="M9" s="605" t="s">
        <v>351</v>
      </c>
      <c r="N9" s="605" t="s">
        <v>782</v>
      </c>
      <c r="O9" s="605" t="s">
        <v>23</v>
      </c>
      <c r="P9" s="606" t="s">
        <v>896</v>
      </c>
      <c r="Q9" s="605"/>
      <c r="R9" s="605" t="s">
        <v>800</v>
      </c>
      <c r="S9" s="605" t="s">
        <v>678</v>
      </c>
      <c r="T9" s="605" t="s">
        <v>801</v>
      </c>
      <c r="U9" s="605" t="s">
        <v>685</v>
      </c>
      <c r="V9" s="605" t="s">
        <v>287</v>
      </c>
      <c r="W9" s="605" t="s">
        <v>514</v>
      </c>
      <c r="X9" s="605" t="s">
        <v>961</v>
      </c>
      <c r="Y9" s="608">
        <v>42415</v>
      </c>
      <c r="Z9" s="605" t="s">
        <v>983</v>
      </c>
      <c r="AA9" s="612" t="s">
        <v>1009</v>
      </c>
    </row>
    <row r="10" spans="1:27">
      <c r="A10" s="599" t="s">
        <v>358</v>
      </c>
      <c r="B10" s="611" t="s">
        <v>7</v>
      </c>
      <c r="C10" s="611" t="s">
        <v>19</v>
      </c>
      <c r="D10" s="611" t="s">
        <v>15</v>
      </c>
      <c r="E10" s="611" t="s">
        <v>44</v>
      </c>
      <c r="F10" s="611" t="s">
        <v>131</v>
      </c>
      <c r="G10" s="612">
        <v>92.982675999999998</v>
      </c>
      <c r="H10" s="612">
        <v>20.805734000000001</v>
      </c>
      <c r="I10" s="611"/>
      <c r="J10" s="603">
        <v>18</v>
      </c>
      <c r="K10" s="603">
        <v>157</v>
      </c>
      <c r="L10" s="604">
        <v>8.7222222222222214</v>
      </c>
      <c r="M10" s="605" t="s">
        <v>351</v>
      </c>
      <c r="N10" s="605" t="s">
        <v>782</v>
      </c>
      <c r="O10" s="605" t="s">
        <v>841</v>
      </c>
      <c r="P10" s="606" t="s">
        <v>896</v>
      </c>
      <c r="Q10" s="605"/>
      <c r="R10" s="605" t="s">
        <v>800</v>
      </c>
      <c r="S10" s="605" t="s">
        <v>678</v>
      </c>
      <c r="T10" s="605" t="s">
        <v>801</v>
      </c>
      <c r="U10" s="605" t="s">
        <v>685</v>
      </c>
      <c r="V10" s="605" t="s">
        <v>287</v>
      </c>
      <c r="W10" s="605" t="s">
        <v>514</v>
      </c>
      <c r="X10" s="605" t="s">
        <v>530</v>
      </c>
      <c r="Y10" s="608">
        <v>42415</v>
      </c>
      <c r="Z10" s="605" t="s">
        <v>984</v>
      </c>
      <c r="AA10" s="612" t="s">
        <v>1009</v>
      </c>
    </row>
    <row r="11" spans="1:27">
      <c r="A11" s="599" t="s">
        <v>358</v>
      </c>
      <c r="B11" s="611" t="s">
        <v>7</v>
      </c>
      <c r="C11" s="611" t="s">
        <v>19</v>
      </c>
      <c r="D11" s="611" t="s">
        <v>15</v>
      </c>
      <c r="E11" s="611" t="s">
        <v>53</v>
      </c>
      <c r="F11" s="611" t="s">
        <v>140</v>
      </c>
      <c r="G11" s="612">
        <v>92.987399999999994</v>
      </c>
      <c r="H11" s="612">
        <v>20.78332</v>
      </c>
      <c r="I11" s="611"/>
      <c r="J11" s="603">
        <v>144</v>
      </c>
      <c r="K11" s="603">
        <v>1006</v>
      </c>
      <c r="L11" s="604">
        <v>7.1388888888888893</v>
      </c>
      <c r="M11" s="605" t="s">
        <v>351</v>
      </c>
      <c r="N11" s="605" t="s">
        <v>782</v>
      </c>
      <c r="O11" s="605" t="s">
        <v>841</v>
      </c>
      <c r="P11" s="606" t="s">
        <v>896</v>
      </c>
      <c r="Q11" s="605"/>
      <c r="R11" s="605" t="s">
        <v>800</v>
      </c>
      <c r="S11" s="605" t="s">
        <v>678</v>
      </c>
      <c r="T11" s="605" t="s">
        <v>801</v>
      </c>
      <c r="U11" s="605" t="s">
        <v>685</v>
      </c>
      <c r="V11" s="605" t="s">
        <v>287</v>
      </c>
      <c r="W11" s="605" t="s">
        <v>514</v>
      </c>
      <c r="X11" s="605" t="s">
        <v>961</v>
      </c>
      <c r="Y11" s="608">
        <v>42415</v>
      </c>
      <c r="Z11" s="605" t="s">
        <v>985</v>
      </c>
      <c r="AA11" s="612" t="s">
        <v>1009</v>
      </c>
    </row>
    <row r="12" spans="1:27">
      <c r="A12" s="599" t="s">
        <v>358</v>
      </c>
      <c r="B12" s="611" t="s">
        <v>7</v>
      </c>
      <c r="C12" s="611" t="s">
        <v>19</v>
      </c>
      <c r="D12" s="611" t="s">
        <v>15</v>
      </c>
      <c r="E12" s="611" t="s">
        <v>45</v>
      </c>
      <c r="F12" s="611" t="s">
        <v>132</v>
      </c>
      <c r="G12" s="612">
        <v>93.000815000000003</v>
      </c>
      <c r="H12" s="612">
        <v>20.929649000000001</v>
      </c>
      <c r="I12" s="611"/>
      <c r="J12" s="603">
        <v>63</v>
      </c>
      <c r="K12" s="603">
        <v>414</v>
      </c>
      <c r="L12" s="604">
        <v>6.67741935483871</v>
      </c>
      <c r="M12" s="605" t="s">
        <v>351</v>
      </c>
      <c r="N12" s="605" t="s">
        <v>782</v>
      </c>
      <c r="O12" s="605" t="s">
        <v>841</v>
      </c>
      <c r="P12" s="606" t="s">
        <v>896</v>
      </c>
      <c r="Q12" s="605"/>
      <c r="R12" s="605" t="s">
        <v>800</v>
      </c>
      <c r="S12" s="605" t="s">
        <v>678</v>
      </c>
      <c r="T12" s="605" t="s">
        <v>801</v>
      </c>
      <c r="U12" s="605" t="s">
        <v>685</v>
      </c>
      <c r="V12" s="605" t="s">
        <v>287</v>
      </c>
      <c r="W12" s="605" t="s">
        <v>514</v>
      </c>
      <c r="X12" s="605" t="s">
        <v>530</v>
      </c>
      <c r="Y12" s="608">
        <v>42415</v>
      </c>
      <c r="Z12" s="605" t="s">
        <v>986</v>
      </c>
      <c r="AA12" s="612" t="s">
        <v>1009</v>
      </c>
    </row>
    <row r="13" spans="1:27">
      <c r="A13" s="599" t="s">
        <v>358</v>
      </c>
      <c r="B13" s="611" t="s">
        <v>7</v>
      </c>
      <c r="C13" s="611" t="s">
        <v>19</v>
      </c>
      <c r="D13" s="611" t="s">
        <v>15</v>
      </c>
      <c r="E13" s="611" t="s">
        <v>52</v>
      </c>
      <c r="F13" s="611" t="s">
        <v>139</v>
      </c>
      <c r="G13" s="612">
        <v>92.969350000000006</v>
      </c>
      <c r="H13" s="612">
        <v>20.727589999999999</v>
      </c>
      <c r="I13" s="611"/>
      <c r="J13" s="603">
        <v>112</v>
      </c>
      <c r="K13" s="603">
        <v>738</v>
      </c>
      <c r="L13" s="604">
        <v>6.5625</v>
      </c>
      <c r="M13" s="605" t="s">
        <v>351</v>
      </c>
      <c r="N13" s="605" t="s">
        <v>782</v>
      </c>
      <c r="O13" s="605" t="s">
        <v>841</v>
      </c>
      <c r="P13" s="606" t="s">
        <v>896</v>
      </c>
      <c r="Q13" s="605"/>
      <c r="R13" s="605" t="s">
        <v>800</v>
      </c>
      <c r="S13" s="605" t="s">
        <v>678</v>
      </c>
      <c r="T13" s="605" t="s">
        <v>801</v>
      </c>
      <c r="U13" s="605" t="s">
        <v>685</v>
      </c>
      <c r="V13" s="605" t="s">
        <v>287</v>
      </c>
      <c r="W13" s="605" t="s">
        <v>514</v>
      </c>
      <c r="X13" s="605" t="s">
        <v>961</v>
      </c>
      <c r="Y13" s="608">
        <v>42415</v>
      </c>
      <c r="Z13" s="605" t="s">
        <v>987</v>
      </c>
      <c r="AA13" s="612" t="s">
        <v>1009</v>
      </c>
    </row>
    <row r="14" spans="1:27">
      <c r="A14" s="599" t="s">
        <v>358</v>
      </c>
      <c r="B14" s="611" t="s">
        <v>7</v>
      </c>
      <c r="C14" s="611" t="s">
        <v>19</v>
      </c>
      <c r="D14" s="611" t="s">
        <v>11</v>
      </c>
      <c r="E14" s="611" t="s">
        <v>30</v>
      </c>
      <c r="F14" s="611" t="s">
        <v>117</v>
      </c>
      <c r="G14" s="612">
        <v>93.299485000000004</v>
      </c>
      <c r="H14" s="612">
        <v>20.480898</v>
      </c>
      <c r="I14" s="611"/>
      <c r="J14" s="603">
        <v>86</v>
      </c>
      <c r="K14" s="603">
        <v>444</v>
      </c>
      <c r="L14" s="604">
        <v>5.7674418604651159</v>
      </c>
      <c r="M14" s="605" t="s">
        <v>351</v>
      </c>
      <c r="N14" s="605" t="s">
        <v>782</v>
      </c>
      <c r="O14" s="605" t="s">
        <v>841</v>
      </c>
      <c r="P14" s="606" t="s">
        <v>896</v>
      </c>
      <c r="Q14" s="605"/>
      <c r="R14" s="605" t="s">
        <v>800</v>
      </c>
      <c r="S14" s="605" t="s">
        <v>678</v>
      </c>
      <c r="T14" s="605" t="s">
        <v>801</v>
      </c>
      <c r="U14" s="605" t="s">
        <v>685</v>
      </c>
      <c r="V14" s="605" t="s">
        <v>287</v>
      </c>
      <c r="W14" s="605" t="s">
        <v>514</v>
      </c>
      <c r="X14" s="605" t="s">
        <v>961</v>
      </c>
      <c r="Y14" s="608">
        <v>42415</v>
      </c>
      <c r="Z14" s="605" t="s">
        <v>988</v>
      </c>
      <c r="AA14" s="612" t="s">
        <v>1009</v>
      </c>
    </row>
    <row r="15" spans="1:27">
      <c r="A15" s="599" t="s">
        <v>358</v>
      </c>
      <c r="B15" s="611" t="s">
        <v>7</v>
      </c>
      <c r="C15" s="611" t="s">
        <v>19</v>
      </c>
      <c r="D15" s="611" t="s">
        <v>11</v>
      </c>
      <c r="E15" s="611" t="s">
        <v>25</v>
      </c>
      <c r="F15" s="611" t="s">
        <v>112</v>
      </c>
      <c r="G15" s="612">
        <v>93.271642</v>
      </c>
      <c r="H15" s="612">
        <v>20.377523</v>
      </c>
      <c r="I15" s="611"/>
      <c r="J15" s="603">
        <v>19</v>
      </c>
      <c r="K15" s="603">
        <v>142</v>
      </c>
      <c r="L15" s="604">
        <v>7.4736842105263159</v>
      </c>
      <c r="M15" s="605" t="s">
        <v>351</v>
      </c>
      <c r="N15" s="605" t="s">
        <v>782</v>
      </c>
      <c r="O15" s="605" t="s">
        <v>841</v>
      </c>
      <c r="P15" s="606" t="s">
        <v>896</v>
      </c>
      <c r="Q15" s="605"/>
      <c r="R15" s="605" t="s">
        <v>800</v>
      </c>
      <c r="S15" s="605" t="s">
        <v>678</v>
      </c>
      <c r="T15" s="605" t="s">
        <v>801</v>
      </c>
      <c r="U15" s="605" t="s">
        <v>685</v>
      </c>
      <c r="V15" s="605" t="s">
        <v>287</v>
      </c>
      <c r="W15" s="605" t="s">
        <v>514</v>
      </c>
      <c r="X15" s="605" t="s">
        <v>530</v>
      </c>
      <c r="Y15" s="608">
        <v>42415</v>
      </c>
      <c r="Z15" s="605" t="s">
        <v>989</v>
      </c>
      <c r="AA15" s="612" t="s">
        <v>1009</v>
      </c>
    </row>
    <row r="16" spans="1:27">
      <c r="A16" s="599" t="s">
        <v>358</v>
      </c>
      <c r="B16" s="611" t="s">
        <v>7</v>
      </c>
      <c r="C16" s="611" t="s">
        <v>19</v>
      </c>
      <c r="D16" s="611" t="s">
        <v>11</v>
      </c>
      <c r="E16" s="611" t="s">
        <v>32</v>
      </c>
      <c r="F16" s="611" t="s">
        <v>119</v>
      </c>
      <c r="G16" s="612">
        <v>93.313627999999994</v>
      </c>
      <c r="H16" s="612">
        <v>20.407971</v>
      </c>
      <c r="I16" s="611"/>
      <c r="J16" s="603">
        <v>225</v>
      </c>
      <c r="K16" s="603">
        <v>1377</v>
      </c>
      <c r="L16" s="604">
        <v>5.8577777777777778</v>
      </c>
      <c r="M16" s="605" t="s">
        <v>351</v>
      </c>
      <c r="N16" s="605" t="s">
        <v>782</v>
      </c>
      <c r="O16" s="605" t="s">
        <v>841</v>
      </c>
      <c r="P16" s="606" t="s">
        <v>896</v>
      </c>
      <c r="Q16" s="605"/>
      <c r="R16" s="605" t="s">
        <v>800</v>
      </c>
      <c r="S16" s="605" t="s">
        <v>678</v>
      </c>
      <c r="T16" s="605" t="s">
        <v>801</v>
      </c>
      <c r="U16" s="605" t="s">
        <v>685</v>
      </c>
      <c r="V16" s="605" t="s">
        <v>287</v>
      </c>
      <c r="W16" s="605" t="s">
        <v>514</v>
      </c>
      <c r="X16" s="605" t="s">
        <v>961</v>
      </c>
      <c r="Y16" s="608">
        <v>42415</v>
      </c>
      <c r="Z16" s="605" t="s">
        <v>990</v>
      </c>
      <c r="AA16" s="612" t="s">
        <v>1009</v>
      </c>
    </row>
    <row r="17" spans="1:27">
      <c r="A17" s="599" t="s">
        <v>358</v>
      </c>
      <c r="B17" s="611" t="s">
        <v>7</v>
      </c>
      <c r="C17" s="611" t="s">
        <v>19</v>
      </c>
      <c r="D17" s="611" t="s">
        <v>11</v>
      </c>
      <c r="E17" s="611" t="s">
        <v>27</v>
      </c>
      <c r="F17" s="611" t="s">
        <v>114</v>
      </c>
      <c r="G17" s="612">
        <v>93.249669999999995</v>
      </c>
      <c r="H17" s="612">
        <v>20.39902</v>
      </c>
      <c r="I17" s="611"/>
      <c r="J17" s="603">
        <v>86</v>
      </c>
      <c r="K17" s="603">
        <v>476</v>
      </c>
      <c r="L17" s="604">
        <v>6.058139534883721</v>
      </c>
      <c r="M17" s="605" t="s">
        <v>351</v>
      </c>
      <c r="N17" s="605" t="s">
        <v>782</v>
      </c>
      <c r="O17" s="605" t="s">
        <v>841</v>
      </c>
      <c r="P17" s="606" t="s">
        <v>896</v>
      </c>
      <c r="Q17" s="605"/>
      <c r="R17" s="605" t="s">
        <v>800</v>
      </c>
      <c r="S17" s="605" t="s">
        <v>678</v>
      </c>
      <c r="T17" s="605" t="s">
        <v>801</v>
      </c>
      <c r="U17" s="605" t="s">
        <v>685</v>
      </c>
      <c r="V17" s="605" t="s">
        <v>287</v>
      </c>
      <c r="W17" s="605" t="s">
        <v>514</v>
      </c>
      <c r="X17" s="605" t="s">
        <v>961</v>
      </c>
      <c r="Y17" s="608">
        <v>42415</v>
      </c>
      <c r="Z17" s="605" t="s">
        <v>991</v>
      </c>
      <c r="AA17" s="612" t="s">
        <v>1009</v>
      </c>
    </row>
    <row r="18" spans="1:27">
      <c r="A18" s="599" t="s">
        <v>358</v>
      </c>
      <c r="B18" s="611" t="s">
        <v>7</v>
      </c>
      <c r="C18" s="611" t="s">
        <v>19</v>
      </c>
      <c r="D18" s="611" t="s">
        <v>11</v>
      </c>
      <c r="E18" s="611" t="s">
        <v>573</v>
      </c>
      <c r="F18" s="611" t="s">
        <v>574</v>
      </c>
      <c r="G18" s="612">
        <v>93.314695</v>
      </c>
      <c r="H18" s="612">
        <v>20.409645000000001</v>
      </c>
      <c r="I18" s="611"/>
      <c r="J18" s="603">
        <v>17</v>
      </c>
      <c r="K18" s="603">
        <v>72</v>
      </c>
      <c r="L18" s="604">
        <v>4</v>
      </c>
      <c r="M18" s="605" t="s">
        <v>351</v>
      </c>
      <c r="N18" s="605" t="s">
        <v>782</v>
      </c>
      <c r="O18" s="605" t="s">
        <v>23</v>
      </c>
      <c r="P18" s="606" t="s">
        <v>897</v>
      </c>
      <c r="Q18" s="605"/>
      <c r="R18" s="607" t="s">
        <v>7</v>
      </c>
      <c r="S18" s="607" t="s">
        <v>785</v>
      </c>
      <c r="T18" s="607" t="s">
        <v>786</v>
      </c>
      <c r="U18" s="605" t="s">
        <v>685</v>
      </c>
      <c r="V18" s="605" t="s">
        <v>287</v>
      </c>
      <c r="W18" s="605" t="s">
        <v>514</v>
      </c>
      <c r="X18" s="605" t="s">
        <v>530</v>
      </c>
      <c r="Y18" s="608">
        <v>42415</v>
      </c>
      <c r="Z18" s="605" t="s">
        <v>992</v>
      </c>
      <c r="AA18" s="612" t="s">
        <v>1009</v>
      </c>
    </row>
    <row r="19" spans="1:27">
      <c r="A19" s="599" t="s">
        <v>358</v>
      </c>
      <c r="B19" s="611" t="s">
        <v>7</v>
      </c>
      <c r="C19" s="611" t="s">
        <v>19</v>
      </c>
      <c r="D19" s="611" t="s">
        <v>11</v>
      </c>
      <c r="E19" s="611" t="s">
        <v>26</v>
      </c>
      <c r="F19" s="611" t="s">
        <v>113</v>
      </c>
      <c r="G19" s="612">
        <v>93.257272</v>
      </c>
      <c r="H19" s="612">
        <v>20.392137999999999</v>
      </c>
      <c r="I19" s="611"/>
      <c r="J19" s="603">
        <v>203</v>
      </c>
      <c r="K19" s="603">
        <v>1420</v>
      </c>
      <c r="L19" s="604">
        <v>5.3529411764705879</v>
      </c>
      <c r="M19" s="605" t="s">
        <v>351</v>
      </c>
      <c r="N19" s="605" t="s">
        <v>782</v>
      </c>
      <c r="O19" s="605" t="s">
        <v>841</v>
      </c>
      <c r="P19" s="606" t="s">
        <v>896</v>
      </c>
      <c r="Q19" s="605"/>
      <c r="R19" s="605" t="s">
        <v>800</v>
      </c>
      <c r="S19" s="605" t="s">
        <v>678</v>
      </c>
      <c r="T19" s="605" t="s">
        <v>801</v>
      </c>
      <c r="U19" s="605" t="s">
        <v>685</v>
      </c>
      <c r="V19" s="605" t="s">
        <v>287</v>
      </c>
      <c r="W19" s="605" t="s">
        <v>514</v>
      </c>
      <c r="X19" s="605" t="s">
        <v>961</v>
      </c>
      <c r="Y19" s="608">
        <v>42415</v>
      </c>
      <c r="Z19" s="605" t="s">
        <v>993</v>
      </c>
      <c r="AA19" s="612" t="s">
        <v>1009</v>
      </c>
    </row>
    <row r="20" spans="1:27">
      <c r="A20" s="599" t="s">
        <v>358</v>
      </c>
      <c r="B20" s="611" t="s">
        <v>7</v>
      </c>
      <c r="C20" s="611" t="s">
        <v>19</v>
      </c>
      <c r="D20" s="611" t="s">
        <v>11</v>
      </c>
      <c r="E20" s="611" t="s">
        <v>29</v>
      </c>
      <c r="F20" s="611" t="s">
        <v>116</v>
      </c>
      <c r="G20" s="612">
        <v>93.258573999999996</v>
      </c>
      <c r="H20" s="612">
        <v>20.587142</v>
      </c>
      <c r="I20" s="611"/>
      <c r="J20" s="603">
        <v>275</v>
      </c>
      <c r="K20" s="603">
        <v>1707</v>
      </c>
      <c r="L20" s="604">
        <v>5.9527272727272731</v>
      </c>
      <c r="M20" s="605" t="s">
        <v>351</v>
      </c>
      <c r="N20" s="605" t="s">
        <v>782</v>
      </c>
      <c r="O20" s="605" t="s">
        <v>841</v>
      </c>
      <c r="P20" s="606" t="s">
        <v>896</v>
      </c>
      <c r="Q20" s="605"/>
      <c r="R20" s="605" t="s">
        <v>800</v>
      </c>
      <c r="S20" s="605" t="s">
        <v>678</v>
      </c>
      <c r="T20" s="605" t="s">
        <v>801</v>
      </c>
      <c r="U20" s="605" t="s">
        <v>685</v>
      </c>
      <c r="V20" s="605" t="s">
        <v>287</v>
      </c>
      <c r="W20" s="605" t="s">
        <v>514</v>
      </c>
      <c r="X20" s="605" t="s">
        <v>961</v>
      </c>
      <c r="Y20" s="608">
        <v>42415</v>
      </c>
      <c r="Z20" s="605" t="s">
        <v>994</v>
      </c>
      <c r="AA20" s="612" t="s">
        <v>1009</v>
      </c>
    </row>
    <row r="21" spans="1:27">
      <c r="A21" s="599" t="s">
        <v>358</v>
      </c>
      <c r="B21" s="611" t="s">
        <v>7</v>
      </c>
      <c r="C21" s="611" t="s">
        <v>19</v>
      </c>
      <c r="D21" s="611" t="s">
        <v>12</v>
      </c>
      <c r="E21" s="611" t="s">
        <v>33</v>
      </c>
      <c r="F21" s="611" t="s">
        <v>120</v>
      </c>
      <c r="G21" s="612">
        <v>93.245551000000006</v>
      </c>
      <c r="H21" s="612">
        <v>20.576577</v>
      </c>
      <c r="I21" s="611"/>
      <c r="J21" s="603">
        <v>204</v>
      </c>
      <c r="K21" s="603">
        <v>1265</v>
      </c>
      <c r="L21" s="604">
        <v>5.5245098039215685</v>
      </c>
      <c r="M21" s="605" t="s">
        <v>351</v>
      </c>
      <c r="N21" s="605" t="s">
        <v>782</v>
      </c>
      <c r="O21" s="605" t="s">
        <v>841</v>
      </c>
      <c r="P21" s="606" t="s">
        <v>896</v>
      </c>
      <c r="Q21" s="605"/>
      <c r="R21" s="605" t="s">
        <v>800</v>
      </c>
      <c r="S21" s="605" t="s">
        <v>678</v>
      </c>
      <c r="T21" s="605" t="s">
        <v>801</v>
      </c>
      <c r="U21" s="605" t="s">
        <v>685</v>
      </c>
      <c r="V21" s="605" t="s">
        <v>287</v>
      </c>
      <c r="W21" s="605" t="s">
        <v>514</v>
      </c>
      <c r="X21" s="605" t="s">
        <v>961</v>
      </c>
      <c r="Y21" s="608">
        <v>42415</v>
      </c>
      <c r="Z21" s="605" t="s">
        <v>995</v>
      </c>
      <c r="AA21" s="612" t="s">
        <v>1009</v>
      </c>
    </row>
    <row r="22" spans="1:27">
      <c r="A22" s="599" t="s">
        <v>358</v>
      </c>
      <c r="B22" s="611" t="s">
        <v>7</v>
      </c>
      <c r="C22" s="611" t="s">
        <v>19</v>
      </c>
      <c r="D22" s="611" t="s">
        <v>12</v>
      </c>
      <c r="E22" s="611" t="s">
        <v>36</v>
      </c>
      <c r="F22" s="611" t="s">
        <v>123</v>
      </c>
      <c r="G22" s="612">
        <v>93.239519999999999</v>
      </c>
      <c r="H22" s="612">
        <v>20.61692</v>
      </c>
      <c r="I22" s="611"/>
      <c r="J22" s="603">
        <v>10</v>
      </c>
      <c r="K22" s="603">
        <v>64</v>
      </c>
      <c r="L22" s="604">
        <v>6.4</v>
      </c>
      <c r="M22" s="605" t="s">
        <v>351</v>
      </c>
      <c r="N22" s="605" t="s">
        <v>782</v>
      </c>
      <c r="O22" s="605" t="s">
        <v>23</v>
      </c>
      <c r="P22" s="606" t="s">
        <v>897</v>
      </c>
      <c r="Q22" s="605"/>
      <c r="R22" s="605" t="s">
        <v>679</v>
      </c>
      <c r="S22" s="607" t="s">
        <v>785</v>
      </c>
      <c r="T22" s="607" t="s">
        <v>977</v>
      </c>
      <c r="U22" s="605" t="s">
        <v>685</v>
      </c>
      <c r="V22" s="605" t="s">
        <v>287</v>
      </c>
      <c r="W22" s="605" t="s">
        <v>514</v>
      </c>
      <c r="X22" s="605" t="s">
        <v>530</v>
      </c>
      <c r="Y22" s="608">
        <v>42415</v>
      </c>
      <c r="Z22" s="605" t="s">
        <v>996</v>
      </c>
      <c r="AA22" s="612" t="s">
        <v>1009</v>
      </c>
    </row>
    <row r="23" spans="1:27">
      <c r="A23" s="599" t="s">
        <v>358</v>
      </c>
      <c r="B23" s="611" t="s">
        <v>7</v>
      </c>
      <c r="C23" s="611" t="s">
        <v>19</v>
      </c>
      <c r="D23" s="611" t="s">
        <v>12</v>
      </c>
      <c r="E23" s="611" t="s">
        <v>645</v>
      </c>
      <c r="F23" s="611" t="s">
        <v>646</v>
      </c>
      <c r="G23" s="612">
        <v>93.246863000000005</v>
      </c>
      <c r="H23" s="612">
        <v>20.495086000000001</v>
      </c>
      <c r="I23" s="611"/>
      <c r="J23" s="603">
        <v>31</v>
      </c>
      <c r="K23" s="603">
        <v>131</v>
      </c>
      <c r="L23" s="604">
        <v>4.225806451612903</v>
      </c>
      <c r="M23" s="605" t="s">
        <v>351</v>
      </c>
      <c r="N23" s="605" t="s">
        <v>782</v>
      </c>
      <c r="O23" s="605" t="s">
        <v>23</v>
      </c>
      <c r="P23" s="606" t="s">
        <v>897</v>
      </c>
      <c r="Q23" s="605"/>
      <c r="R23" s="605" t="s">
        <v>7</v>
      </c>
      <c r="S23" s="605" t="s">
        <v>785</v>
      </c>
      <c r="T23" s="605" t="s">
        <v>786</v>
      </c>
      <c r="U23" s="605" t="s">
        <v>685</v>
      </c>
      <c r="V23" s="605" t="s">
        <v>287</v>
      </c>
      <c r="W23" s="605" t="s">
        <v>514</v>
      </c>
      <c r="X23" s="605" t="s">
        <v>530</v>
      </c>
      <c r="Y23" s="608">
        <v>42415</v>
      </c>
      <c r="Z23" s="605" t="s">
        <v>997</v>
      </c>
      <c r="AA23" s="612" t="s">
        <v>1009</v>
      </c>
    </row>
    <row r="24" spans="1:27">
      <c r="A24" s="599" t="s">
        <v>358</v>
      </c>
      <c r="B24" s="611" t="s">
        <v>7</v>
      </c>
      <c r="C24" s="611" t="s">
        <v>19</v>
      </c>
      <c r="D24" s="611" t="s">
        <v>12</v>
      </c>
      <c r="E24" s="611" t="s">
        <v>34</v>
      </c>
      <c r="F24" s="611" t="s">
        <v>121</v>
      </c>
      <c r="G24" s="612">
        <v>93.217039999999997</v>
      </c>
      <c r="H24" s="612">
        <v>20.501757999999999</v>
      </c>
      <c r="I24" s="611"/>
      <c r="J24" s="603">
        <v>365</v>
      </c>
      <c r="K24" s="603">
        <v>2366</v>
      </c>
      <c r="L24" s="604">
        <v>6.4821917808219176</v>
      </c>
      <c r="M24" s="605" t="s">
        <v>351</v>
      </c>
      <c r="N24" s="605" t="s">
        <v>782</v>
      </c>
      <c r="O24" s="605" t="s">
        <v>841</v>
      </c>
      <c r="P24" s="606" t="s">
        <v>896</v>
      </c>
      <c r="Q24" s="605"/>
      <c r="R24" s="605" t="s">
        <v>800</v>
      </c>
      <c r="S24" s="605" t="s">
        <v>678</v>
      </c>
      <c r="T24" s="605" t="s">
        <v>801</v>
      </c>
      <c r="U24" s="605" t="s">
        <v>685</v>
      </c>
      <c r="V24" s="605" t="s">
        <v>287</v>
      </c>
      <c r="W24" s="605" t="s">
        <v>514</v>
      </c>
      <c r="X24" s="605" t="s">
        <v>961</v>
      </c>
      <c r="Y24" s="608">
        <v>42415</v>
      </c>
      <c r="Z24" s="605" t="s">
        <v>998</v>
      </c>
      <c r="AA24" s="612" t="s">
        <v>1009</v>
      </c>
    </row>
    <row r="25" spans="1:27" ht="45">
      <c r="A25" s="599" t="s">
        <v>358</v>
      </c>
      <c r="B25" s="611" t="s">
        <v>7</v>
      </c>
      <c r="C25" s="611" t="s">
        <v>19</v>
      </c>
      <c r="D25" s="611" t="s">
        <v>14</v>
      </c>
      <c r="E25" s="611" t="s">
        <v>39</v>
      </c>
      <c r="F25" s="611" t="s">
        <v>126</v>
      </c>
      <c r="G25" s="612">
        <v>93.067891000000003</v>
      </c>
      <c r="H25" s="612">
        <v>20.173468</v>
      </c>
      <c r="I25" s="611"/>
      <c r="J25" s="603">
        <v>21</v>
      </c>
      <c r="K25" s="603">
        <v>122</v>
      </c>
      <c r="L25" s="604">
        <v>5.8095238095238093</v>
      </c>
      <c r="M25" s="605" t="s">
        <v>351</v>
      </c>
      <c r="N25" s="605" t="s">
        <v>782</v>
      </c>
      <c r="O25" s="605" t="s">
        <v>22</v>
      </c>
      <c r="P25" s="606"/>
      <c r="Q25" s="605"/>
      <c r="R25" s="605" t="s">
        <v>7</v>
      </c>
      <c r="S25" s="605" t="s">
        <v>785</v>
      </c>
      <c r="T25" s="605" t="s">
        <v>786</v>
      </c>
      <c r="U25" s="605" t="s">
        <v>684</v>
      </c>
      <c r="V25" s="605" t="s">
        <v>642</v>
      </c>
      <c r="W25" s="605" t="s">
        <v>912</v>
      </c>
      <c r="X25" s="605" t="s">
        <v>913</v>
      </c>
      <c r="Y25" s="608">
        <v>42415</v>
      </c>
      <c r="Z25" s="605" t="s">
        <v>999</v>
      </c>
      <c r="AA25" s="623" t="s">
        <v>898</v>
      </c>
    </row>
    <row r="26" spans="1:27">
      <c r="A26" s="600" t="s">
        <v>357</v>
      </c>
      <c r="B26" s="613" t="s">
        <v>7</v>
      </c>
      <c r="C26" s="613" t="s">
        <v>19</v>
      </c>
      <c r="D26" s="613" t="s">
        <v>14</v>
      </c>
      <c r="E26" s="613" t="s">
        <v>42</v>
      </c>
      <c r="F26" s="613" t="s">
        <v>129</v>
      </c>
      <c r="G26" s="614">
        <v>93.010368999999997</v>
      </c>
      <c r="H26" s="614">
        <v>20.090183</v>
      </c>
      <c r="I26" s="613"/>
      <c r="J26" s="616">
        <v>112</v>
      </c>
      <c r="K26" s="616">
        <v>616</v>
      </c>
      <c r="L26" s="617">
        <v>4.8249227600411944</v>
      </c>
      <c r="M26" s="618" t="s">
        <v>351</v>
      </c>
      <c r="N26" s="618" t="s">
        <v>782</v>
      </c>
      <c r="O26" s="618" t="s">
        <v>22</v>
      </c>
      <c r="P26" s="619"/>
      <c r="Q26" s="618"/>
      <c r="R26" s="618" t="s">
        <v>800</v>
      </c>
      <c r="S26" s="618" t="s">
        <v>678</v>
      </c>
      <c r="T26" s="618" t="s">
        <v>801</v>
      </c>
      <c r="U26" s="618" t="s">
        <v>685</v>
      </c>
      <c r="V26" s="618" t="s">
        <v>287</v>
      </c>
      <c r="W26" s="618" t="s">
        <v>912</v>
      </c>
      <c r="X26" s="618" t="s">
        <v>913</v>
      </c>
      <c r="Y26" s="608">
        <v>42415</v>
      </c>
      <c r="Z26" s="618" t="s">
        <v>976</v>
      </c>
      <c r="AA26" s="614" t="s">
        <v>1010</v>
      </c>
    </row>
    <row r="27" spans="1:27" ht="45">
      <c r="A27" s="600" t="s">
        <v>357</v>
      </c>
      <c r="B27" s="613" t="s">
        <v>7</v>
      </c>
      <c r="C27" s="613" t="s">
        <v>19</v>
      </c>
      <c r="D27" s="613" t="s">
        <v>14</v>
      </c>
      <c r="E27" s="613" t="s">
        <v>41</v>
      </c>
      <c r="F27" s="613" t="s">
        <v>128</v>
      </c>
      <c r="G27" s="614">
        <v>93.154551999999995</v>
      </c>
      <c r="H27" s="614">
        <v>20.073437999999999</v>
      </c>
      <c r="I27" s="613"/>
      <c r="J27" s="616">
        <v>775</v>
      </c>
      <c r="K27" s="616">
        <v>4262</v>
      </c>
      <c r="L27" s="617">
        <v>4.7418321588725174</v>
      </c>
      <c r="M27" s="618" t="s">
        <v>351</v>
      </c>
      <c r="N27" s="618" t="s">
        <v>782</v>
      </c>
      <c r="O27" s="618" t="s">
        <v>22</v>
      </c>
      <c r="P27" s="619"/>
      <c r="Q27" s="618"/>
      <c r="R27" s="618" t="s">
        <v>800</v>
      </c>
      <c r="S27" s="618" t="s">
        <v>678</v>
      </c>
      <c r="T27" s="618" t="s">
        <v>801</v>
      </c>
      <c r="U27" s="618" t="s">
        <v>684</v>
      </c>
      <c r="V27" s="618" t="s">
        <v>642</v>
      </c>
      <c r="W27" s="618" t="s">
        <v>912</v>
      </c>
      <c r="X27" s="618" t="s">
        <v>913</v>
      </c>
      <c r="Y27" s="608">
        <v>42415</v>
      </c>
      <c r="Z27" s="618" t="s">
        <v>975</v>
      </c>
      <c r="AA27" s="624" t="s">
        <v>898</v>
      </c>
    </row>
    <row r="28" spans="1:27">
      <c r="A28" s="599" t="s">
        <v>358</v>
      </c>
      <c r="B28" s="611" t="s">
        <v>7</v>
      </c>
      <c r="C28" s="611" t="s">
        <v>19</v>
      </c>
      <c r="D28" s="611" t="s">
        <v>19</v>
      </c>
      <c r="E28" s="611" t="s">
        <v>657</v>
      </c>
      <c r="F28" s="611" t="s">
        <v>659</v>
      </c>
      <c r="G28" s="612">
        <v>92.887277999999995</v>
      </c>
      <c r="H28" s="612">
        <v>20.151471999999998</v>
      </c>
      <c r="I28" s="611"/>
      <c r="J28" s="603">
        <v>249</v>
      </c>
      <c r="K28" s="603">
        <v>1282</v>
      </c>
      <c r="L28" s="604">
        <v>5.1485943775100402</v>
      </c>
      <c r="M28" s="605" t="s">
        <v>351</v>
      </c>
      <c r="N28" s="605" t="s">
        <v>844</v>
      </c>
      <c r="O28" s="605" t="s">
        <v>22</v>
      </c>
      <c r="P28" s="606"/>
      <c r="Q28" s="605"/>
      <c r="R28" s="605" t="s">
        <v>7</v>
      </c>
      <c r="S28" s="605" t="s">
        <v>785</v>
      </c>
      <c r="T28" s="605" t="s">
        <v>786</v>
      </c>
      <c r="U28" s="605" t="s">
        <v>685</v>
      </c>
      <c r="V28" s="605" t="s">
        <v>287</v>
      </c>
      <c r="W28" s="605" t="s">
        <v>912</v>
      </c>
      <c r="X28" s="605" t="s">
        <v>913</v>
      </c>
      <c r="Y28" s="608">
        <v>42415</v>
      </c>
      <c r="Z28" s="605" t="s">
        <v>999</v>
      </c>
      <c r="AA28" s="615" t="s">
        <v>908</v>
      </c>
    </row>
    <row r="29" spans="1:27">
      <c r="A29" s="599" t="s">
        <v>358</v>
      </c>
      <c r="B29" s="611" t="s">
        <v>7</v>
      </c>
      <c r="C29" s="611" t="s">
        <v>19</v>
      </c>
      <c r="D29" s="611" t="s">
        <v>19</v>
      </c>
      <c r="E29" s="611" t="s">
        <v>658</v>
      </c>
      <c r="F29" s="611" t="s">
        <v>660</v>
      </c>
      <c r="G29" s="612">
        <v>92.887277999999995</v>
      </c>
      <c r="H29" s="612">
        <v>20.151471999999998</v>
      </c>
      <c r="I29" s="611"/>
      <c r="J29" s="603">
        <v>418</v>
      </c>
      <c r="K29" s="603">
        <v>2200</v>
      </c>
      <c r="L29" s="604">
        <v>5.2631578947368425</v>
      </c>
      <c r="M29" s="605" t="s">
        <v>351</v>
      </c>
      <c r="N29" s="605" t="s">
        <v>844</v>
      </c>
      <c r="O29" s="605" t="s">
        <v>22</v>
      </c>
      <c r="P29" s="606"/>
      <c r="Q29" s="605"/>
      <c r="R29" s="605" t="s">
        <v>7</v>
      </c>
      <c r="S29" s="605" t="s">
        <v>785</v>
      </c>
      <c r="T29" s="605" t="s">
        <v>786</v>
      </c>
      <c r="U29" s="605" t="s">
        <v>685</v>
      </c>
      <c r="V29" s="605" t="s">
        <v>287</v>
      </c>
      <c r="W29" s="605" t="s">
        <v>912</v>
      </c>
      <c r="X29" s="605" t="s">
        <v>913</v>
      </c>
      <c r="Y29" s="608">
        <v>42415</v>
      </c>
      <c r="Z29" s="605" t="s">
        <v>1000</v>
      </c>
      <c r="AA29" s="615" t="s">
        <v>908</v>
      </c>
    </row>
    <row r="30" spans="1:27" ht="45">
      <c r="A30" s="599" t="s">
        <v>358</v>
      </c>
      <c r="B30" s="611" t="s">
        <v>7</v>
      </c>
      <c r="C30" s="611" t="s">
        <v>19</v>
      </c>
      <c r="D30" s="611" t="s">
        <v>19</v>
      </c>
      <c r="E30" s="611" t="s">
        <v>78</v>
      </c>
      <c r="F30" s="611" t="s">
        <v>167</v>
      </c>
      <c r="G30" s="612">
        <v>92.880319999999998</v>
      </c>
      <c r="H30" s="612">
        <v>20.148584</v>
      </c>
      <c r="I30" s="611"/>
      <c r="J30" s="603">
        <v>72</v>
      </c>
      <c r="K30" s="603">
        <v>489</v>
      </c>
      <c r="L30" s="604">
        <v>6.416666666666667</v>
      </c>
      <c r="M30" s="605" t="s">
        <v>351</v>
      </c>
      <c r="N30" s="605" t="s">
        <v>782</v>
      </c>
      <c r="O30" s="605" t="s">
        <v>22</v>
      </c>
      <c r="P30" s="606"/>
      <c r="Q30" s="605"/>
      <c r="R30" s="605" t="s">
        <v>679</v>
      </c>
      <c r="S30" s="605" t="s">
        <v>785</v>
      </c>
      <c r="T30" s="605" t="s">
        <v>977</v>
      </c>
      <c r="U30" s="605" t="s">
        <v>684</v>
      </c>
      <c r="V30" s="605" t="s">
        <v>642</v>
      </c>
      <c r="W30" s="605" t="s">
        <v>912</v>
      </c>
      <c r="X30" s="605" t="s">
        <v>913</v>
      </c>
      <c r="Y30" s="608">
        <v>42415</v>
      </c>
      <c r="Z30" s="605" t="s">
        <v>1001</v>
      </c>
      <c r="AA30" s="623" t="s">
        <v>898</v>
      </c>
    </row>
    <row r="31" spans="1:27" ht="45">
      <c r="A31" s="599" t="s">
        <v>358</v>
      </c>
      <c r="B31" s="611" t="s">
        <v>7</v>
      </c>
      <c r="C31" s="611" t="s">
        <v>19</v>
      </c>
      <c r="D31" s="611" t="s">
        <v>19</v>
      </c>
      <c r="E31" s="611" t="s">
        <v>247</v>
      </c>
      <c r="F31" s="611" t="s">
        <v>284</v>
      </c>
      <c r="G31" s="612">
        <v>92.879138999999995</v>
      </c>
      <c r="H31" s="612">
        <v>20.155805999999998</v>
      </c>
      <c r="I31" s="611"/>
      <c r="J31" s="603">
        <v>151</v>
      </c>
      <c r="K31" s="603">
        <v>652</v>
      </c>
      <c r="L31" s="604">
        <v>4.2384105960264904</v>
      </c>
      <c r="M31" s="605" t="s">
        <v>351</v>
      </c>
      <c r="N31" s="605" t="s">
        <v>782</v>
      </c>
      <c r="O31" s="605" t="s">
        <v>22</v>
      </c>
      <c r="P31" s="606"/>
      <c r="Q31" s="605"/>
      <c r="R31" s="605" t="s">
        <v>7</v>
      </c>
      <c r="S31" s="605" t="s">
        <v>785</v>
      </c>
      <c r="T31" s="605" t="s">
        <v>786</v>
      </c>
      <c r="U31" s="605" t="s">
        <v>684</v>
      </c>
      <c r="V31" s="605" t="s">
        <v>642</v>
      </c>
      <c r="W31" s="605" t="s">
        <v>912</v>
      </c>
      <c r="X31" s="605" t="s">
        <v>913</v>
      </c>
      <c r="Y31" s="608">
        <v>42415</v>
      </c>
      <c r="Z31" s="605" t="s">
        <v>1002</v>
      </c>
      <c r="AA31" s="623" t="s">
        <v>898</v>
      </c>
    </row>
    <row r="32" spans="1:27" s="286" customFormat="1">
      <c r="A32" s="621" t="s">
        <v>358</v>
      </c>
      <c r="B32" s="611" t="s">
        <v>7</v>
      </c>
      <c r="C32" s="611" t="s">
        <v>19</v>
      </c>
      <c r="D32" s="611" t="s">
        <v>16</v>
      </c>
      <c r="E32" s="611" t="s">
        <v>56</v>
      </c>
      <c r="F32" s="611" t="s">
        <v>143</v>
      </c>
      <c r="G32" s="612">
        <v>92.781294000000003</v>
      </c>
      <c r="H32" s="612">
        <v>20.399269</v>
      </c>
      <c r="I32" s="611"/>
      <c r="J32" s="603">
        <v>32</v>
      </c>
      <c r="K32" s="603">
        <v>162</v>
      </c>
      <c r="L32" s="604">
        <v>5.21875</v>
      </c>
      <c r="M32" s="605" t="s">
        <v>351</v>
      </c>
      <c r="N32" s="605" t="s">
        <v>782</v>
      </c>
      <c r="O32" s="605" t="s">
        <v>22</v>
      </c>
      <c r="P32" s="622"/>
      <c r="Q32" s="605"/>
      <c r="R32" s="605" t="s">
        <v>800</v>
      </c>
      <c r="S32" s="605" t="s">
        <v>678</v>
      </c>
      <c r="T32" s="605" t="s">
        <v>801</v>
      </c>
      <c r="U32" s="605" t="s">
        <v>685</v>
      </c>
      <c r="V32" s="605" t="s">
        <v>287</v>
      </c>
      <c r="W32" s="605" t="s">
        <v>514</v>
      </c>
      <c r="X32" s="605" t="s">
        <v>530</v>
      </c>
      <c r="Y32" s="608">
        <v>42415</v>
      </c>
      <c r="Z32" s="605" t="s">
        <v>1003</v>
      </c>
      <c r="AA32" s="612" t="s">
        <v>908</v>
      </c>
    </row>
    <row r="33" spans="1:16376" s="286" customFormat="1">
      <c r="A33" s="609" t="s">
        <v>358</v>
      </c>
      <c r="B33" s="609" t="s">
        <v>7</v>
      </c>
      <c r="C33" s="609" t="s">
        <v>19</v>
      </c>
      <c r="D33" s="609" t="s">
        <v>16</v>
      </c>
      <c r="E33" s="609" t="s">
        <v>55</v>
      </c>
      <c r="F33" s="609" t="s">
        <v>142</v>
      </c>
      <c r="G33" s="610">
        <v>92.785706000000005</v>
      </c>
      <c r="H33" s="610">
        <v>20.335864000000001</v>
      </c>
      <c r="I33" s="609"/>
      <c r="J33" s="601">
        <v>54</v>
      </c>
      <c r="K33" s="601">
        <v>324</v>
      </c>
      <c r="L33" s="602">
        <v>6.2857142857142856</v>
      </c>
      <c r="M33" s="620" t="s">
        <v>351</v>
      </c>
      <c r="N33" s="620" t="s">
        <v>782</v>
      </c>
      <c r="O33" s="620" t="s">
        <v>22</v>
      </c>
      <c r="P33" s="620"/>
      <c r="Q33" s="620"/>
      <c r="R33" s="620" t="s">
        <v>800</v>
      </c>
      <c r="S33" s="620" t="s">
        <v>678</v>
      </c>
      <c r="T33" s="620" t="s">
        <v>801</v>
      </c>
      <c r="U33" s="620" t="s">
        <v>685</v>
      </c>
      <c r="V33" s="620" t="s">
        <v>287</v>
      </c>
      <c r="W33" s="620" t="s">
        <v>514</v>
      </c>
      <c r="X33" s="620" t="s">
        <v>530</v>
      </c>
      <c r="Y33" s="608">
        <v>42415</v>
      </c>
      <c r="Z33" s="605" t="s">
        <v>1004</v>
      </c>
      <c r="AA33" s="610" t="s">
        <v>908</v>
      </c>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165"/>
      <c r="FV33" s="165"/>
      <c r="FW33" s="165"/>
      <c r="FX33" s="165"/>
      <c r="FY33" s="165"/>
      <c r="FZ33" s="165"/>
      <c r="GA33" s="165"/>
      <c r="GB33" s="165"/>
      <c r="GC33" s="165"/>
      <c r="GD33" s="165"/>
      <c r="GE33" s="165"/>
      <c r="GF33" s="165"/>
      <c r="GG33" s="165"/>
      <c r="GH33" s="165"/>
      <c r="GI33" s="165"/>
      <c r="GJ33" s="165"/>
      <c r="GK33" s="165"/>
      <c r="GL33" s="165"/>
      <c r="GM33" s="165"/>
      <c r="GN33" s="165"/>
      <c r="GO33" s="165"/>
      <c r="GP33" s="165"/>
      <c r="GQ33" s="165"/>
      <c r="GR33" s="165"/>
      <c r="GS33" s="165"/>
      <c r="GT33" s="165"/>
      <c r="GU33" s="165"/>
      <c r="GV33" s="165"/>
      <c r="GW33" s="165"/>
      <c r="GX33" s="165"/>
      <c r="GY33" s="165"/>
      <c r="GZ33" s="165"/>
      <c r="HA33" s="165"/>
      <c r="HB33" s="165"/>
      <c r="HC33" s="165"/>
      <c r="HD33" s="165"/>
      <c r="HE33" s="165"/>
      <c r="HF33" s="165"/>
      <c r="HG33" s="165"/>
      <c r="HH33" s="165"/>
      <c r="HI33" s="165"/>
      <c r="HJ33" s="165"/>
      <c r="HK33" s="165"/>
      <c r="HL33" s="165"/>
      <c r="HM33" s="165"/>
      <c r="HN33" s="165"/>
      <c r="HO33" s="165"/>
      <c r="HP33" s="165"/>
      <c r="HQ33" s="165"/>
      <c r="HR33" s="165"/>
      <c r="HS33" s="165"/>
      <c r="HT33" s="165"/>
      <c r="HU33" s="165"/>
      <c r="HV33" s="165"/>
      <c r="HW33" s="165"/>
      <c r="HX33" s="165"/>
      <c r="HY33" s="165"/>
      <c r="HZ33" s="165"/>
      <c r="IA33" s="165"/>
      <c r="IB33" s="165"/>
      <c r="IC33" s="165"/>
      <c r="ID33" s="165"/>
      <c r="IE33" s="165"/>
      <c r="IF33" s="165"/>
      <c r="IG33" s="165"/>
      <c r="IH33" s="165"/>
      <c r="II33" s="165"/>
      <c r="IJ33" s="165"/>
      <c r="IK33" s="165"/>
      <c r="IL33" s="165"/>
      <c r="IM33" s="165"/>
      <c r="IN33" s="165"/>
      <c r="IO33" s="165"/>
      <c r="IP33" s="165"/>
      <c r="IQ33" s="165"/>
      <c r="IR33" s="165"/>
      <c r="IS33" s="165"/>
      <c r="IT33" s="165"/>
      <c r="IU33" s="165"/>
      <c r="IV33" s="165"/>
      <c r="IW33" s="165"/>
      <c r="IX33" s="165"/>
      <c r="IY33" s="165"/>
      <c r="IZ33" s="165"/>
      <c r="JA33" s="165"/>
      <c r="JB33" s="165"/>
      <c r="JC33" s="165"/>
      <c r="JD33" s="165"/>
      <c r="JE33" s="165"/>
      <c r="JF33" s="165"/>
      <c r="JG33" s="165"/>
      <c r="JH33" s="165"/>
      <c r="JI33" s="165"/>
      <c r="JJ33" s="165"/>
      <c r="JK33" s="165"/>
      <c r="JL33" s="165"/>
      <c r="JM33" s="165"/>
      <c r="JN33" s="165"/>
      <c r="JO33" s="165"/>
      <c r="JP33" s="165"/>
      <c r="JQ33" s="165"/>
      <c r="JR33" s="165"/>
      <c r="JS33" s="165"/>
      <c r="JT33" s="165"/>
      <c r="JU33" s="165"/>
      <c r="JV33" s="165"/>
      <c r="JW33" s="165"/>
      <c r="JX33" s="165"/>
      <c r="JY33" s="165"/>
      <c r="JZ33" s="165"/>
      <c r="KA33" s="165"/>
      <c r="KB33" s="165"/>
      <c r="KC33" s="165"/>
      <c r="KD33" s="165"/>
      <c r="KE33" s="165"/>
      <c r="KF33" s="165"/>
      <c r="KG33" s="165"/>
      <c r="KH33" s="165"/>
      <c r="KI33" s="165"/>
      <c r="KJ33" s="165"/>
      <c r="KK33" s="165"/>
      <c r="KL33" s="165"/>
      <c r="KM33" s="165"/>
      <c r="KN33" s="165"/>
      <c r="KO33" s="165"/>
      <c r="KP33" s="165"/>
      <c r="KQ33" s="165"/>
      <c r="KR33" s="165"/>
      <c r="KS33" s="165"/>
      <c r="KT33" s="165"/>
      <c r="KU33" s="165"/>
      <c r="KV33" s="165"/>
      <c r="KW33" s="165"/>
      <c r="KX33" s="165"/>
      <c r="KY33" s="165"/>
      <c r="KZ33" s="165"/>
      <c r="LA33" s="165"/>
      <c r="LB33" s="165"/>
      <c r="LC33" s="165"/>
      <c r="LD33" s="165"/>
      <c r="LE33" s="165"/>
      <c r="LF33" s="165"/>
      <c r="LG33" s="165"/>
      <c r="LH33" s="165"/>
      <c r="LI33" s="165"/>
      <c r="LJ33" s="165"/>
      <c r="LK33" s="165"/>
      <c r="LL33" s="165"/>
      <c r="LM33" s="165"/>
      <c r="LN33" s="165"/>
      <c r="LO33" s="165"/>
      <c r="LP33" s="165"/>
      <c r="LQ33" s="165"/>
      <c r="LR33" s="165"/>
      <c r="LS33" s="165"/>
      <c r="LT33" s="165"/>
      <c r="LU33" s="165"/>
      <c r="LV33" s="165"/>
      <c r="LW33" s="165"/>
      <c r="LX33" s="165"/>
      <c r="LY33" s="165"/>
      <c r="LZ33" s="165"/>
      <c r="MA33" s="165"/>
      <c r="MB33" s="165"/>
      <c r="MC33" s="165"/>
      <c r="MD33" s="165"/>
      <c r="ME33" s="165"/>
      <c r="MF33" s="165"/>
      <c r="MG33" s="165"/>
      <c r="MH33" s="165"/>
      <c r="MI33" s="165"/>
      <c r="MJ33" s="165"/>
      <c r="MK33" s="165"/>
      <c r="ML33" s="165"/>
      <c r="MM33" s="165"/>
      <c r="MN33" s="165"/>
      <c r="MO33" s="165"/>
      <c r="MP33" s="165"/>
      <c r="MQ33" s="165"/>
      <c r="MR33" s="165"/>
      <c r="MS33" s="165"/>
      <c r="MT33" s="165"/>
      <c r="MU33" s="165"/>
      <c r="MV33" s="165"/>
      <c r="MW33" s="165"/>
      <c r="MX33" s="165"/>
      <c r="MY33" s="165"/>
      <c r="MZ33" s="165"/>
      <c r="NA33" s="165"/>
      <c r="NB33" s="165"/>
      <c r="NC33" s="165"/>
      <c r="ND33" s="165"/>
      <c r="NE33" s="165"/>
      <c r="NF33" s="165"/>
      <c r="NG33" s="165"/>
      <c r="NH33" s="165"/>
      <c r="NI33" s="165"/>
      <c r="NJ33" s="165"/>
      <c r="NK33" s="165"/>
      <c r="NL33" s="165"/>
      <c r="NM33" s="165"/>
      <c r="NN33" s="165"/>
      <c r="NO33" s="165"/>
      <c r="NP33" s="165"/>
      <c r="NQ33" s="165"/>
      <c r="NR33" s="165"/>
      <c r="NS33" s="165"/>
      <c r="NT33" s="165"/>
      <c r="NU33" s="165"/>
      <c r="NV33" s="165"/>
      <c r="NW33" s="165"/>
      <c r="NX33" s="165"/>
      <c r="NY33" s="165"/>
      <c r="NZ33" s="165"/>
      <c r="OA33" s="165"/>
      <c r="OB33" s="165"/>
      <c r="OC33" s="165"/>
      <c r="OD33" s="165"/>
      <c r="OE33" s="165"/>
      <c r="OF33" s="165"/>
      <c r="OG33" s="165"/>
      <c r="OH33" s="165"/>
      <c r="OI33" s="165"/>
      <c r="OJ33" s="165"/>
      <c r="OK33" s="165"/>
      <c r="OL33" s="165"/>
      <c r="OM33" s="165"/>
      <c r="ON33" s="165"/>
      <c r="OO33" s="165"/>
      <c r="OP33" s="165"/>
      <c r="OQ33" s="165"/>
      <c r="OR33" s="165"/>
      <c r="OS33" s="165"/>
      <c r="OT33" s="165"/>
      <c r="OU33" s="165"/>
      <c r="OV33" s="165"/>
      <c r="OW33" s="165"/>
      <c r="OX33" s="165"/>
      <c r="OY33" s="165"/>
      <c r="OZ33" s="165"/>
      <c r="PA33" s="165"/>
      <c r="PB33" s="165"/>
      <c r="PC33" s="165"/>
      <c r="PD33" s="165"/>
      <c r="PE33" s="165"/>
      <c r="PF33" s="165"/>
      <c r="PG33" s="165"/>
      <c r="PH33" s="165"/>
      <c r="PI33" s="165"/>
      <c r="PJ33" s="165"/>
      <c r="PK33" s="165"/>
      <c r="PL33" s="165"/>
      <c r="PM33" s="165"/>
      <c r="PN33" s="165"/>
      <c r="PO33" s="165"/>
      <c r="PP33" s="165"/>
      <c r="PQ33" s="165"/>
      <c r="PR33" s="165"/>
      <c r="PS33" s="165"/>
      <c r="PT33" s="165"/>
      <c r="PU33" s="165"/>
      <c r="PV33" s="165"/>
      <c r="PW33" s="165"/>
      <c r="PX33" s="165"/>
      <c r="PY33" s="165"/>
      <c r="PZ33" s="165"/>
      <c r="QA33" s="165"/>
      <c r="QB33" s="165"/>
      <c r="QC33" s="165"/>
      <c r="QD33" s="165"/>
      <c r="QE33" s="165"/>
      <c r="QF33" s="165"/>
      <c r="QG33" s="165"/>
      <c r="QH33" s="165"/>
      <c r="QI33" s="165"/>
      <c r="QJ33" s="165"/>
      <c r="QK33" s="165"/>
      <c r="QL33" s="165"/>
      <c r="QM33" s="165"/>
      <c r="QN33" s="165"/>
      <c r="QO33" s="165"/>
      <c r="QP33" s="165"/>
      <c r="QQ33" s="165"/>
      <c r="QR33" s="165"/>
      <c r="QS33" s="165"/>
      <c r="QT33" s="165"/>
      <c r="QU33" s="165"/>
      <c r="QV33" s="165"/>
      <c r="QW33" s="165"/>
      <c r="QX33" s="165"/>
      <c r="QY33" s="165"/>
      <c r="QZ33" s="165"/>
      <c r="RA33" s="165"/>
      <c r="RB33" s="165"/>
      <c r="RC33" s="165"/>
      <c r="RD33" s="165"/>
      <c r="RE33" s="165"/>
      <c r="RF33" s="165"/>
      <c r="RG33" s="165"/>
      <c r="RH33" s="165"/>
      <c r="RI33" s="165"/>
      <c r="RJ33" s="165"/>
      <c r="RK33" s="165"/>
      <c r="RL33" s="165"/>
      <c r="RM33" s="165"/>
      <c r="RN33" s="165"/>
      <c r="RO33" s="165"/>
      <c r="RP33" s="165"/>
      <c r="RQ33" s="165"/>
      <c r="RR33" s="165"/>
      <c r="RS33" s="165"/>
      <c r="RT33" s="165"/>
      <c r="RU33" s="165"/>
      <c r="RV33" s="165"/>
      <c r="RW33" s="165"/>
      <c r="RX33" s="165"/>
      <c r="RY33" s="165"/>
      <c r="RZ33" s="165"/>
      <c r="SA33" s="165"/>
      <c r="SB33" s="165"/>
      <c r="SC33" s="165"/>
      <c r="SD33" s="165"/>
      <c r="SE33" s="165"/>
      <c r="SF33" s="165"/>
      <c r="SG33" s="165"/>
      <c r="SH33" s="165"/>
      <c r="SI33" s="165"/>
      <c r="SJ33" s="165"/>
      <c r="SK33" s="165"/>
      <c r="SL33" s="165"/>
      <c r="SM33" s="165"/>
      <c r="SN33" s="165"/>
      <c r="SO33" s="165"/>
      <c r="SP33" s="165"/>
      <c r="SQ33" s="165"/>
      <c r="SR33" s="165"/>
      <c r="SS33" s="165"/>
      <c r="ST33" s="165"/>
      <c r="SU33" s="165"/>
      <c r="SV33" s="165"/>
      <c r="SW33" s="165"/>
      <c r="SX33" s="165"/>
      <c r="SY33" s="165"/>
      <c r="SZ33" s="165"/>
      <c r="TA33" s="165"/>
      <c r="TB33" s="165"/>
      <c r="TC33" s="165"/>
      <c r="TD33" s="165"/>
      <c r="TE33" s="165"/>
      <c r="TF33" s="165"/>
      <c r="TG33" s="165"/>
      <c r="TH33" s="165"/>
      <c r="TI33" s="165"/>
      <c r="TJ33" s="165"/>
      <c r="TK33" s="165"/>
      <c r="TL33" s="165"/>
      <c r="TM33" s="165"/>
      <c r="TN33" s="165"/>
      <c r="TO33" s="165"/>
      <c r="TP33" s="165"/>
      <c r="TQ33" s="165"/>
      <c r="TR33" s="165"/>
      <c r="TS33" s="165"/>
      <c r="TT33" s="165"/>
      <c r="TU33" s="165"/>
      <c r="TV33" s="165"/>
      <c r="TW33" s="165"/>
      <c r="TX33" s="165"/>
      <c r="TY33" s="165"/>
      <c r="TZ33" s="165"/>
      <c r="UA33" s="165"/>
      <c r="UB33" s="165"/>
      <c r="UC33" s="165"/>
      <c r="UD33" s="165"/>
      <c r="UE33" s="165"/>
      <c r="UF33" s="165"/>
      <c r="UG33" s="165"/>
      <c r="UH33" s="165"/>
      <c r="UI33" s="165"/>
      <c r="UJ33" s="165"/>
      <c r="UK33" s="165"/>
      <c r="UL33" s="165"/>
      <c r="UM33" s="165"/>
      <c r="UN33" s="165"/>
      <c r="UO33" s="165"/>
      <c r="UP33" s="165"/>
      <c r="UQ33" s="165"/>
      <c r="UR33" s="165"/>
      <c r="US33" s="165"/>
      <c r="UT33" s="165"/>
      <c r="UU33" s="165"/>
      <c r="UV33" s="165"/>
      <c r="UW33" s="165"/>
      <c r="UX33" s="165"/>
      <c r="UY33" s="165"/>
      <c r="UZ33" s="165"/>
      <c r="VA33" s="165"/>
      <c r="VB33" s="165"/>
      <c r="VC33" s="165"/>
      <c r="VD33" s="165"/>
      <c r="VE33" s="165"/>
      <c r="VF33" s="165"/>
      <c r="VG33" s="165"/>
      <c r="VH33" s="165"/>
      <c r="VI33" s="165"/>
      <c r="VJ33" s="165"/>
      <c r="VK33" s="165"/>
      <c r="VL33" s="165"/>
      <c r="VM33" s="165"/>
      <c r="VN33" s="165"/>
      <c r="VO33" s="165"/>
      <c r="VP33" s="165"/>
      <c r="VQ33" s="165"/>
      <c r="VR33" s="165"/>
      <c r="VS33" s="165"/>
      <c r="VT33" s="165"/>
      <c r="VU33" s="165"/>
      <c r="VV33" s="165"/>
      <c r="VW33" s="165"/>
      <c r="VX33" s="165"/>
      <c r="VY33" s="165"/>
      <c r="VZ33" s="165"/>
      <c r="WA33" s="165"/>
      <c r="WB33" s="165"/>
      <c r="WC33" s="165"/>
      <c r="WD33" s="165"/>
      <c r="WE33" s="165"/>
      <c r="WF33" s="165"/>
      <c r="WG33" s="165"/>
      <c r="WH33" s="165"/>
      <c r="WI33" s="165"/>
      <c r="WJ33" s="165"/>
      <c r="WK33" s="165"/>
      <c r="WL33" s="165"/>
      <c r="WM33" s="165"/>
      <c r="WN33" s="165"/>
      <c r="WO33" s="165"/>
      <c r="WP33" s="165"/>
      <c r="WQ33" s="165"/>
      <c r="WR33" s="165"/>
      <c r="WS33" s="165"/>
      <c r="WT33" s="165"/>
      <c r="WU33" s="165"/>
      <c r="WV33" s="165"/>
      <c r="WW33" s="165"/>
      <c r="WX33" s="165"/>
      <c r="WY33" s="165"/>
      <c r="WZ33" s="165"/>
      <c r="XA33" s="165"/>
      <c r="XB33" s="165"/>
      <c r="XC33" s="165"/>
      <c r="XD33" s="165"/>
      <c r="XE33" s="165"/>
      <c r="XF33" s="165"/>
      <c r="XG33" s="165"/>
      <c r="XH33" s="165"/>
      <c r="XI33" s="165"/>
      <c r="XJ33" s="165"/>
      <c r="XK33" s="165"/>
      <c r="XL33" s="165"/>
      <c r="XM33" s="165"/>
      <c r="XN33" s="165"/>
      <c r="XO33" s="165"/>
      <c r="XP33" s="165"/>
      <c r="XQ33" s="165"/>
      <c r="XR33" s="165"/>
      <c r="XS33" s="165"/>
      <c r="XT33" s="165"/>
      <c r="XU33" s="165"/>
      <c r="XV33" s="165"/>
      <c r="XW33" s="165"/>
      <c r="XX33" s="165"/>
      <c r="XY33" s="165"/>
      <c r="XZ33" s="165"/>
      <c r="YA33" s="165"/>
      <c r="YB33" s="165"/>
      <c r="YC33" s="165"/>
      <c r="YD33" s="165"/>
      <c r="YE33" s="165"/>
      <c r="YF33" s="165"/>
      <c r="YG33" s="165"/>
      <c r="YH33" s="165"/>
      <c r="YI33" s="165"/>
      <c r="YJ33" s="165"/>
      <c r="YK33" s="165"/>
      <c r="YL33" s="165"/>
      <c r="YM33" s="165"/>
      <c r="YN33" s="165"/>
      <c r="YO33" s="165"/>
      <c r="YP33" s="165"/>
      <c r="YQ33" s="165"/>
      <c r="YR33" s="165"/>
      <c r="YS33" s="165"/>
      <c r="YT33" s="165"/>
      <c r="YU33" s="165"/>
      <c r="YV33" s="165"/>
      <c r="YW33" s="165"/>
      <c r="YX33" s="165"/>
      <c r="YY33" s="165"/>
      <c r="YZ33" s="165"/>
      <c r="ZA33" s="165"/>
      <c r="ZB33" s="165"/>
      <c r="ZC33" s="165"/>
      <c r="ZD33" s="165"/>
      <c r="ZE33" s="165"/>
      <c r="ZF33" s="165"/>
      <c r="ZG33" s="165"/>
      <c r="ZH33" s="165"/>
      <c r="ZI33" s="165"/>
      <c r="ZJ33" s="165"/>
      <c r="ZK33" s="165"/>
      <c r="ZL33" s="165"/>
      <c r="ZM33" s="165"/>
      <c r="ZN33" s="165"/>
      <c r="ZO33" s="165"/>
      <c r="ZP33" s="165"/>
      <c r="ZQ33" s="165"/>
      <c r="ZR33" s="165"/>
      <c r="ZS33" s="165"/>
      <c r="ZT33" s="165"/>
      <c r="ZU33" s="165"/>
      <c r="ZV33" s="165"/>
      <c r="ZW33" s="165"/>
      <c r="ZX33" s="165"/>
      <c r="ZY33" s="165"/>
      <c r="ZZ33" s="165"/>
      <c r="AAA33" s="165"/>
      <c r="AAB33" s="165"/>
      <c r="AAC33" s="165"/>
      <c r="AAD33" s="165"/>
      <c r="AAE33" s="165"/>
      <c r="AAF33" s="165"/>
      <c r="AAG33" s="165"/>
      <c r="AAH33" s="165"/>
      <c r="AAI33" s="165"/>
      <c r="AAJ33" s="165"/>
      <c r="AAK33" s="165"/>
      <c r="AAL33" s="165"/>
      <c r="AAM33" s="165"/>
      <c r="AAN33" s="165"/>
      <c r="AAO33" s="165"/>
      <c r="AAP33" s="165"/>
      <c r="AAQ33" s="165"/>
      <c r="AAR33" s="165"/>
      <c r="AAS33" s="165"/>
      <c r="AAT33" s="165"/>
      <c r="AAU33" s="165"/>
      <c r="AAV33" s="165"/>
      <c r="AAW33" s="165"/>
      <c r="AAX33" s="165"/>
      <c r="AAY33" s="165"/>
      <c r="AAZ33" s="165"/>
      <c r="ABA33" s="165"/>
      <c r="ABB33" s="165"/>
      <c r="ABC33" s="165"/>
      <c r="ABD33" s="165"/>
      <c r="ABE33" s="165"/>
      <c r="ABF33" s="165"/>
      <c r="ABG33" s="165"/>
      <c r="ABH33" s="165"/>
      <c r="ABI33" s="165"/>
      <c r="ABJ33" s="165"/>
      <c r="ABK33" s="165"/>
      <c r="ABL33" s="165"/>
      <c r="ABM33" s="165"/>
      <c r="ABN33" s="165"/>
      <c r="ABO33" s="165"/>
      <c r="ABP33" s="165"/>
      <c r="ABQ33" s="165"/>
      <c r="ABR33" s="165"/>
      <c r="ABS33" s="165"/>
      <c r="ABT33" s="165"/>
      <c r="ABU33" s="165"/>
      <c r="ABV33" s="165"/>
      <c r="ABW33" s="165"/>
      <c r="ABX33" s="165"/>
      <c r="ABY33" s="165"/>
      <c r="ABZ33" s="165"/>
      <c r="ACA33" s="165"/>
      <c r="ACB33" s="165"/>
      <c r="ACC33" s="165"/>
      <c r="ACD33" s="165"/>
      <c r="ACE33" s="165"/>
      <c r="ACF33" s="165"/>
      <c r="ACG33" s="165"/>
      <c r="ACH33" s="165"/>
      <c r="ACI33" s="165"/>
      <c r="ACJ33" s="165"/>
      <c r="ACK33" s="165"/>
      <c r="ACL33" s="165"/>
      <c r="ACM33" s="165"/>
      <c r="ACN33" s="165"/>
      <c r="ACO33" s="165"/>
      <c r="ACP33" s="165"/>
      <c r="ACQ33" s="165"/>
      <c r="ACR33" s="165"/>
      <c r="ACS33" s="165"/>
      <c r="ACT33" s="165"/>
      <c r="ACU33" s="165"/>
      <c r="ACV33" s="165"/>
      <c r="ACW33" s="165"/>
      <c r="ACX33" s="165"/>
      <c r="ACY33" s="165"/>
      <c r="ACZ33" s="165"/>
      <c r="ADA33" s="165"/>
      <c r="ADB33" s="165"/>
      <c r="ADC33" s="165"/>
      <c r="ADD33" s="165"/>
      <c r="ADE33" s="165"/>
      <c r="ADF33" s="165"/>
      <c r="ADG33" s="165"/>
      <c r="ADH33" s="165"/>
      <c r="ADI33" s="165"/>
      <c r="ADJ33" s="165"/>
      <c r="ADK33" s="165"/>
      <c r="ADL33" s="165"/>
      <c r="ADM33" s="165"/>
      <c r="ADN33" s="165"/>
      <c r="ADO33" s="165"/>
      <c r="ADP33" s="165"/>
      <c r="ADQ33" s="165"/>
      <c r="ADR33" s="165"/>
      <c r="ADS33" s="165"/>
      <c r="ADT33" s="165"/>
      <c r="ADU33" s="165"/>
      <c r="ADV33" s="165"/>
      <c r="ADW33" s="165"/>
      <c r="ADX33" s="165"/>
      <c r="ADY33" s="165"/>
      <c r="ADZ33" s="165"/>
      <c r="AEA33" s="165"/>
      <c r="AEB33" s="165"/>
      <c r="AEC33" s="165"/>
      <c r="AED33" s="165"/>
      <c r="AEE33" s="165"/>
      <c r="AEF33" s="165"/>
      <c r="AEG33" s="165"/>
      <c r="AEH33" s="165"/>
      <c r="AEI33" s="165"/>
      <c r="AEJ33" s="165"/>
      <c r="AEK33" s="165"/>
      <c r="AEL33" s="165"/>
      <c r="AEM33" s="165"/>
      <c r="AEN33" s="165"/>
      <c r="AEO33" s="165"/>
      <c r="AEP33" s="165"/>
      <c r="AEQ33" s="165"/>
      <c r="AER33" s="165"/>
      <c r="AES33" s="165"/>
      <c r="AET33" s="165"/>
      <c r="AEU33" s="165"/>
      <c r="AEV33" s="165"/>
      <c r="AEW33" s="165"/>
      <c r="AEX33" s="165"/>
      <c r="AEY33" s="165"/>
      <c r="AEZ33" s="165"/>
      <c r="AFA33" s="165"/>
      <c r="AFB33" s="165"/>
      <c r="AFC33" s="165"/>
      <c r="AFD33" s="165"/>
      <c r="AFE33" s="165"/>
      <c r="AFF33" s="165"/>
      <c r="AFG33" s="165"/>
      <c r="AFH33" s="165"/>
      <c r="AFI33" s="165"/>
      <c r="AFJ33" s="165"/>
      <c r="AFK33" s="165"/>
      <c r="AFL33" s="165"/>
      <c r="AFM33" s="165"/>
      <c r="AFN33" s="165"/>
      <c r="AFO33" s="165"/>
      <c r="AFP33" s="165"/>
      <c r="AFQ33" s="165"/>
      <c r="AFR33" s="165"/>
      <c r="AFS33" s="165"/>
      <c r="AFT33" s="165"/>
      <c r="AFU33" s="165"/>
      <c r="AFV33" s="165"/>
      <c r="AFW33" s="165"/>
      <c r="AFX33" s="165"/>
      <c r="AFY33" s="165"/>
      <c r="AFZ33" s="165"/>
      <c r="AGA33" s="165"/>
      <c r="AGB33" s="165"/>
      <c r="AGC33" s="165"/>
      <c r="AGD33" s="165"/>
      <c r="AGE33" s="165"/>
      <c r="AGF33" s="165"/>
      <c r="AGG33" s="165"/>
      <c r="AGH33" s="165"/>
      <c r="AGI33" s="165"/>
      <c r="AGJ33" s="165"/>
      <c r="AGK33" s="165"/>
      <c r="AGL33" s="165"/>
      <c r="AGM33" s="165"/>
      <c r="AGN33" s="165"/>
      <c r="AGO33" s="165"/>
      <c r="AGP33" s="165"/>
      <c r="AGQ33" s="165"/>
      <c r="AGR33" s="165"/>
      <c r="AGS33" s="165"/>
      <c r="AGT33" s="165"/>
      <c r="AGU33" s="165"/>
      <c r="AGV33" s="165"/>
      <c r="AGW33" s="165"/>
      <c r="AGX33" s="165"/>
      <c r="AGY33" s="165"/>
      <c r="AGZ33" s="165"/>
      <c r="AHA33" s="165"/>
      <c r="AHB33" s="165"/>
      <c r="AHC33" s="165"/>
      <c r="AHD33" s="165"/>
      <c r="AHE33" s="165"/>
      <c r="AHF33" s="165"/>
      <c r="AHG33" s="165"/>
      <c r="AHH33" s="165"/>
      <c r="AHI33" s="165"/>
      <c r="AHJ33" s="165"/>
      <c r="AHK33" s="165"/>
      <c r="AHL33" s="165"/>
      <c r="AHM33" s="165"/>
      <c r="AHN33" s="165"/>
      <c r="AHO33" s="165"/>
      <c r="AHP33" s="165"/>
      <c r="AHQ33" s="165"/>
      <c r="AHR33" s="165"/>
      <c r="AHS33" s="165"/>
      <c r="AHT33" s="165"/>
      <c r="AHU33" s="165"/>
      <c r="AHV33" s="165"/>
      <c r="AHW33" s="165"/>
      <c r="AHX33" s="165"/>
      <c r="AHY33" s="165"/>
      <c r="AHZ33" s="165"/>
      <c r="AIA33" s="165"/>
      <c r="AIB33" s="165"/>
      <c r="AIC33" s="165"/>
      <c r="AID33" s="165"/>
      <c r="AIE33" s="165"/>
      <c r="AIF33" s="165"/>
      <c r="AIG33" s="165"/>
      <c r="AIH33" s="165"/>
      <c r="AII33" s="165"/>
      <c r="AIJ33" s="165"/>
      <c r="AIK33" s="165"/>
      <c r="AIL33" s="165"/>
      <c r="AIM33" s="165"/>
      <c r="AIN33" s="165"/>
      <c r="AIO33" s="165"/>
      <c r="AIP33" s="165"/>
      <c r="AIQ33" s="165"/>
      <c r="AIR33" s="165"/>
      <c r="AIS33" s="165"/>
      <c r="AIT33" s="165"/>
      <c r="AIU33" s="165"/>
      <c r="AIV33" s="165"/>
      <c r="AIW33" s="165"/>
      <c r="AIX33" s="165"/>
      <c r="AIY33" s="165"/>
      <c r="AIZ33" s="165"/>
      <c r="AJA33" s="165"/>
      <c r="AJB33" s="165"/>
      <c r="AJC33" s="165"/>
      <c r="AJD33" s="165"/>
      <c r="AJE33" s="165"/>
      <c r="AJF33" s="165"/>
      <c r="AJG33" s="165"/>
      <c r="AJH33" s="165"/>
      <c r="AJI33" s="165"/>
      <c r="AJJ33" s="165"/>
      <c r="AJK33" s="165"/>
      <c r="AJL33" s="165"/>
      <c r="AJM33" s="165"/>
      <c r="AJN33" s="165"/>
      <c r="AJO33" s="165"/>
      <c r="AJP33" s="165"/>
      <c r="AJQ33" s="165"/>
      <c r="AJR33" s="165"/>
      <c r="AJS33" s="165"/>
      <c r="AJT33" s="165"/>
      <c r="AJU33" s="165"/>
      <c r="AJV33" s="165"/>
      <c r="AJW33" s="165"/>
      <c r="AJX33" s="165"/>
      <c r="AJY33" s="165"/>
      <c r="AJZ33" s="165"/>
      <c r="AKA33" s="165"/>
      <c r="AKB33" s="165"/>
      <c r="AKC33" s="165"/>
      <c r="AKD33" s="165"/>
      <c r="AKE33" s="165"/>
      <c r="AKF33" s="165"/>
      <c r="AKG33" s="165"/>
      <c r="AKH33" s="165"/>
      <c r="AKI33" s="165"/>
      <c r="AKJ33" s="165"/>
      <c r="AKK33" s="165"/>
      <c r="AKL33" s="165"/>
      <c r="AKM33" s="165"/>
      <c r="AKN33" s="165"/>
      <c r="AKO33" s="165"/>
      <c r="AKP33" s="165"/>
      <c r="AKQ33" s="165"/>
      <c r="AKR33" s="165"/>
      <c r="AKS33" s="165"/>
      <c r="AKT33" s="165"/>
      <c r="AKU33" s="165"/>
      <c r="AKV33" s="165"/>
      <c r="AKW33" s="165"/>
      <c r="AKX33" s="165"/>
      <c r="AKY33" s="165"/>
      <c r="AKZ33" s="165"/>
      <c r="ALA33" s="165"/>
      <c r="ALB33" s="165"/>
      <c r="ALC33" s="165"/>
      <c r="ALD33" s="165"/>
      <c r="ALE33" s="165"/>
      <c r="ALF33" s="165"/>
      <c r="ALG33" s="165"/>
      <c r="ALH33" s="165"/>
      <c r="ALI33" s="165"/>
      <c r="ALJ33" s="165"/>
      <c r="ALK33" s="165"/>
      <c r="ALL33" s="165"/>
      <c r="ALM33" s="165"/>
      <c r="ALN33" s="165"/>
      <c r="ALO33" s="165"/>
      <c r="ALP33" s="165"/>
      <c r="ALQ33" s="165"/>
      <c r="ALR33" s="165"/>
      <c r="ALS33" s="165"/>
      <c r="ALT33" s="165"/>
      <c r="ALU33" s="165"/>
      <c r="ALV33" s="165"/>
      <c r="ALW33" s="165"/>
      <c r="ALX33" s="165"/>
      <c r="ALY33" s="165"/>
      <c r="ALZ33" s="165"/>
      <c r="AMA33" s="165"/>
      <c r="AMB33" s="165"/>
      <c r="AMC33" s="165"/>
      <c r="AMD33" s="165"/>
      <c r="AME33" s="165"/>
      <c r="AMF33" s="165"/>
      <c r="AMG33" s="165"/>
      <c r="AMH33" s="165"/>
      <c r="AMI33" s="165"/>
      <c r="AMJ33" s="165"/>
      <c r="AMK33" s="165"/>
      <c r="AML33" s="165"/>
      <c r="AMM33" s="165"/>
      <c r="AMN33" s="165"/>
      <c r="AMO33" s="165"/>
      <c r="AMP33" s="165"/>
      <c r="AMQ33" s="165"/>
      <c r="AMR33" s="165"/>
      <c r="AMS33" s="165"/>
      <c r="AMT33" s="165"/>
      <c r="AMU33" s="165"/>
      <c r="AMV33" s="165"/>
      <c r="AMW33" s="165"/>
      <c r="AMX33" s="165"/>
      <c r="AMY33" s="165"/>
      <c r="AMZ33" s="165"/>
      <c r="ANA33" s="165"/>
      <c r="ANB33" s="165"/>
      <c r="ANC33" s="165"/>
      <c r="AND33" s="165"/>
      <c r="ANE33" s="165"/>
      <c r="ANF33" s="165"/>
      <c r="ANG33" s="165"/>
      <c r="ANH33" s="165"/>
      <c r="ANI33" s="165"/>
      <c r="ANJ33" s="165"/>
      <c r="ANK33" s="165"/>
      <c r="ANL33" s="165"/>
      <c r="ANM33" s="165"/>
      <c r="ANN33" s="165"/>
      <c r="ANO33" s="165"/>
      <c r="ANP33" s="165"/>
      <c r="ANQ33" s="165"/>
      <c r="ANR33" s="165"/>
      <c r="ANS33" s="165"/>
      <c r="ANT33" s="165"/>
      <c r="ANU33" s="165"/>
      <c r="ANV33" s="165"/>
      <c r="ANW33" s="165"/>
      <c r="ANX33" s="165"/>
      <c r="ANY33" s="165"/>
      <c r="ANZ33" s="165"/>
      <c r="AOA33" s="165"/>
      <c r="AOB33" s="165"/>
      <c r="AOC33" s="165"/>
      <c r="AOD33" s="165"/>
      <c r="AOE33" s="165"/>
      <c r="AOF33" s="165"/>
      <c r="AOG33" s="165"/>
      <c r="AOH33" s="165"/>
      <c r="AOI33" s="165"/>
      <c r="AOJ33" s="165"/>
      <c r="AOK33" s="165"/>
      <c r="AOL33" s="165"/>
      <c r="AOM33" s="165"/>
      <c r="AON33" s="165"/>
      <c r="AOO33" s="165"/>
      <c r="AOP33" s="165"/>
      <c r="AOQ33" s="165"/>
      <c r="AOR33" s="165"/>
      <c r="AOS33" s="165"/>
      <c r="AOT33" s="165"/>
      <c r="AOU33" s="165"/>
      <c r="AOV33" s="165"/>
      <c r="AOW33" s="165"/>
      <c r="AOX33" s="165"/>
      <c r="AOY33" s="165"/>
      <c r="AOZ33" s="165"/>
      <c r="APA33" s="165"/>
      <c r="APB33" s="165"/>
      <c r="APC33" s="165"/>
      <c r="APD33" s="165"/>
      <c r="APE33" s="165"/>
      <c r="APF33" s="165"/>
      <c r="APG33" s="165"/>
      <c r="APH33" s="165"/>
      <c r="API33" s="165"/>
      <c r="APJ33" s="165"/>
      <c r="APK33" s="165"/>
      <c r="APL33" s="165"/>
      <c r="APM33" s="165"/>
      <c r="APN33" s="165"/>
      <c r="APO33" s="165"/>
      <c r="APP33" s="165"/>
      <c r="APQ33" s="165"/>
      <c r="APR33" s="165"/>
      <c r="APS33" s="165"/>
      <c r="APT33" s="165"/>
      <c r="APU33" s="165"/>
      <c r="APV33" s="165"/>
      <c r="APW33" s="165"/>
      <c r="APX33" s="165"/>
      <c r="APY33" s="165"/>
      <c r="APZ33" s="165"/>
      <c r="AQA33" s="165"/>
      <c r="AQB33" s="165"/>
      <c r="AQC33" s="165"/>
      <c r="AQD33" s="165"/>
      <c r="AQE33" s="165"/>
      <c r="AQF33" s="165"/>
      <c r="AQG33" s="165"/>
      <c r="AQH33" s="165"/>
      <c r="AQI33" s="165"/>
      <c r="AQJ33" s="165"/>
      <c r="AQK33" s="165"/>
      <c r="AQL33" s="165"/>
      <c r="AQM33" s="165"/>
      <c r="AQN33" s="165"/>
      <c r="AQO33" s="165"/>
      <c r="AQP33" s="165"/>
      <c r="AQQ33" s="165"/>
      <c r="AQR33" s="165"/>
      <c r="AQS33" s="165"/>
      <c r="AQT33" s="165"/>
      <c r="AQU33" s="165"/>
      <c r="AQV33" s="165"/>
      <c r="AQW33" s="165"/>
      <c r="AQX33" s="165"/>
      <c r="AQY33" s="165"/>
      <c r="AQZ33" s="165"/>
      <c r="ARA33" s="165"/>
      <c r="ARB33" s="165"/>
      <c r="ARC33" s="165"/>
      <c r="ARD33" s="165"/>
      <c r="ARE33" s="165"/>
      <c r="ARF33" s="165"/>
      <c r="ARG33" s="165"/>
      <c r="ARH33" s="165"/>
      <c r="ARI33" s="165"/>
      <c r="ARJ33" s="165"/>
      <c r="ARK33" s="165"/>
      <c r="ARL33" s="165"/>
      <c r="ARM33" s="165"/>
      <c r="ARN33" s="165"/>
      <c r="ARO33" s="165"/>
      <c r="ARP33" s="165"/>
      <c r="ARQ33" s="165"/>
      <c r="ARR33" s="165"/>
      <c r="ARS33" s="165"/>
      <c r="ART33" s="165"/>
      <c r="ARU33" s="165"/>
      <c r="ARV33" s="165"/>
      <c r="ARW33" s="165"/>
      <c r="ARX33" s="165"/>
      <c r="ARY33" s="165"/>
      <c r="ARZ33" s="165"/>
      <c r="ASA33" s="165"/>
      <c r="ASB33" s="165"/>
      <c r="ASC33" s="165"/>
      <c r="ASD33" s="165"/>
      <c r="ASE33" s="165"/>
      <c r="ASF33" s="165"/>
      <c r="ASG33" s="165"/>
      <c r="ASH33" s="165"/>
      <c r="ASI33" s="165"/>
      <c r="ASJ33" s="165"/>
      <c r="ASK33" s="165"/>
      <c r="ASL33" s="165"/>
      <c r="ASM33" s="165"/>
      <c r="ASN33" s="165"/>
      <c r="ASO33" s="165"/>
      <c r="ASP33" s="165"/>
      <c r="ASQ33" s="165"/>
      <c r="ASR33" s="165"/>
      <c r="ASS33" s="165"/>
      <c r="AST33" s="165"/>
      <c r="ASU33" s="165"/>
      <c r="ASV33" s="165"/>
      <c r="ASW33" s="165"/>
      <c r="ASX33" s="165"/>
      <c r="ASY33" s="165"/>
      <c r="ASZ33" s="165"/>
      <c r="ATA33" s="165"/>
      <c r="ATB33" s="165"/>
      <c r="ATC33" s="165"/>
      <c r="ATD33" s="165"/>
      <c r="ATE33" s="165"/>
      <c r="ATF33" s="165"/>
      <c r="ATG33" s="165"/>
      <c r="ATH33" s="165"/>
      <c r="ATI33" s="165"/>
      <c r="ATJ33" s="165"/>
      <c r="ATK33" s="165"/>
      <c r="ATL33" s="165"/>
      <c r="ATM33" s="165"/>
      <c r="ATN33" s="165"/>
      <c r="ATO33" s="165"/>
      <c r="ATP33" s="165"/>
      <c r="ATQ33" s="165"/>
      <c r="ATR33" s="165"/>
      <c r="ATS33" s="165"/>
      <c r="ATT33" s="165"/>
      <c r="ATU33" s="165"/>
      <c r="ATV33" s="165"/>
      <c r="ATW33" s="165"/>
      <c r="ATX33" s="165"/>
      <c r="ATY33" s="165"/>
      <c r="ATZ33" s="165"/>
      <c r="AUA33" s="165"/>
      <c r="AUB33" s="165"/>
      <c r="AUC33" s="165"/>
      <c r="AUD33" s="165"/>
      <c r="AUE33" s="165"/>
      <c r="AUF33" s="165"/>
      <c r="AUG33" s="165"/>
      <c r="AUH33" s="165"/>
      <c r="AUI33" s="165"/>
      <c r="AUJ33" s="165"/>
      <c r="AUK33" s="165"/>
      <c r="AUL33" s="165"/>
      <c r="AUM33" s="165"/>
      <c r="AUN33" s="165"/>
      <c r="AUO33" s="165"/>
      <c r="AUP33" s="165"/>
      <c r="AUQ33" s="165"/>
      <c r="AUR33" s="165"/>
      <c r="AUS33" s="165"/>
      <c r="AUT33" s="165"/>
      <c r="AUU33" s="165"/>
      <c r="AUV33" s="165"/>
      <c r="AUW33" s="165"/>
      <c r="AUX33" s="165"/>
      <c r="AUY33" s="165"/>
      <c r="AUZ33" s="165"/>
      <c r="AVA33" s="165"/>
      <c r="AVB33" s="165"/>
      <c r="AVC33" s="165"/>
      <c r="AVD33" s="165"/>
      <c r="AVE33" s="165"/>
      <c r="AVF33" s="165"/>
      <c r="AVG33" s="165"/>
      <c r="AVH33" s="165"/>
      <c r="AVI33" s="165"/>
      <c r="AVJ33" s="165"/>
      <c r="AVK33" s="165"/>
      <c r="AVL33" s="165"/>
      <c r="AVM33" s="165"/>
      <c r="AVN33" s="165"/>
      <c r="AVO33" s="165"/>
      <c r="AVP33" s="165"/>
      <c r="AVQ33" s="165"/>
      <c r="AVR33" s="165"/>
      <c r="AVS33" s="165"/>
      <c r="AVT33" s="165"/>
      <c r="AVU33" s="165"/>
      <c r="AVV33" s="165"/>
      <c r="AVW33" s="165"/>
      <c r="AVX33" s="165"/>
      <c r="AVY33" s="165"/>
      <c r="AVZ33" s="165"/>
      <c r="AWA33" s="165"/>
      <c r="AWB33" s="165"/>
      <c r="AWC33" s="165"/>
      <c r="AWD33" s="165"/>
      <c r="AWE33" s="165"/>
      <c r="AWF33" s="165"/>
      <c r="AWG33" s="165"/>
      <c r="AWH33" s="165"/>
      <c r="AWI33" s="165"/>
      <c r="AWJ33" s="165"/>
      <c r="AWK33" s="165"/>
      <c r="AWL33" s="165"/>
      <c r="AWM33" s="165"/>
      <c r="AWN33" s="165"/>
      <c r="AWO33" s="165"/>
      <c r="AWP33" s="165"/>
      <c r="AWQ33" s="165"/>
      <c r="AWR33" s="165"/>
      <c r="AWS33" s="165"/>
      <c r="AWT33" s="165"/>
      <c r="AWU33" s="165"/>
      <c r="AWV33" s="165"/>
      <c r="AWW33" s="165"/>
      <c r="AWX33" s="165"/>
      <c r="AWY33" s="165"/>
      <c r="AWZ33" s="165"/>
      <c r="AXA33" s="165"/>
      <c r="AXB33" s="165"/>
      <c r="AXC33" s="165"/>
      <c r="AXD33" s="165"/>
      <c r="AXE33" s="165"/>
      <c r="AXF33" s="165"/>
      <c r="AXG33" s="165"/>
      <c r="AXH33" s="165"/>
      <c r="AXI33" s="165"/>
      <c r="AXJ33" s="165"/>
      <c r="AXK33" s="165"/>
      <c r="AXL33" s="165"/>
      <c r="AXM33" s="165"/>
      <c r="AXN33" s="165"/>
      <c r="AXO33" s="165"/>
      <c r="AXP33" s="165"/>
      <c r="AXQ33" s="165"/>
      <c r="AXR33" s="165"/>
      <c r="AXS33" s="165"/>
      <c r="AXT33" s="165"/>
      <c r="AXU33" s="165"/>
      <c r="AXV33" s="165"/>
      <c r="AXW33" s="165"/>
      <c r="AXX33" s="165"/>
      <c r="AXY33" s="165"/>
      <c r="AXZ33" s="165"/>
      <c r="AYA33" s="165"/>
      <c r="AYB33" s="165"/>
      <c r="AYC33" s="165"/>
      <c r="AYD33" s="165"/>
      <c r="AYE33" s="165"/>
      <c r="AYF33" s="165"/>
      <c r="AYG33" s="165"/>
      <c r="AYH33" s="165"/>
      <c r="AYI33" s="165"/>
      <c r="AYJ33" s="165"/>
      <c r="AYK33" s="165"/>
      <c r="AYL33" s="165"/>
      <c r="AYM33" s="165"/>
      <c r="AYN33" s="165"/>
      <c r="AYO33" s="165"/>
      <c r="AYP33" s="165"/>
      <c r="AYQ33" s="165"/>
      <c r="AYR33" s="165"/>
      <c r="AYS33" s="165"/>
      <c r="AYT33" s="165"/>
      <c r="AYU33" s="165"/>
      <c r="AYV33" s="165"/>
      <c r="AYW33" s="165"/>
      <c r="AYX33" s="165"/>
      <c r="AYY33" s="165"/>
      <c r="AYZ33" s="165"/>
      <c r="AZA33" s="165"/>
      <c r="AZB33" s="165"/>
      <c r="AZC33" s="165"/>
      <c r="AZD33" s="165"/>
      <c r="AZE33" s="165"/>
      <c r="AZF33" s="165"/>
      <c r="AZG33" s="165"/>
      <c r="AZH33" s="165"/>
      <c r="AZI33" s="165"/>
      <c r="AZJ33" s="165"/>
      <c r="AZK33" s="165"/>
      <c r="AZL33" s="165"/>
      <c r="AZM33" s="165"/>
      <c r="AZN33" s="165"/>
      <c r="AZO33" s="165"/>
      <c r="AZP33" s="165"/>
      <c r="AZQ33" s="165"/>
      <c r="AZR33" s="165"/>
      <c r="AZS33" s="165"/>
      <c r="AZT33" s="165"/>
      <c r="AZU33" s="165"/>
      <c r="AZV33" s="165"/>
      <c r="AZW33" s="165"/>
      <c r="AZX33" s="165"/>
      <c r="AZY33" s="165"/>
      <c r="AZZ33" s="165"/>
      <c r="BAA33" s="165"/>
      <c r="BAB33" s="165"/>
      <c r="BAC33" s="165"/>
      <c r="BAD33" s="165"/>
      <c r="BAE33" s="165"/>
      <c r="BAF33" s="165"/>
      <c r="BAG33" s="165"/>
      <c r="BAH33" s="165"/>
      <c r="BAI33" s="165"/>
      <c r="BAJ33" s="165"/>
      <c r="BAK33" s="165"/>
      <c r="BAL33" s="165"/>
      <c r="BAM33" s="165"/>
      <c r="BAN33" s="165"/>
      <c r="BAO33" s="165"/>
      <c r="BAP33" s="165"/>
      <c r="BAQ33" s="165"/>
      <c r="BAR33" s="165"/>
      <c r="BAS33" s="165"/>
      <c r="BAT33" s="165"/>
      <c r="BAU33" s="165"/>
      <c r="BAV33" s="165"/>
      <c r="BAW33" s="165"/>
      <c r="BAX33" s="165"/>
      <c r="BAY33" s="165"/>
      <c r="BAZ33" s="165"/>
      <c r="BBA33" s="165"/>
      <c r="BBB33" s="165"/>
      <c r="BBC33" s="165"/>
      <c r="BBD33" s="165"/>
      <c r="BBE33" s="165"/>
      <c r="BBF33" s="165"/>
      <c r="BBG33" s="165"/>
      <c r="BBH33" s="165"/>
      <c r="BBI33" s="165"/>
      <c r="BBJ33" s="165"/>
      <c r="BBK33" s="165"/>
      <c r="BBL33" s="165"/>
      <c r="BBM33" s="165"/>
      <c r="BBN33" s="165"/>
      <c r="BBO33" s="165"/>
      <c r="BBP33" s="165"/>
      <c r="BBQ33" s="165"/>
      <c r="BBR33" s="165"/>
      <c r="BBS33" s="165"/>
      <c r="BBT33" s="165"/>
      <c r="BBU33" s="165"/>
      <c r="BBV33" s="165"/>
      <c r="BBW33" s="165"/>
      <c r="BBX33" s="165"/>
      <c r="BBY33" s="165"/>
      <c r="BBZ33" s="165"/>
      <c r="BCA33" s="165"/>
      <c r="BCB33" s="165"/>
      <c r="BCC33" s="165"/>
      <c r="BCD33" s="165"/>
      <c r="BCE33" s="165"/>
      <c r="BCF33" s="165"/>
      <c r="BCG33" s="165"/>
      <c r="BCH33" s="165"/>
      <c r="BCI33" s="165"/>
      <c r="BCJ33" s="165"/>
      <c r="BCK33" s="165"/>
      <c r="BCL33" s="165"/>
      <c r="BCM33" s="165"/>
      <c r="BCN33" s="165"/>
      <c r="BCO33" s="165"/>
      <c r="BCP33" s="165"/>
      <c r="BCQ33" s="165"/>
      <c r="BCR33" s="165"/>
      <c r="BCS33" s="165"/>
      <c r="BCT33" s="165"/>
      <c r="BCU33" s="165"/>
      <c r="BCV33" s="165"/>
      <c r="BCW33" s="165"/>
      <c r="BCX33" s="165"/>
      <c r="BCY33" s="165"/>
      <c r="BCZ33" s="165"/>
      <c r="BDA33" s="165"/>
      <c r="BDB33" s="165"/>
      <c r="BDC33" s="165"/>
      <c r="BDD33" s="165"/>
      <c r="BDE33" s="165"/>
      <c r="BDF33" s="165"/>
      <c r="BDG33" s="165"/>
      <c r="BDH33" s="165"/>
      <c r="BDI33" s="165"/>
      <c r="BDJ33" s="165"/>
      <c r="BDK33" s="165"/>
      <c r="BDL33" s="165"/>
      <c r="BDM33" s="165"/>
      <c r="BDN33" s="165"/>
      <c r="BDO33" s="165"/>
      <c r="BDP33" s="165"/>
      <c r="BDQ33" s="165"/>
      <c r="BDR33" s="165"/>
      <c r="BDS33" s="165"/>
      <c r="BDT33" s="165"/>
      <c r="BDU33" s="165"/>
      <c r="BDV33" s="165"/>
      <c r="BDW33" s="165"/>
      <c r="BDX33" s="165"/>
      <c r="BDY33" s="165"/>
      <c r="BDZ33" s="165"/>
      <c r="BEA33" s="165"/>
      <c r="BEB33" s="165"/>
      <c r="BEC33" s="165"/>
      <c r="BED33" s="165"/>
      <c r="BEE33" s="165"/>
      <c r="BEF33" s="165"/>
      <c r="BEG33" s="165"/>
      <c r="BEH33" s="165"/>
      <c r="BEI33" s="165"/>
      <c r="BEJ33" s="165"/>
      <c r="BEK33" s="165"/>
      <c r="BEL33" s="165"/>
      <c r="BEM33" s="165"/>
      <c r="BEN33" s="165"/>
      <c r="BEO33" s="165"/>
      <c r="BEP33" s="165"/>
      <c r="BEQ33" s="165"/>
      <c r="BER33" s="165"/>
      <c r="BES33" s="165"/>
      <c r="BET33" s="165"/>
      <c r="BEU33" s="165"/>
      <c r="BEV33" s="165"/>
      <c r="BEW33" s="165"/>
      <c r="BEX33" s="165"/>
      <c r="BEY33" s="165"/>
      <c r="BEZ33" s="165"/>
      <c r="BFA33" s="165"/>
      <c r="BFB33" s="165"/>
      <c r="BFC33" s="165"/>
      <c r="BFD33" s="165"/>
      <c r="BFE33" s="165"/>
      <c r="BFF33" s="165"/>
      <c r="BFG33" s="165"/>
      <c r="BFH33" s="165"/>
      <c r="BFI33" s="165"/>
      <c r="BFJ33" s="165"/>
      <c r="BFK33" s="165"/>
      <c r="BFL33" s="165"/>
      <c r="BFM33" s="165"/>
      <c r="BFN33" s="165"/>
      <c r="BFO33" s="165"/>
      <c r="BFP33" s="165"/>
      <c r="BFQ33" s="165"/>
      <c r="BFR33" s="165"/>
      <c r="BFS33" s="165"/>
      <c r="BFT33" s="165"/>
      <c r="BFU33" s="165"/>
      <c r="BFV33" s="165"/>
      <c r="BFW33" s="165"/>
      <c r="BFX33" s="165"/>
      <c r="BFY33" s="165"/>
      <c r="BFZ33" s="165"/>
      <c r="BGA33" s="165"/>
      <c r="BGB33" s="165"/>
      <c r="BGC33" s="165"/>
      <c r="BGD33" s="165"/>
      <c r="BGE33" s="165"/>
      <c r="BGF33" s="165"/>
      <c r="BGG33" s="165"/>
      <c r="BGH33" s="165"/>
      <c r="BGI33" s="165"/>
      <c r="BGJ33" s="165"/>
      <c r="BGK33" s="165"/>
      <c r="BGL33" s="165"/>
      <c r="BGM33" s="165"/>
      <c r="BGN33" s="165"/>
      <c r="BGO33" s="165"/>
      <c r="BGP33" s="165"/>
      <c r="BGQ33" s="165"/>
      <c r="BGR33" s="165"/>
      <c r="BGS33" s="165"/>
      <c r="BGT33" s="165"/>
      <c r="BGU33" s="165"/>
      <c r="BGV33" s="165"/>
      <c r="BGW33" s="165"/>
      <c r="BGX33" s="165"/>
      <c r="BGY33" s="165"/>
      <c r="BGZ33" s="165"/>
      <c r="BHA33" s="165"/>
      <c r="BHB33" s="165"/>
      <c r="BHC33" s="165"/>
      <c r="BHD33" s="165"/>
      <c r="BHE33" s="165"/>
      <c r="BHF33" s="165"/>
      <c r="BHG33" s="165"/>
      <c r="BHH33" s="165"/>
      <c r="BHI33" s="165"/>
      <c r="BHJ33" s="165"/>
      <c r="BHK33" s="165"/>
      <c r="BHL33" s="165"/>
      <c r="BHM33" s="165"/>
      <c r="BHN33" s="165"/>
      <c r="BHO33" s="165"/>
      <c r="BHP33" s="165"/>
      <c r="BHQ33" s="165"/>
      <c r="BHR33" s="165"/>
      <c r="BHS33" s="165"/>
      <c r="BHT33" s="165"/>
      <c r="BHU33" s="165"/>
      <c r="BHV33" s="165"/>
      <c r="BHW33" s="165"/>
      <c r="BHX33" s="165"/>
      <c r="BHY33" s="165"/>
      <c r="BHZ33" s="165"/>
      <c r="BIA33" s="165"/>
      <c r="BIB33" s="165"/>
      <c r="BIC33" s="165"/>
      <c r="BID33" s="165"/>
      <c r="BIE33" s="165"/>
      <c r="BIF33" s="165"/>
      <c r="BIG33" s="165"/>
      <c r="BIH33" s="165"/>
      <c r="BII33" s="165"/>
      <c r="BIJ33" s="165"/>
      <c r="BIK33" s="165"/>
      <c r="BIL33" s="165"/>
      <c r="BIM33" s="165"/>
      <c r="BIN33" s="165"/>
      <c r="BIO33" s="165"/>
      <c r="BIP33" s="165"/>
      <c r="BIQ33" s="165"/>
      <c r="BIR33" s="165"/>
      <c r="BIS33" s="165"/>
      <c r="BIT33" s="165"/>
      <c r="BIU33" s="165"/>
      <c r="BIV33" s="165"/>
      <c r="BIW33" s="165"/>
      <c r="BIX33" s="165"/>
      <c r="BIY33" s="165"/>
      <c r="BIZ33" s="165"/>
      <c r="BJA33" s="165"/>
      <c r="BJB33" s="165"/>
      <c r="BJC33" s="165"/>
      <c r="BJD33" s="165"/>
      <c r="BJE33" s="165"/>
      <c r="BJF33" s="165"/>
      <c r="BJG33" s="165"/>
      <c r="BJH33" s="165"/>
      <c r="BJI33" s="165"/>
      <c r="BJJ33" s="165"/>
      <c r="BJK33" s="165"/>
      <c r="BJL33" s="165"/>
      <c r="BJM33" s="165"/>
      <c r="BJN33" s="165"/>
      <c r="BJO33" s="165"/>
      <c r="BJP33" s="165"/>
      <c r="BJQ33" s="165"/>
      <c r="BJR33" s="165"/>
      <c r="BJS33" s="165"/>
      <c r="BJT33" s="165"/>
      <c r="BJU33" s="165"/>
      <c r="BJV33" s="165"/>
      <c r="BJW33" s="165"/>
      <c r="BJX33" s="165"/>
      <c r="BJY33" s="165"/>
      <c r="BJZ33" s="165"/>
      <c r="BKA33" s="165"/>
      <c r="BKB33" s="165"/>
      <c r="BKC33" s="165"/>
      <c r="BKD33" s="165"/>
      <c r="BKE33" s="165"/>
      <c r="BKF33" s="165"/>
      <c r="BKG33" s="165"/>
      <c r="BKH33" s="165"/>
      <c r="BKI33" s="165"/>
      <c r="BKJ33" s="165"/>
      <c r="BKK33" s="165"/>
      <c r="BKL33" s="165"/>
      <c r="BKM33" s="165"/>
      <c r="BKN33" s="165"/>
      <c r="BKO33" s="165"/>
      <c r="BKP33" s="165"/>
      <c r="BKQ33" s="165"/>
      <c r="BKR33" s="165"/>
      <c r="BKS33" s="165"/>
      <c r="BKT33" s="165"/>
      <c r="BKU33" s="165"/>
      <c r="BKV33" s="165"/>
      <c r="BKW33" s="165"/>
      <c r="BKX33" s="165"/>
      <c r="BKY33" s="165"/>
      <c r="BKZ33" s="165"/>
      <c r="BLA33" s="165"/>
      <c r="BLB33" s="165"/>
      <c r="BLC33" s="165"/>
      <c r="BLD33" s="165"/>
      <c r="BLE33" s="165"/>
      <c r="BLF33" s="165"/>
      <c r="BLG33" s="165"/>
      <c r="BLH33" s="165"/>
      <c r="BLI33" s="165"/>
      <c r="BLJ33" s="165"/>
      <c r="BLK33" s="165"/>
      <c r="BLL33" s="165"/>
      <c r="BLM33" s="165"/>
      <c r="BLN33" s="165"/>
      <c r="BLO33" s="165"/>
      <c r="BLP33" s="165"/>
      <c r="BLQ33" s="165"/>
      <c r="BLR33" s="165"/>
      <c r="BLS33" s="165"/>
      <c r="BLT33" s="165"/>
      <c r="BLU33" s="165"/>
      <c r="BLV33" s="165"/>
      <c r="BLW33" s="165"/>
      <c r="BLX33" s="165"/>
      <c r="BLY33" s="165"/>
      <c r="BLZ33" s="165"/>
      <c r="BMA33" s="165"/>
      <c r="BMB33" s="165"/>
      <c r="BMC33" s="165"/>
      <c r="BMD33" s="165"/>
      <c r="BME33" s="165"/>
      <c r="BMF33" s="165"/>
      <c r="BMG33" s="165"/>
      <c r="BMH33" s="165"/>
      <c r="BMI33" s="165"/>
      <c r="BMJ33" s="165"/>
      <c r="BMK33" s="165"/>
      <c r="BML33" s="165"/>
      <c r="BMM33" s="165"/>
      <c r="BMN33" s="165"/>
      <c r="BMO33" s="165"/>
      <c r="BMP33" s="165"/>
      <c r="BMQ33" s="165"/>
      <c r="BMR33" s="165"/>
      <c r="BMS33" s="165"/>
      <c r="BMT33" s="165"/>
      <c r="BMU33" s="165"/>
      <c r="BMV33" s="165"/>
      <c r="BMW33" s="165"/>
      <c r="BMX33" s="165"/>
      <c r="BMY33" s="165"/>
      <c r="BMZ33" s="165"/>
      <c r="BNA33" s="165"/>
      <c r="BNB33" s="165"/>
      <c r="BNC33" s="165"/>
      <c r="BND33" s="165"/>
      <c r="BNE33" s="165"/>
      <c r="BNF33" s="165"/>
      <c r="BNG33" s="165"/>
      <c r="BNH33" s="165"/>
      <c r="BNI33" s="165"/>
      <c r="BNJ33" s="165"/>
      <c r="BNK33" s="165"/>
      <c r="BNL33" s="165"/>
      <c r="BNM33" s="165"/>
      <c r="BNN33" s="165"/>
      <c r="BNO33" s="165"/>
      <c r="BNP33" s="165"/>
      <c r="BNQ33" s="165"/>
      <c r="BNR33" s="165"/>
      <c r="BNS33" s="165"/>
      <c r="BNT33" s="165"/>
      <c r="BNU33" s="165"/>
      <c r="BNV33" s="165"/>
      <c r="BNW33" s="165"/>
      <c r="BNX33" s="165"/>
      <c r="BNY33" s="165"/>
      <c r="BNZ33" s="165"/>
      <c r="BOA33" s="165"/>
      <c r="BOB33" s="165"/>
      <c r="BOC33" s="165"/>
      <c r="BOD33" s="165"/>
      <c r="BOE33" s="165"/>
      <c r="BOF33" s="165"/>
      <c r="BOG33" s="165"/>
      <c r="BOH33" s="165"/>
      <c r="BOI33" s="165"/>
      <c r="BOJ33" s="165"/>
      <c r="BOK33" s="165"/>
      <c r="BOL33" s="165"/>
      <c r="BOM33" s="165"/>
      <c r="BON33" s="165"/>
      <c r="BOO33" s="165"/>
      <c r="BOP33" s="165"/>
      <c r="BOQ33" s="165"/>
      <c r="BOR33" s="165"/>
      <c r="BOS33" s="165"/>
      <c r="BOT33" s="165"/>
      <c r="BOU33" s="165"/>
      <c r="BOV33" s="165"/>
      <c r="BOW33" s="165"/>
      <c r="BOX33" s="165"/>
      <c r="BOY33" s="165"/>
      <c r="BOZ33" s="165"/>
      <c r="BPA33" s="165"/>
      <c r="BPB33" s="165"/>
      <c r="BPC33" s="165"/>
      <c r="BPD33" s="165"/>
      <c r="BPE33" s="165"/>
      <c r="BPF33" s="165"/>
      <c r="BPG33" s="165"/>
      <c r="BPH33" s="165"/>
      <c r="BPI33" s="165"/>
      <c r="BPJ33" s="165"/>
      <c r="BPK33" s="165"/>
      <c r="BPL33" s="165"/>
      <c r="BPM33" s="165"/>
      <c r="BPN33" s="165"/>
      <c r="BPO33" s="165"/>
      <c r="BPP33" s="165"/>
      <c r="BPQ33" s="165"/>
      <c r="BPR33" s="165"/>
      <c r="BPS33" s="165"/>
      <c r="BPT33" s="165"/>
      <c r="BPU33" s="165"/>
      <c r="BPV33" s="165"/>
      <c r="BPW33" s="165"/>
      <c r="BPX33" s="165"/>
      <c r="BPY33" s="165"/>
      <c r="BPZ33" s="165"/>
      <c r="BQA33" s="165"/>
      <c r="BQB33" s="165"/>
      <c r="BQC33" s="165"/>
      <c r="BQD33" s="165"/>
      <c r="BQE33" s="165"/>
      <c r="BQF33" s="165"/>
      <c r="BQG33" s="165"/>
      <c r="BQH33" s="165"/>
      <c r="BQI33" s="165"/>
      <c r="BQJ33" s="165"/>
      <c r="BQK33" s="165"/>
      <c r="BQL33" s="165"/>
      <c r="BQM33" s="165"/>
      <c r="BQN33" s="165"/>
      <c r="BQO33" s="165"/>
      <c r="BQP33" s="165"/>
      <c r="BQQ33" s="165"/>
      <c r="BQR33" s="165"/>
      <c r="BQS33" s="165"/>
      <c r="BQT33" s="165"/>
      <c r="BQU33" s="165"/>
      <c r="BQV33" s="165"/>
      <c r="BQW33" s="165"/>
      <c r="BQX33" s="165"/>
      <c r="BQY33" s="165"/>
      <c r="BQZ33" s="165"/>
      <c r="BRA33" s="165"/>
      <c r="BRB33" s="165"/>
      <c r="BRC33" s="165"/>
      <c r="BRD33" s="165"/>
      <c r="BRE33" s="165"/>
      <c r="BRF33" s="165"/>
      <c r="BRG33" s="165"/>
      <c r="BRH33" s="165"/>
      <c r="BRI33" s="165"/>
      <c r="BRJ33" s="165"/>
      <c r="BRK33" s="165"/>
      <c r="BRL33" s="165"/>
      <c r="BRM33" s="165"/>
      <c r="BRN33" s="165"/>
      <c r="BRO33" s="165"/>
      <c r="BRP33" s="165"/>
      <c r="BRQ33" s="165"/>
      <c r="BRR33" s="165"/>
      <c r="BRS33" s="165"/>
      <c r="BRT33" s="165"/>
      <c r="BRU33" s="165"/>
      <c r="BRV33" s="165"/>
      <c r="BRW33" s="165"/>
      <c r="BRX33" s="165"/>
      <c r="BRY33" s="165"/>
      <c r="BRZ33" s="165"/>
      <c r="BSA33" s="165"/>
      <c r="BSB33" s="165"/>
      <c r="BSC33" s="165"/>
      <c r="BSD33" s="165"/>
      <c r="BSE33" s="165"/>
      <c r="BSF33" s="165"/>
      <c r="BSG33" s="165"/>
      <c r="BSH33" s="165"/>
      <c r="BSI33" s="165"/>
      <c r="BSJ33" s="165"/>
      <c r="BSK33" s="165"/>
      <c r="BSL33" s="165"/>
      <c r="BSM33" s="165"/>
      <c r="BSN33" s="165"/>
      <c r="BSO33" s="165"/>
      <c r="BSP33" s="165"/>
      <c r="BSQ33" s="165"/>
      <c r="BSR33" s="165"/>
      <c r="BSS33" s="165"/>
      <c r="BST33" s="165"/>
      <c r="BSU33" s="165"/>
      <c r="BSV33" s="165"/>
      <c r="BSW33" s="165"/>
      <c r="BSX33" s="165"/>
      <c r="BSY33" s="165"/>
      <c r="BSZ33" s="165"/>
      <c r="BTA33" s="165"/>
      <c r="BTB33" s="165"/>
      <c r="BTC33" s="165"/>
      <c r="BTD33" s="165"/>
      <c r="BTE33" s="165"/>
      <c r="BTF33" s="165"/>
      <c r="BTG33" s="165"/>
      <c r="BTH33" s="165"/>
      <c r="BTI33" s="165"/>
      <c r="BTJ33" s="165"/>
      <c r="BTK33" s="165"/>
      <c r="BTL33" s="165"/>
      <c r="BTM33" s="165"/>
      <c r="BTN33" s="165"/>
      <c r="BTO33" s="165"/>
      <c r="BTP33" s="165"/>
      <c r="BTQ33" s="165"/>
      <c r="BTR33" s="165"/>
      <c r="BTS33" s="165"/>
      <c r="BTT33" s="165"/>
      <c r="BTU33" s="165"/>
      <c r="BTV33" s="165"/>
      <c r="BTW33" s="165"/>
      <c r="BTX33" s="165"/>
      <c r="BTY33" s="165"/>
      <c r="BTZ33" s="165"/>
      <c r="BUA33" s="165"/>
      <c r="BUB33" s="165"/>
      <c r="BUC33" s="165"/>
      <c r="BUD33" s="165"/>
      <c r="BUE33" s="165"/>
      <c r="BUF33" s="165"/>
      <c r="BUG33" s="165"/>
      <c r="BUH33" s="165"/>
      <c r="BUI33" s="165"/>
      <c r="BUJ33" s="165"/>
      <c r="BUK33" s="165"/>
      <c r="BUL33" s="165"/>
      <c r="BUM33" s="165"/>
      <c r="BUN33" s="165"/>
      <c r="BUO33" s="165"/>
      <c r="BUP33" s="165"/>
      <c r="BUQ33" s="165"/>
      <c r="BUR33" s="165"/>
      <c r="BUS33" s="165"/>
      <c r="BUT33" s="165"/>
      <c r="BUU33" s="165"/>
      <c r="BUV33" s="165"/>
      <c r="BUW33" s="165"/>
      <c r="BUX33" s="165"/>
      <c r="BUY33" s="165"/>
      <c r="BUZ33" s="165"/>
      <c r="BVA33" s="165"/>
      <c r="BVB33" s="165"/>
      <c r="BVC33" s="165"/>
      <c r="BVD33" s="165"/>
      <c r="BVE33" s="165"/>
      <c r="BVF33" s="165"/>
      <c r="BVG33" s="165"/>
      <c r="BVH33" s="165"/>
      <c r="BVI33" s="165"/>
      <c r="BVJ33" s="165"/>
      <c r="BVK33" s="165"/>
      <c r="BVL33" s="165"/>
      <c r="BVM33" s="165"/>
      <c r="BVN33" s="165"/>
      <c r="BVO33" s="165"/>
      <c r="BVP33" s="165"/>
      <c r="BVQ33" s="165"/>
      <c r="BVR33" s="165"/>
      <c r="BVS33" s="165"/>
      <c r="BVT33" s="165"/>
      <c r="BVU33" s="165"/>
      <c r="BVV33" s="165"/>
      <c r="BVW33" s="165"/>
      <c r="BVX33" s="165"/>
      <c r="BVY33" s="165"/>
      <c r="BVZ33" s="165"/>
      <c r="BWA33" s="165"/>
      <c r="BWB33" s="165"/>
      <c r="BWC33" s="165"/>
      <c r="BWD33" s="165"/>
      <c r="BWE33" s="165"/>
      <c r="BWF33" s="165"/>
      <c r="BWG33" s="165"/>
      <c r="BWH33" s="165"/>
      <c r="BWI33" s="165"/>
      <c r="BWJ33" s="165"/>
      <c r="BWK33" s="165"/>
      <c r="BWL33" s="165"/>
      <c r="BWM33" s="165"/>
      <c r="BWN33" s="165"/>
      <c r="BWO33" s="165"/>
      <c r="BWP33" s="165"/>
      <c r="BWQ33" s="165"/>
      <c r="BWR33" s="165"/>
      <c r="BWS33" s="165"/>
      <c r="BWT33" s="165"/>
      <c r="BWU33" s="165"/>
      <c r="BWV33" s="165"/>
      <c r="BWW33" s="165"/>
      <c r="BWX33" s="165"/>
      <c r="BWY33" s="165"/>
      <c r="BWZ33" s="165"/>
      <c r="BXA33" s="165"/>
      <c r="BXB33" s="165"/>
      <c r="BXC33" s="165"/>
      <c r="BXD33" s="165"/>
      <c r="BXE33" s="165"/>
      <c r="BXF33" s="165"/>
      <c r="BXG33" s="165"/>
      <c r="BXH33" s="165"/>
      <c r="BXI33" s="165"/>
      <c r="BXJ33" s="165"/>
      <c r="BXK33" s="165"/>
      <c r="BXL33" s="165"/>
      <c r="BXM33" s="165"/>
      <c r="BXN33" s="165"/>
      <c r="BXO33" s="165"/>
      <c r="BXP33" s="165"/>
      <c r="BXQ33" s="165"/>
      <c r="BXR33" s="165"/>
      <c r="BXS33" s="165"/>
      <c r="BXT33" s="165"/>
      <c r="BXU33" s="165"/>
      <c r="BXV33" s="165"/>
      <c r="BXW33" s="165"/>
      <c r="BXX33" s="165"/>
      <c r="BXY33" s="165"/>
      <c r="BXZ33" s="165"/>
      <c r="BYA33" s="165"/>
      <c r="BYB33" s="165"/>
      <c r="BYC33" s="165"/>
      <c r="BYD33" s="165"/>
      <c r="BYE33" s="165"/>
      <c r="BYF33" s="165"/>
      <c r="BYG33" s="165"/>
      <c r="BYH33" s="165"/>
      <c r="BYI33" s="165"/>
      <c r="BYJ33" s="165"/>
      <c r="BYK33" s="165"/>
      <c r="BYL33" s="165"/>
      <c r="BYM33" s="165"/>
      <c r="BYN33" s="165"/>
      <c r="BYO33" s="165"/>
      <c r="BYP33" s="165"/>
      <c r="BYQ33" s="165"/>
      <c r="BYR33" s="165"/>
      <c r="BYS33" s="165"/>
      <c r="BYT33" s="165"/>
      <c r="BYU33" s="165"/>
      <c r="BYV33" s="165"/>
      <c r="BYW33" s="165"/>
      <c r="BYX33" s="165"/>
      <c r="BYY33" s="165"/>
      <c r="BYZ33" s="165"/>
      <c r="BZA33" s="165"/>
      <c r="BZB33" s="165"/>
      <c r="BZC33" s="165"/>
      <c r="BZD33" s="165"/>
      <c r="BZE33" s="165"/>
      <c r="BZF33" s="165"/>
      <c r="BZG33" s="165"/>
      <c r="BZH33" s="165"/>
      <c r="BZI33" s="165"/>
      <c r="BZJ33" s="165"/>
      <c r="BZK33" s="165"/>
      <c r="BZL33" s="165"/>
      <c r="BZM33" s="165"/>
      <c r="BZN33" s="165"/>
      <c r="BZO33" s="165"/>
      <c r="BZP33" s="165"/>
      <c r="BZQ33" s="165"/>
      <c r="BZR33" s="165"/>
      <c r="BZS33" s="165"/>
      <c r="BZT33" s="165"/>
      <c r="BZU33" s="165"/>
      <c r="BZV33" s="165"/>
      <c r="BZW33" s="165"/>
      <c r="BZX33" s="165"/>
      <c r="BZY33" s="165"/>
      <c r="BZZ33" s="165"/>
      <c r="CAA33" s="165"/>
      <c r="CAB33" s="165"/>
      <c r="CAC33" s="165"/>
      <c r="CAD33" s="165"/>
      <c r="CAE33" s="165"/>
      <c r="CAF33" s="165"/>
      <c r="CAG33" s="165"/>
      <c r="CAH33" s="165"/>
      <c r="CAI33" s="165"/>
      <c r="CAJ33" s="165"/>
      <c r="CAK33" s="165"/>
      <c r="CAL33" s="165"/>
      <c r="CAM33" s="165"/>
      <c r="CAN33" s="165"/>
      <c r="CAO33" s="165"/>
      <c r="CAP33" s="165"/>
      <c r="CAQ33" s="165"/>
      <c r="CAR33" s="165"/>
      <c r="CAS33" s="165"/>
      <c r="CAT33" s="165"/>
      <c r="CAU33" s="165"/>
      <c r="CAV33" s="165"/>
      <c r="CAW33" s="165"/>
      <c r="CAX33" s="165"/>
      <c r="CAY33" s="165"/>
      <c r="CAZ33" s="165"/>
      <c r="CBA33" s="165"/>
      <c r="CBB33" s="165"/>
      <c r="CBC33" s="165"/>
      <c r="CBD33" s="165"/>
      <c r="CBE33" s="165"/>
      <c r="CBF33" s="165"/>
      <c r="CBG33" s="165"/>
      <c r="CBH33" s="165"/>
      <c r="CBI33" s="165"/>
      <c r="CBJ33" s="165"/>
      <c r="CBK33" s="165"/>
      <c r="CBL33" s="165"/>
      <c r="CBM33" s="165"/>
      <c r="CBN33" s="165"/>
      <c r="CBO33" s="165"/>
      <c r="CBP33" s="165"/>
      <c r="CBQ33" s="165"/>
      <c r="CBR33" s="165"/>
      <c r="CBS33" s="165"/>
      <c r="CBT33" s="165"/>
      <c r="CBU33" s="165"/>
      <c r="CBV33" s="165"/>
      <c r="CBW33" s="165"/>
      <c r="CBX33" s="165"/>
      <c r="CBY33" s="165"/>
      <c r="CBZ33" s="165"/>
      <c r="CCA33" s="165"/>
      <c r="CCB33" s="165"/>
      <c r="CCC33" s="165"/>
      <c r="CCD33" s="165"/>
      <c r="CCE33" s="165"/>
      <c r="CCF33" s="165"/>
      <c r="CCG33" s="165"/>
      <c r="CCH33" s="165"/>
      <c r="CCI33" s="165"/>
      <c r="CCJ33" s="165"/>
      <c r="CCK33" s="165"/>
      <c r="CCL33" s="165"/>
      <c r="CCM33" s="165"/>
      <c r="CCN33" s="165"/>
      <c r="CCO33" s="165"/>
      <c r="CCP33" s="165"/>
      <c r="CCQ33" s="165"/>
      <c r="CCR33" s="165"/>
      <c r="CCS33" s="165"/>
      <c r="CCT33" s="165"/>
      <c r="CCU33" s="165"/>
      <c r="CCV33" s="165"/>
      <c r="CCW33" s="165"/>
      <c r="CCX33" s="165"/>
      <c r="CCY33" s="165"/>
      <c r="CCZ33" s="165"/>
      <c r="CDA33" s="165"/>
      <c r="CDB33" s="165"/>
      <c r="CDC33" s="165"/>
      <c r="CDD33" s="165"/>
      <c r="CDE33" s="165"/>
      <c r="CDF33" s="165"/>
      <c r="CDG33" s="165"/>
      <c r="CDH33" s="165"/>
      <c r="CDI33" s="165"/>
      <c r="CDJ33" s="165"/>
      <c r="CDK33" s="165"/>
      <c r="CDL33" s="165"/>
      <c r="CDM33" s="165"/>
      <c r="CDN33" s="165"/>
      <c r="CDO33" s="165"/>
      <c r="CDP33" s="165"/>
      <c r="CDQ33" s="165"/>
      <c r="CDR33" s="165"/>
      <c r="CDS33" s="165"/>
      <c r="CDT33" s="165"/>
      <c r="CDU33" s="165"/>
      <c r="CDV33" s="165"/>
      <c r="CDW33" s="165"/>
      <c r="CDX33" s="165"/>
      <c r="CDY33" s="165"/>
      <c r="CDZ33" s="165"/>
      <c r="CEA33" s="165"/>
      <c r="CEB33" s="165"/>
      <c r="CEC33" s="165"/>
      <c r="CED33" s="165"/>
      <c r="CEE33" s="165"/>
      <c r="CEF33" s="165"/>
      <c r="CEG33" s="165"/>
      <c r="CEH33" s="165"/>
      <c r="CEI33" s="165"/>
      <c r="CEJ33" s="165"/>
      <c r="CEK33" s="165"/>
      <c r="CEL33" s="165"/>
      <c r="CEM33" s="165"/>
      <c r="CEN33" s="165"/>
      <c r="CEO33" s="165"/>
      <c r="CEP33" s="165"/>
      <c r="CEQ33" s="165"/>
      <c r="CER33" s="165"/>
      <c r="CES33" s="165"/>
      <c r="CET33" s="165"/>
      <c r="CEU33" s="165"/>
      <c r="CEV33" s="165"/>
      <c r="CEW33" s="165"/>
      <c r="CEX33" s="165"/>
      <c r="CEY33" s="165"/>
      <c r="CEZ33" s="165"/>
      <c r="CFA33" s="165"/>
      <c r="CFB33" s="165"/>
      <c r="CFC33" s="165"/>
      <c r="CFD33" s="165"/>
      <c r="CFE33" s="165"/>
      <c r="CFF33" s="165"/>
      <c r="CFG33" s="165"/>
      <c r="CFH33" s="165"/>
      <c r="CFI33" s="165"/>
      <c r="CFJ33" s="165"/>
      <c r="CFK33" s="165"/>
      <c r="CFL33" s="165"/>
      <c r="CFM33" s="165"/>
      <c r="CFN33" s="165"/>
      <c r="CFO33" s="165"/>
      <c r="CFP33" s="165"/>
      <c r="CFQ33" s="165"/>
      <c r="CFR33" s="165"/>
      <c r="CFS33" s="165"/>
      <c r="CFT33" s="165"/>
      <c r="CFU33" s="165"/>
      <c r="CFV33" s="165"/>
      <c r="CFW33" s="165"/>
      <c r="CFX33" s="165"/>
      <c r="CFY33" s="165"/>
      <c r="CFZ33" s="165"/>
      <c r="CGA33" s="165"/>
      <c r="CGB33" s="165"/>
      <c r="CGC33" s="165"/>
      <c r="CGD33" s="165"/>
      <c r="CGE33" s="165"/>
      <c r="CGF33" s="165"/>
      <c r="CGG33" s="165"/>
      <c r="CGH33" s="165"/>
      <c r="CGI33" s="165"/>
      <c r="CGJ33" s="165"/>
      <c r="CGK33" s="165"/>
      <c r="CGL33" s="165"/>
      <c r="CGM33" s="165"/>
      <c r="CGN33" s="165"/>
      <c r="CGO33" s="165"/>
      <c r="CGP33" s="165"/>
      <c r="CGQ33" s="165"/>
      <c r="CGR33" s="165"/>
      <c r="CGS33" s="165"/>
      <c r="CGT33" s="165"/>
      <c r="CGU33" s="165"/>
      <c r="CGV33" s="165"/>
      <c r="CGW33" s="165"/>
      <c r="CGX33" s="165"/>
      <c r="CGY33" s="165"/>
      <c r="CGZ33" s="165"/>
      <c r="CHA33" s="165"/>
      <c r="CHB33" s="165"/>
      <c r="CHC33" s="165"/>
      <c r="CHD33" s="165"/>
      <c r="CHE33" s="165"/>
      <c r="CHF33" s="165"/>
      <c r="CHG33" s="165"/>
      <c r="CHH33" s="165"/>
      <c r="CHI33" s="165"/>
      <c r="CHJ33" s="165"/>
      <c r="CHK33" s="165"/>
      <c r="CHL33" s="165"/>
      <c r="CHM33" s="165"/>
      <c r="CHN33" s="165"/>
      <c r="CHO33" s="165"/>
      <c r="CHP33" s="165"/>
      <c r="CHQ33" s="165"/>
      <c r="CHR33" s="165"/>
      <c r="CHS33" s="165"/>
      <c r="CHT33" s="165"/>
      <c r="CHU33" s="165"/>
      <c r="CHV33" s="165"/>
      <c r="CHW33" s="165"/>
      <c r="CHX33" s="165"/>
      <c r="CHY33" s="165"/>
      <c r="CHZ33" s="165"/>
      <c r="CIA33" s="165"/>
      <c r="CIB33" s="165"/>
      <c r="CIC33" s="165"/>
      <c r="CID33" s="165"/>
      <c r="CIE33" s="165"/>
      <c r="CIF33" s="165"/>
      <c r="CIG33" s="165"/>
      <c r="CIH33" s="165"/>
      <c r="CII33" s="165"/>
      <c r="CIJ33" s="165"/>
      <c r="CIK33" s="165"/>
      <c r="CIL33" s="165"/>
      <c r="CIM33" s="165"/>
      <c r="CIN33" s="165"/>
      <c r="CIO33" s="165"/>
      <c r="CIP33" s="165"/>
      <c r="CIQ33" s="165"/>
      <c r="CIR33" s="165"/>
      <c r="CIS33" s="165"/>
      <c r="CIT33" s="165"/>
      <c r="CIU33" s="165"/>
      <c r="CIV33" s="165"/>
      <c r="CIW33" s="165"/>
      <c r="CIX33" s="165"/>
      <c r="CIY33" s="165"/>
      <c r="CIZ33" s="165"/>
      <c r="CJA33" s="165"/>
      <c r="CJB33" s="165"/>
      <c r="CJC33" s="165"/>
      <c r="CJD33" s="165"/>
      <c r="CJE33" s="165"/>
      <c r="CJF33" s="165"/>
      <c r="CJG33" s="165"/>
      <c r="CJH33" s="165"/>
      <c r="CJI33" s="165"/>
      <c r="CJJ33" s="165"/>
      <c r="CJK33" s="165"/>
      <c r="CJL33" s="165"/>
      <c r="CJM33" s="165"/>
      <c r="CJN33" s="165"/>
      <c r="CJO33" s="165"/>
      <c r="CJP33" s="165"/>
      <c r="CJQ33" s="165"/>
      <c r="CJR33" s="165"/>
      <c r="CJS33" s="165"/>
      <c r="CJT33" s="165"/>
      <c r="CJU33" s="165"/>
      <c r="CJV33" s="165"/>
      <c r="CJW33" s="165"/>
      <c r="CJX33" s="165"/>
      <c r="CJY33" s="165"/>
      <c r="CJZ33" s="165"/>
      <c r="CKA33" s="165"/>
      <c r="CKB33" s="165"/>
      <c r="CKC33" s="165"/>
      <c r="CKD33" s="165"/>
      <c r="CKE33" s="165"/>
      <c r="CKF33" s="165"/>
      <c r="CKG33" s="165"/>
      <c r="CKH33" s="165"/>
      <c r="CKI33" s="165"/>
      <c r="CKJ33" s="165"/>
      <c r="CKK33" s="165"/>
      <c r="CKL33" s="165"/>
      <c r="CKM33" s="165"/>
      <c r="CKN33" s="165"/>
      <c r="CKO33" s="165"/>
      <c r="CKP33" s="165"/>
      <c r="CKQ33" s="165"/>
      <c r="CKR33" s="165"/>
      <c r="CKS33" s="165"/>
      <c r="CKT33" s="165"/>
      <c r="CKU33" s="165"/>
      <c r="CKV33" s="165"/>
      <c r="CKW33" s="165"/>
      <c r="CKX33" s="165"/>
      <c r="CKY33" s="165"/>
      <c r="CKZ33" s="165"/>
      <c r="CLA33" s="165"/>
      <c r="CLB33" s="165"/>
      <c r="CLC33" s="165"/>
      <c r="CLD33" s="165"/>
      <c r="CLE33" s="165"/>
      <c r="CLF33" s="165"/>
      <c r="CLG33" s="165"/>
      <c r="CLH33" s="165"/>
      <c r="CLI33" s="165"/>
      <c r="CLJ33" s="165"/>
      <c r="CLK33" s="165"/>
      <c r="CLL33" s="165"/>
      <c r="CLM33" s="165"/>
      <c r="CLN33" s="165"/>
      <c r="CLO33" s="165"/>
      <c r="CLP33" s="165"/>
      <c r="CLQ33" s="165"/>
      <c r="CLR33" s="165"/>
      <c r="CLS33" s="165"/>
      <c r="CLT33" s="165"/>
      <c r="CLU33" s="165"/>
      <c r="CLV33" s="165"/>
      <c r="CLW33" s="165"/>
      <c r="CLX33" s="165"/>
      <c r="CLY33" s="165"/>
      <c r="CLZ33" s="165"/>
      <c r="CMA33" s="165"/>
      <c r="CMB33" s="165"/>
      <c r="CMC33" s="165"/>
      <c r="CMD33" s="165"/>
      <c r="CME33" s="165"/>
      <c r="CMF33" s="165"/>
      <c r="CMG33" s="165"/>
      <c r="CMH33" s="165"/>
      <c r="CMI33" s="165"/>
      <c r="CMJ33" s="165"/>
      <c r="CMK33" s="165"/>
      <c r="CML33" s="165"/>
      <c r="CMM33" s="165"/>
      <c r="CMN33" s="165"/>
      <c r="CMO33" s="165"/>
      <c r="CMP33" s="165"/>
      <c r="CMQ33" s="165"/>
      <c r="CMR33" s="165"/>
      <c r="CMS33" s="165"/>
      <c r="CMT33" s="165"/>
      <c r="CMU33" s="165"/>
      <c r="CMV33" s="165"/>
      <c r="CMW33" s="165"/>
      <c r="CMX33" s="165"/>
      <c r="CMY33" s="165"/>
      <c r="CMZ33" s="165"/>
      <c r="CNA33" s="165"/>
      <c r="CNB33" s="165"/>
      <c r="CNC33" s="165"/>
      <c r="CND33" s="165"/>
      <c r="CNE33" s="165"/>
      <c r="CNF33" s="165"/>
      <c r="CNG33" s="165"/>
      <c r="CNH33" s="165"/>
      <c r="CNI33" s="165"/>
      <c r="CNJ33" s="165"/>
      <c r="CNK33" s="165"/>
      <c r="CNL33" s="165"/>
      <c r="CNM33" s="165"/>
      <c r="CNN33" s="165"/>
      <c r="CNO33" s="165"/>
      <c r="CNP33" s="165"/>
      <c r="CNQ33" s="165"/>
      <c r="CNR33" s="165"/>
      <c r="CNS33" s="165"/>
      <c r="CNT33" s="165"/>
      <c r="CNU33" s="165"/>
      <c r="CNV33" s="165"/>
      <c r="CNW33" s="165"/>
      <c r="CNX33" s="165"/>
      <c r="CNY33" s="165"/>
      <c r="CNZ33" s="165"/>
      <c r="COA33" s="165"/>
      <c r="COB33" s="165"/>
      <c r="COC33" s="165"/>
      <c r="COD33" s="165"/>
      <c r="COE33" s="165"/>
      <c r="COF33" s="165"/>
      <c r="COG33" s="165"/>
      <c r="COH33" s="165"/>
      <c r="COI33" s="165"/>
      <c r="COJ33" s="165"/>
      <c r="COK33" s="165"/>
      <c r="COL33" s="165"/>
      <c r="COM33" s="165"/>
      <c r="CON33" s="165"/>
      <c r="COO33" s="165"/>
      <c r="COP33" s="165"/>
      <c r="COQ33" s="165"/>
      <c r="COR33" s="165"/>
      <c r="COS33" s="165"/>
      <c r="COT33" s="165"/>
      <c r="COU33" s="165"/>
      <c r="COV33" s="165"/>
      <c r="COW33" s="165"/>
      <c r="COX33" s="165"/>
      <c r="COY33" s="165"/>
      <c r="COZ33" s="165"/>
      <c r="CPA33" s="165"/>
      <c r="CPB33" s="165"/>
      <c r="CPC33" s="165"/>
      <c r="CPD33" s="165"/>
      <c r="CPE33" s="165"/>
      <c r="CPF33" s="165"/>
      <c r="CPG33" s="165"/>
      <c r="CPH33" s="165"/>
      <c r="CPI33" s="165"/>
      <c r="CPJ33" s="165"/>
      <c r="CPK33" s="165"/>
      <c r="CPL33" s="165"/>
      <c r="CPM33" s="165"/>
      <c r="CPN33" s="165"/>
      <c r="CPO33" s="165"/>
      <c r="CPP33" s="165"/>
      <c r="CPQ33" s="165"/>
      <c r="CPR33" s="165"/>
      <c r="CPS33" s="165"/>
      <c r="CPT33" s="165"/>
      <c r="CPU33" s="165"/>
      <c r="CPV33" s="165"/>
      <c r="CPW33" s="165"/>
      <c r="CPX33" s="165"/>
      <c r="CPY33" s="165"/>
      <c r="CPZ33" s="165"/>
      <c r="CQA33" s="165"/>
      <c r="CQB33" s="165"/>
      <c r="CQC33" s="165"/>
      <c r="CQD33" s="165"/>
      <c r="CQE33" s="165"/>
      <c r="CQF33" s="165"/>
      <c r="CQG33" s="165"/>
      <c r="CQH33" s="165"/>
      <c r="CQI33" s="165"/>
      <c r="CQJ33" s="165"/>
      <c r="CQK33" s="165"/>
      <c r="CQL33" s="165"/>
      <c r="CQM33" s="165"/>
      <c r="CQN33" s="165"/>
      <c r="CQO33" s="165"/>
      <c r="CQP33" s="165"/>
      <c r="CQQ33" s="165"/>
      <c r="CQR33" s="165"/>
      <c r="CQS33" s="165"/>
      <c r="CQT33" s="165"/>
      <c r="CQU33" s="165"/>
      <c r="CQV33" s="165"/>
      <c r="CQW33" s="165"/>
      <c r="CQX33" s="165"/>
      <c r="CQY33" s="165"/>
      <c r="CQZ33" s="165"/>
      <c r="CRA33" s="165"/>
      <c r="CRB33" s="165"/>
      <c r="CRC33" s="165"/>
      <c r="CRD33" s="165"/>
      <c r="CRE33" s="165"/>
      <c r="CRF33" s="165"/>
      <c r="CRG33" s="165"/>
      <c r="CRH33" s="165"/>
      <c r="CRI33" s="165"/>
      <c r="CRJ33" s="165"/>
      <c r="CRK33" s="165"/>
      <c r="CRL33" s="165"/>
      <c r="CRM33" s="165"/>
      <c r="CRN33" s="165"/>
      <c r="CRO33" s="165"/>
      <c r="CRP33" s="165"/>
      <c r="CRQ33" s="165"/>
      <c r="CRR33" s="165"/>
      <c r="CRS33" s="165"/>
      <c r="CRT33" s="165"/>
      <c r="CRU33" s="165"/>
      <c r="CRV33" s="165"/>
      <c r="CRW33" s="165"/>
      <c r="CRX33" s="165"/>
      <c r="CRY33" s="165"/>
      <c r="CRZ33" s="165"/>
      <c r="CSA33" s="165"/>
      <c r="CSB33" s="165"/>
      <c r="CSC33" s="165"/>
      <c r="CSD33" s="165"/>
      <c r="CSE33" s="165"/>
      <c r="CSF33" s="165"/>
      <c r="CSG33" s="165"/>
      <c r="CSH33" s="165"/>
      <c r="CSI33" s="165"/>
      <c r="CSJ33" s="165"/>
      <c r="CSK33" s="165"/>
      <c r="CSL33" s="165"/>
      <c r="CSM33" s="165"/>
      <c r="CSN33" s="165"/>
      <c r="CSO33" s="165"/>
      <c r="CSP33" s="165"/>
      <c r="CSQ33" s="165"/>
      <c r="CSR33" s="165"/>
      <c r="CSS33" s="165"/>
      <c r="CST33" s="165"/>
      <c r="CSU33" s="165"/>
      <c r="CSV33" s="165"/>
      <c r="CSW33" s="165"/>
      <c r="CSX33" s="165"/>
      <c r="CSY33" s="165"/>
      <c r="CSZ33" s="165"/>
      <c r="CTA33" s="165"/>
      <c r="CTB33" s="165"/>
      <c r="CTC33" s="165"/>
      <c r="CTD33" s="165"/>
      <c r="CTE33" s="165"/>
      <c r="CTF33" s="165"/>
      <c r="CTG33" s="165"/>
      <c r="CTH33" s="165"/>
      <c r="CTI33" s="165"/>
      <c r="CTJ33" s="165"/>
      <c r="CTK33" s="165"/>
      <c r="CTL33" s="165"/>
      <c r="CTM33" s="165"/>
      <c r="CTN33" s="165"/>
      <c r="CTO33" s="165"/>
      <c r="CTP33" s="165"/>
      <c r="CTQ33" s="165"/>
      <c r="CTR33" s="165"/>
      <c r="CTS33" s="165"/>
      <c r="CTT33" s="165"/>
      <c r="CTU33" s="165"/>
      <c r="CTV33" s="165"/>
      <c r="CTW33" s="165"/>
      <c r="CTX33" s="165"/>
      <c r="CTY33" s="165"/>
      <c r="CTZ33" s="165"/>
      <c r="CUA33" s="165"/>
      <c r="CUB33" s="165"/>
      <c r="CUC33" s="165"/>
      <c r="CUD33" s="165"/>
      <c r="CUE33" s="165"/>
      <c r="CUF33" s="165"/>
      <c r="CUG33" s="165"/>
      <c r="CUH33" s="165"/>
      <c r="CUI33" s="165"/>
      <c r="CUJ33" s="165"/>
      <c r="CUK33" s="165"/>
      <c r="CUL33" s="165"/>
      <c r="CUM33" s="165"/>
      <c r="CUN33" s="165"/>
      <c r="CUO33" s="165"/>
      <c r="CUP33" s="165"/>
      <c r="CUQ33" s="165"/>
      <c r="CUR33" s="165"/>
      <c r="CUS33" s="165"/>
      <c r="CUT33" s="165"/>
      <c r="CUU33" s="165"/>
      <c r="CUV33" s="165"/>
      <c r="CUW33" s="165"/>
      <c r="CUX33" s="165"/>
      <c r="CUY33" s="165"/>
      <c r="CUZ33" s="165"/>
      <c r="CVA33" s="165"/>
      <c r="CVB33" s="165"/>
      <c r="CVC33" s="165"/>
      <c r="CVD33" s="165"/>
      <c r="CVE33" s="165"/>
      <c r="CVF33" s="165"/>
      <c r="CVG33" s="165"/>
      <c r="CVH33" s="165"/>
      <c r="CVI33" s="165"/>
      <c r="CVJ33" s="165"/>
      <c r="CVK33" s="165"/>
      <c r="CVL33" s="165"/>
      <c r="CVM33" s="165"/>
      <c r="CVN33" s="165"/>
      <c r="CVO33" s="165"/>
      <c r="CVP33" s="165"/>
      <c r="CVQ33" s="165"/>
      <c r="CVR33" s="165"/>
      <c r="CVS33" s="165"/>
      <c r="CVT33" s="165"/>
      <c r="CVU33" s="165"/>
      <c r="CVV33" s="165"/>
      <c r="CVW33" s="165"/>
      <c r="CVX33" s="165"/>
      <c r="CVY33" s="165"/>
      <c r="CVZ33" s="165"/>
      <c r="CWA33" s="165"/>
      <c r="CWB33" s="165"/>
      <c r="CWC33" s="165"/>
      <c r="CWD33" s="165"/>
      <c r="CWE33" s="165"/>
      <c r="CWF33" s="165"/>
      <c r="CWG33" s="165"/>
      <c r="CWH33" s="165"/>
      <c r="CWI33" s="165"/>
      <c r="CWJ33" s="165"/>
      <c r="CWK33" s="165"/>
      <c r="CWL33" s="165"/>
      <c r="CWM33" s="165"/>
      <c r="CWN33" s="165"/>
      <c r="CWO33" s="165"/>
      <c r="CWP33" s="165"/>
      <c r="CWQ33" s="165"/>
      <c r="CWR33" s="165"/>
      <c r="CWS33" s="165"/>
      <c r="CWT33" s="165"/>
      <c r="CWU33" s="165"/>
      <c r="CWV33" s="165"/>
      <c r="CWW33" s="165"/>
      <c r="CWX33" s="165"/>
      <c r="CWY33" s="165"/>
      <c r="CWZ33" s="165"/>
      <c r="CXA33" s="165"/>
      <c r="CXB33" s="165"/>
      <c r="CXC33" s="165"/>
      <c r="CXD33" s="165"/>
      <c r="CXE33" s="165"/>
      <c r="CXF33" s="165"/>
      <c r="CXG33" s="165"/>
      <c r="CXH33" s="165"/>
      <c r="CXI33" s="165"/>
      <c r="CXJ33" s="165"/>
      <c r="CXK33" s="165"/>
      <c r="CXL33" s="165"/>
      <c r="CXM33" s="165"/>
      <c r="CXN33" s="165"/>
      <c r="CXO33" s="165"/>
      <c r="CXP33" s="165"/>
      <c r="CXQ33" s="165"/>
      <c r="CXR33" s="165"/>
      <c r="CXS33" s="165"/>
      <c r="CXT33" s="165"/>
      <c r="CXU33" s="165"/>
      <c r="CXV33" s="165"/>
      <c r="CXW33" s="165"/>
      <c r="CXX33" s="165"/>
      <c r="CXY33" s="165"/>
      <c r="CXZ33" s="165"/>
      <c r="CYA33" s="165"/>
      <c r="CYB33" s="165"/>
      <c r="CYC33" s="165"/>
      <c r="CYD33" s="165"/>
      <c r="CYE33" s="165"/>
      <c r="CYF33" s="165"/>
      <c r="CYG33" s="165"/>
      <c r="CYH33" s="165"/>
      <c r="CYI33" s="165"/>
      <c r="CYJ33" s="165"/>
      <c r="CYK33" s="165"/>
      <c r="CYL33" s="165"/>
      <c r="CYM33" s="165"/>
      <c r="CYN33" s="165"/>
      <c r="CYO33" s="165"/>
      <c r="CYP33" s="165"/>
      <c r="CYQ33" s="165"/>
      <c r="CYR33" s="165"/>
      <c r="CYS33" s="165"/>
      <c r="CYT33" s="165"/>
      <c r="CYU33" s="165"/>
      <c r="CYV33" s="165"/>
      <c r="CYW33" s="165"/>
      <c r="CYX33" s="165"/>
      <c r="CYY33" s="165"/>
      <c r="CYZ33" s="165"/>
      <c r="CZA33" s="165"/>
      <c r="CZB33" s="165"/>
      <c r="CZC33" s="165"/>
      <c r="CZD33" s="165"/>
      <c r="CZE33" s="165"/>
      <c r="CZF33" s="165"/>
      <c r="CZG33" s="165"/>
      <c r="CZH33" s="165"/>
      <c r="CZI33" s="165"/>
      <c r="CZJ33" s="165"/>
      <c r="CZK33" s="165"/>
      <c r="CZL33" s="165"/>
      <c r="CZM33" s="165"/>
      <c r="CZN33" s="165"/>
      <c r="CZO33" s="165"/>
      <c r="CZP33" s="165"/>
      <c r="CZQ33" s="165"/>
      <c r="CZR33" s="165"/>
      <c r="CZS33" s="165"/>
      <c r="CZT33" s="165"/>
      <c r="CZU33" s="165"/>
      <c r="CZV33" s="165"/>
      <c r="CZW33" s="165"/>
      <c r="CZX33" s="165"/>
      <c r="CZY33" s="165"/>
      <c r="CZZ33" s="165"/>
      <c r="DAA33" s="165"/>
      <c r="DAB33" s="165"/>
      <c r="DAC33" s="165"/>
      <c r="DAD33" s="165"/>
      <c r="DAE33" s="165"/>
      <c r="DAF33" s="165"/>
      <c r="DAG33" s="165"/>
      <c r="DAH33" s="165"/>
      <c r="DAI33" s="165"/>
      <c r="DAJ33" s="165"/>
      <c r="DAK33" s="165"/>
      <c r="DAL33" s="165"/>
      <c r="DAM33" s="165"/>
      <c r="DAN33" s="165"/>
      <c r="DAO33" s="165"/>
      <c r="DAP33" s="165"/>
      <c r="DAQ33" s="165"/>
      <c r="DAR33" s="165"/>
      <c r="DAS33" s="165"/>
      <c r="DAT33" s="165"/>
      <c r="DAU33" s="165"/>
      <c r="DAV33" s="165"/>
      <c r="DAW33" s="165"/>
      <c r="DAX33" s="165"/>
      <c r="DAY33" s="165"/>
      <c r="DAZ33" s="165"/>
      <c r="DBA33" s="165"/>
      <c r="DBB33" s="165"/>
      <c r="DBC33" s="165"/>
      <c r="DBD33" s="165"/>
      <c r="DBE33" s="165"/>
      <c r="DBF33" s="165"/>
      <c r="DBG33" s="165"/>
      <c r="DBH33" s="165"/>
      <c r="DBI33" s="165"/>
      <c r="DBJ33" s="165"/>
      <c r="DBK33" s="165"/>
      <c r="DBL33" s="165"/>
      <c r="DBM33" s="165"/>
      <c r="DBN33" s="165"/>
      <c r="DBO33" s="165"/>
      <c r="DBP33" s="165"/>
      <c r="DBQ33" s="165"/>
      <c r="DBR33" s="165"/>
      <c r="DBS33" s="165"/>
      <c r="DBT33" s="165"/>
      <c r="DBU33" s="165"/>
      <c r="DBV33" s="165"/>
      <c r="DBW33" s="165"/>
      <c r="DBX33" s="165"/>
      <c r="DBY33" s="165"/>
      <c r="DBZ33" s="165"/>
      <c r="DCA33" s="165"/>
      <c r="DCB33" s="165"/>
      <c r="DCC33" s="165"/>
      <c r="DCD33" s="165"/>
      <c r="DCE33" s="165"/>
      <c r="DCF33" s="165"/>
      <c r="DCG33" s="165"/>
      <c r="DCH33" s="165"/>
      <c r="DCI33" s="165"/>
      <c r="DCJ33" s="165"/>
      <c r="DCK33" s="165"/>
      <c r="DCL33" s="165"/>
      <c r="DCM33" s="165"/>
      <c r="DCN33" s="165"/>
      <c r="DCO33" s="165"/>
      <c r="DCP33" s="165"/>
      <c r="DCQ33" s="165"/>
      <c r="DCR33" s="165"/>
      <c r="DCS33" s="165"/>
      <c r="DCT33" s="165"/>
      <c r="DCU33" s="165"/>
      <c r="DCV33" s="165"/>
      <c r="DCW33" s="165"/>
      <c r="DCX33" s="165"/>
      <c r="DCY33" s="165"/>
      <c r="DCZ33" s="165"/>
      <c r="DDA33" s="165"/>
      <c r="DDB33" s="165"/>
      <c r="DDC33" s="165"/>
      <c r="DDD33" s="165"/>
      <c r="DDE33" s="165"/>
      <c r="DDF33" s="165"/>
      <c r="DDG33" s="165"/>
      <c r="DDH33" s="165"/>
      <c r="DDI33" s="165"/>
      <c r="DDJ33" s="165"/>
      <c r="DDK33" s="165"/>
      <c r="DDL33" s="165"/>
      <c r="DDM33" s="165"/>
      <c r="DDN33" s="165"/>
      <c r="DDO33" s="165"/>
      <c r="DDP33" s="165"/>
      <c r="DDQ33" s="165"/>
      <c r="DDR33" s="165"/>
      <c r="DDS33" s="165"/>
      <c r="DDT33" s="165"/>
      <c r="DDU33" s="165"/>
      <c r="DDV33" s="165"/>
      <c r="DDW33" s="165"/>
      <c r="DDX33" s="165"/>
      <c r="DDY33" s="165"/>
      <c r="DDZ33" s="165"/>
      <c r="DEA33" s="165"/>
      <c r="DEB33" s="165"/>
      <c r="DEC33" s="165"/>
      <c r="DED33" s="165"/>
      <c r="DEE33" s="165"/>
      <c r="DEF33" s="165"/>
      <c r="DEG33" s="165"/>
      <c r="DEH33" s="165"/>
      <c r="DEI33" s="165"/>
      <c r="DEJ33" s="165"/>
      <c r="DEK33" s="165"/>
      <c r="DEL33" s="165"/>
      <c r="DEM33" s="165"/>
      <c r="DEN33" s="165"/>
      <c r="DEO33" s="165"/>
      <c r="DEP33" s="165"/>
      <c r="DEQ33" s="165"/>
      <c r="DER33" s="165"/>
      <c r="DES33" s="165"/>
      <c r="DET33" s="165"/>
      <c r="DEU33" s="165"/>
      <c r="DEV33" s="165"/>
      <c r="DEW33" s="165"/>
      <c r="DEX33" s="165"/>
      <c r="DEY33" s="165"/>
      <c r="DEZ33" s="165"/>
      <c r="DFA33" s="165"/>
      <c r="DFB33" s="165"/>
      <c r="DFC33" s="165"/>
      <c r="DFD33" s="165"/>
      <c r="DFE33" s="165"/>
      <c r="DFF33" s="165"/>
      <c r="DFG33" s="165"/>
      <c r="DFH33" s="165"/>
      <c r="DFI33" s="165"/>
      <c r="DFJ33" s="165"/>
      <c r="DFK33" s="165"/>
      <c r="DFL33" s="165"/>
      <c r="DFM33" s="165"/>
      <c r="DFN33" s="165"/>
      <c r="DFO33" s="165"/>
      <c r="DFP33" s="165"/>
      <c r="DFQ33" s="165"/>
      <c r="DFR33" s="165"/>
      <c r="DFS33" s="165"/>
      <c r="DFT33" s="165"/>
      <c r="DFU33" s="165"/>
      <c r="DFV33" s="165"/>
      <c r="DFW33" s="165"/>
      <c r="DFX33" s="165"/>
      <c r="DFY33" s="165"/>
      <c r="DFZ33" s="165"/>
      <c r="DGA33" s="165"/>
      <c r="DGB33" s="165"/>
      <c r="DGC33" s="165"/>
      <c r="DGD33" s="165"/>
      <c r="DGE33" s="165"/>
      <c r="DGF33" s="165"/>
      <c r="DGG33" s="165"/>
      <c r="DGH33" s="165"/>
      <c r="DGI33" s="165"/>
      <c r="DGJ33" s="165"/>
      <c r="DGK33" s="165"/>
      <c r="DGL33" s="165"/>
      <c r="DGM33" s="165"/>
      <c r="DGN33" s="165"/>
      <c r="DGO33" s="165"/>
      <c r="DGP33" s="165"/>
      <c r="DGQ33" s="165"/>
      <c r="DGR33" s="165"/>
      <c r="DGS33" s="165"/>
      <c r="DGT33" s="165"/>
      <c r="DGU33" s="165"/>
      <c r="DGV33" s="165"/>
      <c r="DGW33" s="165"/>
      <c r="DGX33" s="165"/>
      <c r="DGY33" s="165"/>
      <c r="DGZ33" s="165"/>
      <c r="DHA33" s="165"/>
      <c r="DHB33" s="165"/>
      <c r="DHC33" s="165"/>
      <c r="DHD33" s="165"/>
      <c r="DHE33" s="165"/>
      <c r="DHF33" s="165"/>
      <c r="DHG33" s="165"/>
      <c r="DHH33" s="165"/>
      <c r="DHI33" s="165"/>
      <c r="DHJ33" s="165"/>
      <c r="DHK33" s="165"/>
      <c r="DHL33" s="165"/>
      <c r="DHM33" s="165"/>
      <c r="DHN33" s="165"/>
      <c r="DHO33" s="165"/>
      <c r="DHP33" s="165"/>
      <c r="DHQ33" s="165"/>
      <c r="DHR33" s="165"/>
      <c r="DHS33" s="165"/>
      <c r="DHT33" s="165"/>
      <c r="DHU33" s="165"/>
      <c r="DHV33" s="165"/>
      <c r="DHW33" s="165"/>
      <c r="DHX33" s="165"/>
      <c r="DHY33" s="165"/>
      <c r="DHZ33" s="165"/>
      <c r="DIA33" s="165"/>
      <c r="DIB33" s="165"/>
      <c r="DIC33" s="165"/>
      <c r="DID33" s="165"/>
      <c r="DIE33" s="165"/>
      <c r="DIF33" s="165"/>
      <c r="DIG33" s="165"/>
      <c r="DIH33" s="165"/>
      <c r="DII33" s="165"/>
      <c r="DIJ33" s="165"/>
      <c r="DIK33" s="165"/>
      <c r="DIL33" s="165"/>
      <c r="DIM33" s="165"/>
      <c r="DIN33" s="165"/>
      <c r="DIO33" s="165"/>
      <c r="DIP33" s="165"/>
      <c r="DIQ33" s="165"/>
      <c r="DIR33" s="165"/>
      <c r="DIS33" s="165"/>
      <c r="DIT33" s="165"/>
      <c r="DIU33" s="165"/>
      <c r="DIV33" s="165"/>
      <c r="DIW33" s="165"/>
      <c r="DIX33" s="165"/>
      <c r="DIY33" s="165"/>
      <c r="DIZ33" s="165"/>
      <c r="DJA33" s="165"/>
      <c r="DJB33" s="165"/>
      <c r="DJC33" s="165"/>
      <c r="DJD33" s="165"/>
      <c r="DJE33" s="165"/>
      <c r="DJF33" s="165"/>
      <c r="DJG33" s="165"/>
      <c r="DJH33" s="165"/>
      <c r="DJI33" s="165"/>
      <c r="DJJ33" s="165"/>
      <c r="DJK33" s="165"/>
      <c r="DJL33" s="165"/>
      <c r="DJM33" s="165"/>
      <c r="DJN33" s="165"/>
      <c r="DJO33" s="165"/>
      <c r="DJP33" s="165"/>
      <c r="DJQ33" s="165"/>
      <c r="DJR33" s="165"/>
      <c r="DJS33" s="165"/>
      <c r="DJT33" s="165"/>
      <c r="DJU33" s="165"/>
      <c r="DJV33" s="165"/>
      <c r="DJW33" s="165"/>
      <c r="DJX33" s="165"/>
      <c r="DJY33" s="165"/>
      <c r="DJZ33" s="165"/>
      <c r="DKA33" s="165"/>
      <c r="DKB33" s="165"/>
      <c r="DKC33" s="165"/>
      <c r="DKD33" s="165"/>
      <c r="DKE33" s="165"/>
      <c r="DKF33" s="165"/>
      <c r="DKG33" s="165"/>
      <c r="DKH33" s="165"/>
      <c r="DKI33" s="165"/>
      <c r="DKJ33" s="165"/>
      <c r="DKK33" s="165"/>
      <c r="DKL33" s="165"/>
      <c r="DKM33" s="165"/>
      <c r="DKN33" s="165"/>
      <c r="DKO33" s="165"/>
      <c r="DKP33" s="165"/>
      <c r="DKQ33" s="165"/>
      <c r="DKR33" s="165"/>
      <c r="DKS33" s="165"/>
      <c r="DKT33" s="165"/>
      <c r="DKU33" s="165"/>
      <c r="DKV33" s="165"/>
      <c r="DKW33" s="165"/>
      <c r="DKX33" s="165"/>
      <c r="DKY33" s="165"/>
      <c r="DKZ33" s="165"/>
      <c r="DLA33" s="165"/>
      <c r="DLB33" s="165"/>
      <c r="DLC33" s="165"/>
      <c r="DLD33" s="165"/>
      <c r="DLE33" s="165"/>
      <c r="DLF33" s="165"/>
      <c r="DLG33" s="165"/>
      <c r="DLH33" s="165"/>
      <c r="DLI33" s="165"/>
      <c r="DLJ33" s="165"/>
      <c r="DLK33" s="165"/>
      <c r="DLL33" s="165"/>
      <c r="DLM33" s="165"/>
      <c r="DLN33" s="165"/>
      <c r="DLO33" s="165"/>
      <c r="DLP33" s="165"/>
      <c r="DLQ33" s="165"/>
      <c r="DLR33" s="165"/>
      <c r="DLS33" s="165"/>
      <c r="DLT33" s="165"/>
      <c r="DLU33" s="165"/>
      <c r="DLV33" s="165"/>
      <c r="DLW33" s="165"/>
      <c r="DLX33" s="165"/>
      <c r="DLY33" s="165"/>
      <c r="DLZ33" s="165"/>
      <c r="DMA33" s="165"/>
      <c r="DMB33" s="165"/>
      <c r="DMC33" s="165"/>
      <c r="DMD33" s="165"/>
      <c r="DME33" s="165"/>
      <c r="DMF33" s="165"/>
      <c r="DMG33" s="165"/>
      <c r="DMH33" s="165"/>
      <c r="DMI33" s="165"/>
      <c r="DMJ33" s="165"/>
      <c r="DMK33" s="165"/>
      <c r="DML33" s="165"/>
      <c r="DMM33" s="165"/>
      <c r="DMN33" s="165"/>
      <c r="DMO33" s="165"/>
      <c r="DMP33" s="165"/>
      <c r="DMQ33" s="165"/>
      <c r="DMR33" s="165"/>
      <c r="DMS33" s="165"/>
      <c r="DMT33" s="165"/>
      <c r="DMU33" s="165"/>
      <c r="DMV33" s="165"/>
      <c r="DMW33" s="165"/>
      <c r="DMX33" s="165"/>
      <c r="DMY33" s="165"/>
      <c r="DMZ33" s="165"/>
      <c r="DNA33" s="165"/>
      <c r="DNB33" s="165"/>
      <c r="DNC33" s="165"/>
      <c r="DND33" s="165"/>
      <c r="DNE33" s="165"/>
      <c r="DNF33" s="165"/>
      <c r="DNG33" s="165"/>
      <c r="DNH33" s="165"/>
      <c r="DNI33" s="165"/>
      <c r="DNJ33" s="165"/>
      <c r="DNK33" s="165"/>
      <c r="DNL33" s="165"/>
      <c r="DNM33" s="165"/>
      <c r="DNN33" s="165"/>
      <c r="DNO33" s="165"/>
      <c r="DNP33" s="165"/>
      <c r="DNQ33" s="165"/>
      <c r="DNR33" s="165"/>
      <c r="DNS33" s="165"/>
      <c r="DNT33" s="165"/>
      <c r="DNU33" s="165"/>
      <c r="DNV33" s="165"/>
      <c r="DNW33" s="165"/>
      <c r="DNX33" s="165"/>
      <c r="DNY33" s="165"/>
      <c r="DNZ33" s="165"/>
      <c r="DOA33" s="165"/>
      <c r="DOB33" s="165"/>
      <c r="DOC33" s="165"/>
      <c r="DOD33" s="165"/>
      <c r="DOE33" s="165"/>
      <c r="DOF33" s="165"/>
      <c r="DOG33" s="165"/>
      <c r="DOH33" s="165"/>
      <c r="DOI33" s="165"/>
      <c r="DOJ33" s="165"/>
      <c r="DOK33" s="165"/>
      <c r="DOL33" s="165"/>
      <c r="DOM33" s="165"/>
      <c r="DON33" s="165"/>
      <c r="DOO33" s="165"/>
      <c r="DOP33" s="165"/>
      <c r="DOQ33" s="165"/>
      <c r="DOR33" s="165"/>
      <c r="DOS33" s="165"/>
      <c r="DOT33" s="165"/>
      <c r="DOU33" s="165"/>
      <c r="DOV33" s="165"/>
      <c r="DOW33" s="165"/>
      <c r="DOX33" s="165"/>
      <c r="DOY33" s="165"/>
      <c r="DOZ33" s="165"/>
      <c r="DPA33" s="165"/>
      <c r="DPB33" s="165"/>
      <c r="DPC33" s="165"/>
      <c r="DPD33" s="165"/>
      <c r="DPE33" s="165"/>
      <c r="DPF33" s="165"/>
      <c r="DPG33" s="165"/>
      <c r="DPH33" s="165"/>
      <c r="DPI33" s="165"/>
      <c r="DPJ33" s="165"/>
      <c r="DPK33" s="165"/>
      <c r="DPL33" s="165"/>
      <c r="DPM33" s="165"/>
      <c r="DPN33" s="165"/>
      <c r="DPO33" s="165"/>
      <c r="DPP33" s="165"/>
      <c r="DPQ33" s="165"/>
      <c r="DPR33" s="165"/>
      <c r="DPS33" s="165"/>
      <c r="DPT33" s="165"/>
      <c r="DPU33" s="165"/>
      <c r="DPV33" s="165"/>
      <c r="DPW33" s="165"/>
      <c r="DPX33" s="165"/>
      <c r="DPY33" s="165"/>
      <c r="DPZ33" s="165"/>
      <c r="DQA33" s="165"/>
      <c r="DQB33" s="165"/>
      <c r="DQC33" s="165"/>
      <c r="DQD33" s="165"/>
      <c r="DQE33" s="165"/>
      <c r="DQF33" s="165"/>
      <c r="DQG33" s="165"/>
      <c r="DQH33" s="165"/>
      <c r="DQI33" s="165"/>
      <c r="DQJ33" s="165"/>
      <c r="DQK33" s="165"/>
      <c r="DQL33" s="165"/>
      <c r="DQM33" s="165"/>
      <c r="DQN33" s="165"/>
      <c r="DQO33" s="165"/>
      <c r="DQP33" s="165"/>
      <c r="DQQ33" s="165"/>
      <c r="DQR33" s="165"/>
      <c r="DQS33" s="165"/>
      <c r="DQT33" s="165"/>
      <c r="DQU33" s="165"/>
      <c r="DQV33" s="165"/>
      <c r="DQW33" s="165"/>
      <c r="DQX33" s="165"/>
      <c r="DQY33" s="165"/>
      <c r="DQZ33" s="165"/>
      <c r="DRA33" s="165"/>
      <c r="DRB33" s="165"/>
      <c r="DRC33" s="165"/>
      <c r="DRD33" s="165"/>
      <c r="DRE33" s="165"/>
      <c r="DRF33" s="165"/>
      <c r="DRG33" s="165"/>
      <c r="DRH33" s="165"/>
      <c r="DRI33" s="165"/>
      <c r="DRJ33" s="165"/>
      <c r="DRK33" s="165"/>
      <c r="DRL33" s="165"/>
      <c r="DRM33" s="165"/>
      <c r="DRN33" s="165"/>
      <c r="DRO33" s="165"/>
      <c r="DRP33" s="165"/>
      <c r="DRQ33" s="165"/>
      <c r="DRR33" s="165"/>
      <c r="DRS33" s="165"/>
      <c r="DRT33" s="165"/>
      <c r="DRU33" s="165"/>
      <c r="DRV33" s="165"/>
      <c r="DRW33" s="165"/>
      <c r="DRX33" s="165"/>
      <c r="DRY33" s="165"/>
      <c r="DRZ33" s="165"/>
      <c r="DSA33" s="165"/>
      <c r="DSB33" s="165"/>
      <c r="DSC33" s="165"/>
      <c r="DSD33" s="165"/>
      <c r="DSE33" s="165"/>
      <c r="DSF33" s="165"/>
      <c r="DSG33" s="165"/>
      <c r="DSH33" s="165"/>
      <c r="DSI33" s="165"/>
      <c r="DSJ33" s="165"/>
      <c r="DSK33" s="165"/>
      <c r="DSL33" s="165"/>
      <c r="DSM33" s="165"/>
      <c r="DSN33" s="165"/>
      <c r="DSO33" s="165"/>
      <c r="DSP33" s="165"/>
      <c r="DSQ33" s="165"/>
      <c r="DSR33" s="165"/>
      <c r="DSS33" s="165"/>
      <c r="DST33" s="165"/>
      <c r="DSU33" s="165"/>
      <c r="DSV33" s="165"/>
      <c r="DSW33" s="165"/>
      <c r="DSX33" s="165"/>
      <c r="DSY33" s="165"/>
      <c r="DSZ33" s="165"/>
      <c r="DTA33" s="165"/>
      <c r="DTB33" s="165"/>
      <c r="DTC33" s="165"/>
      <c r="DTD33" s="165"/>
      <c r="DTE33" s="165"/>
      <c r="DTF33" s="165"/>
      <c r="DTG33" s="165"/>
      <c r="DTH33" s="165"/>
      <c r="DTI33" s="165"/>
      <c r="DTJ33" s="165"/>
      <c r="DTK33" s="165"/>
      <c r="DTL33" s="165"/>
      <c r="DTM33" s="165"/>
      <c r="DTN33" s="165"/>
      <c r="DTO33" s="165"/>
      <c r="DTP33" s="165"/>
      <c r="DTQ33" s="165"/>
      <c r="DTR33" s="165"/>
      <c r="DTS33" s="165"/>
      <c r="DTT33" s="165"/>
      <c r="DTU33" s="165"/>
      <c r="DTV33" s="165"/>
      <c r="DTW33" s="165"/>
      <c r="DTX33" s="165"/>
      <c r="DTY33" s="165"/>
      <c r="DTZ33" s="165"/>
      <c r="DUA33" s="165"/>
      <c r="DUB33" s="165"/>
      <c r="DUC33" s="165"/>
      <c r="DUD33" s="165"/>
      <c r="DUE33" s="165"/>
      <c r="DUF33" s="165"/>
      <c r="DUG33" s="165"/>
      <c r="DUH33" s="165"/>
      <c r="DUI33" s="165"/>
      <c r="DUJ33" s="165"/>
      <c r="DUK33" s="165"/>
      <c r="DUL33" s="165"/>
      <c r="DUM33" s="165"/>
      <c r="DUN33" s="165"/>
      <c r="DUO33" s="165"/>
      <c r="DUP33" s="165"/>
      <c r="DUQ33" s="165"/>
      <c r="DUR33" s="165"/>
      <c r="DUS33" s="165"/>
      <c r="DUT33" s="165"/>
      <c r="DUU33" s="165"/>
      <c r="DUV33" s="165"/>
      <c r="DUW33" s="165"/>
      <c r="DUX33" s="165"/>
      <c r="DUY33" s="165"/>
      <c r="DUZ33" s="165"/>
      <c r="DVA33" s="165"/>
      <c r="DVB33" s="165"/>
      <c r="DVC33" s="165"/>
      <c r="DVD33" s="165"/>
      <c r="DVE33" s="165"/>
      <c r="DVF33" s="165"/>
      <c r="DVG33" s="165"/>
      <c r="DVH33" s="165"/>
      <c r="DVI33" s="165"/>
      <c r="DVJ33" s="165"/>
      <c r="DVK33" s="165"/>
      <c r="DVL33" s="165"/>
      <c r="DVM33" s="165"/>
      <c r="DVN33" s="165"/>
      <c r="DVO33" s="165"/>
      <c r="DVP33" s="165"/>
      <c r="DVQ33" s="165"/>
      <c r="DVR33" s="165"/>
      <c r="DVS33" s="165"/>
      <c r="DVT33" s="165"/>
      <c r="DVU33" s="165"/>
      <c r="DVV33" s="165"/>
      <c r="DVW33" s="165"/>
      <c r="DVX33" s="165"/>
      <c r="DVY33" s="165"/>
      <c r="DVZ33" s="165"/>
      <c r="DWA33" s="165"/>
      <c r="DWB33" s="165"/>
      <c r="DWC33" s="165"/>
      <c r="DWD33" s="165"/>
      <c r="DWE33" s="165"/>
      <c r="DWF33" s="165"/>
      <c r="DWG33" s="165"/>
      <c r="DWH33" s="165"/>
      <c r="DWI33" s="165"/>
      <c r="DWJ33" s="165"/>
      <c r="DWK33" s="165"/>
      <c r="DWL33" s="165"/>
      <c r="DWM33" s="165"/>
      <c r="DWN33" s="165"/>
      <c r="DWO33" s="165"/>
      <c r="DWP33" s="165"/>
      <c r="DWQ33" s="165"/>
      <c r="DWR33" s="165"/>
      <c r="DWS33" s="165"/>
      <c r="DWT33" s="165"/>
      <c r="DWU33" s="165"/>
      <c r="DWV33" s="165"/>
      <c r="DWW33" s="165"/>
      <c r="DWX33" s="165"/>
      <c r="DWY33" s="165"/>
      <c r="DWZ33" s="165"/>
      <c r="DXA33" s="165"/>
      <c r="DXB33" s="165"/>
      <c r="DXC33" s="165"/>
      <c r="DXD33" s="165"/>
      <c r="DXE33" s="165"/>
      <c r="DXF33" s="165"/>
      <c r="DXG33" s="165"/>
      <c r="DXH33" s="165"/>
      <c r="DXI33" s="165"/>
      <c r="DXJ33" s="165"/>
      <c r="DXK33" s="165"/>
      <c r="DXL33" s="165"/>
      <c r="DXM33" s="165"/>
      <c r="DXN33" s="165"/>
      <c r="DXO33" s="165"/>
      <c r="DXP33" s="165"/>
      <c r="DXQ33" s="165"/>
      <c r="DXR33" s="165"/>
      <c r="DXS33" s="165"/>
      <c r="DXT33" s="165"/>
      <c r="DXU33" s="165"/>
      <c r="DXV33" s="165"/>
      <c r="DXW33" s="165"/>
      <c r="DXX33" s="165"/>
      <c r="DXY33" s="165"/>
      <c r="DXZ33" s="165"/>
      <c r="DYA33" s="165"/>
      <c r="DYB33" s="165"/>
      <c r="DYC33" s="165"/>
      <c r="DYD33" s="165"/>
      <c r="DYE33" s="165"/>
      <c r="DYF33" s="165"/>
      <c r="DYG33" s="165"/>
      <c r="DYH33" s="165"/>
      <c r="DYI33" s="165"/>
      <c r="DYJ33" s="165"/>
      <c r="DYK33" s="165"/>
      <c r="DYL33" s="165"/>
      <c r="DYM33" s="165"/>
      <c r="DYN33" s="165"/>
      <c r="DYO33" s="165"/>
      <c r="DYP33" s="165"/>
      <c r="DYQ33" s="165"/>
      <c r="DYR33" s="165"/>
      <c r="DYS33" s="165"/>
      <c r="DYT33" s="165"/>
      <c r="DYU33" s="165"/>
      <c r="DYV33" s="165"/>
      <c r="DYW33" s="165"/>
      <c r="DYX33" s="165"/>
      <c r="DYY33" s="165"/>
      <c r="DYZ33" s="165"/>
      <c r="DZA33" s="165"/>
      <c r="DZB33" s="165"/>
      <c r="DZC33" s="165"/>
      <c r="DZD33" s="165"/>
      <c r="DZE33" s="165"/>
      <c r="DZF33" s="165"/>
      <c r="DZG33" s="165"/>
      <c r="DZH33" s="165"/>
      <c r="DZI33" s="165"/>
      <c r="DZJ33" s="165"/>
      <c r="DZK33" s="165"/>
      <c r="DZL33" s="165"/>
      <c r="DZM33" s="165"/>
      <c r="DZN33" s="165"/>
      <c r="DZO33" s="165"/>
      <c r="DZP33" s="165"/>
      <c r="DZQ33" s="165"/>
      <c r="DZR33" s="165"/>
      <c r="DZS33" s="165"/>
      <c r="DZT33" s="165"/>
      <c r="DZU33" s="165"/>
      <c r="DZV33" s="165"/>
      <c r="DZW33" s="165"/>
      <c r="DZX33" s="165"/>
      <c r="DZY33" s="165"/>
      <c r="DZZ33" s="165"/>
      <c r="EAA33" s="165"/>
      <c r="EAB33" s="165"/>
      <c r="EAC33" s="165"/>
      <c r="EAD33" s="165"/>
      <c r="EAE33" s="165"/>
      <c r="EAF33" s="165"/>
      <c r="EAG33" s="165"/>
      <c r="EAH33" s="165"/>
      <c r="EAI33" s="165"/>
      <c r="EAJ33" s="165"/>
      <c r="EAK33" s="165"/>
      <c r="EAL33" s="165"/>
      <c r="EAM33" s="165"/>
      <c r="EAN33" s="165"/>
      <c r="EAO33" s="165"/>
      <c r="EAP33" s="165"/>
      <c r="EAQ33" s="165"/>
      <c r="EAR33" s="165"/>
      <c r="EAS33" s="165"/>
      <c r="EAT33" s="165"/>
      <c r="EAU33" s="165"/>
      <c r="EAV33" s="165"/>
      <c r="EAW33" s="165"/>
      <c r="EAX33" s="165"/>
      <c r="EAY33" s="165"/>
      <c r="EAZ33" s="165"/>
      <c r="EBA33" s="165"/>
      <c r="EBB33" s="165"/>
      <c r="EBC33" s="165"/>
      <c r="EBD33" s="165"/>
      <c r="EBE33" s="165"/>
      <c r="EBF33" s="165"/>
      <c r="EBG33" s="165"/>
      <c r="EBH33" s="165"/>
      <c r="EBI33" s="165"/>
      <c r="EBJ33" s="165"/>
      <c r="EBK33" s="165"/>
      <c r="EBL33" s="165"/>
      <c r="EBM33" s="165"/>
      <c r="EBN33" s="165"/>
      <c r="EBO33" s="165"/>
      <c r="EBP33" s="165"/>
      <c r="EBQ33" s="165"/>
      <c r="EBR33" s="165"/>
      <c r="EBS33" s="165"/>
      <c r="EBT33" s="165"/>
      <c r="EBU33" s="165"/>
      <c r="EBV33" s="165"/>
      <c r="EBW33" s="165"/>
      <c r="EBX33" s="165"/>
      <c r="EBY33" s="165"/>
      <c r="EBZ33" s="165"/>
      <c r="ECA33" s="165"/>
      <c r="ECB33" s="165"/>
      <c r="ECC33" s="165"/>
      <c r="ECD33" s="165"/>
      <c r="ECE33" s="165"/>
      <c r="ECF33" s="165"/>
      <c r="ECG33" s="165"/>
      <c r="ECH33" s="165"/>
      <c r="ECI33" s="165"/>
      <c r="ECJ33" s="165"/>
      <c r="ECK33" s="165"/>
      <c r="ECL33" s="165"/>
      <c r="ECM33" s="165"/>
      <c r="ECN33" s="165"/>
      <c r="ECO33" s="165"/>
      <c r="ECP33" s="165"/>
      <c r="ECQ33" s="165"/>
      <c r="ECR33" s="165"/>
      <c r="ECS33" s="165"/>
      <c r="ECT33" s="165"/>
      <c r="ECU33" s="165"/>
      <c r="ECV33" s="165"/>
      <c r="ECW33" s="165"/>
      <c r="ECX33" s="165"/>
      <c r="ECY33" s="165"/>
      <c r="ECZ33" s="165"/>
      <c r="EDA33" s="165"/>
      <c r="EDB33" s="165"/>
      <c r="EDC33" s="165"/>
      <c r="EDD33" s="165"/>
      <c r="EDE33" s="165"/>
      <c r="EDF33" s="165"/>
      <c r="EDG33" s="165"/>
      <c r="EDH33" s="165"/>
      <c r="EDI33" s="165"/>
      <c r="EDJ33" s="165"/>
      <c r="EDK33" s="165"/>
      <c r="EDL33" s="165"/>
      <c r="EDM33" s="165"/>
      <c r="EDN33" s="165"/>
      <c r="EDO33" s="165"/>
      <c r="EDP33" s="165"/>
      <c r="EDQ33" s="165"/>
      <c r="EDR33" s="165"/>
      <c r="EDS33" s="165"/>
      <c r="EDT33" s="165"/>
      <c r="EDU33" s="165"/>
      <c r="EDV33" s="165"/>
      <c r="EDW33" s="165"/>
      <c r="EDX33" s="165"/>
      <c r="EDY33" s="165"/>
      <c r="EDZ33" s="165"/>
      <c r="EEA33" s="165"/>
      <c r="EEB33" s="165"/>
      <c r="EEC33" s="165"/>
      <c r="EED33" s="165"/>
      <c r="EEE33" s="165"/>
      <c r="EEF33" s="165"/>
      <c r="EEG33" s="165"/>
      <c r="EEH33" s="165"/>
      <c r="EEI33" s="165"/>
      <c r="EEJ33" s="165"/>
      <c r="EEK33" s="165"/>
      <c r="EEL33" s="165"/>
      <c r="EEM33" s="165"/>
      <c r="EEN33" s="165"/>
      <c r="EEO33" s="165"/>
      <c r="EEP33" s="165"/>
      <c r="EEQ33" s="165"/>
      <c r="EER33" s="165"/>
      <c r="EES33" s="165"/>
      <c r="EET33" s="165"/>
      <c r="EEU33" s="165"/>
      <c r="EEV33" s="165"/>
      <c r="EEW33" s="165"/>
      <c r="EEX33" s="165"/>
      <c r="EEY33" s="165"/>
      <c r="EEZ33" s="165"/>
      <c r="EFA33" s="165"/>
      <c r="EFB33" s="165"/>
      <c r="EFC33" s="165"/>
      <c r="EFD33" s="165"/>
      <c r="EFE33" s="165"/>
      <c r="EFF33" s="165"/>
      <c r="EFG33" s="165"/>
      <c r="EFH33" s="165"/>
      <c r="EFI33" s="165"/>
      <c r="EFJ33" s="165"/>
      <c r="EFK33" s="165"/>
      <c r="EFL33" s="165"/>
      <c r="EFM33" s="165"/>
      <c r="EFN33" s="165"/>
      <c r="EFO33" s="165"/>
      <c r="EFP33" s="165"/>
      <c r="EFQ33" s="165"/>
      <c r="EFR33" s="165"/>
      <c r="EFS33" s="165"/>
      <c r="EFT33" s="165"/>
      <c r="EFU33" s="165"/>
      <c r="EFV33" s="165"/>
      <c r="EFW33" s="165"/>
      <c r="EFX33" s="165"/>
      <c r="EFY33" s="165"/>
      <c r="EFZ33" s="165"/>
      <c r="EGA33" s="165"/>
      <c r="EGB33" s="165"/>
      <c r="EGC33" s="165"/>
      <c r="EGD33" s="165"/>
      <c r="EGE33" s="165"/>
      <c r="EGF33" s="165"/>
      <c r="EGG33" s="165"/>
      <c r="EGH33" s="165"/>
      <c r="EGI33" s="165"/>
      <c r="EGJ33" s="165"/>
      <c r="EGK33" s="165"/>
      <c r="EGL33" s="165"/>
      <c r="EGM33" s="165"/>
      <c r="EGN33" s="165"/>
      <c r="EGO33" s="165"/>
      <c r="EGP33" s="165"/>
      <c r="EGQ33" s="165"/>
      <c r="EGR33" s="165"/>
      <c r="EGS33" s="165"/>
      <c r="EGT33" s="165"/>
      <c r="EGU33" s="165"/>
      <c r="EGV33" s="165"/>
      <c r="EGW33" s="165"/>
      <c r="EGX33" s="165"/>
      <c r="EGY33" s="165"/>
      <c r="EGZ33" s="165"/>
      <c r="EHA33" s="165"/>
      <c r="EHB33" s="165"/>
      <c r="EHC33" s="165"/>
      <c r="EHD33" s="165"/>
      <c r="EHE33" s="165"/>
      <c r="EHF33" s="165"/>
      <c r="EHG33" s="165"/>
      <c r="EHH33" s="165"/>
      <c r="EHI33" s="165"/>
      <c r="EHJ33" s="165"/>
      <c r="EHK33" s="165"/>
      <c r="EHL33" s="165"/>
      <c r="EHM33" s="165"/>
      <c r="EHN33" s="165"/>
      <c r="EHO33" s="165"/>
      <c r="EHP33" s="165"/>
      <c r="EHQ33" s="165"/>
      <c r="EHR33" s="165"/>
      <c r="EHS33" s="165"/>
      <c r="EHT33" s="165"/>
      <c r="EHU33" s="165"/>
      <c r="EHV33" s="165"/>
      <c r="EHW33" s="165"/>
      <c r="EHX33" s="165"/>
      <c r="EHY33" s="165"/>
      <c r="EHZ33" s="165"/>
      <c r="EIA33" s="165"/>
      <c r="EIB33" s="165"/>
      <c r="EIC33" s="165"/>
      <c r="EID33" s="165"/>
      <c r="EIE33" s="165"/>
      <c r="EIF33" s="165"/>
      <c r="EIG33" s="165"/>
      <c r="EIH33" s="165"/>
      <c r="EII33" s="165"/>
      <c r="EIJ33" s="165"/>
      <c r="EIK33" s="165"/>
      <c r="EIL33" s="165"/>
      <c r="EIM33" s="165"/>
      <c r="EIN33" s="165"/>
      <c r="EIO33" s="165"/>
      <c r="EIP33" s="165"/>
      <c r="EIQ33" s="165"/>
      <c r="EIR33" s="165"/>
      <c r="EIS33" s="165"/>
      <c r="EIT33" s="165"/>
      <c r="EIU33" s="165"/>
      <c r="EIV33" s="165"/>
      <c r="EIW33" s="165"/>
      <c r="EIX33" s="165"/>
      <c r="EIY33" s="165"/>
      <c r="EIZ33" s="165"/>
      <c r="EJA33" s="165"/>
      <c r="EJB33" s="165"/>
      <c r="EJC33" s="165"/>
      <c r="EJD33" s="165"/>
      <c r="EJE33" s="165"/>
      <c r="EJF33" s="165"/>
      <c r="EJG33" s="165"/>
      <c r="EJH33" s="165"/>
      <c r="EJI33" s="165"/>
      <c r="EJJ33" s="165"/>
      <c r="EJK33" s="165"/>
      <c r="EJL33" s="165"/>
      <c r="EJM33" s="165"/>
      <c r="EJN33" s="165"/>
      <c r="EJO33" s="165"/>
      <c r="EJP33" s="165"/>
      <c r="EJQ33" s="165"/>
      <c r="EJR33" s="165"/>
      <c r="EJS33" s="165"/>
      <c r="EJT33" s="165"/>
      <c r="EJU33" s="165"/>
      <c r="EJV33" s="165"/>
      <c r="EJW33" s="165"/>
      <c r="EJX33" s="165"/>
      <c r="EJY33" s="165"/>
      <c r="EJZ33" s="165"/>
      <c r="EKA33" s="165"/>
      <c r="EKB33" s="165"/>
      <c r="EKC33" s="165"/>
      <c r="EKD33" s="165"/>
      <c r="EKE33" s="165"/>
      <c r="EKF33" s="165"/>
      <c r="EKG33" s="165"/>
      <c r="EKH33" s="165"/>
      <c r="EKI33" s="165"/>
      <c r="EKJ33" s="165"/>
      <c r="EKK33" s="165"/>
      <c r="EKL33" s="165"/>
      <c r="EKM33" s="165"/>
      <c r="EKN33" s="165"/>
      <c r="EKO33" s="165"/>
      <c r="EKP33" s="165"/>
      <c r="EKQ33" s="165"/>
      <c r="EKR33" s="165"/>
      <c r="EKS33" s="165"/>
      <c r="EKT33" s="165"/>
      <c r="EKU33" s="165"/>
      <c r="EKV33" s="165"/>
      <c r="EKW33" s="165"/>
      <c r="EKX33" s="165"/>
      <c r="EKY33" s="165"/>
      <c r="EKZ33" s="165"/>
      <c r="ELA33" s="165"/>
      <c r="ELB33" s="165"/>
      <c r="ELC33" s="165"/>
      <c r="ELD33" s="165"/>
      <c r="ELE33" s="165"/>
      <c r="ELF33" s="165"/>
      <c r="ELG33" s="165"/>
      <c r="ELH33" s="165"/>
      <c r="ELI33" s="165"/>
      <c r="ELJ33" s="165"/>
      <c r="ELK33" s="165"/>
      <c r="ELL33" s="165"/>
      <c r="ELM33" s="165"/>
      <c r="ELN33" s="165"/>
      <c r="ELO33" s="165"/>
      <c r="ELP33" s="165"/>
      <c r="ELQ33" s="165"/>
      <c r="ELR33" s="165"/>
      <c r="ELS33" s="165"/>
      <c r="ELT33" s="165"/>
      <c r="ELU33" s="165"/>
      <c r="ELV33" s="165"/>
      <c r="ELW33" s="165"/>
      <c r="ELX33" s="165"/>
      <c r="ELY33" s="165"/>
      <c r="ELZ33" s="165"/>
      <c r="EMA33" s="165"/>
      <c r="EMB33" s="165"/>
      <c r="EMC33" s="165"/>
      <c r="EMD33" s="165"/>
      <c r="EME33" s="165"/>
      <c r="EMF33" s="165"/>
      <c r="EMG33" s="165"/>
      <c r="EMH33" s="165"/>
      <c r="EMI33" s="165"/>
      <c r="EMJ33" s="165"/>
      <c r="EMK33" s="165"/>
      <c r="EML33" s="165"/>
      <c r="EMM33" s="165"/>
      <c r="EMN33" s="165"/>
      <c r="EMO33" s="165"/>
      <c r="EMP33" s="165"/>
      <c r="EMQ33" s="165"/>
      <c r="EMR33" s="165"/>
      <c r="EMS33" s="165"/>
      <c r="EMT33" s="165"/>
      <c r="EMU33" s="165"/>
      <c r="EMV33" s="165"/>
      <c r="EMW33" s="165"/>
      <c r="EMX33" s="165"/>
      <c r="EMY33" s="165"/>
      <c r="EMZ33" s="165"/>
      <c r="ENA33" s="165"/>
      <c r="ENB33" s="165"/>
      <c r="ENC33" s="165"/>
      <c r="END33" s="165"/>
      <c r="ENE33" s="165"/>
      <c r="ENF33" s="165"/>
      <c r="ENG33" s="165"/>
      <c r="ENH33" s="165"/>
      <c r="ENI33" s="165"/>
      <c r="ENJ33" s="165"/>
      <c r="ENK33" s="165"/>
      <c r="ENL33" s="165"/>
      <c r="ENM33" s="165"/>
      <c r="ENN33" s="165"/>
      <c r="ENO33" s="165"/>
      <c r="ENP33" s="165"/>
      <c r="ENQ33" s="165"/>
      <c r="ENR33" s="165"/>
      <c r="ENS33" s="165"/>
      <c r="ENT33" s="165"/>
      <c r="ENU33" s="165"/>
      <c r="ENV33" s="165"/>
      <c r="ENW33" s="165"/>
      <c r="ENX33" s="165"/>
      <c r="ENY33" s="165"/>
      <c r="ENZ33" s="165"/>
      <c r="EOA33" s="165"/>
      <c r="EOB33" s="165"/>
      <c r="EOC33" s="165"/>
      <c r="EOD33" s="165"/>
      <c r="EOE33" s="165"/>
      <c r="EOF33" s="165"/>
      <c r="EOG33" s="165"/>
      <c r="EOH33" s="165"/>
      <c r="EOI33" s="165"/>
      <c r="EOJ33" s="165"/>
      <c r="EOK33" s="165"/>
      <c r="EOL33" s="165"/>
      <c r="EOM33" s="165"/>
      <c r="EON33" s="165"/>
      <c r="EOO33" s="165"/>
      <c r="EOP33" s="165"/>
      <c r="EOQ33" s="165"/>
      <c r="EOR33" s="165"/>
      <c r="EOS33" s="165"/>
      <c r="EOT33" s="165"/>
      <c r="EOU33" s="165"/>
      <c r="EOV33" s="165"/>
      <c r="EOW33" s="165"/>
      <c r="EOX33" s="165"/>
      <c r="EOY33" s="165"/>
      <c r="EOZ33" s="165"/>
      <c r="EPA33" s="165"/>
      <c r="EPB33" s="165"/>
      <c r="EPC33" s="165"/>
      <c r="EPD33" s="165"/>
      <c r="EPE33" s="165"/>
      <c r="EPF33" s="165"/>
      <c r="EPG33" s="165"/>
      <c r="EPH33" s="165"/>
      <c r="EPI33" s="165"/>
      <c r="EPJ33" s="165"/>
      <c r="EPK33" s="165"/>
      <c r="EPL33" s="165"/>
      <c r="EPM33" s="165"/>
      <c r="EPN33" s="165"/>
      <c r="EPO33" s="165"/>
      <c r="EPP33" s="165"/>
      <c r="EPQ33" s="165"/>
      <c r="EPR33" s="165"/>
      <c r="EPS33" s="165"/>
      <c r="EPT33" s="165"/>
      <c r="EPU33" s="165"/>
      <c r="EPV33" s="165"/>
      <c r="EPW33" s="165"/>
      <c r="EPX33" s="165"/>
      <c r="EPY33" s="165"/>
      <c r="EPZ33" s="165"/>
      <c r="EQA33" s="165"/>
      <c r="EQB33" s="165"/>
      <c r="EQC33" s="165"/>
      <c r="EQD33" s="165"/>
      <c r="EQE33" s="165"/>
      <c r="EQF33" s="165"/>
      <c r="EQG33" s="165"/>
      <c r="EQH33" s="165"/>
      <c r="EQI33" s="165"/>
      <c r="EQJ33" s="165"/>
      <c r="EQK33" s="165"/>
      <c r="EQL33" s="165"/>
      <c r="EQM33" s="165"/>
      <c r="EQN33" s="165"/>
      <c r="EQO33" s="165"/>
      <c r="EQP33" s="165"/>
      <c r="EQQ33" s="165"/>
      <c r="EQR33" s="165"/>
      <c r="EQS33" s="165"/>
      <c r="EQT33" s="165"/>
      <c r="EQU33" s="165"/>
      <c r="EQV33" s="165"/>
      <c r="EQW33" s="165"/>
      <c r="EQX33" s="165"/>
      <c r="EQY33" s="165"/>
      <c r="EQZ33" s="165"/>
      <c r="ERA33" s="165"/>
      <c r="ERB33" s="165"/>
      <c r="ERC33" s="165"/>
      <c r="ERD33" s="165"/>
      <c r="ERE33" s="165"/>
      <c r="ERF33" s="165"/>
      <c r="ERG33" s="165"/>
      <c r="ERH33" s="165"/>
      <c r="ERI33" s="165"/>
      <c r="ERJ33" s="165"/>
      <c r="ERK33" s="165"/>
      <c r="ERL33" s="165"/>
      <c r="ERM33" s="165"/>
      <c r="ERN33" s="165"/>
      <c r="ERO33" s="165"/>
      <c r="ERP33" s="165"/>
      <c r="ERQ33" s="165"/>
      <c r="ERR33" s="165"/>
      <c r="ERS33" s="165"/>
      <c r="ERT33" s="165"/>
      <c r="ERU33" s="165"/>
      <c r="ERV33" s="165"/>
      <c r="ERW33" s="165"/>
      <c r="ERX33" s="165"/>
      <c r="ERY33" s="165"/>
      <c r="ERZ33" s="165"/>
      <c r="ESA33" s="165"/>
      <c r="ESB33" s="165"/>
      <c r="ESC33" s="165"/>
      <c r="ESD33" s="165"/>
      <c r="ESE33" s="165"/>
      <c r="ESF33" s="165"/>
      <c r="ESG33" s="165"/>
      <c r="ESH33" s="165"/>
      <c r="ESI33" s="165"/>
      <c r="ESJ33" s="165"/>
      <c r="ESK33" s="165"/>
      <c r="ESL33" s="165"/>
      <c r="ESM33" s="165"/>
      <c r="ESN33" s="165"/>
      <c r="ESO33" s="165"/>
      <c r="ESP33" s="165"/>
      <c r="ESQ33" s="165"/>
      <c r="ESR33" s="165"/>
      <c r="ESS33" s="165"/>
      <c r="EST33" s="165"/>
      <c r="ESU33" s="165"/>
      <c r="ESV33" s="165"/>
      <c r="ESW33" s="165"/>
      <c r="ESX33" s="165"/>
      <c r="ESY33" s="165"/>
      <c r="ESZ33" s="165"/>
      <c r="ETA33" s="165"/>
      <c r="ETB33" s="165"/>
      <c r="ETC33" s="165"/>
      <c r="ETD33" s="165"/>
      <c r="ETE33" s="165"/>
      <c r="ETF33" s="165"/>
      <c r="ETG33" s="165"/>
      <c r="ETH33" s="165"/>
      <c r="ETI33" s="165"/>
      <c r="ETJ33" s="165"/>
      <c r="ETK33" s="165"/>
      <c r="ETL33" s="165"/>
      <c r="ETM33" s="165"/>
      <c r="ETN33" s="165"/>
      <c r="ETO33" s="165"/>
      <c r="ETP33" s="165"/>
      <c r="ETQ33" s="165"/>
      <c r="ETR33" s="165"/>
      <c r="ETS33" s="165"/>
      <c r="ETT33" s="165"/>
      <c r="ETU33" s="165"/>
      <c r="ETV33" s="165"/>
      <c r="ETW33" s="165"/>
      <c r="ETX33" s="165"/>
      <c r="ETY33" s="165"/>
      <c r="ETZ33" s="165"/>
      <c r="EUA33" s="165"/>
      <c r="EUB33" s="165"/>
      <c r="EUC33" s="165"/>
      <c r="EUD33" s="165"/>
      <c r="EUE33" s="165"/>
      <c r="EUF33" s="165"/>
      <c r="EUG33" s="165"/>
      <c r="EUH33" s="165"/>
      <c r="EUI33" s="165"/>
      <c r="EUJ33" s="165"/>
      <c r="EUK33" s="165"/>
      <c r="EUL33" s="165"/>
      <c r="EUM33" s="165"/>
      <c r="EUN33" s="165"/>
      <c r="EUO33" s="165"/>
      <c r="EUP33" s="165"/>
      <c r="EUQ33" s="165"/>
      <c r="EUR33" s="165"/>
      <c r="EUS33" s="165"/>
      <c r="EUT33" s="165"/>
      <c r="EUU33" s="165"/>
      <c r="EUV33" s="165"/>
      <c r="EUW33" s="165"/>
      <c r="EUX33" s="165"/>
      <c r="EUY33" s="165"/>
      <c r="EUZ33" s="165"/>
      <c r="EVA33" s="165"/>
      <c r="EVB33" s="165"/>
      <c r="EVC33" s="165"/>
      <c r="EVD33" s="165"/>
      <c r="EVE33" s="165"/>
      <c r="EVF33" s="165"/>
      <c r="EVG33" s="165"/>
      <c r="EVH33" s="165"/>
      <c r="EVI33" s="165"/>
      <c r="EVJ33" s="165"/>
      <c r="EVK33" s="165"/>
      <c r="EVL33" s="165"/>
      <c r="EVM33" s="165"/>
      <c r="EVN33" s="165"/>
      <c r="EVO33" s="165"/>
      <c r="EVP33" s="165"/>
      <c r="EVQ33" s="165"/>
      <c r="EVR33" s="165"/>
      <c r="EVS33" s="165"/>
      <c r="EVT33" s="165"/>
      <c r="EVU33" s="165"/>
      <c r="EVV33" s="165"/>
      <c r="EVW33" s="165"/>
      <c r="EVX33" s="165"/>
      <c r="EVY33" s="165"/>
      <c r="EVZ33" s="165"/>
      <c r="EWA33" s="165"/>
      <c r="EWB33" s="165"/>
      <c r="EWC33" s="165"/>
      <c r="EWD33" s="165"/>
      <c r="EWE33" s="165"/>
      <c r="EWF33" s="165"/>
      <c r="EWG33" s="165"/>
      <c r="EWH33" s="165"/>
      <c r="EWI33" s="165"/>
      <c r="EWJ33" s="165"/>
      <c r="EWK33" s="165"/>
      <c r="EWL33" s="165"/>
      <c r="EWM33" s="165"/>
      <c r="EWN33" s="165"/>
      <c r="EWO33" s="165"/>
      <c r="EWP33" s="165"/>
      <c r="EWQ33" s="165"/>
      <c r="EWR33" s="165"/>
      <c r="EWS33" s="165"/>
      <c r="EWT33" s="165"/>
      <c r="EWU33" s="165"/>
      <c r="EWV33" s="165"/>
      <c r="EWW33" s="165"/>
      <c r="EWX33" s="165"/>
      <c r="EWY33" s="165"/>
      <c r="EWZ33" s="165"/>
      <c r="EXA33" s="165"/>
      <c r="EXB33" s="165"/>
      <c r="EXC33" s="165"/>
      <c r="EXD33" s="165"/>
      <c r="EXE33" s="165"/>
      <c r="EXF33" s="165"/>
      <c r="EXG33" s="165"/>
      <c r="EXH33" s="165"/>
      <c r="EXI33" s="165"/>
      <c r="EXJ33" s="165"/>
      <c r="EXK33" s="165"/>
      <c r="EXL33" s="165"/>
      <c r="EXM33" s="165"/>
      <c r="EXN33" s="165"/>
      <c r="EXO33" s="165"/>
      <c r="EXP33" s="165"/>
      <c r="EXQ33" s="165"/>
      <c r="EXR33" s="165"/>
      <c r="EXS33" s="165"/>
      <c r="EXT33" s="165"/>
      <c r="EXU33" s="165"/>
      <c r="EXV33" s="165"/>
      <c r="EXW33" s="165"/>
      <c r="EXX33" s="165"/>
      <c r="EXY33" s="165"/>
      <c r="EXZ33" s="165"/>
      <c r="EYA33" s="165"/>
      <c r="EYB33" s="165"/>
      <c r="EYC33" s="165"/>
      <c r="EYD33" s="165"/>
      <c r="EYE33" s="165"/>
      <c r="EYF33" s="165"/>
      <c r="EYG33" s="165"/>
      <c r="EYH33" s="165"/>
      <c r="EYI33" s="165"/>
      <c r="EYJ33" s="165"/>
      <c r="EYK33" s="165"/>
      <c r="EYL33" s="165"/>
      <c r="EYM33" s="165"/>
      <c r="EYN33" s="165"/>
      <c r="EYO33" s="165"/>
      <c r="EYP33" s="165"/>
      <c r="EYQ33" s="165"/>
      <c r="EYR33" s="165"/>
      <c r="EYS33" s="165"/>
      <c r="EYT33" s="165"/>
      <c r="EYU33" s="165"/>
      <c r="EYV33" s="165"/>
      <c r="EYW33" s="165"/>
      <c r="EYX33" s="165"/>
      <c r="EYY33" s="165"/>
      <c r="EYZ33" s="165"/>
      <c r="EZA33" s="165"/>
      <c r="EZB33" s="165"/>
      <c r="EZC33" s="165"/>
      <c r="EZD33" s="165"/>
      <c r="EZE33" s="165"/>
      <c r="EZF33" s="165"/>
      <c r="EZG33" s="165"/>
      <c r="EZH33" s="165"/>
      <c r="EZI33" s="165"/>
      <c r="EZJ33" s="165"/>
      <c r="EZK33" s="165"/>
      <c r="EZL33" s="165"/>
      <c r="EZM33" s="165"/>
      <c r="EZN33" s="165"/>
      <c r="EZO33" s="165"/>
      <c r="EZP33" s="165"/>
      <c r="EZQ33" s="165"/>
      <c r="EZR33" s="165"/>
      <c r="EZS33" s="165"/>
      <c r="EZT33" s="165"/>
      <c r="EZU33" s="165"/>
      <c r="EZV33" s="165"/>
      <c r="EZW33" s="165"/>
      <c r="EZX33" s="165"/>
      <c r="EZY33" s="165"/>
      <c r="EZZ33" s="165"/>
      <c r="FAA33" s="165"/>
      <c r="FAB33" s="165"/>
      <c r="FAC33" s="165"/>
      <c r="FAD33" s="165"/>
      <c r="FAE33" s="165"/>
      <c r="FAF33" s="165"/>
      <c r="FAG33" s="165"/>
      <c r="FAH33" s="165"/>
      <c r="FAI33" s="165"/>
      <c r="FAJ33" s="165"/>
      <c r="FAK33" s="165"/>
      <c r="FAL33" s="165"/>
      <c r="FAM33" s="165"/>
      <c r="FAN33" s="165"/>
      <c r="FAO33" s="165"/>
      <c r="FAP33" s="165"/>
      <c r="FAQ33" s="165"/>
      <c r="FAR33" s="165"/>
      <c r="FAS33" s="165"/>
      <c r="FAT33" s="165"/>
      <c r="FAU33" s="165"/>
      <c r="FAV33" s="165"/>
      <c r="FAW33" s="165"/>
      <c r="FAX33" s="165"/>
      <c r="FAY33" s="165"/>
      <c r="FAZ33" s="165"/>
      <c r="FBA33" s="165"/>
      <c r="FBB33" s="165"/>
      <c r="FBC33" s="165"/>
      <c r="FBD33" s="165"/>
      <c r="FBE33" s="165"/>
      <c r="FBF33" s="165"/>
      <c r="FBG33" s="165"/>
      <c r="FBH33" s="165"/>
      <c r="FBI33" s="165"/>
      <c r="FBJ33" s="165"/>
      <c r="FBK33" s="165"/>
      <c r="FBL33" s="165"/>
      <c r="FBM33" s="165"/>
      <c r="FBN33" s="165"/>
      <c r="FBO33" s="165"/>
      <c r="FBP33" s="165"/>
      <c r="FBQ33" s="165"/>
      <c r="FBR33" s="165"/>
      <c r="FBS33" s="165"/>
      <c r="FBT33" s="165"/>
      <c r="FBU33" s="165"/>
      <c r="FBV33" s="165"/>
      <c r="FBW33" s="165"/>
      <c r="FBX33" s="165"/>
      <c r="FBY33" s="165"/>
      <c r="FBZ33" s="165"/>
      <c r="FCA33" s="165"/>
      <c r="FCB33" s="165"/>
      <c r="FCC33" s="165"/>
      <c r="FCD33" s="165"/>
      <c r="FCE33" s="165"/>
      <c r="FCF33" s="165"/>
      <c r="FCG33" s="165"/>
      <c r="FCH33" s="165"/>
      <c r="FCI33" s="165"/>
      <c r="FCJ33" s="165"/>
      <c r="FCK33" s="165"/>
      <c r="FCL33" s="165"/>
      <c r="FCM33" s="165"/>
      <c r="FCN33" s="165"/>
      <c r="FCO33" s="165"/>
      <c r="FCP33" s="165"/>
      <c r="FCQ33" s="165"/>
      <c r="FCR33" s="165"/>
      <c r="FCS33" s="165"/>
      <c r="FCT33" s="165"/>
      <c r="FCU33" s="165"/>
      <c r="FCV33" s="165"/>
      <c r="FCW33" s="165"/>
      <c r="FCX33" s="165"/>
      <c r="FCY33" s="165"/>
      <c r="FCZ33" s="165"/>
      <c r="FDA33" s="165"/>
      <c r="FDB33" s="165"/>
      <c r="FDC33" s="165"/>
      <c r="FDD33" s="165"/>
      <c r="FDE33" s="165"/>
      <c r="FDF33" s="165"/>
      <c r="FDG33" s="165"/>
      <c r="FDH33" s="165"/>
      <c r="FDI33" s="165"/>
      <c r="FDJ33" s="165"/>
      <c r="FDK33" s="165"/>
      <c r="FDL33" s="165"/>
      <c r="FDM33" s="165"/>
      <c r="FDN33" s="165"/>
      <c r="FDO33" s="165"/>
      <c r="FDP33" s="165"/>
      <c r="FDQ33" s="165"/>
      <c r="FDR33" s="165"/>
      <c r="FDS33" s="165"/>
      <c r="FDT33" s="165"/>
      <c r="FDU33" s="165"/>
      <c r="FDV33" s="165"/>
      <c r="FDW33" s="165"/>
      <c r="FDX33" s="165"/>
      <c r="FDY33" s="165"/>
      <c r="FDZ33" s="165"/>
      <c r="FEA33" s="165"/>
      <c r="FEB33" s="165"/>
      <c r="FEC33" s="165"/>
      <c r="FED33" s="165"/>
      <c r="FEE33" s="165"/>
      <c r="FEF33" s="165"/>
      <c r="FEG33" s="165"/>
      <c r="FEH33" s="165"/>
      <c r="FEI33" s="165"/>
      <c r="FEJ33" s="165"/>
      <c r="FEK33" s="165"/>
      <c r="FEL33" s="165"/>
      <c r="FEM33" s="165"/>
      <c r="FEN33" s="165"/>
      <c r="FEO33" s="165"/>
      <c r="FEP33" s="165"/>
      <c r="FEQ33" s="165"/>
      <c r="FER33" s="165"/>
      <c r="FES33" s="165"/>
      <c r="FET33" s="165"/>
      <c r="FEU33" s="165"/>
      <c r="FEV33" s="165"/>
      <c r="FEW33" s="165"/>
      <c r="FEX33" s="165"/>
      <c r="FEY33" s="165"/>
      <c r="FEZ33" s="165"/>
      <c r="FFA33" s="165"/>
      <c r="FFB33" s="165"/>
      <c r="FFC33" s="165"/>
      <c r="FFD33" s="165"/>
      <c r="FFE33" s="165"/>
      <c r="FFF33" s="165"/>
      <c r="FFG33" s="165"/>
      <c r="FFH33" s="165"/>
      <c r="FFI33" s="165"/>
      <c r="FFJ33" s="165"/>
      <c r="FFK33" s="165"/>
      <c r="FFL33" s="165"/>
      <c r="FFM33" s="165"/>
      <c r="FFN33" s="165"/>
      <c r="FFO33" s="165"/>
      <c r="FFP33" s="165"/>
      <c r="FFQ33" s="165"/>
      <c r="FFR33" s="165"/>
      <c r="FFS33" s="165"/>
      <c r="FFT33" s="165"/>
      <c r="FFU33" s="165"/>
      <c r="FFV33" s="165"/>
      <c r="FFW33" s="165"/>
      <c r="FFX33" s="165"/>
      <c r="FFY33" s="165"/>
      <c r="FFZ33" s="165"/>
      <c r="FGA33" s="165"/>
      <c r="FGB33" s="165"/>
      <c r="FGC33" s="165"/>
      <c r="FGD33" s="165"/>
      <c r="FGE33" s="165"/>
      <c r="FGF33" s="165"/>
      <c r="FGG33" s="165"/>
      <c r="FGH33" s="165"/>
      <c r="FGI33" s="165"/>
      <c r="FGJ33" s="165"/>
      <c r="FGK33" s="165"/>
      <c r="FGL33" s="165"/>
      <c r="FGM33" s="165"/>
      <c r="FGN33" s="165"/>
      <c r="FGO33" s="165"/>
      <c r="FGP33" s="165"/>
      <c r="FGQ33" s="165"/>
      <c r="FGR33" s="165"/>
      <c r="FGS33" s="165"/>
      <c r="FGT33" s="165"/>
      <c r="FGU33" s="165"/>
      <c r="FGV33" s="165"/>
      <c r="FGW33" s="165"/>
      <c r="FGX33" s="165"/>
      <c r="FGY33" s="165"/>
      <c r="FGZ33" s="165"/>
      <c r="FHA33" s="165"/>
      <c r="FHB33" s="165"/>
      <c r="FHC33" s="165"/>
      <c r="FHD33" s="165"/>
      <c r="FHE33" s="165"/>
      <c r="FHF33" s="165"/>
      <c r="FHG33" s="165"/>
      <c r="FHH33" s="165"/>
      <c r="FHI33" s="165"/>
      <c r="FHJ33" s="165"/>
      <c r="FHK33" s="165"/>
      <c r="FHL33" s="165"/>
      <c r="FHM33" s="165"/>
      <c r="FHN33" s="165"/>
      <c r="FHO33" s="165"/>
      <c r="FHP33" s="165"/>
      <c r="FHQ33" s="165"/>
      <c r="FHR33" s="165"/>
      <c r="FHS33" s="165"/>
      <c r="FHT33" s="165"/>
      <c r="FHU33" s="165"/>
      <c r="FHV33" s="165"/>
      <c r="FHW33" s="165"/>
      <c r="FHX33" s="165"/>
      <c r="FHY33" s="165"/>
      <c r="FHZ33" s="165"/>
      <c r="FIA33" s="165"/>
      <c r="FIB33" s="165"/>
      <c r="FIC33" s="165"/>
      <c r="FID33" s="165"/>
      <c r="FIE33" s="165"/>
      <c r="FIF33" s="165"/>
      <c r="FIG33" s="165"/>
      <c r="FIH33" s="165"/>
      <c r="FII33" s="165"/>
      <c r="FIJ33" s="165"/>
      <c r="FIK33" s="165"/>
      <c r="FIL33" s="165"/>
      <c r="FIM33" s="165"/>
      <c r="FIN33" s="165"/>
      <c r="FIO33" s="165"/>
      <c r="FIP33" s="165"/>
      <c r="FIQ33" s="165"/>
      <c r="FIR33" s="165"/>
      <c r="FIS33" s="165"/>
      <c r="FIT33" s="165"/>
      <c r="FIU33" s="165"/>
      <c r="FIV33" s="165"/>
      <c r="FIW33" s="165"/>
      <c r="FIX33" s="165"/>
      <c r="FIY33" s="165"/>
      <c r="FIZ33" s="165"/>
      <c r="FJA33" s="165"/>
      <c r="FJB33" s="165"/>
      <c r="FJC33" s="165"/>
      <c r="FJD33" s="165"/>
      <c r="FJE33" s="165"/>
      <c r="FJF33" s="165"/>
      <c r="FJG33" s="165"/>
      <c r="FJH33" s="165"/>
      <c r="FJI33" s="165"/>
      <c r="FJJ33" s="165"/>
      <c r="FJK33" s="165"/>
      <c r="FJL33" s="165"/>
      <c r="FJM33" s="165"/>
      <c r="FJN33" s="165"/>
      <c r="FJO33" s="165"/>
      <c r="FJP33" s="165"/>
      <c r="FJQ33" s="165"/>
      <c r="FJR33" s="165"/>
      <c r="FJS33" s="165"/>
      <c r="FJT33" s="165"/>
      <c r="FJU33" s="165"/>
      <c r="FJV33" s="165"/>
      <c r="FJW33" s="165"/>
      <c r="FJX33" s="165"/>
      <c r="FJY33" s="165"/>
      <c r="FJZ33" s="165"/>
      <c r="FKA33" s="165"/>
      <c r="FKB33" s="165"/>
      <c r="FKC33" s="165"/>
      <c r="FKD33" s="165"/>
      <c r="FKE33" s="165"/>
      <c r="FKF33" s="165"/>
      <c r="FKG33" s="165"/>
      <c r="FKH33" s="165"/>
      <c r="FKI33" s="165"/>
      <c r="FKJ33" s="165"/>
      <c r="FKK33" s="165"/>
      <c r="FKL33" s="165"/>
      <c r="FKM33" s="165"/>
      <c r="FKN33" s="165"/>
      <c r="FKO33" s="165"/>
      <c r="FKP33" s="165"/>
      <c r="FKQ33" s="165"/>
      <c r="FKR33" s="165"/>
      <c r="FKS33" s="165"/>
      <c r="FKT33" s="165"/>
      <c r="FKU33" s="165"/>
      <c r="FKV33" s="165"/>
      <c r="FKW33" s="165"/>
      <c r="FKX33" s="165"/>
      <c r="FKY33" s="165"/>
      <c r="FKZ33" s="165"/>
      <c r="FLA33" s="165"/>
      <c r="FLB33" s="165"/>
      <c r="FLC33" s="165"/>
      <c r="FLD33" s="165"/>
      <c r="FLE33" s="165"/>
      <c r="FLF33" s="165"/>
      <c r="FLG33" s="165"/>
      <c r="FLH33" s="165"/>
      <c r="FLI33" s="165"/>
      <c r="FLJ33" s="165"/>
      <c r="FLK33" s="165"/>
      <c r="FLL33" s="165"/>
      <c r="FLM33" s="165"/>
      <c r="FLN33" s="165"/>
      <c r="FLO33" s="165"/>
      <c r="FLP33" s="165"/>
      <c r="FLQ33" s="165"/>
      <c r="FLR33" s="165"/>
      <c r="FLS33" s="165"/>
      <c r="FLT33" s="165"/>
      <c r="FLU33" s="165"/>
      <c r="FLV33" s="165"/>
      <c r="FLW33" s="165"/>
      <c r="FLX33" s="165"/>
      <c r="FLY33" s="165"/>
      <c r="FLZ33" s="165"/>
      <c r="FMA33" s="165"/>
      <c r="FMB33" s="165"/>
      <c r="FMC33" s="165"/>
      <c r="FMD33" s="165"/>
      <c r="FME33" s="165"/>
      <c r="FMF33" s="165"/>
      <c r="FMG33" s="165"/>
      <c r="FMH33" s="165"/>
      <c r="FMI33" s="165"/>
      <c r="FMJ33" s="165"/>
      <c r="FMK33" s="165"/>
      <c r="FML33" s="165"/>
      <c r="FMM33" s="165"/>
      <c r="FMN33" s="165"/>
      <c r="FMO33" s="165"/>
      <c r="FMP33" s="165"/>
      <c r="FMQ33" s="165"/>
      <c r="FMR33" s="165"/>
      <c r="FMS33" s="165"/>
      <c r="FMT33" s="165"/>
      <c r="FMU33" s="165"/>
      <c r="FMV33" s="165"/>
      <c r="FMW33" s="165"/>
      <c r="FMX33" s="165"/>
      <c r="FMY33" s="165"/>
      <c r="FMZ33" s="165"/>
      <c r="FNA33" s="165"/>
      <c r="FNB33" s="165"/>
      <c r="FNC33" s="165"/>
      <c r="FND33" s="165"/>
      <c r="FNE33" s="165"/>
      <c r="FNF33" s="165"/>
      <c r="FNG33" s="165"/>
      <c r="FNH33" s="165"/>
      <c r="FNI33" s="165"/>
      <c r="FNJ33" s="165"/>
      <c r="FNK33" s="165"/>
      <c r="FNL33" s="165"/>
      <c r="FNM33" s="165"/>
      <c r="FNN33" s="165"/>
      <c r="FNO33" s="165"/>
      <c r="FNP33" s="165"/>
      <c r="FNQ33" s="165"/>
      <c r="FNR33" s="165"/>
      <c r="FNS33" s="165"/>
      <c r="FNT33" s="165"/>
      <c r="FNU33" s="165"/>
      <c r="FNV33" s="165"/>
      <c r="FNW33" s="165"/>
      <c r="FNX33" s="165"/>
      <c r="FNY33" s="165"/>
      <c r="FNZ33" s="165"/>
      <c r="FOA33" s="165"/>
      <c r="FOB33" s="165"/>
      <c r="FOC33" s="165"/>
      <c r="FOD33" s="165"/>
      <c r="FOE33" s="165"/>
      <c r="FOF33" s="165"/>
      <c r="FOG33" s="165"/>
      <c r="FOH33" s="165"/>
      <c r="FOI33" s="165"/>
      <c r="FOJ33" s="165"/>
      <c r="FOK33" s="165"/>
      <c r="FOL33" s="165"/>
      <c r="FOM33" s="165"/>
      <c r="FON33" s="165"/>
      <c r="FOO33" s="165"/>
      <c r="FOP33" s="165"/>
      <c r="FOQ33" s="165"/>
      <c r="FOR33" s="165"/>
      <c r="FOS33" s="165"/>
      <c r="FOT33" s="165"/>
      <c r="FOU33" s="165"/>
      <c r="FOV33" s="165"/>
      <c r="FOW33" s="165"/>
      <c r="FOX33" s="165"/>
      <c r="FOY33" s="165"/>
      <c r="FOZ33" s="165"/>
      <c r="FPA33" s="165"/>
      <c r="FPB33" s="165"/>
      <c r="FPC33" s="165"/>
      <c r="FPD33" s="165"/>
      <c r="FPE33" s="165"/>
      <c r="FPF33" s="165"/>
      <c r="FPG33" s="165"/>
      <c r="FPH33" s="165"/>
      <c r="FPI33" s="165"/>
      <c r="FPJ33" s="165"/>
      <c r="FPK33" s="165"/>
      <c r="FPL33" s="165"/>
      <c r="FPM33" s="165"/>
      <c r="FPN33" s="165"/>
      <c r="FPO33" s="165"/>
      <c r="FPP33" s="165"/>
      <c r="FPQ33" s="165"/>
      <c r="FPR33" s="165"/>
      <c r="FPS33" s="165"/>
      <c r="FPT33" s="165"/>
      <c r="FPU33" s="165"/>
      <c r="FPV33" s="165"/>
      <c r="FPW33" s="165"/>
      <c r="FPX33" s="165"/>
      <c r="FPY33" s="165"/>
      <c r="FPZ33" s="165"/>
      <c r="FQA33" s="165"/>
      <c r="FQB33" s="165"/>
      <c r="FQC33" s="165"/>
      <c r="FQD33" s="165"/>
      <c r="FQE33" s="165"/>
      <c r="FQF33" s="165"/>
      <c r="FQG33" s="165"/>
      <c r="FQH33" s="165"/>
      <c r="FQI33" s="165"/>
      <c r="FQJ33" s="165"/>
      <c r="FQK33" s="165"/>
      <c r="FQL33" s="165"/>
      <c r="FQM33" s="165"/>
      <c r="FQN33" s="165"/>
      <c r="FQO33" s="165"/>
      <c r="FQP33" s="165"/>
      <c r="FQQ33" s="165"/>
      <c r="FQR33" s="165"/>
      <c r="FQS33" s="165"/>
      <c r="FQT33" s="165"/>
      <c r="FQU33" s="165"/>
      <c r="FQV33" s="165"/>
      <c r="FQW33" s="165"/>
      <c r="FQX33" s="165"/>
      <c r="FQY33" s="165"/>
      <c r="FQZ33" s="165"/>
      <c r="FRA33" s="165"/>
      <c r="FRB33" s="165"/>
      <c r="FRC33" s="165"/>
      <c r="FRD33" s="165"/>
      <c r="FRE33" s="165"/>
      <c r="FRF33" s="165"/>
      <c r="FRG33" s="165"/>
      <c r="FRH33" s="165"/>
      <c r="FRI33" s="165"/>
      <c r="FRJ33" s="165"/>
      <c r="FRK33" s="165"/>
      <c r="FRL33" s="165"/>
      <c r="FRM33" s="165"/>
      <c r="FRN33" s="165"/>
      <c r="FRO33" s="165"/>
      <c r="FRP33" s="165"/>
      <c r="FRQ33" s="165"/>
      <c r="FRR33" s="165"/>
      <c r="FRS33" s="165"/>
      <c r="FRT33" s="165"/>
      <c r="FRU33" s="165"/>
      <c r="FRV33" s="165"/>
      <c r="FRW33" s="165"/>
      <c r="FRX33" s="165"/>
      <c r="FRY33" s="165"/>
      <c r="FRZ33" s="165"/>
      <c r="FSA33" s="165"/>
      <c r="FSB33" s="165"/>
      <c r="FSC33" s="165"/>
      <c r="FSD33" s="165"/>
      <c r="FSE33" s="165"/>
      <c r="FSF33" s="165"/>
      <c r="FSG33" s="165"/>
      <c r="FSH33" s="165"/>
      <c r="FSI33" s="165"/>
      <c r="FSJ33" s="165"/>
      <c r="FSK33" s="165"/>
      <c r="FSL33" s="165"/>
      <c r="FSM33" s="165"/>
      <c r="FSN33" s="165"/>
      <c r="FSO33" s="165"/>
      <c r="FSP33" s="165"/>
      <c r="FSQ33" s="165"/>
      <c r="FSR33" s="165"/>
      <c r="FSS33" s="165"/>
      <c r="FST33" s="165"/>
      <c r="FSU33" s="165"/>
      <c r="FSV33" s="165"/>
      <c r="FSW33" s="165"/>
      <c r="FSX33" s="165"/>
      <c r="FSY33" s="165"/>
      <c r="FSZ33" s="165"/>
      <c r="FTA33" s="165"/>
      <c r="FTB33" s="165"/>
      <c r="FTC33" s="165"/>
      <c r="FTD33" s="165"/>
      <c r="FTE33" s="165"/>
      <c r="FTF33" s="165"/>
      <c r="FTG33" s="165"/>
      <c r="FTH33" s="165"/>
      <c r="FTI33" s="165"/>
      <c r="FTJ33" s="165"/>
      <c r="FTK33" s="165"/>
      <c r="FTL33" s="165"/>
      <c r="FTM33" s="165"/>
      <c r="FTN33" s="165"/>
      <c r="FTO33" s="165"/>
      <c r="FTP33" s="165"/>
      <c r="FTQ33" s="165"/>
      <c r="FTR33" s="165"/>
      <c r="FTS33" s="165"/>
      <c r="FTT33" s="165"/>
      <c r="FTU33" s="165"/>
      <c r="FTV33" s="165"/>
      <c r="FTW33" s="165"/>
      <c r="FTX33" s="165"/>
      <c r="FTY33" s="165"/>
      <c r="FTZ33" s="165"/>
      <c r="FUA33" s="165"/>
      <c r="FUB33" s="165"/>
      <c r="FUC33" s="165"/>
      <c r="FUD33" s="165"/>
      <c r="FUE33" s="165"/>
      <c r="FUF33" s="165"/>
      <c r="FUG33" s="165"/>
      <c r="FUH33" s="165"/>
      <c r="FUI33" s="165"/>
      <c r="FUJ33" s="165"/>
      <c r="FUK33" s="165"/>
      <c r="FUL33" s="165"/>
      <c r="FUM33" s="165"/>
      <c r="FUN33" s="165"/>
      <c r="FUO33" s="165"/>
      <c r="FUP33" s="165"/>
      <c r="FUQ33" s="165"/>
      <c r="FUR33" s="165"/>
      <c r="FUS33" s="165"/>
      <c r="FUT33" s="165"/>
      <c r="FUU33" s="165"/>
      <c r="FUV33" s="165"/>
      <c r="FUW33" s="165"/>
      <c r="FUX33" s="165"/>
      <c r="FUY33" s="165"/>
      <c r="FUZ33" s="165"/>
      <c r="FVA33" s="165"/>
      <c r="FVB33" s="165"/>
      <c r="FVC33" s="165"/>
      <c r="FVD33" s="165"/>
      <c r="FVE33" s="165"/>
      <c r="FVF33" s="165"/>
      <c r="FVG33" s="165"/>
      <c r="FVH33" s="165"/>
      <c r="FVI33" s="165"/>
      <c r="FVJ33" s="165"/>
      <c r="FVK33" s="165"/>
      <c r="FVL33" s="165"/>
      <c r="FVM33" s="165"/>
      <c r="FVN33" s="165"/>
      <c r="FVO33" s="165"/>
      <c r="FVP33" s="165"/>
      <c r="FVQ33" s="165"/>
      <c r="FVR33" s="165"/>
      <c r="FVS33" s="165"/>
      <c r="FVT33" s="165"/>
      <c r="FVU33" s="165"/>
      <c r="FVV33" s="165"/>
      <c r="FVW33" s="165"/>
      <c r="FVX33" s="165"/>
      <c r="FVY33" s="165"/>
      <c r="FVZ33" s="165"/>
      <c r="FWA33" s="165"/>
      <c r="FWB33" s="165"/>
      <c r="FWC33" s="165"/>
      <c r="FWD33" s="165"/>
      <c r="FWE33" s="165"/>
      <c r="FWF33" s="165"/>
      <c r="FWG33" s="165"/>
      <c r="FWH33" s="165"/>
      <c r="FWI33" s="165"/>
      <c r="FWJ33" s="165"/>
      <c r="FWK33" s="165"/>
      <c r="FWL33" s="165"/>
      <c r="FWM33" s="165"/>
      <c r="FWN33" s="165"/>
      <c r="FWO33" s="165"/>
      <c r="FWP33" s="165"/>
      <c r="FWQ33" s="165"/>
      <c r="FWR33" s="165"/>
      <c r="FWS33" s="165"/>
      <c r="FWT33" s="165"/>
      <c r="FWU33" s="165"/>
      <c r="FWV33" s="165"/>
      <c r="FWW33" s="165"/>
      <c r="FWX33" s="165"/>
      <c r="FWY33" s="165"/>
      <c r="FWZ33" s="165"/>
      <c r="FXA33" s="165"/>
      <c r="FXB33" s="165"/>
      <c r="FXC33" s="165"/>
      <c r="FXD33" s="165"/>
      <c r="FXE33" s="165"/>
      <c r="FXF33" s="165"/>
      <c r="FXG33" s="165"/>
      <c r="FXH33" s="165"/>
      <c r="FXI33" s="165"/>
      <c r="FXJ33" s="165"/>
      <c r="FXK33" s="165"/>
      <c r="FXL33" s="165"/>
      <c r="FXM33" s="165"/>
      <c r="FXN33" s="165"/>
      <c r="FXO33" s="165"/>
      <c r="FXP33" s="165"/>
      <c r="FXQ33" s="165"/>
      <c r="FXR33" s="165"/>
      <c r="FXS33" s="165"/>
      <c r="FXT33" s="165"/>
      <c r="FXU33" s="165"/>
      <c r="FXV33" s="165"/>
      <c r="FXW33" s="165"/>
      <c r="FXX33" s="165"/>
      <c r="FXY33" s="165"/>
      <c r="FXZ33" s="165"/>
      <c r="FYA33" s="165"/>
      <c r="FYB33" s="165"/>
      <c r="FYC33" s="165"/>
      <c r="FYD33" s="165"/>
      <c r="FYE33" s="165"/>
      <c r="FYF33" s="165"/>
      <c r="FYG33" s="165"/>
      <c r="FYH33" s="165"/>
      <c r="FYI33" s="165"/>
      <c r="FYJ33" s="165"/>
      <c r="FYK33" s="165"/>
      <c r="FYL33" s="165"/>
      <c r="FYM33" s="165"/>
      <c r="FYN33" s="165"/>
      <c r="FYO33" s="165"/>
      <c r="FYP33" s="165"/>
      <c r="FYQ33" s="165"/>
      <c r="FYR33" s="165"/>
      <c r="FYS33" s="165"/>
      <c r="FYT33" s="165"/>
      <c r="FYU33" s="165"/>
      <c r="FYV33" s="165"/>
      <c r="FYW33" s="165"/>
      <c r="FYX33" s="165"/>
      <c r="FYY33" s="165"/>
      <c r="FYZ33" s="165"/>
      <c r="FZA33" s="165"/>
      <c r="FZB33" s="165"/>
      <c r="FZC33" s="165"/>
      <c r="FZD33" s="165"/>
      <c r="FZE33" s="165"/>
      <c r="FZF33" s="165"/>
      <c r="FZG33" s="165"/>
      <c r="FZH33" s="165"/>
      <c r="FZI33" s="165"/>
      <c r="FZJ33" s="165"/>
      <c r="FZK33" s="165"/>
      <c r="FZL33" s="165"/>
      <c r="FZM33" s="165"/>
      <c r="FZN33" s="165"/>
      <c r="FZO33" s="165"/>
      <c r="FZP33" s="165"/>
      <c r="FZQ33" s="165"/>
      <c r="FZR33" s="165"/>
      <c r="FZS33" s="165"/>
      <c r="FZT33" s="165"/>
      <c r="FZU33" s="165"/>
      <c r="FZV33" s="165"/>
      <c r="FZW33" s="165"/>
      <c r="FZX33" s="165"/>
      <c r="FZY33" s="165"/>
      <c r="FZZ33" s="165"/>
      <c r="GAA33" s="165"/>
      <c r="GAB33" s="165"/>
      <c r="GAC33" s="165"/>
      <c r="GAD33" s="165"/>
      <c r="GAE33" s="165"/>
      <c r="GAF33" s="165"/>
      <c r="GAG33" s="165"/>
      <c r="GAH33" s="165"/>
      <c r="GAI33" s="165"/>
      <c r="GAJ33" s="165"/>
      <c r="GAK33" s="165"/>
      <c r="GAL33" s="165"/>
      <c r="GAM33" s="165"/>
      <c r="GAN33" s="165"/>
      <c r="GAO33" s="165"/>
      <c r="GAP33" s="165"/>
      <c r="GAQ33" s="165"/>
      <c r="GAR33" s="165"/>
      <c r="GAS33" s="165"/>
      <c r="GAT33" s="165"/>
      <c r="GAU33" s="165"/>
      <c r="GAV33" s="165"/>
      <c r="GAW33" s="165"/>
      <c r="GAX33" s="165"/>
      <c r="GAY33" s="165"/>
      <c r="GAZ33" s="165"/>
      <c r="GBA33" s="165"/>
      <c r="GBB33" s="165"/>
      <c r="GBC33" s="165"/>
      <c r="GBD33" s="165"/>
      <c r="GBE33" s="165"/>
      <c r="GBF33" s="165"/>
      <c r="GBG33" s="165"/>
      <c r="GBH33" s="165"/>
      <c r="GBI33" s="165"/>
      <c r="GBJ33" s="165"/>
      <c r="GBK33" s="165"/>
      <c r="GBL33" s="165"/>
      <c r="GBM33" s="165"/>
      <c r="GBN33" s="165"/>
      <c r="GBO33" s="165"/>
      <c r="GBP33" s="165"/>
      <c r="GBQ33" s="165"/>
      <c r="GBR33" s="165"/>
      <c r="GBS33" s="165"/>
      <c r="GBT33" s="165"/>
      <c r="GBU33" s="165"/>
      <c r="GBV33" s="165"/>
      <c r="GBW33" s="165"/>
      <c r="GBX33" s="165"/>
      <c r="GBY33" s="165"/>
      <c r="GBZ33" s="165"/>
      <c r="GCA33" s="165"/>
      <c r="GCB33" s="165"/>
      <c r="GCC33" s="165"/>
      <c r="GCD33" s="165"/>
      <c r="GCE33" s="165"/>
      <c r="GCF33" s="165"/>
      <c r="GCG33" s="165"/>
      <c r="GCH33" s="165"/>
      <c r="GCI33" s="165"/>
      <c r="GCJ33" s="165"/>
      <c r="GCK33" s="165"/>
      <c r="GCL33" s="165"/>
      <c r="GCM33" s="165"/>
      <c r="GCN33" s="165"/>
      <c r="GCO33" s="165"/>
      <c r="GCP33" s="165"/>
      <c r="GCQ33" s="165"/>
      <c r="GCR33" s="165"/>
      <c r="GCS33" s="165"/>
      <c r="GCT33" s="165"/>
      <c r="GCU33" s="165"/>
      <c r="GCV33" s="165"/>
      <c r="GCW33" s="165"/>
      <c r="GCX33" s="165"/>
      <c r="GCY33" s="165"/>
      <c r="GCZ33" s="165"/>
      <c r="GDA33" s="165"/>
      <c r="GDB33" s="165"/>
      <c r="GDC33" s="165"/>
      <c r="GDD33" s="165"/>
      <c r="GDE33" s="165"/>
      <c r="GDF33" s="165"/>
      <c r="GDG33" s="165"/>
      <c r="GDH33" s="165"/>
      <c r="GDI33" s="165"/>
      <c r="GDJ33" s="165"/>
      <c r="GDK33" s="165"/>
      <c r="GDL33" s="165"/>
      <c r="GDM33" s="165"/>
      <c r="GDN33" s="165"/>
      <c r="GDO33" s="165"/>
      <c r="GDP33" s="165"/>
      <c r="GDQ33" s="165"/>
      <c r="GDR33" s="165"/>
      <c r="GDS33" s="165"/>
      <c r="GDT33" s="165"/>
      <c r="GDU33" s="165"/>
      <c r="GDV33" s="165"/>
      <c r="GDW33" s="165"/>
      <c r="GDX33" s="165"/>
      <c r="GDY33" s="165"/>
      <c r="GDZ33" s="165"/>
      <c r="GEA33" s="165"/>
      <c r="GEB33" s="165"/>
      <c r="GEC33" s="165"/>
      <c r="GED33" s="165"/>
      <c r="GEE33" s="165"/>
      <c r="GEF33" s="165"/>
      <c r="GEG33" s="165"/>
      <c r="GEH33" s="165"/>
      <c r="GEI33" s="165"/>
      <c r="GEJ33" s="165"/>
      <c r="GEK33" s="165"/>
      <c r="GEL33" s="165"/>
      <c r="GEM33" s="165"/>
      <c r="GEN33" s="165"/>
      <c r="GEO33" s="165"/>
      <c r="GEP33" s="165"/>
      <c r="GEQ33" s="165"/>
      <c r="GER33" s="165"/>
      <c r="GES33" s="165"/>
      <c r="GET33" s="165"/>
      <c r="GEU33" s="165"/>
      <c r="GEV33" s="165"/>
      <c r="GEW33" s="165"/>
      <c r="GEX33" s="165"/>
      <c r="GEY33" s="165"/>
      <c r="GEZ33" s="165"/>
      <c r="GFA33" s="165"/>
      <c r="GFB33" s="165"/>
      <c r="GFC33" s="165"/>
      <c r="GFD33" s="165"/>
      <c r="GFE33" s="165"/>
      <c r="GFF33" s="165"/>
      <c r="GFG33" s="165"/>
      <c r="GFH33" s="165"/>
      <c r="GFI33" s="165"/>
      <c r="GFJ33" s="165"/>
      <c r="GFK33" s="165"/>
      <c r="GFL33" s="165"/>
      <c r="GFM33" s="165"/>
      <c r="GFN33" s="165"/>
      <c r="GFO33" s="165"/>
      <c r="GFP33" s="165"/>
      <c r="GFQ33" s="165"/>
      <c r="GFR33" s="165"/>
      <c r="GFS33" s="165"/>
      <c r="GFT33" s="165"/>
      <c r="GFU33" s="165"/>
      <c r="GFV33" s="165"/>
      <c r="GFW33" s="165"/>
      <c r="GFX33" s="165"/>
      <c r="GFY33" s="165"/>
      <c r="GFZ33" s="165"/>
      <c r="GGA33" s="165"/>
      <c r="GGB33" s="165"/>
      <c r="GGC33" s="165"/>
      <c r="GGD33" s="165"/>
      <c r="GGE33" s="165"/>
      <c r="GGF33" s="165"/>
      <c r="GGG33" s="165"/>
      <c r="GGH33" s="165"/>
      <c r="GGI33" s="165"/>
      <c r="GGJ33" s="165"/>
      <c r="GGK33" s="165"/>
      <c r="GGL33" s="165"/>
      <c r="GGM33" s="165"/>
      <c r="GGN33" s="165"/>
      <c r="GGO33" s="165"/>
      <c r="GGP33" s="165"/>
      <c r="GGQ33" s="165"/>
      <c r="GGR33" s="165"/>
      <c r="GGS33" s="165"/>
      <c r="GGT33" s="165"/>
      <c r="GGU33" s="165"/>
      <c r="GGV33" s="165"/>
      <c r="GGW33" s="165"/>
      <c r="GGX33" s="165"/>
      <c r="GGY33" s="165"/>
      <c r="GGZ33" s="165"/>
      <c r="GHA33" s="165"/>
      <c r="GHB33" s="165"/>
      <c r="GHC33" s="165"/>
      <c r="GHD33" s="165"/>
      <c r="GHE33" s="165"/>
      <c r="GHF33" s="165"/>
      <c r="GHG33" s="165"/>
      <c r="GHH33" s="165"/>
      <c r="GHI33" s="165"/>
      <c r="GHJ33" s="165"/>
      <c r="GHK33" s="165"/>
      <c r="GHL33" s="165"/>
      <c r="GHM33" s="165"/>
      <c r="GHN33" s="165"/>
      <c r="GHO33" s="165"/>
      <c r="GHP33" s="165"/>
      <c r="GHQ33" s="165"/>
      <c r="GHR33" s="165"/>
      <c r="GHS33" s="165"/>
      <c r="GHT33" s="165"/>
      <c r="GHU33" s="165"/>
      <c r="GHV33" s="165"/>
      <c r="GHW33" s="165"/>
      <c r="GHX33" s="165"/>
      <c r="GHY33" s="165"/>
      <c r="GHZ33" s="165"/>
      <c r="GIA33" s="165"/>
      <c r="GIB33" s="165"/>
      <c r="GIC33" s="165"/>
      <c r="GID33" s="165"/>
      <c r="GIE33" s="165"/>
      <c r="GIF33" s="165"/>
      <c r="GIG33" s="165"/>
      <c r="GIH33" s="165"/>
      <c r="GII33" s="165"/>
      <c r="GIJ33" s="165"/>
      <c r="GIK33" s="165"/>
      <c r="GIL33" s="165"/>
      <c r="GIM33" s="165"/>
      <c r="GIN33" s="165"/>
      <c r="GIO33" s="165"/>
      <c r="GIP33" s="165"/>
      <c r="GIQ33" s="165"/>
      <c r="GIR33" s="165"/>
      <c r="GIS33" s="165"/>
      <c r="GIT33" s="165"/>
      <c r="GIU33" s="165"/>
      <c r="GIV33" s="165"/>
      <c r="GIW33" s="165"/>
      <c r="GIX33" s="165"/>
      <c r="GIY33" s="165"/>
      <c r="GIZ33" s="165"/>
      <c r="GJA33" s="165"/>
      <c r="GJB33" s="165"/>
      <c r="GJC33" s="165"/>
      <c r="GJD33" s="165"/>
      <c r="GJE33" s="165"/>
      <c r="GJF33" s="165"/>
      <c r="GJG33" s="165"/>
      <c r="GJH33" s="165"/>
      <c r="GJI33" s="165"/>
      <c r="GJJ33" s="165"/>
      <c r="GJK33" s="165"/>
      <c r="GJL33" s="165"/>
      <c r="GJM33" s="165"/>
      <c r="GJN33" s="165"/>
      <c r="GJO33" s="165"/>
      <c r="GJP33" s="165"/>
      <c r="GJQ33" s="165"/>
      <c r="GJR33" s="165"/>
      <c r="GJS33" s="165"/>
      <c r="GJT33" s="165"/>
      <c r="GJU33" s="165"/>
      <c r="GJV33" s="165"/>
      <c r="GJW33" s="165"/>
      <c r="GJX33" s="165"/>
      <c r="GJY33" s="165"/>
      <c r="GJZ33" s="165"/>
      <c r="GKA33" s="165"/>
      <c r="GKB33" s="165"/>
      <c r="GKC33" s="165"/>
      <c r="GKD33" s="165"/>
      <c r="GKE33" s="165"/>
      <c r="GKF33" s="165"/>
      <c r="GKG33" s="165"/>
      <c r="GKH33" s="165"/>
      <c r="GKI33" s="165"/>
      <c r="GKJ33" s="165"/>
      <c r="GKK33" s="165"/>
      <c r="GKL33" s="165"/>
      <c r="GKM33" s="165"/>
      <c r="GKN33" s="165"/>
      <c r="GKO33" s="165"/>
      <c r="GKP33" s="165"/>
      <c r="GKQ33" s="165"/>
      <c r="GKR33" s="165"/>
      <c r="GKS33" s="165"/>
      <c r="GKT33" s="165"/>
      <c r="GKU33" s="165"/>
      <c r="GKV33" s="165"/>
      <c r="GKW33" s="165"/>
      <c r="GKX33" s="165"/>
      <c r="GKY33" s="165"/>
      <c r="GKZ33" s="165"/>
      <c r="GLA33" s="165"/>
      <c r="GLB33" s="165"/>
      <c r="GLC33" s="165"/>
      <c r="GLD33" s="165"/>
      <c r="GLE33" s="165"/>
      <c r="GLF33" s="165"/>
      <c r="GLG33" s="165"/>
      <c r="GLH33" s="165"/>
      <c r="GLI33" s="165"/>
      <c r="GLJ33" s="165"/>
      <c r="GLK33" s="165"/>
      <c r="GLL33" s="165"/>
      <c r="GLM33" s="165"/>
      <c r="GLN33" s="165"/>
      <c r="GLO33" s="165"/>
      <c r="GLP33" s="165"/>
      <c r="GLQ33" s="165"/>
      <c r="GLR33" s="165"/>
      <c r="GLS33" s="165"/>
      <c r="GLT33" s="165"/>
      <c r="GLU33" s="165"/>
      <c r="GLV33" s="165"/>
      <c r="GLW33" s="165"/>
      <c r="GLX33" s="165"/>
      <c r="GLY33" s="165"/>
      <c r="GLZ33" s="165"/>
      <c r="GMA33" s="165"/>
      <c r="GMB33" s="165"/>
      <c r="GMC33" s="165"/>
      <c r="GMD33" s="165"/>
      <c r="GME33" s="165"/>
      <c r="GMF33" s="165"/>
      <c r="GMG33" s="165"/>
      <c r="GMH33" s="165"/>
      <c r="GMI33" s="165"/>
      <c r="GMJ33" s="165"/>
      <c r="GMK33" s="165"/>
      <c r="GML33" s="165"/>
      <c r="GMM33" s="165"/>
      <c r="GMN33" s="165"/>
      <c r="GMO33" s="165"/>
      <c r="GMP33" s="165"/>
      <c r="GMQ33" s="165"/>
      <c r="GMR33" s="165"/>
      <c r="GMS33" s="165"/>
      <c r="GMT33" s="165"/>
      <c r="GMU33" s="165"/>
      <c r="GMV33" s="165"/>
      <c r="GMW33" s="165"/>
      <c r="GMX33" s="165"/>
      <c r="GMY33" s="165"/>
      <c r="GMZ33" s="165"/>
      <c r="GNA33" s="165"/>
      <c r="GNB33" s="165"/>
      <c r="GNC33" s="165"/>
      <c r="GND33" s="165"/>
      <c r="GNE33" s="165"/>
      <c r="GNF33" s="165"/>
      <c r="GNG33" s="165"/>
      <c r="GNH33" s="165"/>
      <c r="GNI33" s="165"/>
      <c r="GNJ33" s="165"/>
      <c r="GNK33" s="165"/>
      <c r="GNL33" s="165"/>
      <c r="GNM33" s="165"/>
      <c r="GNN33" s="165"/>
      <c r="GNO33" s="165"/>
      <c r="GNP33" s="165"/>
      <c r="GNQ33" s="165"/>
      <c r="GNR33" s="165"/>
      <c r="GNS33" s="165"/>
      <c r="GNT33" s="165"/>
      <c r="GNU33" s="165"/>
      <c r="GNV33" s="165"/>
      <c r="GNW33" s="165"/>
      <c r="GNX33" s="165"/>
      <c r="GNY33" s="165"/>
      <c r="GNZ33" s="165"/>
      <c r="GOA33" s="165"/>
      <c r="GOB33" s="165"/>
      <c r="GOC33" s="165"/>
      <c r="GOD33" s="165"/>
      <c r="GOE33" s="165"/>
      <c r="GOF33" s="165"/>
      <c r="GOG33" s="165"/>
      <c r="GOH33" s="165"/>
      <c r="GOI33" s="165"/>
      <c r="GOJ33" s="165"/>
      <c r="GOK33" s="165"/>
      <c r="GOL33" s="165"/>
      <c r="GOM33" s="165"/>
      <c r="GON33" s="165"/>
      <c r="GOO33" s="165"/>
      <c r="GOP33" s="165"/>
      <c r="GOQ33" s="165"/>
      <c r="GOR33" s="165"/>
      <c r="GOS33" s="165"/>
      <c r="GOT33" s="165"/>
      <c r="GOU33" s="165"/>
      <c r="GOV33" s="165"/>
      <c r="GOW33" s="165"/>
      <c r="GOX33" s="165"/>
      <c r="GOY33" s="165"/>
      <c r="GOZ33" s="165"/>
      <c r="GPA33" s="165"/>
      <c r="GPB33" s="165"/>
      <c r="GPC33" s="165"/>
      <c r="GPD33" s="165"/>
      <c r="GPE33" s="165"/>
      <c r="GPF33" s="165"/>
      <c r="GPG33" s="165"/>
      <c r="GPH33" s="165"/>
      <c r="GPI33" s="165"/>
      <c r="GPJ33" s="165"/>
      <c r="GPK33" s="165"/>
      <c r="GPL33" s="165"/>
      <c r="GPM33" s="165"/>
      <c r="GPN33" s="165"/>
      <c r="GPO33" s="165"/>
      <c r="GPP33" s="165"/>
      <c r="GPQ33" s="165"/>
      <c r="GPR33" s="165"/>
      <c r="GPS33" s="165"/>
      <c r="GPT33" s="165"/>
      <c r="GPU33" s="165"/>
      <c r="GPV33" s="165"/>
      <c r="GPW33" s="165"/>
      <c r="GPX33" s="165"/>
      <c r="GPY33" s="165"/>
      <c r="GPZ33" s="165"/>
      <c r="GQA33" s="165"/>
      <c r="GQB33" s="165"/>
      <c r="GQC33" s="165"/>
      <c r="GQD33" s="165"/>
      <c r="GQE33" s="165"/>
      <c r="GQF33" s="165"/>
      <c r="GQG33" s="165"/>
      <c r="GQH33" s="165"/>
      <c r="GQI33" s="165"/>
      <c r="GQJ33" s="165"/>
      <c r="GQK33" s="165"/>
      <c r="GQL33" s="165"/>
      <c r="GQM33" s="165"/>
      <c r="GQN33" s="165"/>
      <c r="GQO33" s="165"/>
      <c r="GQP33" s="165"/>
      <c r="GQQ33" s="165"/>
      <c r="GQR33" s="165"/>
      <c r="GQS33" s="165"/>
      <c r="GQT33" s="165"/>
      <c r="GQU33" s="165"/>
      <c r="GQV33" s="165"/>
      <c r="GQW33" s="165"/>
      <c r="GQX33" s="165"/>
      <c r="GQY33" s="165"/>
      <c r="GQZ33" s="165"/>
      <c r="GRA33" s="165"/>
      <c r="GRB33" s="165"/>
      <c r="GRC33" s="165"/>
      <c r="GRD33" s="165"/>
      <c r="GRE33" s="165"/>
      <c r="GRF33" s="165"/>
      <c r="GRG33" s="165"/>
      <c r="GRH33" s="165"/>
      <c r="GRI33" s="165"/>
      <c r="GRJ33" s="165"/>
      <c r="GRK33" s="165"/>
      <c r="GRL33" s="165"/>
      <c r="GRM33" s="165"/>
      <c r="GRN33" s="165"/>
      <c r="GRO33" s="165"/>
      <c r="GRP33" s="165"/>
      <c r="GRQ33" s="165"/>
      <c r="GRR33" s="165"/>
      <c r="GRS33" s="165"/>
      <c r="GRT33" s="165"/>
      <c r="GRU33" s="165"/>
      <c r="GRV33" s="165"/>
      <c r="GRW33" s="165"/>
      <c r="GRX33" s="165"/>
      <c r="GRY33" s="165"/>
      <c r="GRZ33" s="165"/>
      <c r="GSA33" s="165"/>
      <c r="GSB33" s="165"/>
      <c r="GSC33" s="165"/>
      <c r="GSD33" s="165"/>
      <c r="GSE33" s="165"/>
      <c r="GSF33" s="165"/>
      <c r="GSG33" s="165"/>
      <c r="GSH33" s="165"/>
      <c r="GSI33" s="165"/>
      <c r="GSJ33" s="165"/>
      <c r="GSK33" s="165"/>
      <c r="GSL33" s="165"/>
      <c r="GSM33" s="165"/>
      <c r="GSN33" s="165"/>
      <c r="GSO33" s="165"/>
      <c r="GSP33" s="165"/>
      <c r="GSQ33" s="165"/>
      <c r="GSR33" s="165"/>
      <c r="GSS33" s="165"/>
      <c r="GST33" s="165"/>
      <c r="GSU33" s="165"/>
      <c r="GSV33" s="165"/>
      <c r="GSW33" s="165"/>
      <c r="GSX33" s="165"/>
      <c r="GSY33" s="165"/>
      <c r="GSZ33" s="165"/>
      <c r="GTA33" s="165"/>
      <c r="GTB33" s="165"/>
      <c r="GTC33" s="165"/>
      <c r="GTD33" s="165"/>
      <c r="GTE33" s="165"/>
      <c r="GTF33" s="165"/>
      <c r="GTG33" s="165"/>
      <c r="GTH33" s="165"/>
      <c r="GTI33" s="165"/>
      <c r="GTJ33" s="165"/>
      <c r="GTK33" s="165"/>
      <c r="GTL33" s="165"/>
      <c r="GTM33" s="165"/>
      <c r="GTN33" s="165"/>
      <c r="GTO33" s="165"/>
      <c r="GTP33" s="165"/>
      <c r="GTQ33" s="165"/>
      <c r="GTR33" s="165"/>
      <c r="GTS33" s="165"/>
      <c r="GTT33" s="165"/>
      <c r="GTU33" s="165"/>
      <c r="GTV33" s="165"/>
      <c r="GTW33" s="165"/>
      <c r="GTX33" s="165"/>
      <c r="GTY33" s="165"/>
      <c r="GTZ33" s="165"/>
      <c r="GUA33" s="165"/>
      <c r="GUB33" s="165"/>
      <c r="GUC33" s="165"/>
      <c r="GUD33" s="165"/>
      <c r="GUE33" s="165"/>
      <c r="GUF33" s="165"/>
      <c r="GUG33" s="165"/>
      <c r="GUH33" s="165"/>
      <c r="GUI33" s="165"/>
      <c r="GUJ33" s="165"/>
      <c r="GUK33" s="165"/>
      <c r="GUL33" s="165"/>
      <c r="GUM33" s="165"/>
      <c r="GUN33" s="165"/>
      <c r="GUO33" s="165"/>
      <c r="GUP33" s="165"/>
      <c r="GUQ33" s="165"/>
      <c r="GUR33" s="165"/>
      <c r="GUS33" s="165"/>
      <c r="GUT33" s="165"/>
      <c r="GUU33" s="165"/>
      <c r="GUV33" s="165"/>
      <c r="GUW33" s="165"/>
      <c r="GUX33" s="165"/>
      <c r="GUY33" s="165"/>
      <c r="GUZ33" s="165"/>
      <c r="GVA33" s="165"/>
      <c r="GVB33" s="165"/>
      <c r="GVC33" s="165"/>
      <c r="GVD33" s="165"/>
      <c r="GVE33" s="165"/>
      <c r="GVF33" s="165"/>
      <c r="GVG33" s="165"/>
      <c r="GVH33" s="165"/>
      <c r="GVI33" s="165"/>
      <c r="GVJ33" s="165"/>
      <c r="GVK33" s="165"/>
      <c r="GVL33" s="165"/>
      <c r="GVM33" s="165"/>
      <c r="GVN33" s="165"/>
      <c r="GVO33" s="165"/>
      <c r="GVP33" s="165"/>
      <c r="GVQ33" s="165"/>
      <c r="GVR33" s="165"/>
      <c r="GVS33" s="165"/>
      <c r="GVT33" s="165"/>
      <c r="GVU33" s="165"/>
      <c r="GVV33" s="165"/>
      <c r="GVW33" s="165"/>
      <c r="GVX33" s="165"/>
      <c r="GVY33" s="165"/>
      <c r="GVZ33" s="165"/>
      <c r="GWA33" s="165"/>
      <c r="GWB33" s="165"/>
      <c r="GWC33" s="165"/>
      <c r="GWD33" s="165"/>
      <c r="GWE33" s="165"/>
      <c r="GWF33" s="165"/>
      <c r="GWG33" s="165"/>
      <c r="GWH33" s="165"/>
      <c r="GWI33" s="165"/>
      <c r="GWJ33" s="165"/>
      <c r="GWK33" s="165"/>
      <c r="GWL33" s="165"/>
      <c r="GWM33" s="165"/>
      <c r="GWN33" s="165"/>
      <c r="GWO33" s="165"/>
      <c r="GWP33" s="165"/>
      <c r="GWQ33" s="165"/>
      <c r="GWR33" s="165"/>
      <c r="GWS33" s="165"/>
      <c r="GWT33" s="165"/>
      <c r="GWU33" s="165"/>
      <c r="GWV33" s="165"/>
      <c r="GWW33" s="165"/>
      <c r="GWX33" s="165"/>
      <c r="GWY33" s="165"/>
      <c r="GWZ33" s="165"/>
      <c r="GXA33" s="165"/>
      <c r="GXB33" s="165"/>
      <c r="GXC33" s="165"/>
      <c r="GXD33" s="165"/>
      <c r="GXE33" s="165"/>
      <c r="GXF33" s="165"/>
      <c r="GXG33" s="165"/>
      <c r="GXH33" s="165"/>
      <c r="GXI33" s="165"/>
      <c r="GXJ33" s="165"/>
      <c r="GXK33" s="165"/>
      <c r="GXL33" s="165"/>
      <c r="GXM33" s="165"/>
      <c r="GXN33" s="165"/>
      <c r="GXO33" s="165"/>
      <c r="GXP33" s="165"/>
      <c r="GXQ33" s="165"/>
      <c r="GXR33" s="165"/>
      <c r="GXS33" s="165"/>
      <c r="GXT33" s="165"/>
      <c r="GXU33" s="165"/>
      <c r="GXV33" s="165"/>
      <c r="GXW33" s="165"/>
      <c r="GXX33" s="165"/>
      <c r="GXY33" s="165"/>
      <c r="GXZ33" s="165"/>
      <c r="GYA33" s="165"/>
      <c r="GYB33" s="165"/>
      <c r="GYC33" s="165"/>
      <c r="GYD33" s="165"/>
      <c r="GYE33" s="165"/>
      <c r="GYF33" s="165"/>
      <c r="GYG33" s="165"/>
      <c r="GYH33" s="165"/>
      <c r="GYI33" s="165"/>
      <c r="GYJ33" s="165"/>
      <c r="GYK33" s="165"/>
      <c r="GYL33" s="165"/>
      <c r="GYM33" s="165"/>
      <c r="GYN33" s="165"/>
      <c r="GYO33" s="165"/>
      <c r="GYP33" s="165"/>
      <c r="GYQ33" s="165"/>
      <c r="GYR33" s="165"/>
      <c r="GYS33" s="165"/>
      <c r="GYT33" s="165"/>
      <c r="GYU33" s="165"/>
      <c r="GYV33" s="165"/>
      <c r="GYW33" s="165"/>
      <c r="GYX33" s="165"/>
      <c r="GYY33" s="165"/>
      <c r="GYZ33" s="165"/>
      <c r="GZA33" s="165"/>
      <c r="GZB33" s="165"/>
      <c r="GZC33" s="165"/>
      <c r="GZD33" s="165"/>
      <c r="GZE33" s="165"/>
      <c r="GZF33" s="165"/>
      <c r="GZG33" s="165"/>
      <c r="GZH33" s="165"/>
      <c r="GZI33" s="165"/>
      <c r="GZJ33" s="165"/>
      <c r="GZK33" s="165"/>
      <c r="GZL33" s="165"/>
      <c r="GZM33" s="165"/>
      <c r="GZN33" s="165"/>
      <c r="GZO33" s="165"/>
      <c r="GZP33" s="165"/>
      <c r="GZQ33" s="165"/>
      <c r="GZR33" s="165"/>
      <c r="GZS33" s="165"/>
      <c r="GZT33" s="165"/>
      <c r="GZU33" s="165"/>
      <c r="GZV33" s="165"/>
      <c r="GZW33" s="165"/>
      <c r="GZX33" s="165"/>
      <c r="GZY33" s="165"/>
      <c r="GZZ33" s="165"/>
      <c r="HAA33" s="165"/>
      <c r="HAB33" s="165"/>
      <c r="HAC33" s="165"/>
      <c r="HAD33" s="165"/>
      <c r="HAE33" s="165"/>
      <c r="HAF33" s="165"/>
      <c r="HAG33" s="165"/>
      <c r="HAH33" s="165"/>
      <c r="HAI33" s="165"/>
      <c r="HAJ33" s="165"/>
      <c r="HAK33" s="165"/>
      <c r="HAL33" s="165"/>
      <c r="HAM33" s="165"/>
      <c r="HAN33" s="165"/>
      <c r="HAO33" s="165"/>
      <c r="HAP33" s="165"/>
      <c r="HAQ33" s="165"/>
      <c r="HAR33" s="165"/>
      <c r="HAS33" s="165"/>
      <c r="HAT33" s="165"/>
      <c r="HAU33" s="165"/>
      <c r="HAV33" s="165"/>
      <c r="HAW33" s="165"/>
      <c r="HAX33" s="165"/>
      <c r="HAY33" s="165"/>
      <c r="HAZ33" s="165"/>
      <c r="HBA33" s="165"/>
      <c r="HBB33" s="165"/>
      <c r="HBC33" s="165"/>
      <c r="HBD33" s="165"/>
      <c r="HBE33" s="165"/>
      <c r="HBF33" s="165"/>
      <c r="HBG33" s="165"/>
      <c r="HBH33" s="165"/>
      <c r="HBI33" s="165"/>
      <c r="HBJ33" s="165"/>
      <c r="HBK33" s="165"/>
      <c r="HBL33" s="165"/>
      <c r="HBM33" s="165"/>
      <c r="HBN33" s="165"/>
      <c r="HBO33" s="165"/>
      <c r="HBP33" s="165"/>
      <c r="HBQ33" s="165"/>
      <c r="HBR33" s="165"/>
      <c r="HBS33" s="165"/>
      <c r="HBT33" s="165"/>
      <c r="HBU33" s="165"/>
      <c r="HBV33" s="165"/>
      <c r="HBW33" s="165"/>
      <c r="HBX33" s="165"/>
      <c r="HBY33" s="165"/>
      <c r="HBZ33" s="165"/>
      <c r="HCA33" s="165"/>
      <c r="HCB33" s="165"/>
      <c r="HCC33" s="165"/>
      <c r="HCD33" s="165"/>
      <c r="HCE33" s="165"/>
      <c r="HCF33" s="165"/>
      <c r="HCG33" s="165"/>
      <c r="HCH33" s="165"/>
      <c r="HCI33" s="165"/>
      <c r="HCJ33" s="165"/>
      <c r="HCK33" s="165"/>
      <c r="HCL33" s="165"/>
      <c r="HCM33" s="165"/>
      <c r="HCN33" s="165"/>
      <c r="HCO33" s="165"/>
      <c r="HCP33" s="165"/>
      <c r="HCQ33" s="165"/>
      <c r="HCR33" s="165"/>
      <c r="HCS33" s="165"/>
      <c r="HCT33" s="165"/>
      <c r="HCU33" s="165"/>
      <c r="HCV33" s="165"/>
      <c r="HCW33" s="165"/>
      <c r="HCX33" s="165"/>
      <c r="HCY33" s="165"/>
      <c r="HCZ33" s="165"/>
      <c r="HDA33" s="165"/>
      <c r="HDB33" s="165"/>
      <c r="HDC33" s="165"/>
      <c r="HDD33" s="165"/>
      <c r="HDE33" s="165"/>
      <c r="HDF33" s="165"/>
      <c r="HDG33" s="165"/>
      <c r="HDH33" s="165"/>
      <c r="HDI33" s="165"/>
      <c r="HDJ33" s="165"/>
      <c r="HDK33" s="165"/>
      <c r="HDL33" s="165"/>
      <c r="HDM33" s="165"/>
      <c r="HDN33" s="165"/>
      <c r="HDO33" s="165"/>
      <c r="HDP33" s="165"/>
      <c r="HDQ33" s="165"/>
      <c r="HDR33" s="165"/>
      <c r="HDS33" s="165"/>
      <c r="HDT33" s="165"/>
      <c r="HDU33" s="165"/>
      <c r="HDV33" s="165"/>
      <c r="HDW33" s="165"/>
      <c r="HDX33" s="165"/>
      <c r="HDY33" s="165"/>
      <c r="HDZ33" s="165"/>
      <c r="HEA33" s="165"/>
      <c r="HEB33" s="165"/>
      <c r="HEC33" s="165"/>
      <c r="HED33" s="165"/>
      <c r="HEE33" s="165"/>
      <c r="HEF33" s="165"/>
      <c r="HEG33" s="165"/>
      <c r="HEH33" s="165"/>
      <c r="HEI33" s="165"/>
      <c r="HEJ33" s="165"/>
      <c r="HEK33" s="165"/>
      <c r="HEL33" s="165"/>
      <c r="HEM33" s="165"/>
      <c r="HEN33" s="165"/>
      <c r="HEO33" s="165"/>
      <c r="HEP33" s="165"/>
      <c r="HEQ33" s="165"/>
      <c r="HER33" s="165"/>
      <c r="HES33" s="165"/>
      <c r="HET33" s="165"/>
      <c r="HEU33" s="165"/>
      <c r="HEV33" s="165"/>
      <c r="HEW33" s="165"/>
      <c r="HEX33" s="165"/>
      <c r="HEY33" s="165"/>
      <c r="HEZ33" s="165"/>
      <c r="HFA33" s="165"/>
      <c r="HFB33" s="165"/>
      <c r="HFC33" s="165"/>
      <c r="HFD33" s="165"/>
      <c r="HFE33" s="165"/>
      <c r="HFF33" s="165"/>
      <c r="HFG33" s="165"/>
      <c r="HFH33" s="165"/>
      <c r="HFI33" s="165"/>
      <c r="HFJ33" s="165"/>
      <c r="HFK33" s="165"/>
      <c r="HFL33" s="165"/>
      <c r="HFM33" s="165"/>
      <c r="HFN33" s="165"/>
      <c r="HFO33" s="165"/>
      <c r="HFP33" s="165"/>
      <c r="HFQ33" s="165"/>
      <c r="HFR33" s="165"/>
      <c r="HFS33" s="165"/>
      <c r="HFT33" s="165"/>
      <c r="HFU33" s="165"/>
      <c r="HFV33" s="165"/>
      <c r="HFW33" s="165"/>
      <c r="HFX33" s="165"/>
      <c r="HFY33" s="165"/>
      <c r="HFZ33" s="165"/>
      <c r="HGA33" s="165"/>
      <c r="HGB33" s="165"/>
      <c r="HGC33" s="165"/>
      <c r="HGD33" s="165"/>
      <c r="HGE33" s="165"/>
      <c r="HGF33" s="165"/>
      <c r="HGG33" s="165"/>
      <c r="HGH33" s="165"/>
      <c r="HGI33" s="165"/>
      <c r="HGJ33" s="165"/>
      <c r="HGK33" s="165"/>
      <c r="HGL33" s="165"/>
      <c r="HGM33" s="165"/>
      <c r="HGN33" s="165"/>
      <c r="HGO33" s="165"/>
      <c r="HGP33" s="165"/>
      <c r="HGQ33" s="165"/>
      <c r="HGR33" s="165"/>
      <c r="HGS33" s="165"/>
      <c r="HGT33" s="165"/>
      <c r="HGU33" s="165"/>
      <c r="HGV33" s="165"/>
      <c r="HGW33" s="165"/>
      <c r="HGX33" s="165"/>
      <c r="HGY33" s="165"/>
      <c r="HGZ33" s="165"/>
      <c r="HHA33" s="165"/>
      <c r="HHB33" s="165"/>
      <c r="HHC33" s="165"/>
      <c r="HHD33" s="165"/>
      <c r="HHE33" s="165"/>
      <c r="HHF33" s="165"/>
      <c r="HHG33" s="165"/>
      <c r="HHH33" s="165"/>
      <c r="HHI33" s="165"/>
      <c r="HHJ33" s="165"/>
      <c r="HHK33" s="165"/>
      <c r="HHL33" s="165"/>
      <c r="HHM33" s="165"/>
      <c r="HHN33" s="165"/>
      <c r="HHO33" s="165"/>
      <c r="HHP33" s="165"/>
      <c r="HHQ33" s="165"/>
      <c r="HHR33" s="165"/>
      <c r="HHS33" s="165"/>
      <c r="HHT33" s="165"/>
      <c r="HHU33" s="165"/>
      <c r="HHV33" s="165"/>
      <c r="HHW33" s="165"/>
      <c r="HHX33" s="165"/>
      <c r="HHY33" s="165"/>
      <c r="HHZ33" s="165"/>
      <c r="HIA33" s="165"/>
      <c r="HIB33" s="165"/>
      <c r="HIC33" s="165"/>
      <c r="HID33" s="165"/>
      <c r="HIE33" s="165"/>
      <c r="HIF33" s="165"/>
      <c r="HIG33" s="165"/>
      <c r="HIH33" s="165"/>
      <c r="HII33" s="165"/>
      <c r="HIJ33" s="165"/>
      <c r="HIK33" s="165"/>
      <c r="HIL33" s="165"/>
      <c r="HIM33" s="165"/>
      <c r="HIN33" s="165"/>
      <c r="HIO33" s="165"/>
      <c r="HIP33" s="165"/>
      <c r="HIQ33" s="165"/>
      <c r="HIR33" s="165"/>
      <c r="HIS33" s="165"/>
      <c r="HIT33" s="165"/>
      <c r="HIU33" s="165"/>
      <c r="HIV33" s="165"/>
      <c r="HIW33" s="165"/>
      <c r="HIX33" s="165"/>
      <c r="HIY33" s="165"/>
      <c r="HIZ33" s="165"/>
      <c r="HJA33" s="165"/>
      <c r="HJB33" s="165"/>
      <c r="HJC33" s="165"/>
      <c r="HJD33" s="165"/>
      <c r="HJE33" s="165"/>
      <c r="HJF33" s="165"/>
      <c r="HJG33" s="165"/>
      <c r="HJH33" s="165"/>
      <c r="HJI33" s="165"/>
      <c r="HJJ33" s="165"/>
      <c r="HJK33" s="165"/>
      <c r="HJL33" s="165"/>
      <c r="HJM33" s="165"/>
      <c r="HJN33" s="165"/>
      <c r="HJO33" s="165"/>
      <c r="HJP33" s="165"/>
      <c r="HJQ33" s="165"/>
      <c r="HJR33" s="165"/>
      <c r="HJS33" s="165"/>
      <c r="HJT33" s="165"/>
      <c r="HJU33" s="165"/>
      <c r="HJV33" s="165"/>
      <c r="HJW33" s="165"/>
      <c r="HJX33" s="165"/>
      <c r="HJY33" s="165"/>
      <c r="HJZ33" s="165"/>
      <c r="HKA33" s="165"/>
      <c r="HKB33" s="165"/>
      <c r="HKC33" s="165"/>
      <c r="HKD33" s="165"/>
      <c r="HKE33" s="165"/>
      <c r="HKF33" s="165"/>
      <c r="HKG33" s="165"/>
      <c r="HKH33" s="165"/>
      <c r="HKI33" s="165"/>
      <c r="HKJ33" s="165"/>
      <c r="HKK33" s="165"/>
      <c r="HKL33" s="165"/>
      <c r="HKM33" s="165"/>
      <c r="HKN33" s="165"/>
      <c r="HKO33" s="165"/>
      <c r="HKP33" s="165"/>
      <c r="HKQ33" s="165"/>
      <c r="HKR33" s="165"/>
      <c r="HKS33" s="165"/>
      <c r="HKT33" s="165"/>
      <c r="HKU33" s="165"/>
      <c r="HKV33" s="165"/>
      <c r="HKW33" s="165"/>
      <c r="HKX33" s="165"/>
      <c r="HKY33" s="165"/>
      <c r="HKZ33" s="165"/>
      <c r="HLA33" s="165"/>
      <c r="HLB33" s="165"/>
      <c r="HLC33" s="165"/>
      <c r="HLD33" s="165"/>
      <c r="HLE33" s="165"/>
      <c r="HLF33" s="165"/>
      <c r="HLG33" s="165"/>
      <c r="HLH33" s="165"/>
      <c r="HLI33" s="165"/>
      <c r="HLJ33" s="165"/>
      <c r="HLK33" s="165"/>
      <c r="HLL33" s="165"/>
      <c r="HLM33" s="165"/>
      <c r="HLN33" s="165"/>
      <c r="HLO33" s="165"/>
      <c r="HLP33" s="165"/>
      <c r="HLQ33" s="165"/>
      <c r="HLR33" s="165"/>
      <c r="HLS33" s="165"/>
      <c r="HLT33" s="165"/>
      <c r="HLU33" s="165"/>
      <c r="HLV33" s="165"/>
      <c r="HLW33" s="165"/>
      <c r="HLX33" s="165"/>
      <c r="HLY33" s="165"/>
      <c r="HLZ33" s="165"/>
      <c r="HMA33" s="165"/>
      <c r="HMB33" s="165"/>
      <c r="HMC33" s="165"/>
      <c r="HMD33" s="165"/>
      <c r="HME33" s="165"/>
      <c r="HMF33" s="165"/>
      <c r="HMG33" s="165"/>
      <c r="HMH33" s="165"/>
      <c r="HMI33" s="165"/>
      <c r="HMJ33" s="165"/>
      <c r="HMK33" s="165"/>
      <c r="HML33" s="165"/>
      <c r="HMM33" s="165"/>
      <c r="HMN33" s="165"/>
      <c r="HMO33" s="165"/>
      <c r="HMP33" s="165"/>
      <c r="HMQ33" s="165"/>
      <c r="HMR33" s="165"/>
      <c r="HMS33" s="165"/>
      <c r="HMT33" s="165"/>
      <c r="HMU33" s="165"/>
      <c r="HMV33" s="165"/>
      <c r="HMW33" s="165"/>
      <c r="HMX33" s="165"/>
      <c r="HMY33" s="165"/>
      <c r="HMZ33" s="165"/>
      <c r="HNA33" s="165"/>
      <c r="HNB33" s="165"/>
      <c r="HNC33" s="165"/>
      <c r="HND33" s="165"/>
      <c r="HNE33" s="165"/>
      <c r="HNF33" s="165"/>
      <c r="HNG33" s="165"/>
      <c r="HNH33" s="165"/>
      <c r="HNI33" s="165"/>
      <c r="HNJ33" s="165"/>
      <c r="HNK33" s="165"/>
      <c r="HNL33" s="165"/>
      <c r="HNM33" s="165"/>
      <c r="HNN33" s="165"/>
      <c r="HNO33" s="165"/>
      <c r="HNP33" s="165"/>
      <c r="HNQ33" s="165"/>
      <c r="HNR33" s="165"/>
      <c r="HNS33" s="165"/>
      <c r="HNT33" s="165"/>
      <c r="HNU33" s="165"/>
      <c r="HNV33" s="165"/>
      <c r="HNW33" s="165"/>
      <c r="HNX33" s="165"/>
      <c r="HNY33" s="165"/>
      <c r="HNZ33" s="165"/>
      <c r="HOA33" s="165"/>
      <c r="HOB33" s="165"/>
      <c r="HOC33" s="165"/>
      <c r="HOD33" s="165"/>
      <c r="HOE33" s="165"/>
      <c r="HOF33" s="165"/>
      <c r="HOG33" s="165"/>
      <c r="HOH33" s="165"/>
      <c r="HOI33" s="165"/>
      <c r="HOJ33" s="165"/>
      <c r="HOK33" s="165"/>
      <c r="HOL33" s="165"/>
      <c r="HOM33" s="165"/>
      <c r="HON33" s="165"/>
      <c r="HOO33" s="165"/>
      <c r="HOP33" s="165"/>
      <c r="HOQ33" s="165"/>
      <c r="HOR33" s="165"/>
      <c r="HOS33" s="165"/>
      <c r="HOT33" s="165"/>
      <c r="HOU33" s="165"/>
      <c r="HOV33" s="165"/>
      <c r="HOW33" s="165"/>
      <c r="HOX33" s="165"/>
      <c r="HOY33" s="165"/>
      <c r="HOZ33" s="165"/>
      <c r="HPA33" s="165"/>
      <c r="HPB33" s="165"/>
      <c r="HPC33" s="165"/>
      <c r="HPD33" s="165"/>
      <c r="HPE33" s="165"/>
      <c r="HPF33" s="165"/>
      <c r="HPG33" s="165"/>
      <c r="HPH33" s="165"/>
      <c r="HPI33" s="165"/>
      <c r="HPJ33" s="165"/>
      <c r="HPK33" s="165"/>
      <c r="HPL33" s="165"/>
      <c r="HPM33" s="165"/>
      <c r="HPN33" s="165"/>
      <c r="HPO33" s="165"/>
      <c r="HPP33" s="165"/>
      <c r="HPQ33" s="165"/>
      <c r="HPR33" s="165"/>
      <c r="HPS33" s="165"/>
      <c r="HPT33" s="165"/>
      <c r="HPU33" s="165"/>
      <c r="HPV33" s="165"/>
      <c r="HPW33" s="165"/>
      <c r="HPX33" s="165"/>
      <c r="HPY33" s="165"/>
      <c r="HPZ33" s="165"/>
      <c r="HQA33" s="165"/>
      <c r="HQB33" s="165"/>
      <c r="HQC33" s="165"/>
      <c r="HQD33" s="165"/>
      <c r="HQE33" s="165"/>
      <c r="HQF33" s="165"/>
      <c r="HQG33" s="165"/>
      <c r="HQH33" s="165"/>
      <c r="HQI33" s="165"/>
      <c r="HQJ33" s="165"/>
      <c r="HQK33" s="165"/>
      <c r="HQL33" s="165"/>
      <c r="HQM33" s="165"/>
      <c r="HQN33" s="165"/>
      <c r="HQO33" s="165"/>
      <c r="HQP33" s="165"/>
      <c r="HQQ33" s="165"/>
      <c r="HQR33" s="165"/>
      <c r="HQS33" s="165"/>
      <c r="HQT33" s="165"/>
      <c r="HQU33" s="165"/>
      <c r="HQV33" s="165"/>
      <c r="HQW33" s="165"/>
      <c r="HQX33" s="165"/>
      <c r="HQY33" s="165"/>
      <c r="HQZ33" s="165"/>
      <c r="HRA33" s="165"/>
      <c r="HRB33" s="165"/>
      <c r="HRC33" s="165"/>
      <c r="HRD33" s="165"/>
      <c r="HRE33" s="165"/>
      <c r="HRF33" s="165"/>
      <c r="HRG33" s="165"/>
      <c r="HRH33" s="165"/>
      <c r="HRI33" s="165"/>
      <c r="HRJ33" s="165"/>
      <c r="HRK33" s="165"/>
      <c r="HRL33" s="165"/>
      <c r="HRM33" s="165"/>
      <c r="HRN33" s="165"/>
      <c r="HRO33" s="165"/>
      <c r="HRP33" s="165"/>
      <c r="HRQ33" s="165"/>
      <c r="HRR33" s="165"/>
      <c r="HRS33" s="165"/>
      <c r="HRT33" s="165"/>
      <c r="HRU33" s="165"/>
      <c r="HRV33" s="165"/>
      <c r="HRW33" s="165"/>
      <c r="HRX33" s="165"/>
      <c r="HRY33" s="165"/>
      <c r="HRZ33" s="165"/>
      <c r="HSA33" s="165"/>
      <c r="HSB33" s="165"/>
      <c r="HSC33" s="165"/>
      <c r="HSD33" s="165"/>
      <c r="HSE33" s="165"/>
      <c r="HSF33" s="165"/>
      <c r="HSG33" s="165"/>
      <c r="HSH33" s="165"/>
      <c r="HSI33" s="165"/>
      <c r="HSJ33" s="165"/>
      <c r="HSK33" s="165"/>
      <c r="HSL33" s="165"/>
      <c r="HSM33" s="165"/>
      <c r="HSN33" s="165"/>
      <c r="HSO33" s="165"/>
      <c r="HSP33" s="165"/>
      <c r="HSQ33" s="165"/>
      <c r="HSR33" s="165"/>
      <c r="HSS33" s="165"/>
      <c r="HST33" s="165"/>
      <c r="HSU33" s="165"/>
      <c r="HSV33" s="165"/>
      <c r="HSW33" s="165"/>
      <c r="HSX33" s="165"/>
      <c r="HSY33" s="165"/>
      <c r="HSZ33" s="165"/>
      <c r="HTA33" s="165"/>
      <c r="HTB33" s="165"/>
      <c r="HTC33" s="165"/>
      <c r="HTD33" s="165"/>
      <c r="HTE33" s="165"/>
      <c r="HTF33" s="165"/>
      <c r="HTG33" s="165"/>
      <c r="HTH33" s="165"/>
      <c r="HTI33" s="165"/>
      <c r="HTJ33" s="165"/>
      <c r="HTK33" s="165"/>
      <c r="HTL33" s="165"/>
      <c r="HTM33" s="165"/>
      <c r="HTN33" s="165"/>
      <c r="HTO33" s="165"/>
      <c r="HTP33" s="165"/>
      <c r="HTQ33" s="165"/>
      <c r="HTR33" s="165"/>
      <c r="HTS33" s="165"/>
      <c r="HTT33" s="165"/>
      <c r="HTU33" s="165"/>
      <c r="HTV33" s="165"/>
      <c r="HTW33" s="165"/>
      <c r="HTX33" s="165"/>
      <c r="HTY33" s="165"/>
      <c r="HTZ33" s="165"/>
      <c r="HUA33" s="165"/>
      <c r="HUB33" s="165"/>
      <c r="HUC33" s="165"/>
      <c r="HUD33" s="165"/>
      <c r="HUE33" s="165"/>
      <c r="HUF33" s="165"/>
      <c r="HUG33" s="165"/>
      <c r="HUH33" s="165"/>
      <c r="HUI33" s="165"/>
      <c r="HUJ33" s="165"/>
      <c r="HUK33" s="165"/>
      <c r="HUL33" s="165"/>
      <c r="HUM33" s="165"/>
      <c r="HUN33" s="165"/>
      <c r="HUO33" s="165"/>
      <c r="HUP33" s="165"/>
      <c r="HUQ33" s="165"/>
      <c r="HUR33" s="165"/>
      <c r="HUS33" s="165"/>
      <c r="HUT33" s="165"/>
      <c r="HUU33" s="165"/>
      <c r="HUV33" s="165"/>
      <c r="HUW33" s="165"/>
      <c r="HUX33" s="165"/>
      <c r="HUY33" s="165"/>
      <c r="HUZ33" s="165"/>
      <c r="HVA33" s="165"/>
      <c r="HVB33" s="165"/>
      <c r="HVC33" s="165"/>
      <c r="HVD33" s="165"/>
      <c r="HVE33" s="165"/>
      <c r="HVF33" s="165"/>
      <c r="HVG33" s="165"/>
      <c r="HVH33" s="165"/>
      <c r="HVI33" s="165"/>
      <c r="HVJ33" s="165"/>
      <c r="HVK33" s="165"/>
      <c r="HVL33" s="165"/>
      <c r="HVM33" s="165"/>
      <c r="HVN33" s="165"/>
      <c r="HVO33" s="165"/>
      <c r="HVP33" s="165"/>
      <c r="HVQ33" s="165"/>
      <c r="HVR33" s="165"/>
      <c r="HVS33" s="165"/>
      <c r="HVT33" s="165"/>
      <c r="HVU33" s="165"/>
      <c r="HVV33" s="165"/>
      <c r="HVW33" s="165"/>
      <c r="HVX33" s="165"/>
      <c r="HVY33" s="165"/>
      <c r="HVZ33" s="165"/>
      <c r="HWA33" s="165"/>
      <c r="HWB33" s="165"/>
      <c r="HWC33" s="165"/>
      <c r="HWD33" s="165"/>
      <c r="HWE33" s="165"/>
      <c r="HWF33" s="165"/>
      <c r="HWG33" s="165"/>
      <c r="HWH33" s="165"/>
      <c r="HWI33" s="165"/>
      <c r="HWJ33" s="165"/>
      <c r="HWK33" s="165"/>
      <c r="HWL33" s="165"/>
      <c r="HWM33" s="165"/>
      <c r="HWN33" s="165"/>
      <c r="HWO33" s="165"/>
      <c r="HWP33" s="165"/>
      <c r="HWQ33" s="165"/>
      <c r="HWR33" s="165"/>
      <c r="HWS33" s="165"/>
      <c r="HWT33" s="165"/>
      <c r="HWU33" s="165"/>
      <c r="HWV33" s="165"/>
      <c r="HWW33" s="165"/>
      <c r="HWX33" s="165"/>
      <c r="HWY33" s="165"/>
      <c r="HWZ33" s="165"/>
      <c r="HXA33" s="165"/>
      <c r="HXB33" s="165"/>
      <c r="HXC33" s="165"/>
      <c r="HXD33" s="165"/>
      <c r="HXE33" s="165"/>
      <c r="HXF33" s="165"/>
      <c r="HXG33" s="165"/>
      <c r="HXH33" s="165"/>
      <c r="HXI33" s="165"/>
      <c r="HXJ33" s="165"/>
      <c r="HXK33" s="165"/>
      <c r="HXL33" s="165"/>
      <c r="HXM33" s="165"/>
      <c r="HXN33" s="165"/>
      <c r="HXO33" s="165"/>
      <c r="HXP33" s="165"/>
      <c r="HXQ33" s="165"/>
      <c r="HXR33" s="165"/>
      <c r="HXS33" s="165"/>
      <c r="HXT33" s="165"/>
      <c r="HXU33" s="165"/>
      <c r="HXV33" s="165"/>
      <c r="HXW33" s="165"/>
      <c r="HXX33" s="165"/>
      <c r="HXY33" s="165"/>
      <c r="HXZ33" s="165"/>
      <c r="HYA33" s="165"/>
      <c r="HYB33" s="165"/>
      <c r="HYC33" s="165"/>
      <c r="HYD33" s="165"/>
      <c r="HYE33" s="165"/>
      <c r="HYF33" s="165"/>
      <c r="HYG33" s="165"/>
      <c r="HYH33" s="165"/>
      <c r="HYI33" s="165"/>
      <c r="HYJ33" s="165"/>
      <c r="HYK33" s="165"/>
      <c r="HYL33" s="165"/>
      <c r="HYM33" s="165"/>
      <c r="HYN33" s="165"/>
      <c r="HYO33" s="165"/>
      <c r="HYP33" s="165"/>
      <c r="HYQ33" s="165"/>
      <c r="HYR33" s="165"/>
      <c r="HYS33" s="165"/>
      <c r="HYT33" s="165"/>
      <c r="HYU33" s="165"/>
      <c r="HYV33" s="165"/>
      <c r="HYW33" s="165"/>
      <c r="HYX33" s="165"/>
      <c r="HYY33" s="165"/>
      <c r="HYZ33" s="165"/>
      <c r="HZA33" s="165"/>
      <c r="HZB33" s="165"/>
      <c r="HZC33" s="165"/>
      <c r="HZD33" s="165"/>
      <c r="HZE33" s="165"/>
      <c r="HZF33" s="165"/>
      <c r="HZG33" s="165"/>
      <c r="HZH33" s="165"/>
      <c r="HZI33" s="165"/>
      <c r="HZJ33" s="165"/>
      <c r="HZK33" s="165"/>
      <c r="HZL33" s="165"/>
      <c r="HZM33" s="165"/>
      <c r="HZN33" s="165"/>
      <c r="HZO33" s="165"/>
      <c r="HZP33" s="165"/>
      <c r="HZQ33" s="165"/>
      <c r="HZR33" s="165"/>
      <c r="HZS33" s="165"/>
      <c r="HZT33" s="165"/>
      <c r="HZU33" s="165"/>
      <c r="HZV33" s="165"/>
      <c r="HZW33" s="165"/>
      <c r="HZX33" s="165"/>
      <c r="HZY33" s="165"/>
      <c r="HZZ33" s="165"/>
      <c r="IAA33" s="165"/>
      <c r="IAB33" s="165"/>
      <c r="IAC33" s="165"/>
      <c r="IAD33" s="165"/>
      <c r="IAE33" s="165"/>
      <c r="IAF33" s="165"/>
      <c r="IAG33" s="165"/>
      <c r="IAH33" s="165"/>
      <c r="IAI33" s="165"/>
      <c r="IAJ33" s="165"/>
      <c r="IAK33" s="165"/>
      <c r="IAL33" s="165"/>
      <c r="IAM33" s="165"/>
      <c r="IAN33" s="165"/>
      <c r="IAO33" s="165"/>
      <c r="IAP33" s="165"/>
      <c r="IAQ33" s="165"/>
      <c r="IAR33" s="165"/>
      <c r="IAS33" s="165"/>
      <c r="IAT33" s="165"/>
      <c r="IAU33" s="165"/>
      <c r="IAV33" s="165"/>
      <c r="IAW33" s="165"/>
      <c r="IAX33" s="165"/>
      <c r="IAY33" s="165"/>
      <c r="IAZ33" s="165"/>
      <c r="IBA33" s="165"/>
      <c r="IBB33" s="165"/>
      <c r="IBC33" s="165"/>
      <c r="IBD33" s="165"/>
      <c r="IBE33" s="165"/>
      <c r="IBF33" s="165"/>
      <c r="IBG33" s="165"/>
      <c r="IBH33" s="165"/>
      <c r="IBI33" s="165"/>
      <c r="IBJ33" s="165"/>
      <c r="IBK33" s="165"/>
      <c r="IBL33" s="165"/>
      <c r="IBM33" s="165"/>
      <c r="IBN33" s="165"/>
      <c r="IBO33" s="165"/>
      <c r="IBP33" s="165"/>
      <c r="IBQ33" s="165"/>
      <c r="IBR33" s="165"/>
      <c r="IBS33" s="165"/>
      <c r="IBT33" s="165"/>
      <c r="IBU33" s="165"/>
      <c r="IBV33" s="165"/>
      <c r="IBW33" s="165"/>
      <c r="IBX33" s="165"/>
      <c r="IBY33" s="165"/>
      <c r="IBZ33" s="165"/>
      <c r="ICA33" s="165"/>
      <c r="ICB33" s="165"/>
      <c r="ICC33" s="165"/>
      <c r="ICD33" s="165"/>
      <c r="ICE33" s="165"/>
      <c r="ICF33" s="165"/>
      <c r="ICG33" s="165"/>
      <c r="ICH33" s="165"/>
      <c r="ICI33" s="165"/>
      <c r="ICJ33" s="165"/>
      <c r="ICK33" s="165"/>
      <c r="ICL33" s="165"/>
      <c r="ICM33" s="165"/>
      <c r="ICN33" s="165"/>
      <c r="ICO33" s="165"/>
      <c r="ICP33" s="165"/>
      <c r="ICQ33" s="165"/>
      <c r="ICR33" s="165"/>
      <c r="ICS33" s="165"/>
      <c r="ICT33" s="165"/>
      <c r="ICU33" s="165"/>
      <c r="ICV33" s="165"/>
      <c r="ICW33" s="165"/>
      <c r="ICX33" s="165"/>
      <c r="ICY33" s="165"/>
      <c r="ICZ33" s="165"/>
      <c r="IDA33" s="165"/>
      <c r="IDB33" s="165"/>
      <c r="IDC33" s="165"/>
      <c r="IDD33" s="165"/>
      <c r="IDE33" s="165"/>
      <c r="IDF33" s="165"/>
      <c r="IDG33" s="165"/>
      <c r="IDH33" s="165"/>
      <c r="IDI33" s="165"/>
      <c r="IDJ33" s="165"/>
      <c r="IDK33" s="165"/>
      <c r="IDL33" s="165"/>
      <c r="IDM33" s="165"/>
      <c r="IDN33" s="165"/>
      <c r="IDO33" s="165"/>
      <c r="IDP33" s="165"/>
      <c r="IDQ33" s="165"/>
      <c r="IDR33" s="165"/>
      <c r="IDS33" s="165"/>
      <c r="IDT33" s="165"/>
      <c r="IDU33" s="165"/>
      <c r="IDV33" s="165"/>
      <c r="IDW33" s="165"/>
      <c r="IDX33" s="165"/>
      <c r="IDY33" s="165"/>
      <c r="IDZ33" s="165"/>
      <c r="IEA33" s="165"/>
      <c r="IEB33" s="165"/>
      <c r="IEC33" s="165"/>
      <c r="IED33" s="165"/>
      <c r="IEE33" s="165"/>
      <c r="IEF33" s="165"/>
      <c r="IEG33" s="165"/>
      <c r="IEH33" s="165"/>
      <c r="IEI33" s="165"/>
      <c r="IEJ33" s="165"/>
      <c r="IEK33" s="165"/>
      <c r="IEL33" s="165"/>
      <c r="IEM33" s="165"/>
      <c r="IEN33" s="165"/>
      <c r="IEO33" s="165"/>
      <c r="IEP33" s="165"/>
      <c r="IEQ33" s="165"/>
      <c r="IER33" s="165"/>
      <c r="IES33" s="165"/>
      <c r="IET33" s="165"/>
      <c r="IEU33" s="165"/>
      <c r="IEV33" s="165"/>
      <c r="IEW33" s="165"/>
      <c r="IEX33" s="165"/>
      <c r="IEY33" s="165"/>
      <c r="IEZ33" s="165"/>
      <c r="IFA33" s="165"/>
      <c r="IFB33" s="165"/>
      <c r="IFC33" s="165"/>
      <c r="IFD33" s="165"/>
      <c r="IFE33" s="165"/>
      <c r="IFF33" s="165"/>
      <c r="IFG33" s="165"/>
      <c r="IFH33" s="165"/>
      <c r="IFI33" s="165"/>
      <c r="IFJ33" s="165"/>
      <c r="IFK33" s="165"/>
      <c r="IFL33" s="165"/>
      <c r="IFM33" s="165"/>
      <c r="IFN33" s="165"/>
      <c r="IFO33" s="165"/>
      <c r="IFP33" s="165"/>
      <c r="IFQ33" s="165"/>
      <c r="IFR33" s="165"/>
      <c r="IFS33" s="165"/>
      <c r="IFT33" s="165"/>
      <c r="IFU33" s="165"/>
      <c r="IFV33" s="165"/>
      <c r="IFW33" s="165"/>
      <c r="IFX33" s="165"/>
      <c r="IFY33" s="165"/>
      <c r="IFZ33" s="165"/>
      <c r="IGA33" s="165"/>
      <c r="IGB33" s="165"/>
      <c r="IGC33" s="165"/>
      <c r="IGD33" s="165"/>
      <c r="IGE33" s="165"/>
      <c r="IGF33" s="165"/>
      <c r="IGG33" s="165"/>
      <c r="IGH33" s="165"/>
      <c r="IGI33" s="165"/>
      <c r="IGJ33" s="165"/>
      <c r="IGK33" s="165"/>
      <c r="IGL33" s="165"/>
      <c r="IGM33" s="165"/>
      <c r="IGN33" s="165"/>
      <c r="IGO33" s="165"/>
      <c r="IGP33" s="165"/>
      <c r="IGQ33" s="165"/>
      <c r="IGR33" s="165"/>
      <c r="IGS33" s="165"/>
      <c r="IGT33" s="165"/>
      <c r="IGU33" s="165"/>
      <c r="IGV33" s="165"/>
      <c r="IGW33" s="165"/>
      <c r="IGX33" s="165"/>
      <c r="IGY33" s="165"/>
      <c r="IGZ33" s="165"/>
      <c r="IHA33" s="165"/>
      <c r="IHB33" s="165"/>
      <c r="IHC33" s="165"/>
      <c r="IHD33" s="165"/>
      <c r="IHE33" s="165"/>
      <c r="IHF33" s="165"/>
      <c r="IHG33" s="165"/>
      <c r="IHH33" s="165"/>
      <c r="IHI33" s="165"/>
      <c r="IHJ33" s="165"/>
      <c r="IHK33" s="165"/>
      <c r="IHL33" s="165"/>
      <c r="IHM33" s="165"/>
      <c r="IHN33" s="165"/>
      <c r="IHO33" s="165"/>
      <c r="IHP33" s="165"/>
      <c r="IHQ33" s="165"/>
      <c r="IHR33" s="165"/>
      <c r="IHS33" s="165"/>
      <c r="IHT33" s="165"/>
      <c r="IHU33" s="165"/>
      <c r="IHV33" s="165"/>
      <c r="IHW33" s="165"/>
      <c r="IHX33" s="165"/>
      <c r="IHY33" s="165"/>
      <c r="IHZ33" s="165"/>
      <c r="IIA33" s="165"/>
      <c r="IIB33" s="165"/>
      <c r="IIC33" s="165"/>
      <c r="IID33" s="165"/>
      <c r="IIE33" s="165"/>
      <c r="IIF33" s="165"/>
      <c r="IIG33" s="165"/>
      <c r="IIH33" s="165"/>
      <c r="III33" s="165"/>
      <c r="IIJ33" s="165"/>
      <c r="IIK33" s="165"/>
      <c r="IIL33" s="165"/>
      <c r="IIM33" s="165"/>
      <c r="IIN33" s="165"/>
      <c r="IIO33" s="165"/>
      <c r="IIP33" s="165"/>
      <c r="IIQ33" s="165"/>
      <c r="IIR33" s="165"/>
      <c r="IIS33" s="165"/>
      <c r="IIT33" s="165"/>
      <c r="IIU33" s="165"/>
      <c r="IIV33" s="165"/>
      <c r="IIW33" s="165"/>
      <c r="IIX33" s="165"/>
      <c r="IIY33" s="165"/>
      <c r="IIZ33" s="165"/>
      <c r="IJA33" s="165"/>
      <c r="IJB33" s="165"/>
      <c r="IJC33" s="165"/>
      <c r="IJD33" s="165"/>
      <c r="IJE33" s="165"/>
      <c r="IJF33" s="165"/>
      <c r="IJG33" s="165"/>
      <c r="IJH33" s="165"/>
      <c r="IJI33" s="165"/>
      <c r="IJJ33" s="165"/>
      <c r="IJK33" s="165"/>
      <c r="IJL33" s="165"/>
      <c r="IJM33" s="165"/>
      <c r="IJN33" s="165"/>
      <c r="IJO33" s="165"/>
      <c r="IJP33" s="165"/>
      <c r="IJQ33" s="165"/>
      <c r="IJR33" s="165"/>
      <c r="IJS33" s="165"/>
      <c r="IJT33" s="165"/>
      <c r="IJU33" s="165"/>
      <c r="IJV33" s="165"/>
      <c r="IJW33" s="165"/>
      <c r="IJX33" s="165"/>
      <c r="IJY33" s="165"/>
      <c r="IJZ33" s="165"/>
      <c r="IKA33" s="165"/>
      <c r="IKB33" s="165"/>
      <c r="IKC33" s="165"/>
      <c r="IKD33" s="165"/>
      <c r="IKE33" s="165"/>
      <c r="IKF33" s="165"/>
      <c r="IKG33" s="165"/>
      <c r="IKH33" s="165"/>
      <c r="IKI33" s="165"/>
      <c r="IKJ33" s="165"/>
      <c r="IKK33" s="165"/>
      <c r="IKL33" s="165"/>
      <c r="IKM33" s="165"/>
      <c r="IKN33" s="165"/>
      <c r="IKO33" s="165"/>
      <c r="IKP33" s="165"/>
      <c r="IKQ33" s="165"/>
      <c r="IKR33" s="165"/>
      <c r="IKS33" s="165"/>
      <c r="IKT33" s="165"/>
      <c r="IKU33" s="165"/>
      <c r="IKV33" s="165"/>
      <c r="IKW33" s="165"/>
      <c r="IKX33" s="165"/>
      <c r="IKY33" s="165"/>
      <c r="IKZ33" s="165"/>
      <c r="ILA33" s="165"/>
      <c r="ILB33" s="165"/>
      <c r="ILC33" s="165"/>
      <c r="ILD33" s="165"/>
      <c r="ILE33" s="165"/>
      <c r="ILF33" s="165"/>
      <c r="ILG33" s="165"/>
      <c r="ILH33" s="165"/>
      <c r="ILI33" s="165"/>
      <c r="ILJ33" s="165"/>
      <c r="ILK33" s="165"/>
      <c r="ILL33" s="165"/>
      <c r="ILM33" s="165"/>
      <c r="ILN33" s="165"/>
      <c r="ILO33" s="165"/>
      <c r="ILP33" s="165"/>
      <c r="ILQ33" s="165"/>
      <c r="ILR33" s="165"/>
      <c r="ILS33" s="165"/>
      <c r="ILT33" s="165"/>
      <c r="ILU33" s="165"/>
      <c r="ILV33" s="165"/>
      <c r="ILW33" s="165"/>
      <c r="ILX33" s="165"/>
      <c r="ILY33" s="165"/>
      <c r="ILZ33" s="165"/>
      <c r="IMA33" s="165"/>
      <c r="IMB33" s="165"/>
      <c r="IMC33" s="165"/>
      <c r="IMD33" s="165"/>
      <c r="IME33" s="165"/>
      <c r="IMF33" s="165"/>
      <c r="IMG33" s="165"/>
      <c r="IMH33" s="165"/>
      <c r="IMI33" s="165"/>
      <c r="IMJ33" s="165"/>
      <c r="IMK33" s="165"/>
      <c r="IML33" s="165"/>
      <c r="IMM33" s="165"/>
      <c r="IMN33" s="165"/>
      <c r="IMO33" s="165"/>
      <c r="IMP33" s="165"/>
      <c r="IMQ33" s="165"/>
      <c r="IMR33" s="165"/>
      <c r="IMS33" s="165"/>
      <c r="IMT33" s="165"/>
      <c r="IMU33" s="165"/>
      <c r="IMV33" s="165"/>
      <c r="IMW33" s="165"/>
      <c r="IMX33" s="165"/>
      <c r="IMY33" s="165"/>
      <c r="IMZ33" s="165"/>
      <c r="INA33" s="165"/>
      <c r="INB33" s="165"/>
      <c r="INC33" s="165"/>
      <c r="IND33" s="165"/>
      <c r="INE33" s="165"/>
      <c r="INF33" s="165"/>
      <c r="ING33" s="165"/>
      <c r="INH33" s="165"/>
      <c r="INI33" s="165"/>
      <c r="INJ33" s="165"/>
      <c r="INK33" s="165"/>
      <c r="INL33" s="165"/>
      <c r="INM33" s="165"/>
      <c r="INN33" s="165"/>
      <c r="INO33" s="165"/>
      <c r="INP33" s="165"/>
      <c r="INQ33" s="165"/>
      <c r="INR33" s="165"/>
      <c r="INS33" s="165"/>
      <c r="INT33" s="165"/>
      <c r="INU33" s="165"/>
      <c r="INV33" s="165"/>
      <c r="INW33" s="165"/>
      <c r="INX33" s="165"/>
      <c r="INY33" s="165"/>
      <c r="INZ33" s="165"/>
      <c r="IOA33" s="165"/>
      <c r="IOB33" s="165"/>
      <c r="IOC33" s="165"/>
      <c r="IOD33" s="165"/>
      <c r="IOE33" s="165"/>
      <c r="IOF33" s="165"/>
      <c r="IOG33" s="165"/>
      <c r="IOH33" s="165"/>
      <c r="IOI33" s="165"/>
      <c r="IOJ33" s="165"/>
      <c r="IOK33" s="165"/>
      <c r="IOL33" s="165"/>
      <c r="IOM33" s="165"/>
      <c r="ION33" s="165"/>
      <c r="IOO33" s="165"/>
      <c r="IOP33" s="165"/>
      <c r="IOQ33" s="165"/>
      <c r="IOR33" s="165"/>
      <c r="IOS33" s="165"/>
      <c r="IOT33" s="165"/>
      <c r="IOU33" s="165"/>
      <c r="IOV33" s="165"/>
      <c r="IOW33" s="165"/>
      <c r="IOX33" s="165"/>
      <c r="IOY33" s="165"/>
      <c r="IOZ33" s="165"/>
      <c r="IPA33" s="165"/>
      <c r="IPB33" s="165"/>
      <c r="IPC33" s="165"/>
      <c r="IPD33" s="165"/>
      <c r="IPE33" s="165"/>
      <c r="IPF33" s="165"/>
      <c r="IPG33" s="165"/>
      <c r="IPH33" s="165"/>
      <c r="IPI33" s="165"/>
      <c r="IPJ33" s="165"/>
      <c r="IPK33" s="165"/>
      <c r="IPL33" s="165"/>
      <c r="IPM33" s="165"/>
      <c r="IPN33" s="165"/>
      <c r="IPO33" s="165"/>
      <c r="IPP33" s="165"/>
      <c r="IPQ33" s="165"/>
      <c r="IPR33" s="165"/>
      <c r="IPS33" s="165"/>
      <c r="IPT33" s="165"/>
      <c r="IPU33" s="165"/>
      <c r="IPV33" s="165"/>
      <c r="IPW33" s="165"/>
      <c r="IPX33" s="165"/>
      <c r="IPY33" s="165"/>
      <c r="IPZ33" s="165"/>
      <c r="IQA33" s="165"/>
      <c r="IQB33" s="165"/>
      <c r="IQC33" s="165"/>
      <c r="IQD33" s="165"/>
      <c r="IQE33" s="165"/>
      <c r="IQF33" s="165"/>
      <c r="IQG33" s="165"/>
      <c r="IQH33" s="165"/>
      <c r="IQI33" s="165"/>
      <c r="IQJ33" s="165"/>
      <c r="IQK33" s="165"/>
      <c r="IQL33" s="165"/>
      <c r="IQM33" s="165"/>
      <c r="IQN33" s="165"/>
      <c r="IQO33" s="165"/>
      <c r="IQP33" s="165"/>
      <c r="IQQ33" s="165"/>
      <c r="IQR33" s="165"/>
      <c r="IQS33" s="165"/>
      <c r="IQT33" s="165"/>
      <c r="IQU33" s="165"/>
      <c r="IQV33" s="165"/>
      <c r="IQW33" s="165"/>
      <c r="IQX33" s="165"/>
      <c r="IQY33" s="165"/>
      <c r="IQZ33" s="165"/>
      <c r="IRA33" s="165"/>
      <c r="IRB33" s="165"/>
      <c r="IRC33" s="165"/>
      <c r="IRD33" s="165"/>
      <c r="IRE33" s="165"/>
      <c r="IRF33" s="165"/>
      <c r="IRG33" s="165"/>
      <c r="IRH33" s="165"/>
      <c r="IRI33" s="165"/>
      <c r="IRJ33" s="165"/>
      <c r="IRK33" s="165"/>
      <c r="IRL33" s="165"/>
      <c r="IRM33" s="165"/>
      <c r="IRN33" s="165"/>
      <c r="IRO33" s="165"/>
      <c r="IRP33" s="165"/>
      <c r="IRQ33" s="165"/>
      <c r="IRR33" s="165"/>
      <c r="IRS33" s="165"/>
      <c r="IRT33" s="165"/>
      <c r="IRU33" s="165"/>
      <c r="IRV33" s="165"/>
      <c r="IRW33" s="165"/>
      <c r="IRX33" s="165"/>
      <c r="IRY33" s="165"/>
      <c r="IRZ33" s="165"/>
      <c r="ISA33" s="165"/>
      <c r="ISB33" s="165"/>
      <c r="ISC33" s="165"/>
      <c r="ISD33" s="165"/>
      <c r="ISE33" s="165"/>
      <c r="ISF33" s="165"/>
      <c r="ISG33" s="165"/>
      <c r="ISH33" s="165"/>
      <c r="ISI33" s="165"/>
      <c r="ISJ33" s="165"/>
      <c r="ISK33" s="165"/>
      <c r="ISL33" s="165"/>
      <c r="ISM33" s="165"/>
      <c r="ISN33" s="165"/>
      <c r="ISO33" s="165"/>
      <c r="ISP33" s="165"/>
      <c r="ISQ33" s="165"/>
      <c r="ISR33" s="165"/>
      <c r="ISS33" s="165"/>
      <c r="IST33" s="165"/>
      <c r="ISU33" s="165"/>
      <c r="ISV33" s="165"/>
      <c r="ISW33" s="165"/>
      <c r="ISX33" s="165"/>
      <c r="ISY33" s="165"/>
      <c r="ISZ33" s="165"/>
      <c r="ITA33" s="165"/>
      <c r="ITB33" s="165"/>
      <c r="ITC33" s="165"/>
      <c r="ITD33" s="165"/>
      <c r="ITE33" s="165"/>
      <c r="ITF33" s="165"/>
      <c r="ITG33" s="165"/>
      <c r="ITH33" s="165"/>
      <c r="ITI33" s="165"/>
      <c r="ITJ33" s="165"/>
      <c r="ITK33" s="165"/>
      <c r="ITL33" s="165"/>
      <c r="ITM33" s="165"/>
      <c r="ITN33" s="165"/>
      <c r="ITO33" s="165"/>
      <c r="ITP33" s="165"/>
      <c r="ITQ33" s="165"/>
      <c r="ITR33" s="165"/>
      <c r="ITS33" s="165"/>
      <c r="ITT33" s="165"/>
      <c r="ITU33" s="165"/>
      <c r="ITV33" s="165"/>
      <c r="ITW33" s="165"/>
      <c r="ITX33" s="165"/>
      <c r="ITY33" s="165"/>
      <c r="ITZ33" s="165"/>
      <c r="IUA33" s="165"/>
      <c r="IUB33" s="165"/>
      <c r="IUC33" s="165"/>
      <c r="IUD33" s="165"/>
      <c r="IUE33" s="165"/>
      <c r="IUF33" s="165"/>
      <c r="IUG33" s="165"/>
      <c r="IUH33" s="165"/>
      <c r="IUI33" s="165"/>
      <c r="IUJ33" s="165"/>
      <c r="IUK33" s="165"/>
      <c r="IUL33" s="165"/>
      <c r="IUM33" s="165"/>
      <c r="IUN33" s="165"/>
      <c r="IUO33" s="165"/>
      <c r="IUP33" s="165"/>
      <c r="IUQ33" s="165"/>
      <c r="IUR33" s="165"/>
      <c r="IUS33" s="165"/>
      <c r="IUT33" s="165"/>
      <c r="IUU33" s="165"/>
      <c r="IUV33" s="165"/>
      <c r="IUW33" s="165"/>
      <c r="IUX33" s="165"/>
      <c r="IUY33" s="165"/>
      <c r="IUZ33" s="165"/>
      <c r="IVA33" s="165"/>
      <c r="IVB33" s="165"/>
      <c r="IVC33" s="165"/>
      <c r="IVD33" s="165"/>
      <c r="IVE33" s="165"/>
      <c r="IVF33" s="165"/>
      <c r="IVG33" s="165"/>
      <c r="IVH33" s="165"/>
      <c r="IVI33" s="165"/>
      <c r="IVJ33" s="165"/>
      <c r="IVK33" s="165"/>
      <c r="IVL33" s="165"/>
      <c r="IVM33" s="165"/>
      <c r="IVN33" s="165"/>
      <c r="IVO33" s="165"/>
      <c r="IVP33" s="165"/>
      <c r="IVQ33" s="165"/>
      <c r="IVR33" s="165"/>
      <c r="IVS33" s="165"/>
      <c r="IVT33" s="165"/>
      <c r="IVU33" s="165"/>
      <c r="IVV33" s="165"/>
      <c r="IVW33" s="165"/>
      <c r="IVX33" s="165"/>
      <c r="IVY33" s="165"/>
      <c r="IVZ33" s="165"/>
      <c r="IWA33" s="165"/>
      <c r="IWB33" s="165"/>
      <c r="IWC33" s="165"/>
      <c r="IWD33" s="165"/>
      <c r="IWE33" s="165"/>
      <c r="IWF33" s="165"/>
      <c r="IWG33" s="165"/>
      <c r="IWH33" s="165"/>
      <c r="IWI33" s="165"/>
      <c r="IWJ33" s="165"/>
      <c r="IWK33" s="165"/>
      <c r="IWL33" s="165"/>
      <c r="IWM33" s="165"/>
      <c r="IWN33" s="165"/>
      <c r="IWO33" s="165"/>
      <c r="IWP33" s="165"/>
      <c r="IWQ33" s="165"/>
      <c r="IWR33" s="165"/>
      <c r="IWS33" s="165"/>
      <c r="IWT33" s="165"/>
      <c r="IWU33" s="165"/>
      <c r="IWV33" s="165"/>
      <c r="IWW33" s="165"/>
      <c r="IWX33" s="165"/>
      <c r="IWY33" s="165"/>
      <c r="IWZ33" s="165"/>
      <c r="IXA33" s="165"/>
      <c r="IXB33" s="165"/>
      <c r="IXC33" s="165"/>
      <c r="IXD33" s="165"/>
      <c r="IXE33" s="165"/>
      <c r="IXF33" s="165"/>
      <c r="IXG33" s="165"/>
      <c r="IXH33" s="165"/>
      <c r="IXI33" s="165"/>
      <c r="IXJ33" s="165"/>
      <c r="IXK33" s="165"/>
      <c r="IXL33" s="165"/>
      <c r="IXM33" s="165"/>
      <c r="IXN33" s="165"/>
      <c r="IXO33" s="165"/>
      <c r="IXP33" s="165"/>
      <c r="IXQ33" s="165"/>
      <c r="IXR33" s="165"/>
      <c r="IXS33" s="165"/>
      <c r="IXT33" s="165"/>
      <c r="IXU33" s="165"/>
      <c r="IXV33" s="165"/>
      <c r="IXW33" s="165"/>
      <c r="IXX33" s="165"/>
      <c r="IXY33" s="165"/>
      <c r="IXZ33" s="165"/>
      <c r="IYA33" s="165"/>
      <c r="IYB33" s="165"/>
      <c r="IYC33" s="165"/>
      <c r="IYD33" s="165"/>
      <c r="IYE33" s="165"/>
      <c r="IYF33" s="165"/>
      <c r="IYG33" s="165"/>
      <c r="IYH33" s="165"/>
      <c r="IYI33" s="165"/>
      <c r="IYJ33" s="165"/>
      <c r="IYK33" s="165"/>
      <c r="IYL33" s="165"/>
      <c r="IYM33" s="165"/>
      <c r="IYN33" s="165"/>
      <c r="IYO33" s="165"/>
      <c r="IYP33" s="165"/>
      <c r="IYQ33" s="165"/>
      <c r="IYR33" s="165"/>
      <c r="IYS33" s="165"/>
      <c r="IYT33" s="165"/>
      <c r="IYU33" s="165"/>
      <c r="IYV33" s="165"/>
      <c r="IYW33" s="165"/>
      <c r="IYX33" s="165"/>
      <c r="IYY33" s="165"/>
      <c r="IYZ33" s="165"/>
      <c r="IZA33" s="165"/>
      <c r="IZB33" s="165"/>
      <c r="IZC33" s="165"/>
      <c r="IZD33" s="165"/>
      <c r="IZE33" s="165"/>
      <c r="IZF33" s="165"/>
      <c r="IZG33" s="165"/>
      <c r="IZH33" s="165"/>
      <c r="IZI33" s="165"/>
      <c r="IZJ33" s="165"/>
      <c r="IZK33" s="165"/>
      <c r="IZL33" s="165"/>
      <c r="IZM33" s="165"/>
      <c r="IZN33" s="165"/>
      <c r="IZO33" s="165"/>
      <c r="IZP33" s="165"/>
      <c r="IZQ33" s="165"/>
      <c r="IZR33" s="165"/>
      <c r="IZS33" s="165"/>
      <c r="IZT33" s="165"/>
      <c r="IZU33" s="165"/>
      <c r="IZV33" s="165"/>
      <c r="IZW33" s="165"/>
      <c r="IZX33" s="165"/>
      <c r="IZY33" s="165"/>
      <c r="IZZ33" s="165"/>
      <c r="JAA33" s="165"/>
      <c r="JAB33" s="165"/>
      <c r="JAC33" s="165"/>
      <c r="JAD33" s="165"/>
      <c r="JAE33" s="165"/>
      <c r="JAF33" s="165"/>
      <c r="JAG33" s="165"/>
      <c r="JAH33" s="165"/>
      <c r="JAI33" s="165"/>
      <c r="JAJ33" s="165"/>
      <c r="JAK33" s="165"/>
      <c r="JAL33" s="165"/>
      <c r="JAM33" s="165"/>
      <c r="JAN33" s="165"/>
      <c r="JAO33" s="165"/>
      <c r="JAP33" s="165"/>
      <c r="JAQ33" s="165"/>
      <c r="JAR33" s="165"/>
      <c r="JAS33" s="165"/>
      <c r="JAT33" s="165"/>
      <c r="JAU33" s="165"/>
      <c r="JAV33" s="165"/>
      <c r="JAW33" s="165"/>
      <c r="JAX33" s="165"/>
      <c r="JAY33" s="165"/>
      <c r="JAZ33" s="165"/>
      <c r="JBA33" s="165"/>
      <c r="JBB33" s="165"/>
      <c r="JBC33" s="165"/>
      <c r="JBD33" s="165"/>
      <c r="JBE33" s="165"/>
      <c r="JBF33" s="165"/>
      <c r="JBG33" s="165"/>
      <c r="JBH33" s="165"/>
      <c r="JBI33" s="165"/>
      <c r="JBJ33" s="165"/>
      <c r="JBK33" s="165"/>
      <c r="JBL33" s="165"/>
      <c r="JBM33" s="165"/>
      <c r="JBN33" s="165"/>
      <c r="JBO33" s="165"/>
      <c r="JBP33" s="165"/>
      <c r="JBQ33" s="165"/>
      <c r="JBR33" s="165"/>
      <c r="JBS33" s="165"/>
      <c r="JBT33" s="165"/>
      <c r="JBU33" s="165"/>
      <c r="JBV33" s="165"/>
      <c r="JBW33" s="165"/>
      <c r="JBX33" s="165"/>
      <c r="JBY33" s="165"/>
      <c r="JBZ33" s="165"/>
      <c r="JCA33" s="165"/>
      <c r="JCB33" s="165"/>
      <c r="JCC33" s="165"/>
      <c r="JCD33" s="165"/>
      <c r="JCE33" s="165"/>
      <c r="JCF33" s="165"/>
      <c r="JCG33" s="165"/>
      <c r="JCH33" s="165"/>
      <c r="JCI33" s="165"/>
      <c r="JCJ33" s="165"/>
      <c r="JCK33" s="165"/>
      <c r="JCL33" s="165"/>
      <c r="JCM33" s="165"/>
      <c r="JCN33" s="165"/>
      <c r="JCO33" s="165"/>
      <c r="JCP33" s="165"/>
      <c r="JCQ33" s="165"/>
      <c r="JCR33" s="165"/>
      <c r="JCS33" s="165"/>
      <c r="JCT33" s="165"/>
      <c r="JCU33" s="165"/>
      <c r="JCV33" s="165"/>
      <c r="JCW33" s="165"/>
      <c r="JCX33" s="165"/>
      <c r="JCY33" s="165"/>
      <c r="JCZ33" s="165"/>
      <c r="JDA33" s="165"/>
      <c r="JDB33" s="165"/>
      <c r="JDC33" s="165"/>
      <c r="JDD33" s="165"/>
      <c r="JDE33" s="165"/>
      <c r="JDF33" s="165"/>
      <c r="JDG33" s="165"/>
      <c r="JDH33" s="165"/>
      <c r="JDI33" s="165"/>
      <c r="JDJ33" s="165"/>
      <c r="JDK33" s="165"/>
      <c r="JDL33" s="165"/>
      <c r="JDM33" s="165"/>
      <c r="JDN33" s="165"/>
      <c r="JDO33" s="165"/>
      <c r="JDP33" s="165"/>
      <c r="JDQ33" s="165"/>
      <c r="JDR33" s="165"/>
      <c r="JDS33" s="165"/>
      <c r="JDT33" s="165"/>
      <c r="JDU33" s="165"/>
      <c r="JDV33" s="165"/>
      <c r="JDW33" s="165"/>
      <c r="JDX33" s="165"/>
      <c r="JDY33" s="165"/>
      <c r="JDZ33" s="165"/>
      <c r="JEA33" s="165"/>
      <c r="JEB33" s="165"/>
      <c r="JEC33" s="165"/>
      <c r="JED33" s="165"/>
      <c r="JEE33" s="165"/>
      <c r="JEF33" s="165"/>
      <c r="JEG33" s="165"/>
      <c r="JEH33" s="165"/>
      <c r="JEI33" s="165"/>
      <c r="JEJ33" s="165"/>
      <c r="JEK33" s="165"/>
      <c r="JEL33" s="165"/>
      <c r="JEM33" s="165"/>
      <c r="JEN33" s="165"/>
      <c r="JEO33" s="165"/>
      <c r="JEP33" s="165"/>
      <c r="JEQ33" s="165"/>
      <c r="JER33" s="165"/>
      <c r="JES33" s="165"/>
      <c r="JET33" s="165"/>
      <c r="JEU33" s="165"/>
      <c r="JEV33" s="165"/>
      <c r="JEW33" s="165"/>
      <c r="JEX33" s="165"/>
      <c r="JEY33" s="165"/>
      <c r="JEZ33" s="165"/>
      <c r="JFA33" s="165"/>
      <c r="JFB33" s="165"/>
      <c r="JFC33" s="165"/>
      <c r="JFD33" s="165"/>
      <c r="JFE33" s="165"/>
      <c r="JFF33" s="165"/>
      <c r="JFG33" s="165"/>
      <c r="JFH33" s="165"/>
      <c r="JFI33" s="165"/>
      <c r="JFJ33" s="165"/>
      <c r="JFK33" s="165"/>
      <c r="JFL33" s="165"/>
      <c r="JFM33" s="165"/>
      <c r="JFN33" s="165"/>
      <c r="JFO33" s="165"/>
      <c r="JFP33" s="165"/>
      <c r="JFQ33" s="165"/>
      <c r="JFR33" s="165"/>
      <c r="JFS33" s="165"/>
      <c r="JFT33" s="165"/>
      <c r="JFU33" s="165"/>
      <c r="JFV33" s="165"/>
      <c r="JFW33" s="165"/>
      <c r="JFX33" s="165"/>
      <c r="JFY33" s="165"/>
      <c r="JFZ33" s="165"/>
      <c r="JGA33" s="165"/>
      <c r="JGB33" s="165"/>
      <c r="JGC33" s="165"/>
      <c r="JGD33" s="165"/>
      <c r="JGE33" s="165"/>
      <c r="JGF33" s="165"/>
      <c r="JGG33" s="165"/>
      <c r="JGH33" s="165"/>
      <c r="JGI33" s="165"/>
      <c r="JGJ33" s="165"/>
      <c r="JGK33" s="165"/>
      <c r="JGL33" s="165"/>
      <c r="JGM33" s="165"/>
      <c r="JGN33" s="165"/>
      <c r="JGO33" s="165"/>
      <c r="JGP33" s="165"/>
      <c r="JGQ33" s="165"/>
      <c r="JGR33" s="165"/>
      <c r="JGS33" s="165"/>
      <c r="JGT33" s="165"/>
      <c r="JGU33" s="165"/>
      <c r="JGV33" s="165"/>
      <c r="JGW33" s="165"/>
      <c r="JGX33" s="165"/>
      <c r="JGY33" s="165"/>
      <c r="JGZ33" s="165"/>
      <c r="JHA33" s="165"/>
      <c r="JHB33" s="165"/>
      <c r="JHC33" s="165"/>
      <c r="JHD33" s="165"/>
      <c r="JHE33" s="165"/>
      <c r="JHF33" s="165"/>
      <c r="JHG33" s="165"/>
      <c r="JHH33" s="165"/>
      <c r="JHI33" s="165"/>
      <c r="JHJ33" s="165"/>
      <c r="JHK33" s="165"/>
      <c r="JHL33" s="165"/>
      <c r="JHM33" s="165"/>
      <c r="JHN33" s="165"/>
      <c r="JHO33" s="165"/>
      <c r="JHP33" s="165"/>
      <c r="JHQ33" s="165"/>
      <c r="JHR33" s="165"/>
      <c r="JHS33" s="165"/>
      <c r="JHT33" s="165"/>
      <c r="JHU33" s="165"/>
      <c r="JHV33" s="165"/>
      <c r="JHW33" s="165"/>
      <c r="JHX33" s="165"/>
      <c r="JHY33" s="165"/>
      <c r="JHZ33" s="165"/>
      <c r="JIA33" s="165"/>
      <c r="JIB33" s="165"/>
      <c r="JIC33" s="165"/>
      <c r="JID33" s="165"/>
      <c r="JIE33" s="165"/>
      <c r="JIF33" s="165"/>
      <c r="JIG33" s="165"/>
      <c r="JIH33" s="165"/>
      <c r="JII33" s="165"/>
      <c r="JIJ33" s="165"/>
      <c r="JIK33" s="165"/>
      <c r="JIL33" s="165"/>
      <c r="JIM33" s="165"/>
      <c r="JIN33" s="165"/>
      <c r="JIO33" s="165"/>
      <c r="JIP33" s="165"/>
      <c r="JIQ33" s="165"/>
      <c r="JIR33" s="165"/>
      <c r="JIS33" s="165"/>
      <c r="JIT33" s="165"/>
      <c r="JIU33" s="165"/>
      <c r="JIV33" s="165"/>
      <c r="JIW33" s="165"/>
      <c r="JIX33" s="165"/>
      <c r="JIY33" s="165"/>
      <c r="JIZ33" s="165"/>
      <c r="JJA33" s="165"/>
      <c r="JJB33" s="165"/>
      <c r="JJC33" s="165"/>
      <c r="JJD33" s="165"/>
      <c r="JJE33" s="165"/>
      <c r="JJF33" s="165"/>
      <c r="JJG33" s="165"/>
      <c r="JJH33" s="165"/>
      <c r="JJI33" s="165"/>
      <c r="JJJ33" s="165"/>
      <c r="JJK33" s="165"/>
      <c r="JJL33" s="165"/>
      <c r="JJM33" s="165"/>
      <c r="JJN33" s="165"/>
      <c r="JJO33" s="165"/>
      <c r="JJP33" s="165"/>
      <c r="JJQ33" s="165"/>
      <c r="JJR33" s="165"/>
      <c r="JJS33" s="165"/>
      <c r="JJT33" s="165"/>
      <c r="JJU33" s="165"/>
      <c r="JJV33" s="165"/>
      <c r="JJW33" s="165"/>
      <c r="JJX33" s="165"/>
      <c r="JJY33" s="165"/>
      <c r="JJZ33" s="165"/>
      <c r="JKA33" s="165"/>
      <c r="JKB33" s="165"/>
      <c r="JKC33" s="165"/>
      <c r="JKD33" s="165"/>
      <c r="JKE33" s="165"/>
      <c r="JKF33" s="165"/>
      <c r="JKG33" s="165"/>
      <c r="JKH33" s="165"/>
      <c r="JKI33" s="165"/>
      <c r="JKJ33" s="165"/>
      <c r="JKK33" s="165"/>
      <c r="JKL33" s="165"/>
      <c r="JKM33" s="165"/>
      <c r="JKN33" s="165"/>
      <c r="JKO33" s="165"/>
      <c r="JKP33" s="165"/>
      <c r="JKQ33" s="165"/>
      <c r="JKR33" s="165"/>
      <c r="JKS33" s="165"/>
      <c r="JKT33" s="165"/>
      <c r="JKU33" s="165"/>
      <c r="JKV33" s="165"/>
      <c r="JKW33" s="165"/>
      <c r="JKX33" s="165"/>
      <c r="JKY33" s="165"/>
      <c r="JKZ33" s="165"/>
      <c r="JLA33" s="165"/>
      <c r="JLB33" s="165"/>
      <c r="JLC33" s="165"/>
      <c r="JLD33" s="165"/>
      <c r="JLE33" s="165"/>
      <c r="JLF33" s="165"/>
      <c r="JLG33" s="165"/>
      <c r="JLH33" s="165"/>
      <c r="JLI33" s="165"/>
      <c r="JLJ33" s="165"/>
      <c r="JLK33" s="165"/>
      <c r="JLL33" s="165"/>
      <c r="JLM33" s="165"/>
      <c r="JLN33" s="165"/>
      <c r="JLO33" s="165"/>
      <c r="JLP33" s="165"/>
      <c r="JLQ33" s="165"/>
      <c r="JLR33" s="165"/>
      <c r="JLS33" s="165"/>
      <c r="JLT33" s="165"/>
      <c r="JLU33" s="165"/>
      <c r="JLV33" s="165"/>
      <c r="JLW33" s="165"/>
      <c r="JLX33" s="165"/>
      <c r="JLY33" s="165"/>
      <c r="JLZ33" s="165"/>
      <c r="JMA33" s="165"/>
      <c r="JMB33" s="165"/>
      <c r="JMC33" s="165"/>
      <c r="JMD33" s="165"/>
      <c r="JME33" s="165"/>
      <c r="JMF33" s="165"/>
      <c r="JMG33" s="165"/>
      <c r="JMH33" s="165"/>
      <c r="JMI33" s="165"/>
      <c r="JMJ33" s="165"/>
      <c r="JMK33" s="165"/>
      <c r="JML33" s="165"/>
      <c r="JMM33" s="165"/>
      <c r="JMN33" s="165"/>
      <c r="JMO33" s="165"/>
      <c r="JMP33" s="165"/>
      <c r="JMQ33" s="165"/>
      <c r="JMR33" s="165"/>
      <c r="JMS33" s="165"/>
      <c r="JMT33" s="165"/>
      <c r="JMU33" s="165"/>
      <c r="JMV33" s="165"/>
      <c r="JMW33" s="165"/>
      <c r="JMX33" s="165"/>
      <c r="JMY33" s="165"/>
      <c r="JMZ33" s="165"/>
      <c r="JNA33" s="165"/>
      <c r="JNB33" s="165"/>
      <c r="JNC33" s="165"/>
      <c r="JND33" s="165"/>
      <c r="JNE33" s="165"/>
      <c r="JNF33" s="165"/>
      <c r="JNG33" s="165"/>
      <c r="JNH33" s="165"/>
      <c r="JNI33" s="165"/>
      <c r="JNJ33" s="165"/>
      <c r="JNK33" s="165"/>
      <c r="JNL33" s="165"/>
      <c r="JNM33" s="165"/>
      <c r="JNN33" s="165"/>
      <c r="JNO33" s="165"/>
      <c r="JNP33" s="165"/>
      <c r="JNQ33" s="165"/>
      <c r="JNR33" s="165"/>
      <c r="JNS33" s="165"/>
      <c r="JNT33" s="165"/>
      <c r="JNU33" s="165"/>
      <c r="JNV33" s="165"/>
      <c r="JNW33" s="165"/>
      <c r="JNX33" s="165"/>
      <c r="JNY33" s="165"/>
      <c r="JNZ33" s="165"/>
      <c r="JOA33" s="165"/>
      <c r="JOB33" s="165"/>
      <c r="JOC33" s="165"/>
      <c r="JOD33" s="165"/>
      <c r="JOE33" s="165"/>
      <c r="JOF33" s="165"/>
      <c r="JOG33" s="165"/>
      <c r="JOH33" s="165"/>
      <c r="JOI33" s="165"/>
      <c r="JOJ33" s="165"/>
      <c r="JOK33" s="165"/>
      <c r="JOL33" s="165"/>
      <c r="JOM33" s="165"/>
      <c r="JON33" s="165"/>
      <c r="JOO33" s="165"/>
      <c r="JOP33" s="165"/>
      <c r="JOQ33" s="165"/>
      <c r="JOR33" s="165"/>
      <c r="JOS33" s="165"/>
      <c r="JOT33" s="165"/>
      <c r="JOU33" s="165"/>
      <c r="JOV33" s="165"/>
      <c r="JOW33" s="165"/>
      <c r="JOX33" s="165"/>
      <c r="JOY33" s="165"/>
      <c r="JOZ33" s="165"/>
      <c r="JPA33" s="165"/>
      <c r="JPB33" s="165"/>
      <c r="JPC33" s="165"/>
      <c r="JPD33" s="165"/>
      <c r="JPE33" s="165"/>
      <c r="JPF33" s="165"/>
      <c r="JPG33" s="165"/>
      <c r="JPH33" s="165"/>
      <c r="JPI33" s="165"/>
      <c r="JPJ33" s="165"/>
      <c r="JPK33" s="165"/>
      <c r="JPL33" s="165"/>
      <c r="JPM33" s="165"/>
      <c r="JPN33" s="165"/>
      <c r="JPO33" s="165"/>
      <c r="JPP33" s="165"/>
      <c r="JPQ33" s="165"/>
      <c r="JPR33" s="165"/>
      <c r="JPS33" s="165"/>
      <c r="JPT33" s="165"/>
      <c r="JPU33" s="165"/>
      <c r="JPV33" s="165"/>
      <c r="JPW33" s="165"/>
      <c r="JPX33" s="165"/>
      <c r="JPY33" s="165"/>
      <c r="JPZ33" s="165"/>
      <c r="JQA33" s="165"/>
      <c r="JQB33" s="165"/>
      <c r="JQC33" s="165"/>
      <c r="JQD33" s="165"/>
      <c r="JQE33" s="165"/>
      <c r="JQF33" s="165"/>
      <c r="JQG33" s="165"/>
      <c r="JQH33" s="165"/>
      <c r="JQI33" s="165"/>
      <c r="JQJ33" s="165"/>
      <c r="JQK33" s="165"/>
      <c r="JQL33" s="165"/>
      <c r="JQM33" s="165"/>
      <c r="JQN33" s="165"/>
      <c r="JQO33" s="165"/>
      <c r="JQP33" s="165"/>
      <c r="JQQ33" s="165"/>
      <c r="JQR33" s="165"/>
      <c r="JQS33" s="165"/>
      <c r="JQT33" s="165"/>
      <c r="JQU33" s="165"/>
      <c r="JQV33" s="165"/>
      <c r="JQW33" s="165"/>
      <c r="JQX33" s="165"/>
      <c r="JQY33" s="165"/>
      <c r="JQZ33" s="165"/>
      <c r="JRA33" s="165"/>
      <c r="JRB33" s="165"/>
      <c r="JRC33" s="165"/>
      <c r="JRD33" s="165"/>
      <c r="JRE33" s="165"/>
      <c r="JRF33" s="165"/>
      <c r="JRG33" s="165"/>
      <c r="JRH33" s="165"/>
      <c r="JRI33" s="165"/>
      <c r="JRJ33" s="165"/>
      <c r="JRK33" s="165"/>
      <c r="JRL33" s="165"/>
      <c r="JRM33" s="165"/>
      <c r="JRN33" s="165"/>
      <c r="JRO33" s="165"/>
      <c r="JRP33" s="165"/>
      <c r="JRQ33" s="165"/>
      <c r="JRR33" s="165"/>
      <c r="JRS33" s="165"/>
      <c r="JRT33" s="165"/>
      <c r="JRU33" s="165"/>
      <c r="JRV33" s="165"/>
      <c r="JRW33" s="165"/>
      <c r="JRX33" s="165"/>
      <c r="JRY33" s="165"/>
      <c r="JRZ33" s="165"/>
      <c r="JSA33" s="165"/>
      <c r="JSB33" s="165"/>
      <c r="JSC33" s="165"/>
      <c r="JSD33" s="165"/>
      <c r="JSE33" s="165"/>
      <c r="JSF33" s="165"/>
      <c r="JSG33" s="165"/>
      <c r="JSH33" s="165"/>
      <c r="JSI33" s="165"/>
      <c r="JSJ33" s="165"/>
      <c r="JSK33" s="165"/>
      <c r="JSL33" s="165"/>
      <c r="JSM33" s="165"/>
      <c r="JSN33" s="165"/>
      <c r="JSO33" s="165"/>
      <c r="JSP33" s="165"/>
      <c r="JSQ33" s="165"/>
      <c r="JSR33" s="165"/>
      <c r="JSS33" s="165"/>
      <c r="JST33" s="165"/>
      <c r="JSU33" s="165"/>
      <c r="JSV33" s="165"/>
      <c r="JSW33" s="165"/>
      <c r="JSX33" s="165"/>
      <c r="JSY33" s="165"/>
      <c r="JSZ33" s="165"/>
      <c r="JTA33" s="165"/>
      <c r="JTB33" s="165"/>
      <c r="JTC33" s="165"/>
      <c r="JTD33" s="165"/>
      <c r="JTE33" s="165"/>
      <c r="JTF33" s="165"/>
      <c r="JTG33" s="165"/>
      <c r="JTH33" s="165"/>
      <c r="JTI33" s="165"/>
      <c r="JTJ33" s="165"/>
      <c r="JTK33" s="165"/>
      <c r="JTL33" s="165"/>
      <c r="JTM33" s="165"/>
      <c r="JTN33" s="165"/>
      <c r="JTO33" s="165"/>
      <c r="JTP33" s="165"/>
      <c r="JTQ33" s="165"/>
      <c r="JTR33" s="165"/>
      <c r="JTS33" s="165"/>
      <c r="JTT33" s="165"/>
      <c r="JTU33" s="165"/>
      <c r="JTV33" s="165"/>
      <c r="JTW33" s="165"/>
      <c r="JTX33" s="165"/>
      <c r="JTY33" s="165"/>
      <c r="JTZ33" s="165"/>
      <c r="JUA33" s="165"/>
      <c r="JUB33" s="165"/>
      <c r="JUC33" s="165"/>
      <c r="JUD33" s="165"/>
      <c r="JUE33" s="165"/>
      <c r="JUF33" s="165"/>
      <c r="JUG33" s="165"/>
      <c r="JUH33" s="165"/>
      <c r="JUI33" s="165"/>
      <c r="JUJ33" s="165"/>
      <c r="JUK33" s="165"/>
      <c r="JUL33" s="165"/>
      <c r="JUM33" s="165"/>
      <c r="JUN33" s="165"/>
      <c r="JUO33" s="165"/>
      <c r="JUP33" s="165"/>
      <c r="JUQ33" s="165"/>
      <c r="JUR33" s="165"/>
      <c r="JUS33" s="165"/>
      <c r="JUT33" s="165"/>
      <c r="JUU33" s="165"/>
      <c r="JUV33" s="165"/>
      <c r="JUW33" s="165"/>
      <c r="JUX33" s="165"/>
      <c r="JUY33" s="165"/>
      <c r="JUZ33" s="165"/>
      <c r="JVA33" s="165"/>
      <c r="JVB33" s="165"/>
      <c r="JVC33" s="165"/>
      <c r="JVD33" s="165"/>
      <c r="JVE33" s="165"/>
      <c r="JVF33" s="165"/>
      <c r="JVG33" s="165"/>
      <c r="JVH33" s="165"/>
      <c r="JVI33" s="165"/>
      <c r="JVJ33" s="165"/>
      <c r="JVK33" s="165"/>
      <c r="JVL33" s="165"/>
      <c r="JVM33" s="165"/>
      <c r="JVN33" s="165"/>
      <c r="JVO33" s="165"/>
      <c r="JVP33" s="165"/>
      <c r="JVQ33" s="165"/>
      <c r="JVR33" s="165"/>
      <c r="JVS33" s="165"/>
      <c r="JVT33" s="165"/>
      <c r="JVU33" s="165"/>
      <c r="JVV33" s="165"/>
      <c r="JVW33" s="165"/>
      <c r="JVX33" s="165"/>
      <c r="JVY33" s="165"/>
      <c r="JVZ33" s="165"/>
      <c r="JWA33" s="165"/>
      <c r="JWB33" s="165"/>
      <c r="JWC33" s="165"/>
      <c r="JWD33" s="165"/>
      <c r="JWE33" s="165"/>
      <c r="JWF33" s="165"/>
      <c r="JWG33" s="165"/>
      <c r="JWH33" s="165"/>
      <c r="JWI33" s="165"/>
      <c r="JWJ33" s="165"/>
      <c r="JWK33" s="165"/>
      <c r="JWL33" s="165"/>
      <c r="JWM33" s="165"/>
      <c r="JWN33" s="165"/>
      <c r="JWO33" s="165"/>
      <c r="JWP33" s="165"/>
      <c r="JWQ33" s="165"/>
      <c r="JWR33" s="165"/>
      <c r="JWS33" s="165"/>
      <c r="JWT33" s="165"/>
      <c r="JWU33" s="165"/>
      <c r="JWV33" s="165"/>
      <c r="JWW33" s="165"/>
      <c r="JWX33" s="165"/>
      <c r="JWY33" s="165"/>
      <c r="JWZ33" s="165"/>
      <c r="JXA33" s="165"/>
      <c r="JXB33" s="165"/>
      <c r="JXC33" s="165"/>
      <c r="JXD33" s="165"/>
      <c r="JXE33" s="165"/>
      <c r="JXF33" s="165"/>
      <c r="JXG33" s="165"/>
      <c r="JXH33" s="165"/>
      <c r="JXI33" s="165"/>
      <c r="JXJ33" s="165"/>
      <c r="JXK33" s="165"/>
      <c r="JXL33" s="165"/>
      <c r="JXM33" s="165"/>
      <c r="JXN33" s="165"/>
      <c r="JXO33" s="165"/>
      <c r="JXP33" s="165"/>
      <c r="JXQ33" s="165"/>
      <c r="JXR33" s="165"/>
      <c r="JXS33" s="165"/>
      <c r="JXT33" s="165"/>
      <c r="JXU33" s="165"/>
      <c r="JXV33" s="165"/>
      <c r="JXW33" s="165"/>
      <c r="JXX33" s="165"/>
      <c r="JXY33" s="165"/>
      <c r="JXZ33" s="165"/>
      <c r="JYA33" s="165"/>
      <c r="JYB33" s="165"/>
      <c r="JYC33" s="165"/>
      <c r="JYD33" s="165"/>
      <c r="JYE33" s="165"/>
      <c r="JYF33" s="165"/>
      <c r="JYG33" s="165"/>
      <c r="JYH33" s="165"/>
      <c r="JYI33" s="165"/>
      <c r="JYJ33" s="165"/>
      <c r="JYK33" s="165"/>
      <c r="JYL33" s="165"/>
      <c r="JYM33" s="165"/>
      <c r="JYN33" s="165"/>
      <c r="JYO33" s="165"/>
      <c r="JYP33" s="165"/>
      <c r="JYQ33" s="165"/>
      <c r="JYR33" s="165"/>
      <c r="JYS33" s="165"/>
      <c r="JYT33" s="165"/>
      <c r="JYU33" s="165"/>
      <c r="JYV33" s="165"/>
      <c r="JYW33" s="165"/>
      <c r="JYX33" s="165"/>
      <c r="JYY33" s="165"/>
      <c r="JYZ33" s="165"/>
      <c r="JZA33" s="165"/>
      <c r="JZB33" s="165"/>
      <c r="JZC33" s="165"/>
      <c r="JZD33" s="165"/>
      <c r="JZE33" s="165"/>
      <c r="JZF33" s="165"/>
      <c r="JZG33" s="165"/>
      <c r="JZH33" s="165"/>
      <c r="JZI33" s="165"/>
      <c r="JZJ33" s="165"/>
      <c r="JZK33" s="165"/>
      <c r="JZL33" s="165"/>
      <c r="JZM33" s="165"/>
      <c r="JZN33" s="165"/>
      <c r="JZO33" s="165"/>
      <c r="JZP33" s="165"/>
      <c r="JZQ33" s="165"/>
      <c r="JZR33" s="165"/>
      <c r="JZS33" s="165"/>
      <c r="JZT33" s="165"/>
      <c r="JZU33" s="165"/>
      <c r="JZV33" s="165"/>
      <c r="JZW33" s="165"/>
      <c r="JZX33" s="165"/>
      <c r="JZY33" s="165"/>
      <c r="JZZ33" s="165"/>
      <c r="KAA33" s="165"/>
      <c r="KAB33" s="165"/>
      <c r="KAC33" s="165"/>
      <c r="KAD33" s="165"/>
      <c r="KAE33" s="165"/>
      <c r="KAF33" s="165"/>
      <c r="KAG33" s="165"/>
      <c r="KAH33" s="165"/>
      <c r="KAI33" s="165"/>
      <c r="KAJ33" s="165"/>
      <c r="KAK33" s="165"/>
      <c r="KAL33" s="165"/>
      <c r="KAM33" s="165"/>
      <c r="KAN33" s="165"/>
      <c r="KAO33" s="165"/>
      <c r="KAP33" s="165"/>
      <c r="KAQ33" s="165"/>
      <c r="KAR33" s="165"/>
      <c r="KAS33" s="165"/>
      <c r="KAT33" s="165"/>
      <c r="KAU33" s="165"/>
      <c r="KAV33" s="165"/>
      <c r="KAW33" s="165"/>
      <c r="KAX33" s="165"/>
      <c r="KAY33" s="165"/>
      <c r="KAZ33" s="165"/>
      <c r="KBA33" s="165"/>
      <c r="KBB33" s="165"/>
      <c r="KBC33" s="165"/>
      <c r="KBD33" s="165"/>
      <c r="KBE33" s="165"/>
      <c r="KBF33" s="165"/>
      <c r="KBG33" s="165"/>
      <c r="KBH33" s="165"/>
      <c r="KBI33" s="165"/>
      <c r="KBJ33" s="165"/>
      <c r="KBK33" s="165"/>
      <c r="KBL33" s="165"/>
      <c r="KBM33" s="165"/>
      <c r="KBN33" s="165"/>
      <c r="KBO33" s="165"/>
      <c r="KBP33" s="165"/>
      <c r="KBQ33" s="165"/>
      <c r="KBR33" s="165"/>
      <c r="KBS33" s="165"/>
      <c r="KBT33" s="165"/>
      <c r="KBU33" s="165"/>
      <c r="KBV33" s="165"/>
      <c r="KBW33" s="165"/>
      <c r="KBX33" s="165"/>
      <c r="KBY33" s="165"/>
      <c r="KBZ33" s="165"/>
      <c r="KCA33" s="165"/>
      <c r="KCB33" s="165"/>
      <c r="KCC33" s="165"/>
      <c r="KCD33" s="165"/>
      <c r="KCE33" s="165"/>
      <c r="KCF33" s="165"/>
      <c r="KCG33" s="165"/>
      <c r="KCH33" s="165"/>
      <c r="KCI33" s="165"/>
      <c r="KCJ33" s="165"/>
      <c r="KCK33" s="165"/>
      <c r="KCL33" s="165"/>
      <c r="KCM33" s="165"/>
      <c r="KCN33" s="165"/>
      <c r="KCO33" s="165"/>
      <c r="KCP33" s="165"/>
      <c r="KCQ33" s="165"/>
      <c r="KCR33" s="165"/>
      <c r="KCS33" s="165"/>
      <c r="KCT33" s="165"/>
      <c r="KCU33" s="165"/>
      <c r="KCV33" s="165"/>
      <c r="KCW33" s="165"/>
      <c r="KCX33" s="165"/>
      <c r="KCY33" s="165"/>
      <c r="KCZ33" s="165"/>
      <c r="KDA33" s="165"/>
      <c r="KDB33" s="165"/>
      <c r="KDC33" s="165"/>
      <c r="KDD33" s="165"/>
      <c r="KDE33" s="165"/>
      <c r="KDF33" s="165"/>
      <c r="KDG33" s="165"/>
      <c r="KDH33" s="165"/>
      <c r="KDI33" s="165"/>
      <c r="KDJ33" s="165"/>
      <c r="KDK33" s="165"/>
      <c r="KDL33" s="165"/>
      <c r="KDM33" s="165"/>
      <c r="KDN33" s="165"/>
      <c r="KDO33" s="165"/>
      <c r="KDP33" s="165"/>
      <c r="KDQ33" s="165"/>
      <c r="KDR33" s="165"/>
      <c r="KDS33" s="165"/>
      <c r="KDT33" s="165"/>
      <c r="KDU33" s="165"/>
      <c r="KDV33" s="165"/>
      <c r="KDW33" s="165"/>
      <c r="KDX33" s="165"/>
      <c r="KDY33" s="165"/>
      <c r="KDZ33" s="165"/>
      <c r="KEA33" s="165"/>
      <c r="KEB33" s="165"/>
      <c r="KEC33" s="165"/>
      <c r="KED33" s="165"/>
      <c r="KEE33" s="165"/>
      <c r="KEF33" s="165"/>
      <c r="KEG33" s="165"/>
      <c r="KEH33" s="165"/>
      <c r="KEI33" s="165"/>
      <c r="KEJ33" s="165"/>
      <c r="KEK33" s="165"/>
      <c r="KEL33" s="165"/>
      <c r="KEM33" s="165"/>
      <c r="KEN33" s="165"/>
      <c r="KEO33" s="165"/>
      <c r="KEP33" s="165"/>
      <c r="KEQ33" s="165"/>
      <c r="KER33" s="165"/>
      <c r="KES33" s="165"/>
      <c r="KET33" s="165"/>
      <c r="KEU33" s="165"/>
      <c r="KEV33" s="165"/>
      <c r="KEW33" s="165"/>
      <c r="KEX33" s="165"/>
      <c r="KEY33" s="165"/>
      <c r="KEZ33" s="165"/>
      <c r="KFA33" s="165"/>
      <c r="KFB33" s="165"/>
      <c r="KFC33" s="165"/>
      <c r="KFD33" s="165"/>
      <c r="KFE33" s="165"/>
      <c r="KFF33" s="165"/>
      <c r="KFG33" s="165"/>
      <c r="KFH33" s="165"/>
      <c r="KFI33" s="165"/>
      <c r="KFJ33" s="165"/>
      <c r="KFK33" s="165"/>
      <c r="KFL33" s="165"/>
      <c r="KFM33" s="165"/>
      <c r="KFN33" s="165"/>
      <c r="KFO33" s="165"/>
      <c r="KFP33" s="165"/>
      <c r="KFQ33" s="165"/>
      <c r="KFR33" s="165"/>
      <c r="KFS33" s="165"/>
      <c r="KFT33" s="165"/>
      <c r="KFU33" s="165"/>
      <c r="KFV33" s="165"/>
      <c r="KFW33" s="165"/>
      <c r="KFX33" s="165"/>
      <c r="KFY33" s="165"/>
      <c r="KFZ33" s="165"/>
      <c r="KGA33" s="165"/>
      <c r="KGB33" s="165"/>
      <c r="KGC33" s="165"/>
      <c r="KGD33" s="165"/>
      <c r="KGE33" s="165"/>
      <c r="KGF33" s="165"/>
      <c r="KGG33" s="165"/>
      <c r="KGH33" s="165"/>
      <c r="KGI33" s="165"/>
      <c r="KGJ33" s="165"/>
      <c r="KGK33" s="165"/>
      <c r="KGL33" s="165"/>
      <c r="KGM33" s="165"/>
      <c r="KGN33" s="165"/>
      <c r="KGO33" s="165"/>
      <c r="KGP33" s="165"/>
      <c r="KGQ33" s="165"/>
      <c r="KGR33" s="165"/>
      <c r="KGS33" s="165"/>
      <c r="KGT33" s="165"/>
      <c r="KGU33" s="165"/>
      <c r="KGV33" s="165"/>
      <c r="KGW33" s="165"/>
      <c r="KGX33" s="165"/>
      <c r="KGY33" s="165"/>
      <c r="KGZ33" s="165"/>
      <c r="KHA33" s="165"/>
      <c r="KHB33" s="165"/>
      <c r="KHC33" s="165"/>
      <c r="KHD33" s="165"/>
      <c r="KHE33" s="165"/>
      <c r="KHF33" s="165"/>
      <c r="KHG33" s="165"/>
      <c r="KHH33" s="165"/>
      <c r="KHI33" s="165"/>
      <c r="KHJ33" s="165"/>
      <c r="KHK33" s="165"/>
      <c r="KHL33" s="165"/>
      <c r="KHM33" s="165"/>
      <c r="KHN33" s="165"/>
      <c r="KHO33" s="165"/>
      <c r="KHP33" s="165"/>
      <c r="KHQ33" s="165"/>
      <c r="KHR33" s="165"/>
      <c r="KHS33" s="165"/>
      <c r="KHT33" s="165"/>
      <c r="KHU33" s="165"/>
      <c r="KHV33" s="165"/>
      <c r="KHW33" s="165"/>
      <c r="KHX33" s="165"/>
      <c r="KHY33" s="165"/>
      <c r="KHZ33" s="165"/>
      <c r="KIA33" s="165"/>
      <c r="KIB33" s="165"/>
      <c r="KIC33" s="165"/>
      <c r="KID33" s="165"/>
      <c r="KIE33" s="165"/>
      <c r="KIF33" s="165"/>
      <c r="KIG33" s="165"/>
      <c r="KIH33" s="165"/>
      <c r="KII33" s="165"/>
      <c r="KIJ33" s="165"/>
      <c r="KIK33" s="165"/>
      <c r="KIL33" s="165"/>
      <c r="KIM33" s="165"/>
      <c r="KIN33" s="165"/>
      <c r="KIO33" s="165"/>
      <c r="KIP33" s="165"/>
      <c r="KIQ33" s="165"/>
      <c r="KIR33" s="165"/>
      <c r="KIS33" s="165"/>
      <c r="KIT33" s="165"/>
      <c r="KIU33" s="165"/>
      <c r="KIV33" s="165"/>
      <c r="KIW33" s="165"/>
      <c r="KIX33" s="165"/>
      <c r="KIY33" s="165"/>
      <c r="KIZ33" s="165"/>
      <c r="KJA33" s="165"/>
      <c r="KJB33" s="165"/>
      <c r="KJC33" s="165"/>
      <c r="KJD33" s="165"/>
      <c r="KJE33" s="165"/>
      <c r="KJF33" s="165"/>
      <c r="KJG33" s="165"/>
      <c r="KJH33" s="165"/>
      <c r="KJI33" s="165"/>
      <c r="KJJ33" s="165"/>
      <c r="KJK33" s="165"/>
      <c r="KJL33" s="165"/>
      <c r="KJM33" s="165"/>
      <c r="KJN33" s="165"/>
      <c r="KJO33" s="165"/>
      <c r="KJP33" s="165"/>
      <c r="KJQ33" s="165"/>
      <c r="KJR33" s="165"/>
      <c r="KJS33" s="165"/>
      <c r="KJT33" s="165"/>
      <c r="KJU33" s="165"/>
      <c r="KJV33" s="165"/>
      <c r="KJW33" s="165"/>
      <c r="KJX33" s="165"/>
      <c r="KJY33" s="165"/>
      <c r="KJZ33" s="165"/>
      <c r="KKA33" s="165"/>
      <c r="KKB33" s="165"/>
      <c r="KKC33" s="165"/>
      <c r="KKD33" s="165"/>
      <c r="KKE33" s="165"/>
      <c r="KKF33" s="165"/>
      <c r="KKG33" s="165"/>
      <c r="KKH33" s="165"/>
      <c r="KKI33" s="165"/>
      <c r="KKJ33" s="165"/>
      <c r="KKK33" s="165"/>
      <c r="KKL33" s="165"/>
      <c r="KKM33" s="165"/>
      <c r="KKN33" s="165"/>
      <c r="KKO33" s="165"/>
      <c r="KKP33" s="165"/>
      <c r="KKQ33" s="165"/>
      <c r="KKR33" s="165"/>
      <c r="KKS33" s="165"/>
      <c r="KKT33" s="165"/>
      <c r="KKU33" s="165"/>
      <c r="KKV33" s="165"/>
      <c r="KKW33" s="165"/>
      <c r="KKX33" s="165"/>
      <c r="KKY33" s="165"/>
      <c r="KKZ33" s="165"/>
      <c r="KLA33" s="165"/>
      <c r="KLB33" s="165"/>
      <c r="KLC33" s="165"/>
      <c r="KLD33" s="165"/>
      <c r="KLE33" s="165"/>
      <c r="KLF33" s="165"/>
      <c r="KLG33" s="165"/>
      <c r="KLH33" s="165"/>
      <c r="KLI33" s="165"/>
      <c r="KLJ33" s="165"/>
      <c r="KLK33" s="165"/>
      <c r="KLL33" s="165"/>
      <c r="KLM33" s="165"/>
      <c r="KLN33" s="165"/>
      <c r="KLO33" s="165"/>
      <c r="KLP33" s="165"/>
      <c r="KLQ33" s="165"/>
      <c r="KLR33" s="165"/>
      <c r="KLS33" s="165"/>
      <c r="KLT33" s="165"/>
      <c r="KLU33" s="165"/>
      <c r="KLV33" s="165"/>
      <c r="KLW33" s="165"/>
      <c r="KLX33" s="165"/>
      <c r="KLY33" s="165"/>
      <c r="KLZ33" s="165"/>
      <c r="KMA33" s="165"/>
      <c r="KMB33" s="165"/>
      <c r="KMC33" s="165"/>
      <c r="KMD33" s="165"/>
      <c r="KME33" s="165"/>
      <c r="KMF33" s="165"/>
      <c r="KMG33" s="165"/>
      <c r="KMH33" s="165"/>
      <c r="KMI33" s="165"/>
      <c r="KMJ33" s="165"/>
      <c r="KMK33" s="165"/>
      <c r="KML33" s="165"/>
      <c r="KMM33" s="165"/>
      <c r="KMN33" s="165"/>
      <c r="KMO33" s="165"/>
      <c r="KMP33" s="165"/>
      <c r="KMQ33" s="165"/>
      <c r="KMR33" s="165"/>
      <c r="KMS33" s="165"/>
      <c r="KMT33" s="165"/>
      <c r="KMU33" s="165"/>
      <c r="KMV33" s="165"/>
      <c r="KMW33" s="165"/>
      <c r="KMX33" s="165"/>
      <c r="KMY33" s="165"/>
      <c r="KMZ33" s="165"/>
      <c r="KNA33" s="165"/>
      <c r="KNB33" s="165"/>
      <c r="KNC33" s="165"/>
      <c r="KND33" s="165"/>
      <c r="KNE33" s="165"/>
      <c r="KNF33" s="165"/>
      <c r="KNG33" s="165"/>
      <c r="KNH33" s="165"/>
      <c r="KNI33" s="165"/>
      <c r="KNJ33" s="165"/>
      <c r="KNK33" s="165"/>
      <c r="KNL33" s="165"/>
      <c r="KNM33" s="165"/>
      <c r="KNN33" s="165"/>
      <c r="KNO33" s="165"/>
      <c r="KNP33" s="165"/>
      <c r="KNQ33" s="165"/>
      <c r="KNR33" s="165"/>
      <c r="KNS33" s="165"/>
      <c r="KNT33" s="165"/>
      <c r="KNU33" s="165"/>
      <c r="KNV33" s="165"/>
      <c r="KNW33" s="165"/>
      <c r="KNX33" s="165"/>
      <c r="KNY33" s="165"/>
      <c r="KNZ33" s="165"/>
      <c r="KOA33" s="165"/>
      <c r="KOB33" s="165"/>
      <c r="KOC33" s="165"/>
      <c r="KOD33" s="165"/>
      <c r="KOE33" s="165"/>
      <c r="KOF33" s="165"/>
      <c r="KOG33" s="165"/>
      <c r="KOH33" s="165"/>
      <c r="KOI33" s="165"/>
      <c r="KOJ33" s="165"/>
      <c r="KOK33" s="165"/>
      <c r="KOL33" s="165"/>
      <c r="KOM33" s="165"/>
      <c r="KON33" s="165"/>
      <c r="KOO33" s="165"/>
      <c r="KOP33" s="165"/>
      <c r="KOQ33" s="165"/>
      <c r="KOR33" s="165"/>
      <c r="KOS33" s="165"/>
      <c r="KOT33" s="165"/>
      <c r="KOU33" s="165"/>
      <c r="KOV33" s="165"/>
      <c r="KOW33" s="165"/>
      <c r="KOX33" s="165"/>
      <c r="KOY33" s="165"/>
      <c r="KOZ33" s="165"/>
      <c r="KPA33" s="165"/>
      <c r="KPB33" s="165"/>
      <c r="KPC33" s="165"/>
      <c r="KPD33" s="165"/>
      <c r="KPE33" s="165"/>
      <c r="KPF33" s="165"/>
      <c r="KPG33" s="165"/>
      <c r="KPH33" s="165"/>
      <c r="KPI33" s="165"/>
      <c r="KPJ33" s="165"/>
      <c r="KPK33" s="165"/>
      <c r="KPL33" s="165"/>
      <c r="KPM33" s="165"/>
      <c r="KPN33" s="165"/>
      <c r="KPO33" s="165"/>
      <c r="KPP33" s="165"/>
      <c r="KPQ33" s="165"/>
      <c r="KPR33" s="165"/>
      <c r="KPS33" s="165"/>
      <c r="KPT33" s="165"/>
      <c r="KPU33" s="165"/>
      <c r="KPV33" s="165"/>
      <c r="KPW33" s="165"/>
      <c r="KPX33" s="165"/>
      <c r="KPY33" s="165"/>
      <c r="KPZ33" s="165"/>
      <c r="KQA33" s="165"/>
      <c r="KQB33" s="165"/>
      <c r="KQC33" s="165"/>
      <c r="KQD33" s="165"/>
      <c r="KQE33" s="165"/>
      <c r="KQF33" s="165"/>
      <c r="KQG33" s="165"/>
      <c r="KQH33" s="165"/>
      <c r="KQI33" s="165"/>
      <c r="KQJ33" s="165"/>
      <c r="KQK33" s="165"/>
      <c r="KQL33" s="165"/>
      <c r="KQM33" s="165"/>
      <c r="KQN33" s="165"/>
      <c r="KQO33" s="165"/>
      <c r="KQP33" s="165"/>
      <c r="KQQ33" s="165"/>
      <c r="KQR33" s="165"/>
      <c r="KQS33" s="165"/>
      <c r="KQT33" s="165"/>
      <c r="KQU33" s="165"/>
      <c r="KQV33" s="165"/>
      <c r="KQW33" s="165"/>
      <c r="KQX33" s="165"/>
      <c r="KQY33" s="165"/>
      <c r="KQZ33" s="165"/>
      <c r="KRA33" s="165"/>
      <c r="KRB33" s="165"/>
      <c r="KRC33" s="165"/>
      <c r="KRD33" s="165"/>
      <c r="KRE33" s="165"/>
      <c r="KRF33" s="165"/>
      <c r="KRG33" s="165"/>
      <c r="KRH33" s="165"/>
      <c r="KRI33" s="165"/>
      <c r="KRJ33" s="165"/>
      <c r="KRK33" s="165"/>
      <c r="KRL33" s="165"/>
      <c r="KRM33" s="165"/>
      <c r="KRN33" s="165"/>
      <c r="KRO33" s="165"/>
      <c r="KRP33" s="165"/>
      <c r="KRQ33" s="165"/>
      <c r="KRR33" s="165"/>
      <c r="KRS33" s="165"/>
      <c r="KRT33" s="165"/>
      <c r="KRU33" s="165"/>
      <c r="KRV33" s="165"/>
      <c r="KRW33" s="165"/>
      <c r="KRX33" s="165"/>
      <c r="KRY33" s="165"/>
      <c r="KRZ33" s="165"/>
      <c r="KSA33" s="165"/>
      <c r="KSB33" s="165"/>
      <c r="KSC33" s="165"/>
      <c r="KSD33" s="165"/>
      <c r="KSE33" s="165"/>
      <c r="KSF33" s="165"/>
      <c r="KSG33" s="165"/>
      <c r="KSH33" s="165"/>
      <c r="KSI33" s="165"/>
      <c r="KSJ33" s="165"/>
      <c r="KSK33" s="165"/>
      <c r="KSL33" s="165"/>
      <c r="KSM33" s="165"/>
      <c r="KSN33" s="165"/>
      <c r="KSO33" s="165"/>
      <c r="KSP33" s="165"/>
      <c r="KSQ33" s="165"/>
      <c r="KSR33" s="165"/>
      <c r="KSS33" s="165"/>
      <c r="KST33" s="165"/>
      <c r="KSU33" s="165"/>
      <c r="KSV33" s="165"/>
      <c r="KSW33" s="165"/>
      <c r="KSX33" s="165"/>
      <c r="KSY33" s="165"/>
      <c r="KSZ33" s="165"/>
      <c r="KTA33" s="165"/>
      <c r="KTB33" s="165"/>
      <c r="KTC33" s="165"/>
      <c r="KTD33" s="165"/>
      <c r="KTE33" s="165"/>
      <c r="KTF33" s="165"/>
      <c r="KTG33" s="165"/>
      <c r="KTH33" s="165"/>
      <c r="KTI33" s="165"/>
      <c r="KTJ33" s="165"/>
      <c r="KTK33" s="165"/>
      <c r="KTL33" s="165"/>
      <c r="KTM33" s="165"/>
      <c r="KTN33" s="165"/>
      <c r="KTO33" s="165"/>
      <c r="KTP33" s="165"/>
      <c r="KTQ33" s="165"/>
      <c r="KTR33" s="165"/>
      <c r="KTS33" s="165"/>
      <c r="KTT33" s="165"/>
      <c r="KTU33" s="165"/>
      <c r="KTV33" s="165"/>
      <c r="KTW33" s="165"/>
      <c r="KTX33" s="165"/>
      <c r="KTY33" s="165"/>
      <c r="KTZ33" s="165"/>
      <c r="KUA33" s="165"/>
      <c r="KUB33" s="165"/>
      <c r="KUC33" s="165"/>
      <c r="KUD33" s="165"/>
      <c r="KUE33" s="165"/>
      <c r="KUF33" s="165"/>
      <c r="KUG33" s="165"/>
      <c r="KUH33" s="165"/>
      <c r="KUI33" s="165"/>
      <c r="KUJ33" s="165"/>
      <c r="KUK33" s="165"/>
      <c r="KUL33" s="165"/>
      <c r="KUM33" s="165"/>
      <c r="KUN33" s="165"/>
      <c r="KUO33" s="165"/>
      <c r="KUP33" s="165"/>
      <c r="KUQ33" s="165"/>
      <c r="KUR33" s="165"/>
      <c r="KUS33" s="165"/>
      <c r="KUT33" s="165"/>
      <c r="KUU33" s="165"/>
      <c r="KUV33" s="165"/>
      <c r="KUW33" s="165"/>
      <c r="KUX33" s="165"/>
      <c r="KUY33" s="165"/>
      <c r="KUZ33" s="165"/>
      <c r="KVA33" s="165"/>
      <c r="KVB33" s="165"/>
      <c r="KVC33" s="165"/>
      <c r="KVD33" s="165"/>
      <c r="KVE33" s="165"/>
      <c r="KVF33" s="165"/>
      <c r="KVG33" s="165"/>
      <c r="KVH33" s="165"/>
      <c r="KVI33" s="165"/>
      <c r="KVJ33" s="165"/>
      <c r="KVK33" s="165"/>
      <c r="KVL33" s="165"/>
      <c r="KVM33" s="165"/>
      <c r="KVN33" s="165"/>
      <c r="KVO33" s="165"/>
      <c r="KVP33" s="165"/>
      <c r="KVQ33" s="165"/>
      <c r="KVR33" s="165"/>
      <c r="KVS33" s="165"/>
      <c r="KVT33" s="165"/>
      <c r="KVU33" s="165"/>
      <c r="KVV33" s="165"/>
      <c r="KVW33" s="165"/>
      <c r="KVX33" s="165"/>
      <c r="KVY33" s="165"/>
      <c r="KVZ33" s="165"/>
      <c r="KWA33" s="165"/>
      <c r="KWB33" s="165"/>
      <c r="KWC33" s="165"/>
      <c r="KWD33" s="165"/>
      <c r="KWE33" s="165"/>
      <c r="KWF33" s="165"/>
      <c r="KWG33" s="165"/>
      <c r="KWH33" s="165"/>
      <c r="KWI33" s="165"/>
      <c r="KWJ33" s="165"/>
      <c r="KWK33" s="165"/>
      <c r="KWL33" s="165"/>
      <c r="KWM33" s="165"/>
      <c r="KWN33" s="165"/>
      <c r="KWO33" s="165"/>
      <c r="KWP33" s="165"/>
      <c r="KWQ33" s="165"/>
      <c r="KWR33" s="165"/>
      <c r="KWS33" s="165"/>
      <c r="KWT33" s="165"/>
      <c r="KWU33" s="165"/>
      <c r="KWV33" s="165"/>
      <c r="KWW33" s="165"/>
      <c r="KWX33" s="165"/>
      <c r="KWY33" s="165"/>
      <c r="KWZ33" s="165"/>
      <c r="KXA33" s="165"/>
      <c r="KXB33" s="165"/>
      <c r="KXC33" s="165"/>
      <c r="KXD33" s="165"/>
      <c r="KXE33" s="165"/>
      <c r="KXF33" s="165"/>
      <c r="KXG33" s="165"/>
      <c r="KXH33" s="165"/>
      <c r="KXI33" s="165"/>
      <c r="KXJ33" s="165"/>
      <c r="KXK33" s="165"/>
      <c r="KXL33" s="165"/>
      <c r="KXM33" s="165"/>
      <c r="KXN33" s="165"/>
      <c r="KXO33" s="165"/>
      <c r="KXP33" s="165"/>
      <c r="KXQ33" s="165"/>
      <c r="KXR33" s="165"/>
      <c r="KXS33" s="165"/>
      <c r="KXT33" s="165"/>
      <c r="KXU33" s="165"/>
      <c r="KXV33" s="165"/>
      <c r="KXW33" s="165"/>
      <c r="KXX33" s="165"/>
      <c r="KXY33" s="165"/>
      <c r="KXZ33" s="165"/>
      <c r="KYA33" s="165"/>
      <c r="KYB33" s="165"/>
      <c r="KYC33" s="165"/>
      <c r="KYD33" s="165"/>
      <c r="KYE33" s="165"/>
      <c r="KYF33" s="165"/>
      <c r="KYG33" s="165"/>
      <c r="KYH33" s="165"/>
      <c r="KYI33" s="165"/>
      <c r="KYJ33" s="165"/>
      <c r="KYK33" s="165"/>
      <c r="KYL33" s="165"/>
      <c r="KYM33" s="165"/>
      <c r="KYN33" s="165"/>
      <c r="KYO33" s="165"/>
      <c r="KYP33" s="165"/>
      <c r="KYQ33" s="165"/>
      <c r="KYR33" s="165"/>
      <c r="KYS33" s="165"/>
      <c r="KYT33" s="165"/>
      <c r="KYU33" s="165"/>
      <c r="KYV33" s="165"/>
      <c r="KYW33" s="165"/>
      <c r="KYX33" s="165"/>
      <c r="KYY33" s="165"/>
      <c r="KYZ33" s="165"/>
      <c r="KZA33" s="165"/>
      <c r="KZB33" s="165"/>
      <c r="KZC33" s="165"/>
      <c r="KZD33" s="165"/>
      <c r="KZE33" s="165"/>
      <c r="KZF33" s="165"/>
      <c r="KZG33" s="165"/>
      <c r="KZH33" s="165"/>
      <c r="KZI33" s="165"/>
      <c r="KZJ33" s="165"/>
      <c r="KZK33" s="165"/>
      <c r="KZL33" s="165"/>
      <c r="KZM33" s="165"/>
      <c r="KZN33" s="165"/>
      <c r="KZO33" s="165"/>
      <c r="KZP33" s="165"/>
      <c r="KZQ33" s="165"/>
      <c r="KZR33" s="165"/>
      <c r="KZS33" s="165"/>
      <c r="KZT33" s="165"/>
      <c r="KZU33" s="165"/>
      <c r="KZV33" s="165"/>
      <c r="KZW33" s="165"/>
      <c r="KZX33" s="165"/>
      <c r="KZY33" s="165"/>
      <c r="KZZ33" s="165"/>
      <c r="LAA33" s="165"/>
      <c r="LAB33" s="165"/>
      <c r="LAC33" s="165"/>
      <c r="LAD33" s="165"/>
      <c r="LAE33" s="165"/>
      <c r="LAF33" s="165"/>
      <c r="LAG33" s="165"/>
      <c r="LAH33" s="165"/>
      <c r="LAI33" s="165"/>
      <c r="LAJ33" s="165"/>
      <c r="LAK33" s="165"/>
      <c r="LAL33" s="165"/>
      <c r="LAM33" s="165"/>
      <c r="LAN33" s="165"/>
      <c r="LAO33" s="165"/>
      <c r="LAP33" s="165"/>
      <c r="LAQ33" s="165"/>
      <c r="LAR33" s="165"/>
      <c r="LAS33" s="165"/>
      <c r="LAT33" s="165"/>
      <c r="LAU33" s="165"/>
      <c r="LAV33" s="165"/>
      <c r="LAW33" s="165"/>
      <c r="LAX33" s="165"/>
      <c r="LAY33" s="165"/>
      <c r="LAZ33" s="165"/>
      <c r="LBA33" s="165"/>
      <c r="LBB33" s="165"/>
      <c r="LBC33" s="165"/>
      <c r="LBD33" s="165"/>
      <c r="LBE33" s="165"/>
      <c r="LBF33" s="165"/>
      <c r="LBG33" s="165"/>
      <c r="LBH33" s="165"/>
      <c r="LBI33" s="165"/>
      <c r="LBJ33" s="165"/>
      <c r="LBK33" s="165"/>
      <c r="LBL33" s="165"/>
      <c r="LBM33" s="165"/>
      <c r="LBN33" s="165"/>
      <c r="LBO33" s="165"/>
      <c r="LBP33" s="165"/>
      <c r="LBQ33" s="165"/>
      <c r="LBR33" s="165"/>
      <c r="LBS33" s="165"/>
      <c r="LBT33" s="165"/>
      <c r="LBU33" s="165"/>
      <c r="LBV33" s="165"/>
      <c r="LBW33" s="165"/>
      <c r="LBX33" s="165"/>
      <c r="LBY33" s="165"/>
      <c r="LBZ33" s="165"/>
      <c r="LCA33" s="165"/>
      <c r="LCB33" s="165"/>
      <c r="LCC33" s="165"/>
      <c r="LCD33" s="165"/>
      <c r="LCE33" s="165"/>
      <c r="LCF33" s="165"/>
      <c r="LCG33" s="165"/>
      <c r="LCH33" s="165"/>
      <c r="LCI33" s="165"/>
      <c r="LCJ33" s="165"/>
      <c r="LCK33" s="165"/>
      <c r="LCL33" s="165"/>
      <c r="LCM33" s="165"/>
      <c r="LCN33" s="165"/>
      <c r="LCO33" s="165"/>
      <c r="LCP33" s="165"/>
      <c r="LCQ33" s="165"/>
      <c r="LCR33" s="165"/>
      <c r="LCS33" s="165"/>
      <c r="LCT33" s="165"/>
      <c r="LCU33" s="165"/>
      <c r="LCV33" s="165"/>
      <c r="LCW33" s="165"/>
      <c r="LCX33" s="165"/>
      <c r="LCY33" s="165"/>
      <c r="LCZ33" s="165"/>
      <c r="LDA33" s="165"/>
      <c r="LDB33" s="165"/>
      <c r="LDC33" s="165"/>
      <c r="LDD33" s="165"/>
      <c r="LDE33" s="165"/>
      <c r="LDF33" s="165"/>
      <c r="LDG33" s="165"/>
      <c r="LDH33" s="165"/>
      <c r="LDI33" s="165"/>
      <c r="LDJ33" s="165"/>
      <c r="LDK33" s="165"/>
      <c r="LDL33" s="165"/>
      <c r="LDM33" s="165"/>
      <c r="LDN33" s="165"/>
      <c r="LDO33" s="165"/>
      <c r="LDP33" s="165"/>
      <c r="LDQ33" s="165"/>
      <c r="LDR33" s="165"/>
      <c r="LDS33" s="165"/>
      <c r="LDT33" s="165"/>
      <c r="LDU33" s="165"/>
      <c r="LDV33" s="165"/>
      <c r="LDW33" s="165"/>
      <c r="LDX33" s="165"/>
      <c r="LDY33" s="165"/>
      <c r="LDZ33" s="165"/>
      <c r="LEA33" s="165"/>
      <c r="LEB33" s="165"/>
      <c r="LEC33" s="165"/>
      <c r="LED33" s="165"/>
      <c r="LEE33" s="165"/>
      <c r="LEF33" s="165"/>
      <c r="LEG33" s="165"/>
      <c r="LEH33" s="165"/>
      <c r="LEI33" s="165"/>
      <c r="LEJ33" s="165"/>
      <c r="LEK33" s="165"/>
      <c r="LEL33" s="165"/>
      <c r="LEM33" s="165"/>
      <c r="LEN33" s="165"/>
      <c r="LEO33" s="165"/>
      <c r="LEP33" s="165"/>
      <c r="LEQ33" s="165"/>
      <c r="LER33" s="165"/>
      <c r="LES33" s="165"/>
      <c r="LET33" s="165"/>
      <c r="LEU33" s="165"/>
      <c r="LEV33" s="165"/>
      <c r="LEW33" s="165"/>
      <c r="LEX33" s="165"/>
      <c r="LEY33" s="165"/>
      <c r="LEZ33" s="165"/>
      <c r="LFA33" s="165"/>
      <c r="LFB33" s="165"/>
      <c r="LFC33" s="165"/>
      <c r="LFD33" s="165"/>
      <c r="LFE33" s="165"/>
      <c r="LFF33" s="165"/>
      <c r="LFG33" s="165"/>
      <c r="LFH33" s="165"/>
      <c r="LFI33" s="165"/>
      <c r="LFJ33" s="165"/>
      <c r="LFK33" s="165"/>
      <c r="LFL33" s="165"/>
      <c r="LFM33" s="165"/>
      <c r="LFN33" s="165"/>
      <c r="LFO33" s="165"/>
      <c r="LFP33" s="165"/>
      <c r="LFQ33" s="165"/>
      <c r="LFR33" s="165"/>
      <c r="LFS33" s="165"/>
      <c r="LFT33" s="165"/>
      <c r="LFU33" s="165"/>
      <c r="LFV33" s="165"/>
      <c r="LFW33" s="165"/>
      <c r="LFX33" s="165"/>
      <c r="LFY33" s="165"/>
      <c r="LFZ33" s="165"/>
      <c r="LGA33" s="165"/>
      <c r="LGB33" s="165"/>
      <c r="LGC33" s="165"/>
      <c r="LGD33" s="165"/>
      <c r="LGE33" s="165"/>
      <c r="LGF33" s="165"/>
      <c r="LGG33" s="165"/>
      <c r="LGH33" s="165"/>
      <c r="LGI33" s="165"/>
      <c r="LGJ33" s="165"/>
      <c r="LGK33" s="165"/>
      <c r="LGL33" s="165"/>
      <c r="LGM33" s="165"/>
      <c r="LGN33" s="165"/>
      <c r="LGO33" s="165"/>
      <c r="LGP33" s="165"/>
      <c r="LGQ33" s="165"/>
      <c r="LGR33" s="165"/>
      <c r="LGS33" s="165"/>
      <c r="LGT33" s="165"/>
      <c r="LGU33" s="165"/>
      <c r="LGV33" s="165"/>
      <c r="LGW33" s="165"/>
      <c r="LGX33" s="165"/>
      <c r="LGY33" s="165"/>
      <c r="LGZ33" s="165"/>
      <c r="LHA33" s="165"/>
      <c r="LHB33" s="165"/>
      <c r="LHC33" s="165"/>
      <c r="LHD33" s="165"/>
      <c r="LHE33" s="165"/>
      <c r="LHF33" s="165"/>
      <c r="LHG33" s="165"/>
      <c r="LHH33" s="165"/>
      <c r="LHI33" s="165"/>
      <c r="LHJ33" s="165"/>
      <c r="LHK33" s="165"/>
      <c r="LHL33" s="165"/>
      <c r="LHM33" s="165"/>
      <c r="LHN33" s="165"/>
      <c r="LHO33" s="165"/>
      <c r="LHP33" s="165"/>
      <c r="LHQ33" s="165"/>
      <c r="LHR33" s="165"/>
      <c r="LHS33" s="165"/>
      <c r="LHT33" s="165"/>
      <c r="LHU33" s="165"/>
      <c r="LHV33" s="165"/>
      <c r="LHW33" s="165"/>
      <c r="LHX33" s="165"/>
      <c r="LHY33" s="165"/>
      <c r="LHZ33" s="165"/>
      <c r="LIA33" s="165"/>
      <c r="LIB33" s="165"/>
      <c r="LIC33" s="165"/>
      <c r="LID33" s="165"/>
      <c r="LIE33" s="165"/>
      <c r="LIF33" s="165"/>
      <c r="LIG33" s="165"/>
      <c r="LIH33" s="165"/>
      <c r="LII33" s="165"/>
      <c r="LIJ33" s="165"/>
      <c r="LIK33" s="165"/>
      <c r="LIL33" s="165"/>
      <c r="LIM33" s="165"/>
      <c r="LIN33" s="165"/>
      <c r="LIO33" s="165"/>
      <c r="LIP33" s="165"/>
      <c r="LIQ33" s="165"/>
      <c r="LIR33" s="165"/>
      <c r="LIS33" s="165"/>
      <c r="LIT33" s="165"/>
      <c r="LIU33" s="165"/>
      <c r="LIV33" s="165"/>
      <c r="LIW33" s="165"/>
      <c r="LIX33" s="165"/>
      <c r="LIY33" s="165"/>
      <c r="LIZ33" s="165"/>
      <c r="LJA33" s="165"/>
      <c r="LJB33" s="165"/>
      <c r="LJC33" s="165"/>
      <c r="LJD33" s="165"/>
      <c r="LJE33" s="165"/>
      <c r="LJF33" s="165"/>
      <c r="LJG33" s="165"/>
      <c r="LJH33" s="165"/>
      <c r="LJI33" s="165"/>
      <c r="LJJ33" s="165"/>
      <c r="LJK33" s="165"/>
      <c r="LJL33" s="165"/>
      <c r="LJM33" s="165"/>
      <c r="LJN33" s="165"/>
      <c r="LJO33" s="165"/>
      <c r="LJP33" s="165"/>
      <c r="LJQ33" s="165"/>
      <c r="LJR33" s="165"/>
      <c r="LJS33" s="165"/>
      <c r="LJT33" s="165"/>
      <c r="LJU33" s="165"/>
      <c r="LJV33" s="165"/>
      <c r="LJW33" s="165"/>
      <c r="LJX33" s="165"/>
      <c r="LJY33" s="165"/>
      <c r="LJZ33" s="165"/>
      <c r="LKA33" s="165"/>
      <c r="LKB33" s="165"/>
      <c r="LKC33" s="165"/>
      <c r="LKD33" s="165"/>
      <c r="LKE33" s="165"/>
      <c r="LKF33" s="165"/>
      <c r="LKG33" s="165"/>
      <c r="LKH33" s="165"/>
      <c r="LKI33" s="165"/>
      <c r="LKJ33" s="165"/>
      <c r="LKK33" s="165"/>
      <c r="LKL33" s="165"/>
      <c r="LKM33" s="165"/>
      <c r="LKN33" s="165"/>
      <c r="LKO33" s="165"/>
      <c r="LKP33" s="165"/>
      <c r="LKQ33" s="165"/>
      <c r="LKR33" s="165"/>
      <c r="LKS33" s="165"/>
      <c r="LKT33" s="165"/>
      <c r="LKU33" s="165"/>
      <c r="LKV33" s="165"/>
      <c r="LKW33" s="165"/>
      <c r="LKX33" s="165"/>
      <c r="LKY33" s="165"/>
      <c r="LKZ33" s="165"/>
      <c r="LLA33" s="165"/>
      <c r="LLB33" s="165"/>
      <c r="LLC33" s="165"/>
      <c r="LLD33" s="165"/>
      <c r="LLE33" s="165"/>
      <c r="LLF33" s="165"/>
      <c r="LLG33" s="165"/>
      <c r="LLH33" s="165"/>
      <c r="LLI33" s="165"/>
      <c r="LLJ33" s="165"/>
      <c r="LLK33" s="165"/>
      <c r="LLL33" s="165"/>
      <c r="LLM33" s="165"/>
      <c r="LLN33" s="165"/>
      <c r="LLO33" s="165"/>
      <c r="LLP33" s="165"/>
      <c r="LLQ33" s="165"/>
      <c r="LLR33" s="165"/>
      <c r="LLS33" s="165"/>
      <c r="LLT33" s="165"/>
      <c r="LLU33" s="165"/>
      <c r="LLV33" s="165"/>
      <c r="LLW33" s="165"/>
      <c r="LLX33" s="165"/>
      <c r="LLY33" s="165"/>
      <c r="LLZ33" s="165"/>
      <c r="LMA33" s="165"/>
      <c r="LMB33" s="165"/>
      <c r="LMC33" s="165"/>
      <c r="LMD33" s="165"/>
      <c r="LME33" s="165"/>
      <c r="LMF33" s="165"/>
      <c r="LMG33" s="165"/>
      <c r="LMH33" s="165"/>
      <c r="LMI33" s="165"/>
      <c r="LMJ33" s="165"/>
      <c r="LMK33" s="165"/>
      <c r="LML33" s="165"/>
      <c r="LMM33" s="165"/>
      <c r="LMN33" s="165"/>
      <c r="LMO33" s="165"/>
      <c r="LMP33" s="165"/>
      <c r="LMQ33" s="165"/>
      <c r="LMR33" s="165"/>
      <c r="LMS33" s="165"/>
      <c r="LMT33" s="165"/>
      <c r="LMU33" s="165"/>
      <c r="LMV33" s="165"/>
      <c r="LMW33" s="165"/>
      <c r="LMX33" s="165"/>
      <c r="LMY33" s="165"/>
      <c r="LMZ33" s="165"/>
      <c r="LNA33" s="165"/>
      <c r="LNB33" s="165"/>
      <c r="LNC33" s="165"/>
      <c r="LND33" s="165"/>
      <c r="LNE33" s="165"/>
      <c r="LNF33" s="165"/>
      <c r="LNG33" s="165"/>
      <c r="LNH33" s="165"/>
      <c r="LNI33" s="165"/>
      <c r="LNJ33" s="165"/>
      <c r="LNK33" s="165"/>
      <c r="LNL33" s="165"/>
      <c r="LNM33" s="165"/>
      <c r="LNN33" s="165"/>
      <c r="LNO33" s="165"/>
      <c r="LNP33" s="165"/>
      <c r="LNQ33" s="165"/>
      <c r="LNR33" s="165"/>
      <c r="LNS33" s="165"/>
      <c r="LNT33" s="165"/>
      <c r="LNU33" s="165"/>
      <c r="LNV33" s="165"/>
      <c r="LNW33" s="165"/>
      <c r="LNX33" s="165"/>
      <c r="LNY33" s="165"/>
      <c r="LNZ33" s="165"/>
      <c r="LOA33" s="165"/>
      <c r="LOB33" s="165"/>
      <c r="LOC33" s="165"/>
      <c r="LOD33" s="165"/>
      <c r="LOE33" s="165"/>
      <c r="LOF33" s="165"/>
      <c r="LOG33" s="165"/>
      <c r="LOH33" s="165"/>
      <c r="LOI33" s="165"/>
      <c r="LOJ33" s="165"/>
      <c r="LOK33" s="165"/>
      <c r="LOL33" s="165"/>
      <c r="LOM33" s="165"/>
      <c r="LON33" s="165"/>
      <c r="LOO33" s="165"/>
      <c r="LOP33" s="165"/>
      <c r="LOQ33" s="165"/>
      <c r="LOR33" s="165"/>
      <c r="LOS33" s="165"/>
      <c r="LOT33" s="165"/>
      <c r="LOU33" s="165"/>
      <c r="LOV33" s="165"/>
      <c r="LOW33" s="165"/>
      <c r="LOX33" s="165"/>
      <c r="LOY33" s="165"/>
      <c r="LOZ33" s="165"/>
      <c r="LPA33" s="165"/>
      <c r="LPB33" s="165"/>
      <c r="LPC33" s="165"/>
      <c r="LPD33" s="165"/>
      <c r="LPE33" s="165"/>
      <c r="LPF33" s="165"/>
      <c r="LPG33" s="165"/>
      <c r="LPH33" s="165"/>
      <c r="LPI33" s="165"/>
      <c r="LPJ33" s="165"/>
      <c r="LPK33" s="165"/>
      <c r="LPL33" s="165"/>
      <c r="LPM33" s="165"/>
      <c r="LPN33" s="165"/>
      <c r="LPO33" s="165"/>
      <c r="LPP33" s="165"/>
      <c r="LPQ33" s="165"/>
      <c r="LPR33" s="165"/>
      <c r="LPS33" s="165"/>
      <c r="LPT33" s="165"/>
      <c r="LPU33" s="165"/>
      <c r="LPV33" s="165"/>
      <c r="LPW33" s="165"/>
      <c r="LPX33" s="165"/>
      <c r="LPY33" s="165"/>
      <c r="LPZ33" s="165"/>
      <c r="LQA33" s="165"/>
      <c r="LQB33" s="165"/>
      <c r="LQC33" s="165"/>
      <c r="LQD33" s="165"/>
      <c r="LQE33" s="165"/>
      <c r="LQF33" s="165"/>
      <c r="LQG33" s="165"/>
      <c r="LQH33" s="165"/>
      <c r="LQI33" s="165"/>
      <c r="LQJ33" s="165"/>
      <c r="LQK33" s="165"/>
      <c r="LQL33" s="165"/>
      <c r="LQM33" s="165"/>
      <c r="LQN33" s="165"/>
      <c r="LQO33" s="165"/>
      <c r="LQP33" s="165"/>
      <c r="LQQ33" s="165"/>
      <c r="LQR33" s="165"/>
      <c r="LQS33" s="165"/>
      <c r="LQT33" s="165"/>
      <c r="LQU33" s="165"/>
      <c r="LQV33" s="165"/>
      <c r="LQW33" s="165"/>
      <c r="LQX33" s="165"/>
      <c r="LQY33" s="165"/>
      <c r="LQZ33" s="165"/>
      <c r="LRA33" s="165"/>
      <c r="LRB33" s="165"/>
      <c r="LRC33" s="165"/>
      <c r="LRD33" s="165"/>
      <c r="LRE33" s="165"/>
      <c r="LRF33" s="165"/>
      <c r="LRG33" s="165"/>
      <c r="LRH33" s="165"/>
      <c r="LRI33" s="165"/>
      <c r="LRJ33" s="165"/>
      <c r="LRK33" s="165"/>
      <c r="LRL33" s="165"/>
      <c r="LRM33" s="165"/>
      <c r="LRN33" s="165"/>
      <c r="LRO33" s="165"/>
      <c r="LRP33" s="165"/>
      <c r="LRQ33" s="165"/>
      <c r="LRR33" s="165"/>
      <c r="LRS33" s="165"/>
      <c r="LRT33" s="165"/>
      <c r="LRU33" s="165"/>
      <c r="LRV33" s="165"/>
      <c r="LRW33" s="165"/>
      <c r="LRX33" s="165"/>
      <c r="LRY33" s="165"/>
      <c r="LRZ33" s="165"/>
      <c r="LSA33" s="165"/>
      <c r="LSB33" s="165"/>
      <c r="LSC33" s="165"/>
      <c r="LSD33" s="165"/>
      <c r="LSE33" s="165"/>
      <c r="LSF33" s="165"/>
      <c r="LSG33" s="165"/>
      <c r="LSH33" s="165"/>
      <c r="LSI33" s="165"/>
      <c r="LSJ33" s="165"/>
      <c r="LSK33" s="165"/>
      <c r="LSL33" s="165"/>
      <c r="LSM33" s="165"/>
      <c r="LSN33" s="165"/>
      <c r="LSO33" s="165"/>
      <c r="LSP33" s="165"/>
      <c r="LSQ33" s="165"/>
      <c r="LSR33" s="165"/>
      <c r="LSS33" s="165"/>
      <c r="LST33" s="165"/>
      <c r="LSU33" s="165"/>
      <c r="LSV33" s="165"/>
      <c r="LSW33" s="165"/>
      <c r="LSX33" s="165"/>
      <c r="LSY33" s="165"/>
      <c r="LSZ33" s="165"/>
      <c r="LTA33" s="165"/>
      <c r="LTB33" s="165"/>
      <c r="LTC33" s="165"/>
      <c r="LTD33" s="165"/>
      <c r="LTE33" s="165"/>
      <c r="LTF33" s="165"/>
      <c r="LTG33" s="165"/>
      <c r="LTH33" s="165"/>
      <c r="LTI33" s="165"/>
      <c r="LTJ33" s="165"/>
      <c r="LTK33" s="165"/>
      <c r="LTL33" s="165"/>
      <c r="LTM33" s="165"/>
      <c r="LTN33" s="165"/>
      <c r="LTO33" s="165"/>
      <c r="LTP33" s="165"/>
      <c r="LTQ33" s="165"/>
      <c r="LTR33" s="165"/>
      <c r="LTS33" s="165"/>
      <c r="LTT33" s="165"/>
      <c r="LTU33" s="165"/>
      <c r="LTV33" s="165"/>
      <c r="LTW33" s="165"/>
      <c r="LTX33" s="165"/>
      <c r="LTY33" s="165"/>
      <c r="LTZ33" s="165"/>
      <c r="LUA33" s="165"/>
      <c r="LUB33" s="165"/>
      <c r="LUC33" s="165"/>
      <c r="LUD33" s="165"/>
      <c r="LUE33" s="165"/>
      <c r="LUF33" s="165"/>
      <c r="LUG33" s="165"/>
      <c r="LUH33" s="165"/>
      <c r="LUI33" s="165"/>
      <c r="LUJ33" s="165"/>
      <c r="LUK33" s="165"/>
      <c r="LUL33" s="165"/>
      <c r="LUM33" s="165"/>
      <c r="LUN33" s="165"/>
      <c r="LUO33" s="165"/>
      <c r="LUP33" s="165"/>
      <c r="LUQ33" s="165"/>
      <c r="LUR33" s="165"/>
      <c r="LUS33" s="165"/>
      <c r="LUT33" s="165"/>
      <c r="LUU33" s="165"/>
      <c r="LUV33" s="165"/>
      <c r="LUW33" s="165"/>
      <c r="LUX33" s="165"/>
      <c r="LUY33" s="165"/>
      <c r="LUZ33" s="165"/>
      <c r="LVA33" s="165"/>
      <c r="LVB33" s="165"/>
      <c r="LVC33" s="165"/>
      <c r="LVD33" s="165"/>
      <c r="LVE33" s="165"/>
      <c r="LVF33" s="165"/>
      <c r="LVG33" s="165"/>
      <c r="LVH33" s="165"/>
      <c r="LVI33" s="165"/>
      <c r="LVJ33" s="165"/>
      <c r="LVK33" s="165"/>
      <c r="LVL33" s="165"/>
      <c r="LVM33" s="165"/>
      <c r="LVN33" s="165"/>
      <c r="LVO33" s="165"/>
      <c r="LVP33" s="165"/>
      <c r="LVQ33" s="165"/>
      <c r="LVR33" s="165"/>
      <c r="LVS33" s="165"/>
      <c r="LVT33" s="165"/>
      <c r="LVU33" s="165"/>
      <c r="LVV33" s="165"/>
      <c r="LVW33" s="165"/>
      <c r="LVX33" s="165"/>
      <c r="LVY33" s="165"/>
      <c r="LVZ33" s="165"/>
      <c r="LWA33" s="165"/>
      <c r="LWB33" s="165"/>
      <c r="LWC33" s="165"/>
      <c r="LWD33" s="165"/>
      <c r="LWE33" s="165"/>
      <c r="LWF33" s="165"/>
      <c r="LWG33" s="165"/>
      <c r="LWH33" s="165"/>
      <c r="LWI33" s="165"/>
      <c r="LWJ33" s="165"/>
      <c r="LWK33" s="165"/>
      <c r="LWL33" s="165"/>
      <c r="LWM33" s="165"/>
      <c r="LWN33" s="165"/>
      <c r="LWO33" s="165"/>
      <c r="LWP33" s="165"/>
      <c r="LWQ33" s="165"/>
      <c r="LWR33" s="165"/>
      <c r="LWS33" s="165"/>
      <c r="LWT33" s="165"/>
      <c r="LWU33" s="165"/>
      <c r="LWV33" s="165"/>
      <c r="LWW33" s="165"/>
      <c r="LWX33" s="165"/>
      <c r="LWY33" s="165"/>
      <c r="LWZ33" s="165"/>
      <c r="LXA33" s="165"/>
      <c r="LXB33" s="165"/>
      <c r="LXC33" s="165"/>
      <c r="LXD33" s="165"/>
      <c r="LXE33" s="165"/>
      <c r="LXF33" s="165"/>
      <c r="LXG33" s="165"/>
      <c r="LXH33" s="165"/>
      <c r="LXI33" s="165"/>
      <c r="LXJ33" s="165"/>
      <c r="LXK33" s="165"/>
      <c r="LXL33" s="165"/>
      <c r="LXM33" s="165"/>
      <c r="LXN33" s="165"/>
      <c r="LXO33" s="165"/>
      <c r="LXP33" s="165"/>
      <c r="LXQ33" s="165"/>
      <c r="LXR33" s="165"/>
      <c r="LXS33" s="165"/>
      <c r="LXT33" s="165"/>
      <c r="LXU33" s="165"/>
      <c r="LXV33" s="165"/>
      <c r="LXW33" s="165"/>
      <c r="LXX33" s="165"/>
      <c r="LXY33" s="165"/>
      <c r="LXZ33" s="165"/>
      <c r="LYA33" s="165"/>
      <c r="LYB33" s="165"/>
      <c r="LYC33" s="165"/>
      <c r="LYD33" s="165"/>
      <c r="LYE33" s="165"/>
      <c r="LYF33" s="165"/>
      <c r="LYG33" s="165"/>
      <c r="LYH33" s="165"/>
      <c r="LYI33" s="165"/>
      <c r="LYJ33" s="165"/>
      <c r="LYK33" s="165"/>
      <c r="LYL33" s="165"/>
      <c r="LYM33" s="165"/>
      <c r="LYN33" s="165"/>
      <c r="LYO33" s="165"/>
      <c r="LYP33" s="165"/>
      <c r="LYQ33" s="165"/>
      <c r="LYR33" s="165"/>
      <c r="LYS33" s="165"/>
      <c r="LYT33" s="165"/>
      <c r="LYU33" s="165"/>
      <c r="LYV33" s="165"/>
      <c r="LYW33" s="165"/>
      <c r="LYX33" s="165"/>
      <c r="LYY33" s="165"/>
      <c r="LYZ33" s="165"/>
      <c r="LZA33" s="165"/>
      <c r="LZB33" s="165"/>
      <c r="LZC33" s="165"/>
      <c r="LZD33" s="165"/>
      <c r="LZE33" s="165"/>
      <c r="LZF33" s="165"/>
      <c r="LZG33" s="165"/>
      <c r="LZH33" s="165"/>
      <c r="LZI33" s="165"/>
      <c r="LZJ33" s="165"/>
      <c r="LZK33" s="165"/>
      <c r="LZL33" s="165"/>
      <c r="LZM33" s="165"/>
      <c r="LZN33" s="165"/>
      <c r="LZO33" s="165"/>
      <c r="LZP33" s="165"/>
      <c r="LZQ33" s="165"/>
      <c r="LZR33" s="165"/>
      <c r="LZS33" s="165"/>
      <c r="LZT33" s="165"/>
      <c r="LZU33" s="165"/>
      <c r="LZV33" s="165"/>
      <c r="LZW33" s="165"/>
      <c r="LZX33" s="165"/>
      <c r="LZY33" s="165"/>
      <c r="LZZ33" s="165"/>
      <c r="MAA33" s="165"/>
      <c r="MAB33" s="165"/>
      <c r="MAC33" s="165"/>
      <c r="MAD33" s="165"/>
      <c r="MAE33" s="165"/>
      <c r="MAF33" s="165"/>
      <c r="MAG33" s="165"/>
      <c r="MAH33" s="165"/>
      <c r="MAI33" s="165"/>
      <c r="MAJ33" s="165"/>
      <c r="MAK33" s="165"/>
      <c r="MAL33" s="165"/>
      <c r="MAM33" s="165"/>
      <c r="MAN33" s="165"/>
      <c r="MAO33" s="165"/>
      <c r="MAP33" s="165"/>
      <c r="MAQ33" s="165"/>
      <c r="MAR33" s="165"/>
      <c r="MAS33" s="165"/>
      <c r="MAT33" s="165"/>
      <c r="MAU33" s="165"/>
      <c r="MAV33" s="165"/>
      <c r="MAW33" s="165"/>
      <c r="MAX33" s="165"/>
      <c r="MAY33" s="165"/>
      <c r="MAZ33" s="165"/>
      <c r="MBA33" s="165"/>
      <c r="MBB33" s="165"/>
      <c r="MBC33" s="165"/>
      <c r="MBD33" s="165"/>
      <c r="MBE33" s="165"/>
      <c r="MBF33" s="165"/>
      <c r="MBG33" s="165"/>
      <c r="MBH33" s="165"/>
      <c r="MBI33" s="165"/>
      <c r="MBJ33" s="165"/>
      <c r="MBK33" s="165"/>
      <c r="MBL33" s="165"/>
      <c r="MBM33" s="165"/>
      <c r="MBN33" s="165"/>
      <c r="MBO33" s="165"/>
      <c r="MBP33" s="165"/>
      <c r="MBQ33" s="165"/>
      <c r="MBR33" s="165"/>
      <c r="MBS33" s="165"/>
      <c r="MBT33" s="165"/>
      <c r="MBU33" s="165"/>
      <c r="MBV33" s="165"/>
      <c r="MBW33" s="165"/>
      <c r="MBX33" s="165"/>
      <c r="MBY33" s="165"/>
      <c r="MBZ33" s="165"/>
      <c r="MCA33" s="165"/>
      <c r="MCB33" s="165"/>
      <c r="MCC33" s="165"/>
      <c r="MCD33" s="165"/>
      <c r="MCE33" s="165"/>
      <c r="MCF33" s="165"/>
      <c r="MCG33" s="165"/>
      <c r="MCH33" s="165"/>
      <c r="MCI33" s="165"/>
      <c r="MCJ33" s="165"/>
      <c r="MCK33" s="165"/>
      <c r="MCL33" s="165"/>
      <c r="MCM33" s="165"/>
      <c r="MCN33" s="165"/>
      <c r="MCO33" s="165"/>
      <c r="MCP33" s="165"/>
      <c r="MCQ33" s="165"/>
      <c r="MCR33" s="165"/>
      <c r="MCS33" s="165"/>
      <c r="MCT33" s="165"/>
      <c r="MCU33" s="165"/>
      <c r="MCV33" s="165"/>
      <c r="MCW33" s="165"/>
      <c r="MCX33" s="165"/>
      <c r="MCY33" s="165"/>
      <c r="MCZ33" s="165"/>
      <c r="MDA33" s="165"/>
      <c r="MDB33" s="165"/>
      <c r="MDC33" s="165"/>
      <c r="MDD33" s="165"/>
      <c r="MDE33" s="165"/>
      <c r="MDF33" s="165"/>
      <c r="MDG33" s="165"/>
      <c r="MDH33" s="165"/>
      <c r="MDI33" s="165"/>
      <c r="MDJ33" s="165"/>
      <c r="MDK33" s="165"/>
      <c r="MDL33" s="165"/>
      <c r="MDM33" s="165"/>
      <c r="MDN33" s="165"/>
      <c r="MDO33" s="165"/>
      <c r="MDP33" s="165"/>
      <c r="MDQ33" s="165"/>
      <c r="MDR33" s="165"/>
      <c r="MDS33" s="165"/>
      <c r="MDT33" s="165"/>
      <c r="MDU33" s="165"/>
      <c r="MDV33" s="165"/>
      <c r="MDW33" s="165"/>
      <c r="MDX33" s="165"/>
      <c r="MDY33" s="165"/>
      <c r="MDZ33" s="165"/>
      <c r="MEA33" s="165"/>
      <c r="MEB33" s="165"/>
      <c r="MEC33" s="165"/>
      <c r="MED33" s="165"/>
      <c r="MEE33" s="165"/>
      <c r="MEF33" s="165"/>
      <c r="MEG33" s="165"/>
      <c r="MEH33" s="165"/>
      <c r="MEI33" s="165"/>
      <c r="MEJ33" s="165"/>
      <c r="MEK33" s="165"/>
      <c r="MEL33" s="165"/>
      <c r="MEM33" s="165"/>
      <c r="MEN33" s="165"/>
      <c r="MEO33" s="165"/>
      <c r="MEP33" s="165"/>
      <c r="MEQ33" s="165"/>
      <c r="MER33" s="165"/>
      <c r="MES33" s="165"/>
      <c r="MET33" s="165"/>
      <c r="MEU33" s="165"/>
      <c r="MEV33" s="165"/>
      <c r="MEW33" s="165"/>
      <c r="MEX33" s="165"/>
      <c r="MEY33" s="165"/>
      <c r="MEZ33" s="165"/>
      <c r="MFA33" s="165"/>
      <c r="MFB33" s="165"/>
      <c r="MFC33" s="165"/>
      <c r="MFD33" s="165"/>
      <c r="MFE33" s="165"/>
      <c r="MFF33" s="165"/>
      <c r="MFG33" s="165"/>
      <c r="MFH33" s="165"/>
      <c r="MFI33" s="165"/>
      <c r="MFJ33" s="165"/>
      <c r="MFK33" s="165"/>
      <c r="MFL33" s="165"/>
      <c r="MFM33" s="165"/>
      <c r="MFN33" s="165"/>
      <c r="MFO33" s="165"/>
      <c r="MFP33" s="165"/>
      <c r="MFQ33" s="165"/>
      <c r="MFR33" s="165"/>
      <c r="MFS33" s="165"/>
      <c r="MFT33" s="165"/>
      <c r="MFU33" s="165"/>
      <c r="MFV33" s="165"/>
      <c r="MFW33" s="165"/>
      <c r="MFX33" s="165"/>
      <c r="MFY33" s="165"/>
      <c r="MFZ33" s="165"/>
      <c r="MGA33" s="165"/>
      <c r="MGB33" s="165"/>
      <c r="MGC33" s="165"/>
      <c r="MGD33" s="165"/>
      <c r="MGE33" s="165"/>
      <c r="MGF33" s="165"/>
      <c r="MGG33" s="165"/>
      <c r="MGH33" s="165"/>
      <c r="MGI33" s="165"/>
      <c r="MGJ33" s="165"/>
      <c r="MGK33" s="165"/>
      <c r="MGL33" s="165"/>
      <c r="MGM33" s="165"/>
      <c r="MGN33" s="165"/>
      <c r="MGO33" s="165"/>
      <c r="MGP33" s="165"/>
      <c r="MGQ33" s="165"/>
      <c r="MGR33" s="165"/>
      <c r="MGS33" s="165"/>
      <c r="MGT33" s="165"/>
      <c r="MGU33" s="165"/>
      <c r="MGV33" s="165"/>
      <c r="MGW33" s="165"/>
      <c r="MGX33" s="165"/>
      <c r="MGY33" s="165"/>
      <c r="MGZ33" s="165"/>
      <c r="MHA33" s="165"/>
      <c r="MHB33" s="165"/>
      <c r="MHC33" s="165"/>
      <c r="MHD33" s="165"/>
      <c r="MHE33" s="165"/>
      <c r="MHF33" s="165"/>
      <c r="MHG33" s="165"/>
      <c r="MHH33" s="165"/>
      <c r="MHI33" s="165"/>
      <c r="MHJ33" s="165"/>
      <c r="MHK33" s="165"/>
      <c r="MHL33" s="165"/>
      <c r="MHM33" s="165"/>
      <c r="MHN33" s="165"/>
      <c r="MHO33" s="165"/>
      <c r="MHP33" s="165"/>
      <c r="MHQ33" s="165"/>
      <c r="MHR33" s="165"/>
      <c r="MHS33" s="165"/>
      <c r="MHT33" s="165"/>
      <c r="MHU33" s="165"/>
      <c r="MHV33" s="165"/>
      <c r="MHW33" s="165"/>
      <c r="MHX33" s="165"/>
      <c r="MHY33" s="165"/>
      <c r="MHZ33" s="165"/>
      <c r="MIA33" s="165"/>
      <c r="MIB33" s="165"/>
      <c r="MIC33" s="165"/>
      <c r="MID33" s="165"/>
      <c r="MIE33" s="165"/>
      <c r="MIF33" s="165"/>
      <c r="MIG33" s="165"/>
      <c r="MIH33" s="165"/>
      <c r="MII33" s="165"/>
      <c r="MIJ33" s="165"/>
      <c r="MIK33" s="165"/>
      <c r="MIL33" s="165"/>
      <c r="MIM33" s="165"/>
      <c r="MIN33" s="165"/>
      <c r="MIO33" s="165"/>
      <c r="MIP33" s="165"/>
      <c r="MIQ33" s="165"/>
      <c r="MIR33" s="165"/>
      <c r="MIS33" s="165"/>
      <c r="MIT33" s="165"/>
      <c r="MIU33" s="165"/>
      <c r="MIV33" s="165"/>
      <c r="MIW33" s="165"/>
      <c r="MIX33" s="165"/>
      <c r="MIY33" s="165"/>
      <c r="MIZ33" s="165"/>
      <c r="MJA33" s="165"/>
      <c r="MJB33" s="165"/>
      <c r="MJC33" s="165"/>
      <c r="MJD33" s="165"/>
      <c r="MJE33" s="165"/>
      <c r="MJF33" s="165"/>
      <c r="MJG33" s="165"/>
      <c r="MJH33" s="165"/>
      <c r="MJI33" s="165"/>
      <c r="MJJ33" s="165"/>
      <c r="MJK33" s="165"/>
      <c r="MJL33" s="165"/>
      <c r="MJM33" s="165"/>
      <c r="MJN33" s="165"/>
      <c r="MJO33" s="165"/>
      <c r="MJP33" s="165"/>
      <c r="MJQ33" s="165"/>
      <c r="MJR33" s="165"/>
      <c r="MJS33" s="165"/>
      <c r="MJT33" s="165"/>
      <c r="MJU33" s="165"/>
      <c r="MJV33" s="165"/>
      <c r="MJW33" s="165"/>
      <c r="MJX33" s="165"/>
      <c r="MJY33" s="165"/>
      <c r="MJZ33" s="165"/>
      <c r="MKA33" s="165"/>
      <c r="MKB33" s="165"/>
      <c r="MKC33" s="165"/>
      <c r="MKD33" s="165"/>
      <c r="MKE33" s="165"/>
      <c r="MKF33" s="165"/>
      <c r="MKG33" s="165"/>
      <c r="MKH33" s="165"/>
      <c r="MKI33" s="165"/>
      <c r="MKJ33" s="165"/>
      <c r="MKK33" s="165"/>
      <c r="MKL33" s="165"/>
      <c r="MKM33" s="165"/>
      <c r="MKN33" s="165"/>
      <c r="MKO33" s="165"/>
      <c r="MKP33" s="165"/>
      <c r="MKQ33" s="165"/>
      <c r="MKR33" s="165"/>
      <c r="MKS33" s="165"/>
      <c r="MKT33" s="165"/>
      <c r="MKU33" s="165"/>
      <c r="MKV33" s="165"/>
      <c r="MKW33" s="165"/>
      <c r="MKX33" s="165"/>
      <c r="MKY33" s="165"/>
      <c r="MKZ33" s="165"/>
      <c r="MLA33" s="165"/>
      <c r="MLB33" s="165"/>
      <c r="MLC33" s="165"/>
      <c r="MLD33" s="165"/>
      <c r="MLE33" s="165"/>
      <c r="MLF33" s="165"/>
      <c r="MLG33" s="165"/>
      <c r="MLH33" s="165"/>
      <c r="MLI33" s="165"/>
      <c r="MLJ33" s="165"/>
      <c r="MLK33" s="165"/>
      <c r="MLL33" s="165"/>
      <c r="MLM33" s="165"/>
      <c r="MLN33" s="165"/>
      <c r="MLO33" s="165"/>
      <c r="MLP33" s="165"/>
      <c r="MLQ33" s="165"/>
      <c r="MLR33" s="165"/>
      <c r="MLS33" s="165"/>
      <c r="MLT33" s="165"/>
      <c r="MLU33" s="165"/>
      <c r="MLV33" s="165"/>
      <c r="MLW33" s="165"/>
      <c r="MLX33" s="165"/>
      <c r="MLY33" s="165"/>
      <c r="MLZ33" s="165"/>
      <c r="MMA33" s="165"/>
      <c r="MMB33" s="165"/>
      <c r="MMC33" s="165"/>
      <c r="MMD33" s="165"/>
      <c r="MME33" s="165"/>
      <c r="MMF33" s="165"/>
      <c r="MMG33" s="165"/>
      <c r="MMH33" s="165"/>
      <c r="MMI33" s="165"/>
      <c r="MMJ33" s="165"/>
      <c r="MMK33" s="165"/>
      <c r="MML33" s="165"/>
      <c r="MMM33" s="165"/>
      <c r="MMN33" s="165"/>
      <c r="MMO33" s="165"/>
      <c r="MMP33" s="165"/>
      <c r="MMQ33" s="165"/>
      <c r="MMR33" s="165"/>
      <c r="MMS33" s="165"/>
      <c r="MMT33" s="165"/>
      <c r="MMU33" s="165"/>
      <c r="MMV33" s="165"/>
      <c r="MMW33" s="165"/>
      <c r="MMX33" s="165"/>
      <c r="MMY33" s="165"/>
      <c r="MMZ33" s="165"/>
      <c r="MNA33" s="165"/>
      <c r="MNB33" s="165"/>
      <c r="MNC33" s="165"/>
      <c r="MND33" s="165"/>
      <c r="MNE33" s="165"/>
      <c r="MNF33" s="165"/>
      <c r="MNG33" s="165"/>
      <c r="MNH33" s="165"/>
      <c r="MNI33" s="165"/>
      <c r="MNJ33" s="165"/>
      <c r="MNK33" s="165"/>
      <c r="MNL33" s="165"/>
      <c r="MNM33" s="165"/>
      <c r="MNN33" s="165"/>
      <c r="MNO33" s="165"/>
      <c r="MNP33" s="165"/>
      <c r="MNQ33" s="165"/>
      <c r="MNR33" s="165"/>
      <c r="MNS33" s="165"/>
      <c r="MNT33" s="165"/>
      <c r="MNU33" s="165"/>
      <c r="MNV33" s="165"/>
      <c r="MNW33" s="165"/>
      <c r="MNX33" s="165"/>
      <c r="MNY33" s="165"/>
      <c r="MNZ33" s="165"/>
      <c r="MOA33" s="165"/>
      <c r="MOB33" s="165"/>
      <c r="MOC33" s="165"/>
      <c r="MOD33" s="165"/>
      <c r="MOE33" s="165"/>
      <c r="MOF33" s="165"/>
      <c r="MOG33" s="165"/>
      <c r="MOH33" s="165"/>
      <c r="MOI33" s="165"/>
      <c r="MOJ33" s="165"/>
      <c r="MOK33" s="165"/>
      <c r="MOL33" s="165"/>
      <c r="MOM33" s="165"/>
      <c r="MON33" s="165"/>
      <c r="MOO33" s="165"/>
      <c r="MOP33" s="165"/>
      <c r="MOQ33" s="165"/>
      <c r="MOR33" s="165"/>
      <c r="MOS33" s="165"/>
      <c r="MOT33" s="165"/>
      <c r="MOU33" s="165"/>
      <c r="MOV33" s="165"/>
      <c r="MOW33" s="165"/>
      <c r="MOX33" s="165"/>
      <c r="MOY33" s="165"/>
      <c r="MOZ33" s="165"/>
      <c r="MPA33" s="165"/>
      <c r="MPB33" s="165"/>
      <c r="MPC33" s="165"/>
      <c r="MPD33" s="165"/>
      <c r="MPE33" s="165"/>
      <c r="MPF33" s="165"/>
      <c r="MPG33" s="165"/>
      <c r="MPH33" s="165"/>
      <c r="MPI33" s="165"/>
      <c r="MPJ33" s="165"/>
      <c r="MPK33" s="165"/>
      <c r="MPL33" s="165"/>
      <c r="MPM33" s="165"/>
      <c r="MPN33" s="165"/>
      <c r="MPO33" s="165"/>
      <c r="MPP33" s="165"/>
      <c r="MPQ33" s="165"/>
      <c r="MPR33" s="165"/>
      <c r="MPS33" s="165"/>
      <c r="MPT33" s="165"/>
      <c r="MPU33" s="165"/>
      <c r="MPV33" s="165"/>
      <c r="MPW33" s="165"/>
      <c r="MPX33" s="165"/>
      <c r="MPY33" s="165"/>
      <c r="MPZ33" s="165"/>
      <c r="MQA33" s="165"/>
      <c r="MQB33" s="165"/>
      <c r="MQC33" s="165"/>
      <c r="MQD33" s="165"/>
      <c r="MQE33" s="165"/>
      <c r="MQF33" s="165"/>
      <c r="MQG33" s="165"/>
      <c r="MQH33" s="165"/>
      <c r="MQI33" s="165"/>
      <c r="MQJ33" s="165"/>
      <c r="MQK33" s="165"/>
      <c r="MQL33" s="165"/>
      <c r="MQM33" s="165"/>
      <c r="MQN33" s="165"/>
      <c r="MQO33" s="165"/>
      <c r="MQP33" s="165"/>
      <c r="MQQ33" s="165"/>
      <c r="MQR33" s="165"/>
      <c r="MQS33" s="165"/>
      <c r="MQT33" s="165"/>
      <c r="MQU33" s="165"/>
      <c r="MQV33" s="165"/>
      <c r="MQW33" s="165"/>
      <c r="MQX33" s="165"/>
      <c r="MQY33" s="165"/>
      <c r="MQZ33" s="165"/>
      <c r="MRA33" s="165"/>
      <c r="MRB33" s="165"/>
      <c r="MRC33" s="165"/>
      <c r="MRD33" s="165"/>
      <c r="MRE33" s="165"/>
      <c r="MRF33" s="165"/>
      <c r="MRG33" s="165"/>
      <c r="MRH33" s="165"/>
      <c r="MRI33" s="165"/>
      <c r="MRJ33" s="165"/>
      <c r="MRK33" s="165"/>
      <c r="MRL33" s="165"/>
      <c r="MRM33" s="165"/>
      <c r="MRN33" s="165"/>
      <c r="MRO33" s="165"/>
      <c r="MRP33" s="165"/>
      <c r="MRQ33" s="165"/>
      <c r="MRR33" s="165"/>
      <c r="MRS33" s="165"/>
      <c r="MRT33" s="165"/>
      <c r="MRU33" s="165"/>
      <c r="MRV33" s="165"/>
      <c r="MRW33" s="165"/>
      <c r="MRX33" s="165"/>
      <c r="MRY33" s="165"/>
      <c r="MRZ33" s="165"/>
      <c r="MSA33" s="165"/>
      <c r="MSB33" s="165"/>
      <c r="MSC33" s="165"/>
      <c r="MSD33" s="165"/>
      <c r="MSE33" s="165"/>
      <c r="MSF33" s="165"/>
      <c r="MSG33" s="165"/>
      <c r="MSH33" s="165"/>
      <c r="MSI33" s="165"/>
      <c r="MSJ33" s="165"/>
      <c r="MSK33" s="165"/>
      <c r="MSL33" s="165"/>
      <c r="MSM33" s="165"/>
      <c r="MSN33" s="165"/>
      <c r="MSO33" s="165"/>
      <c r="MSP33" s="165"/>
      <c r="MSQ33" s="165"/>
      <c r="MSR33" s="165"/>
      <c r="MSS33" s="165"/>
      <c r="MST33" s="165"/>
      <c r="MSU33" s="165"/>
      <c r="MSV33" s="165"/>
      <c r="MSW33" s="165"/>
      <c r="MSX33" s="165"/>
      <c r="MSY33" s="165"/>
      <c r="MSZ33" s="165"/>
      <c r="MTA33" s="165"/>
      <c r="MTB33" s="165"/>
      <c r="MTC33" s="165"/>
      <c r="MTD33" s="165"/>
      <c r="MTE33" s="165"/>
      <c r="MTF33" s="165"/>
      <c r="MTG33" s="165"/>
      <c r="MTH33" s="165"/>
      <c r="MTI33" s="165"/>
      <c r="MTJ33" s="165"/>
      <c r="MTK33" s="165"/>
      <c r="MTL33" s="165"/>
      <c r="MTM33" s="165"/>
      <c r="MTN33" s="165"/>
      <c r="MTO33" s="165"/>
      <c r="MTP33" s="165"/>
      <c r="MTQ33" s="165"/>
      <c r="MTR33" s="165"/>
      <c r="MTS33" s="165"/>
      <c r="MTT33" s="165"/>
      <c r="MTU33" s="165"/>
      <c r="MTV33" s="165"/>
      <c r="MTW33" s="165"/>
      <c r="MTX33" s="165"/>
      <c r="MTY33" s="165"/>
      <c r="MTZ33" s="165"/>
      <c r="MUA33" s="165"/>
      <c r="MUB33" s="165"/>
      <c r="MUC33" s="165"/>
      <c r="MUD33" s="165"/>
      <c r="MUE33" s="165"/>
      <c r="MUF33" s="165"/>
      <c r="MUG33" s="165"/>
      <c r="MUH33" s="165"/>
      <c r="MUI33" s="165"/>
      <c r="MUJ33" s="165"/>
      <c r="MUK33" s="165"/>
      <c r="MUL33" s="165"/>
      <c r="MUM33" s="165"/>
      <c r="MUN33" s="165"/>
      <c r="MUO33" s="165"/>
      <c r="MUP33" s="165"/>
      <c r="MUQ33" s="165"/>
      <c r="MUR33" s="165"/>
      <c r="MUS33" s="165"/>
      <c r="MUT33" s="165"/>
      <c r="MUU33" s="165"/>
      <c r="MUV33" s="165"/>
      <c r="MUW33" s="165"/>
      <c r="MUX33" s="165"/>
      <c r="MUY33" s="165"/>
      <c r="MUZ33" s="165"/>
      <c r="MVA33" s="165"/>
      <c r="MVB33" s="165"/>
      <c r="MVC33" s="165"/>
      <c r="MVD33" s="165"/>
      <c r="MVE33" s="165"/>
      <c r="MVF33" s="165"/>
      <c r="MVG33" s="165"/>
      <c r="MVH33" s="165"/>
      <c r="MVI33" s="165"/>
      <c r="MVJ33" s="165"/>
      <c r="MVK33" s="165"/>
      <c r="MVL33" s="165"/>
      <c r="MVM33" s="165"/>
      <c r="MVN33" s="165"/>
      <c r="MVO33" s="165"/>
      <c r="MVP33" s="165"/>
      <c r="MVQ33" s="165"/>
      <c r="MVR33" s="165"/>
      <c r="MVS33" s="165"/>
      <c r="MVT33" s="165"/>
      <c r="MVU33" s="165"/>
      <c r="MVV33" s="165"/>
      <c r="MVW33" s="165"/>
      <c r="MVX33" s="165"/>
      <c r="MVY33" s="165"/>
      <c r="MVZ33" s="165"/>
      <c r="MWA33" s="165"/>
      <c r="MWB33" s="165"/>
      <c r="MWC33" s="165"/>
      <c r="MWD33" s="165"/>
      <c r="MWE33" s="165"/>
      <c r="MWF33" s="165"/>
      <c r="MWG33" s="165"/>
      <c r="MWH33" s="165"/>
      <c r="MWI33" s="165"/>
      <c r="MWJ33" s="165"/>
      <c r="MWK33" s="165"/>
      <c r="MWL33" s="165"/>
      <c r="MWM33" s="165"/>
      <c r="MWN33" s="165"/>
      <c r="MWO33" s="165"/>
      <c r="MWP33" s="165"/>
      <c r="MWQ33" s="165"/>
      <c r="MWR33" s="165"/>
      <c r="MWS33" s="165"/>
      <c r="MWT33" s="165"/>
      <c r="MWU33" s="165"/>
      <c r="MWV33" s="165"/>
      <c r="MWW33" s="165"/>
      <c r="MWX33" s="165"/>
      <c r="MWY33" s="165"/>
      <c r="MWZ33" s="165"/>
      <c r="MXA33" s="165"/>
      <c r="MXB33" s="165"/>
      <c r="MXC33" s="165"/>
      <c r="MXD33" s="165"/>
      <c r="MXE33" s="165"/>
      <c r="MXF33" s="165"/>
      <c r="MXG33" s="165"/>
      <c r="MXH33" s="165"/>
      <c r="MXI33" s="165"/>
      <c r="MXJ33" s="165"/>
      <c r="MXK33" s="165"/>
      <c r="MXL33" s="165"/>
      <c r="MXM33" s="165"/>
      <c r="MXN33" s="165"/>
      <c r="MXO33" s="165"/>
      <c r="MXP33" s="165"/>
      <c r="MXQ33" s="165"/>
      <c r="MXR33" s="165"/>
      <c r="MXS33" s="165"/>
      <c r="MXT33" s="165"/>
      <c r="MXU33" s="165"/>
      <c r="MXV33" s="165"/>
      <c r="MXW33" s="165"/>
      <c r="MXX33" s="165"/>
      <c r="MXY33" s="165"/>
      <c r="MXZ33" s="165"/>
      <c r="MYA33" s="165"/>
      <c r="MYB33" s="165"/>
      <c r="MYC33" s="165"/>
      <c r="MYD33" s="165"/>
      <c r="MYE33" s="165"/>
      <c r="MYF33" s="165"/>
      <c r="MYG33" s="165"/>
      <c r="MYH33" s="165"/>
      <c r="MYI33" s="165"/>
      <c r="MYJ33" s="165"/>
      <c r="MYK33" s="165"/>
      <c r="MYL33" s="165"/>
      <c r="MYM33" s="165"/>
      <c r="MYN33" s="165"/>
      <c r="MYO33" s="165"/>
      <c r="MYP33" s="165"/>
      <c r="MYQ33" s="165"/>
      <c r="MYR33" s="165"/>
      <c r="MYS33" s="165"/>
      <c r="MYT33" s="165"/>
      <c r="MYU33" s="165"/>
      <c r="MYV33" s="165"/>
      <c r="MYW33" s="165"/>
      <c r="MYX33" s="165"/>
      <c r="MYY33" s="165"/>
      <c r="MYZ33" s="165"/>
      <c r="MZA33" s="165"/>
      <c r="MZB33" s="165"/>
      <c r="MZC33" s="165"/>
      <c r="MZD33" s="165"/>
      <c r="MZE33" s="165"/>
      <c r="MZF33" s="165"/>
      <c r="MZG33" s="165"/>
      <c r="MZH33" s="165"/>
      <c r="MZI33" s="165"/>
      <c r="MZJ33" s="165"/>
      <c r="MZK33" s="165"/>
      <c r="MZL33" s="165"/>
      <c r="MZM33" s="165"/>
      <c r="MZN33" s="165"/>
      <c r="MZO33" s="165"/>
      <c r="MZP33" s="165"/>
      <c r="MZQ33" s="165"/>
      <c r="MZR33" s="165"/>
      <c r="MZS33" s="165"/>
      <c r="MZT33" s="165"/>
      <c r="MZU33" s="165"/>
      <c r="MZV33" s="165"/>
      <c r="MZW33" s="165"/>
      <c r="MZX33" s="165"/>
      <c r="MZY33" s="165"/>
      <c r="MZZ33" s="165"/>
      <c r="NAA33" s="165"/>
      <c r="NAB33" s="165"/>
      <c r="NAC33" s="165"/>
      <c r="NAD33" s="165"/>
      <c r="NAE33" s="165"/>
      <c r="NAF33" s="165"/>
      <c r="NAG33" s="165"/>
      <c r="NAH33" s="165"/>
      <c r="NAI33" s="165"/>
      <c r="NAJ33" s="165"/>
      <c r="NAK33" s="165"/>
      <c r="NAL33" s="165"/>
      <c r="NAM33" s="165"/>
      <c r="NAN33" s="165"/>
      <c r="NAO33" s="165"/>
      <c r="NAP33" s="165"/>
      <c r="NAQ33" s="165"/>
      <c r="NAR33" s="165"/>
      <c r="NAS33" s="165"/>
      <c r="NAT33" s="165"/>
      <c r="NAU33" s="165"/>
      <c r="NAV33" s="165"/>
      <c r="NAW33" s="165"/>
      <c r="NAX33" s="165"/>
      <c r="NAY33" s="165"/>
      <c r="NAZ33" s="165"/>
      <c r="NBA33" s="165"/>
      <c r="NBB33" s="165"/>
      <c r="NBC33" s="165"/>
      <c r="NBD33" s="165"/>
      <c r="NBE33" s="165"/>
      <c r="NBF33" s="165"/>
      <c r="NBG33" s="165"/>
      <c r="NBH33" s="165"/>
      <c r="NBI33" s="165"/>
      <c r="NBJ33" s="165"/>
      <c r="NBK33" s="165"/>
      <c r="NBL33" s="165"/>
      <c r="NBM33" s="165"/>
      <c r="NBN33" s="165"/>
      <c r="NBO33" s="165"/>
      <c r="NBP33" s="165"/>
      <c r="NBQ33" s="165"/>
      <c r="NBR33" s="165"/>
      <c r="NBS33" s="165"/>
      <c r="NBT33" s="165"/>
      <c r="NBU33" s="165"/>
      <c r="NBV33" s="165"/>
      <c r="NBW33" s="165"/>
      <c r="NBX33" s="165"/>
      <c r="NBY33" s="165"/>
      <c r="NBZ33" s="165"/>
      <c r="NCA33" s="165"/>
      <c r="NCB33" s="165"/>
      <c r="NCC33" s="165"/>
      <c r="NCD33" s="165"/>
      <c r="NCE33" s="165"/>
      <c r="NCF33" s="165"/>
      <c r="NCG33" s="165"/>
      <c r="NCH33" s="165"/>
      <c r="NCI33" s="165"/>
      <c r="NCJ33" s="165"/>
      <c r="NCK33" s="165"/>
      <c r="NCL33" s="165"/>
      <c r="NCM33" s="165"/>
      <c r="NCN33" s="165"/>
      <c r="NCO33" s="165"/>
      <c r="NCP33" s="165"/>
      <c r="NCQ33" s="165"/>
      <c r="NCR33" s="165"/>
      <c r="NCS33" s="165"/>
      <c r="NCT33" s="165"/>
      <c r="NCU33" s="165"/>
      <c r="NCV33" s="165"/>
      <c r="NCW33" s="165"/>
      <c r="NCX33" s="165"/>
      <c r="NCY33" s="165"/>
      <c r="NCZ33" s="165"/>
      <c r="NDA33" s="165"/>
      <c r="NDB33" s="165"/>
      <c r="NDC33" s="165"/>
      <c r="NDD33" s="165"/>
      <c r="NDE33" s="165"/>
      <c r="NDF33" s="165"/>
      <c r="NDG33" s="165"/>
      <c r="NDH33" s="165"/>
      <c r="NDI33" s="165"/>
      <c r="NDJ33" s="165"/>
      <c r="NDK33" s="165"/>
      <c r="NDL33" s="165"/>
      <c r="NDM33" s="165"/>
      <c r="NDN33" s="165"/>
      <c r="NDO33" s="165"/>
      <c r="NDP33" s="165"/>
      <c r="NDQ33" s="165"/>
      <c r="NDR33" s="165"/>
      <c r="NDS33" s="165"/>
      <c r="NDT33" s="165"/>
      <c r="NDU33" s="165"/>
      <c r="NDV33" s="165"/>
      <c r="NDW33" s="165"/>
      <c r="NDX33" s="165"/>
      <c r="NDY33" s="165"/>
      <c r="NDZ33" s="165"/>
      <c r="NEA33" s="165"/>
      <c r="NEB33" s="165"/>
      <c r="NEC33" s="165"/>
      <c r="NED33" s="165"/>
      <c r="NEE33" s="165"/>
      <c r="NEF33" s="165"/>
      <c r="NEG33" s="165"/>
      <c r="NEH33" s="165"/>
      <c r="NEI33" s="165"/>
      <c r="NEJ33" s="165"/>
      <c r="NEK33" s="165"/>
      <c r="NEL33" s="165"/>
      <c r="NEM33" s="165"/>
      <c r="NEN33" s="165"/>
      <c r="NEO33" s="165"/>
      <c r="NEP33" s="165"/>
      <c r="NEQ33" s="165"/>
      <c r="NER33" s="165"/>
      <c r="NES33" s="165"/>
      <c r="NET33" s="165"/>
      <c r="NEU33" s="165"/>
      <c r="NEV33" s="165"/>
      <c r="NEW33" s="165"/>
      <c r="NEX33" s="165"/>
      <c r="NEY33" s="165"/>
      <c r="NEZ33" s="165"/>
      <c r="NFA33" s="165"/>
      <c r="NFB33" s="165"/>
      <c r="NFC33" s="165"/>
      <c r="NFD33" s="165"/>
      <c r="NFE33" s="165"/>
      <c r="NFF33" s="165"/>
      <c r="NFG33" s="165"/>
      <c r="NFH33" s="165"/>
      <c r="NFI33" s="165"/>
      <c r="NFJ33" s="165"/>
      <c r="NFK33" s="165"/>
      <c r="NFL33" s="165"/>
      <c r="NFM33" s="165"/>
      <c r="NFN33" s="165"/>
      <c r="NFO33" s="165"/>
      <c r="NFP33" s="165"/>
      <c r="NFQ33" s="165"/>
      <c r="NFR33" s="165"/>
      <c r="NFS33" s="165"/>
      <c r="NFT33" s="165"/>
      <c r="NFU33" s="165"/>
      <c r="NFV33" s="165"/>
      <c r="NFW33" s="165"/>
      <c r="NFX33" s="165"/>
      <c r="NFY33" s="165"/>
      <c r="NFZ33" s="165"/>
      <c r="NGA33" s="165"/>
      <c r="NGB33" s="165"/>
      <c r="NGC33" s="165"/>
      <c r="NGD33" s="165"/>
      <c r="NGE33" s="165"/>
      <c r="NGF33" s="165"/>
      <c r="NGG33" s="165"/>
      <c r="NGH33" s="165"/>
      <c r="NGI33" s="165"/>
      <c r="NGJ33" s="165"/>
      <c r="NGK33" s="165"/>
      <c r="NGL33" s="165"/>
      <c r="NGM33" s="165"/>
      <c r="NGN33" s="165"/>
      <c r="NGO33" s="165"/>
      <c r="NGP33" s="165"/>
      <c r="NGQ33" s="165"/>
      <c r="NGR33" s="165"/>
      <c r="NGS33" s="165"/>
      <c r="NGT33" s="165"/>
      <c r="NGU33" s="165"/>
      <c r="NGV33" s="165"/>
      <c r="NGW33" s="165"/>
      <c r="NGX33" s="165"/>
      <c r="NGY33" s="165"/>
      <c r="NGZ33" s="165"/>
      <c r="NHA33" s="165"/>
      <c r="NHB33" s="165"/>
      <c r="NHC33" s="165"/>
      <c r="NHD33" s="165"/>
      <c r="NHE33" s="165"/>
      <c r="NHF33" s="165"/>
      <c r="NHG33" s="165"/>
      <c r="NHH33" s="165"/>
      <c r="NHI33" s="165"/>
      <c r="NHJ33" s="165"/>
      <c r="NHK33" s="165"/>
      <c r="NHL33" s="165"/>
      <c r="NHM33" s="165"/>
      <c r="NHN33" s="165"/>
      <c r="NHO33" s="165"/>
      <c r="NHP33" s="165"/>
      <c r="NHQ33" s="165"/>
      <c r="NHR33" s="165"/>
      <c r="NHS33" s="165"/>
      <c r="NHT33" s="165"/>
      <c r="NHU33" s="165"/>
      <c r="NHV33" s="165"/>
      <c r="NHW33" s="165"/>
      <c r="NHX33" s="165"/>
      <c r="NHY33" s="165"/>
      <c r="NHZ33" s="165"/>
      <c r="NIA33" s="165"/>
      <c r="NIB33" s="165"/>
      <c r="NIC33" s="165"/>
      <c r="NID33" s="165"/>
      <c r="NIE33" s="165"/>
      <c r="NIF33" s="165"/>
      <c r="NIG33" s="165"/>
      <c r="NIH33" s="165"/>
      <c r="NII33" s="165"/>
      <c r="NIJ33" s="165"/>
      <c r="NIK33" s="165"/>
      <c r="NIL33" s="165"/>
      <c r="NIM33" s="165"/>
      <c r="NIN33" s="165"/>
      <c r="NIO33" s="165"/>
      <c r="NIP33" s="165"/>
      <c r="NIQ33" s="165"/>
      <c r="NIR33" s="165"/>
      <c r="NIS33" s="165"/>
      <c r="NIT33" s="165"/>
      <c r="NIU33" s="165"/>
      <c r="NIV33" s="165"/>
      <c r="NIW33" s="165"/>
      <c r="NIX33" s="165"/>
      <c r="NIY33" s="165"/>
      <c r="NIZ33" s="165"/>
      <c r="NJA33" s="165"/>
      <c r="NJB33" s="165"/>
      <c r="NJC33" s="165"/>
      <c r="NJD33" s="165"/>
      <c r="NJE33" s="165"/>
      <c r="NJF33" s="165"/>
      <c r="NJG33" s="165"/>
      <c r="NJH33" s="165"/>
      <c r="NJI33" s="165"/>
      <c r="NJJ33" s="165"/>
      <c r="NJK33" s="165"/>
      <c r="NJL33" s="165"/>
      <c r="NJM33" s="165"/>
      <c r="NJN33" s="165"/>
      <c r="NJO33" s="165"/>
      <c r="NJP33" s="165"/>
      <c r="NJQ33" s="165"/>
      <c r="NJR33" s="165"/>
      <c r="NJS33" s="165"/>
      <c r="NJT33" s="165"/>
      <c r="NJU33" s="165"/>
      <c r="NJV33" s="165"/>
      <c r="NJW33" s="165"/>
      <c r="NJX33" s="165"/>
      <c r="NJY33" s="165"/>
      <c r="NJZ33" s="165"/>
      <c r="NKA33" s="165"/>
      <c r="NKB33" s="165"/>
      <c r="NKC33" s="165"/>
      <c r="NKD33" s="165"/>
      <c r="NKE33" s="165"/>
      <c r="NKF33" s="165"/>
      <c r="NKG33" s="165"/>
      <c r="NKH33" s="165"/>
      <c r="NKI33" s="165"/>
      <c r="NKJ33" s="165"/>
      <c r="NKK33" s="165"/>
      <c r="NKL33" s="165"/>
      <c r="NKM33" s="165"/>
      <c r="NKN33" s="165"/>
      <c r="NKO33" s="165"/>
      <c r="NKP33" s="165"/>
      <c r="NKQ33" s="165"/>
      <c r="NKR33" s="165"/>
      <c r="NKS33" s="165"/>
      <c r="NKT33" s="165"/>
      <c r="NKU33" s="165"/>
      <c r="NKV33" s="165"/>
      <c r="NKW33" s="165"/>
      <c r="NKX33" s="165"/>
      <c r="NKY33" s="165"/>
      <c r="NKZ33" s="165"/>
      <c r="NLA33" s="165"/>
      <c r="NLB33" s="165"/>
      <c r="NLC33" s="165"/>
      <c r="NLD33" s="165"/>
      <c r="NLE33" s="165"/>
      <c r="NLF33" s="165"/>
      <c r="NLG33" s="165"/>
      <c r="NLH33" s="165"/>
      <c r="NLI33" s="165"/>
      <c r="NLJ33" s="165"/>
      <c r="NLK33" s="165"/>
      <c r="NLL33" s="165"/>
      <c r="NLM33" s="165"/>
      <c r="NLN33" s="165"/>
      <c r="NLO33" s="165"/>
      <c r="NLP33" s="165"/>
      <c r="NLQ33" s="165"/>
      <c r="NLR33" s="165"/>
      <c r="NLS33" s="165"/>
      <c r="NLT33" s="165"/>
      <c r="NLU33" s="165"/>
      <c r="NLV33" s="165"/>
      <c r="NLW33" s="165"/>
      <c r="NLX33" s="165"/>
      <c r="NLY33" s="165"/>
      <c r="NLZ33" s="165"/>
      <c r="NMA33" s="165"/>
      <c r="NMB33" s="165"/>
      <c r="NMC33" s="165"/>
      <c r="NMD33" s="165"/>
      <c r="NME33" s="165"/>
      <c r="NMF33" s="165"/>
      <c r="NMG33" s="165"/>
      <c r="NMH33" s="165"/>
      <c r="NMI33" s="165"/>
      <c r="NMJ33" s="165"/>
      <c r="NMK33" s="165"/>
      <c r="NML33" s="165"/>
      <c r="NMM33" s="165"/>
      <c r="NMN33" s="165"/>
      <c r="NMO33" s="165"/>
      <c r="NMP33" s="165"/>
      <c r="NMQ33" s="165"/>
      <c r="NMR33" s="165"/>
      <c r="NMS33" s="165"/>
      <c r="NMT33" s="165"/>
      <c r="NMU33" s="165"/>
      <c r="NMV33" s="165"/>
      <c r="NMW33" s="165"/>
      <c r="NMX33" s="165"/>
      <c r="NMY33" s="165"/>
      <c r="NMZ33" s="165"/>
      <c r="NNA33" s="165"/>
      <c r="NNB33" s="165"/>
      <c r="NNC33" s="165"/>
      <c r="NND33" s="165"/>
      <c r="NNE33" s="165"/>
      <c r="NNF33" s="165"/>
      <c r="NNG33" s="165"/>
      <c r="NNH33" s="165"/>
      <c r="NNI33" s="165"/>
      <c r="NNJ33" s="165"/>
      <c r="NNK33" s="165"/>
      <c r="NNL33" s="165"/>
      <c r="NNM33" s="165"/>
      <c r="NNN33" s="165"/>
      <c r="NNO33" s="165"/>
      <c r="NNP33" s="165"/>
      <c r="NNQ33" s="165"/>
      <c r="NNR33" s="165"/>
      <c r="NNS33" s="165"/>
      <c r="NNT33" s="165"/>
      <c r="NNU33" s="165"/>
      <c r="NNV33" s="165"/>
      <c r="NNW33" s="165"/>
      <c r="NNX33" s="165"/>
      <c r="NNY33" s="165"/>
      <c r="NNZ33" s="165"/>
      <c r="NOA33" s="165"/>
      <c r="NOB33" s="165"/>
      <c r="NOC33" s="165"/>
      <c r="NOD33" s="165"/>
      <c r="NOE33" s="165"/>
      <c r="NOF33" s="165"/>
      <c r="NOG33" s="165"/>
      <c r="NOH33" s="165"/>
      <c r="NOI33" s="165"/>
      <c r="NOJ33" s="165"/>
      <c r="NOK33" s="165"/>
      <c r="NOL33" s="165"/>
      <c r="NOM33" s="165"/>
      <c r="NON33" s="165"/>
      <c r="NOO33" s="165"/>
      <c r="NOP33" s="165"/>
      <c r="NOQ33" s="165"/>
      <c r="NOR33" s="165"/>
      <c r="NOS33" s="165"/>
      <c r="NOT33" s="165"/>
      <c r="NOU33" s="165"/>
      <c r="NOV33" s="165"/>
      <c r="NOW33" s="165"/>
      <c r="NOX33" s="165"/>
      <c r="NOY33" s="165"/>
      <c r="NOZ33" s="165"/>
      <c r="NPA33" s="165"/>
      <c r="NPB33" s="165"/>
      <c r="NPC33" s="165"/>
      <c r="NPD33" s="165"/>
      <c r="NPE33" s="165"/>
      <c r="NPF33" s="165"/>
      <c r="NPG33" s="165"/>
      <c r="NPH33" s="165"/>
      <c r="NPI33" s="165"/>
      <c r="NPJ33" s="165"/>
      <c r="NPK33" s="165"/>
      <c r="NPL33" s="165"/>
      <c r="NPM33" s="165"/>
      <c r="NPN33" s="165"/>
      <c r="NPO33" s="165"/>
      <c r="NPP33" s="165"/>
      <c r="NPQ33" s="165"/>
      <c r="NPR33" s="165"/>
      <c r="NPS33" s="165"/>
      <c r="NPT33" s="165"/>
      <c r="NPU33" s="165"/>
      <c r="NPV33" s="165"/>
      <c r="NPW33" s="165"/>
      <c r="NPX33" s="165"/>
      <c r="NPY33" s="165"/>
      <c r="NPZ33" s="165"/>
      <c r="NQA33" s="165"/>
      <c r="NQB33" s="165"/>
      <c r="NQC33" s="165"/>
      <c r="NQD33" s="165"/>
      <c r="NQE33" s="165"/>
      <c r="NQF33" s="165"/>
      <c r="NQG33" s="165"/>
      <c r="NQH33" s="165"/>
      <c r="NQI33" s="165"/>
      <c r="NQJ33" s="165"/>
      <c r="NQK33" s="165"/>
      <c r="NQL33" s="165"/>
      <c r="NQM33" s="165"/>
      <c r="NQN33" s="165"/>
      <c r="NQO33" s="165"/>
      <c r="NQP33" s="165"/>
      <c r="NQQ33" s="165"/>
      <c r="NQR33" s="165"/>
      <c r="NQS33" s="165"/>
      <c r="NQT33" s="165"/>
      <c r="NQU33" s="165"/>
      <c r="NQV33" s="165"/>
      <c r="NQW33" s="165"/>
      <c r="NQX33" s="165"/>
      <c r="NQY33" s="165"/>
      <c r="NQZ33" s="165"/>
      <c r="NRA33" s="165"/>
      <c r="NRB33" s="165"/>
      <c r="NRC33" s="165"/>
      <c r="NRD33" s="165"/>
      <c r="NRE33" s="165"/>
      <c r="NRF33" s="165"/>
      <c r="NRG33" s="165"/>
      <c r="NRH33" s="165"/>
      <c r="NRI33" s="165"/>
      <c r="NRJ33" s="165"/>
      <c r="NRK33" s="165"/>
      <c r="NRL33" s="165"/>
      <c r="NRM33" s="165"/>
      <c r="NRN33" s="165"/>
      <c r="NRO33" s="165"/>
      <c r="NRP33" s="165"/>
      <c r="NRQ33" s="165"/>
      <c r="NRR33" s="165"/>
      <c r="NRS33" s="165"/>
      <c r="NRT33" s="165"/>
      <c r="NRU33" s="165"/>
      <c r="NRV33" s="165"/>
      <c r="NRW33" s="165"/>
      <c r="NRX33" s="165"/>
      <c r="NRY33" s="165"/>
      <c r="NRZ33" s="165"/>
      <c r="NSA33" s="165"/>
      <c r="NSB33" s="165"/>
      <c r="NSC33" s="165"/>
      <c r="NSD33" s="165"/>
      <c r="NSE33" s="165"/>
      <c r="NSF33" s="165"/>
      <c r="NSG33" s="165"/>
      <c r="NSH33" s="165"/>
      <c r="NSI33" s="165"/>
      <c r="NSJ33" s="165"/>
      <c r="NSK33" s="165"/>
      <c r="NSL33" s="165"/>
      <c r="NSM33" s="165"/>
      <c r="NSN33" s="165"/>
      <c r="NSO33" s="165"/>
      <c r="NSP33" s="165"/>
      <c r="NSQ33" s="165"/>
      <c r="NSR33" s="165"/>
      <c r="NSS33" s="165"/>
      <c r="NST33" s="165"/>
      <c r="NSU33" s="165"/>
      <c r="NSV33" s="165"/>
      <c r="NSW33" s="165"/>
      <c r="NSX33" s="165"/>
      <c r="NSY33" s="165"/>
      <c r="NSZ33" s="165"/>
      <c r="NTA33" s="165"/>
      <c r="NTB33" s="165"/>
      <c r="NTC33" s="165"/>
      <c r="NTD33" s="165"/>
      <c r="NTE33" s="165"/>
      <c r="NTF33" s="165"/>
      <c r="NTG33" s="165"/>
      <c r="NTH33" s="165"/>
      <c r="NTI33" s="165"/>
      <c r="NTJ33" s="165"/>
      <c r="NTK33" s="165"/>
      <c r="NTL33" s="165"/>
      <c r="NTM33" s="165"/>
      <c r="NTN33" s="165"/>
      <c r="NTO33" s="165"/>
      <c r="NTP33" s="165"/>
      <c r="NTQ33" s="165"/>
      <c r="NTR33" s="165"/>
      <c r="NTS33" s="165"/>
      <c r="NTT33" s="165"/>
      <c r="NTU33" s="165"/>
      <c r="NTV33" s="165"/>
      <c r="NTW33" s="165"/>
      <c r="NTX33" s="165"/>
      <c r="NTY33" s="165"/>
      <c r="NTZ33" s="165"/>
      <c r="NUA33" s="165"/>
      <c r="NUB33" s="165"/>
      <c r="NUC33" s="165"/>
      <c r="NUD33" s="165"/>
      <c r="NUE33" s="165"/>
      <c r="NUF33" s="165"/>
      <c r="NUG33" s="165"/>
      <c r="NUH33" s="165"/>
      <c r="NUI33" s="165"/>
      <c r="NUJ33" s="165"/>
      <c r="NUK33" s="165"/>
      <c r="NUL33" s="165"/>
      <c r="NUM33" s="165"/>
      <c r="NUN33" s="165"/>
      <c r="NUO33" s="165"/>
      <c r="NUP33" s="165"/>
      <c r="NUQ33" s="165"/>
      <c r="NUR33" s="165"/>
      <c r="NUS33" s="165"/>
      <c r="NUT33" s="165"/>
      <c r="NUU33" s="165"/>
      <c r="NUV33" s="165"/>
      <c r="NUW33" s="165"/>
      <c r="NUX33" s="165"/>
      <c r="NUY33" s="165"/>
      <c r="NUZ33" s="165"/>
      <c r="NVA33" s="165"/>
      <c r="NVB33" s="165"/>
      <c r="NVC33" s="165"/>
      <c r="NVD33" s="165"/>
      <c r="NVE33" s="165"/>
      <c r="NVF33" s="165"/>
      <c r="NVG33" s="165"/>
      <c r="NVH33" s="165"/>
      <c r="NVI33" s="165"/>
      <c r="NVJ33" s="165"/>
      <c r="NVK33" s="165"/>
      <c r="NVL33" s="165"/>
      <c r="NVM33" s="165"/>
      <c r="NVN33" s="165"/>
      <c r="NVO33" s="165"/>
      <c r="NVP33" s="165"/>
      <c r="NVQ33" s="165"/>
      <c r="NVR33" s="165"/>
      <c r="NVS33" s="165"/>
      <c r="NVT33" s="165"/>
      <c r="NVU33" s="165"/>
      <c r="NVV33" s="165"/>
      <c r="NVW33" s="165"/>
      <c r="NVX33" s="165"/>
      <c r="NVY33" s="165"/>
      <c r="NVZ33" s="165"/>
      <c r="NWA33" s="165"/>
      <c r="NWB33" s="165"/>
      <c r="NWC33" s="165"/>
      <c r="NWD33" s="165"/>
      <c r="NWE33" s="165"/>
      <c r="NWF33" s="165"/>
      <c r="NWG33" s="165"/>
      <c r="NWH33" s="165"/>
      <c r="NWI33" s="165"/>
      <c r="NWJ33" s="165"/>
      <c r="NWK33" s="165"/>
      <c r="NWL33" s="165"/>
      <c r="NWM33" s="165"/>
      <c r="NWN33" s="165"/>
      <c r="NWO33" s="165"/>
      <c r="NWP33" s="165"/>
      <c r="NWQ33" s="165"/>
      <c r="NWR33" s="165"/>
      <c r="NWS33" s="165"/>
      <c r="NWT33" s="165"/>
      <c r="NWU33" s="165"/>
      <c r="NWV33" s="165"/>
      <c r="NWW33" s="165"/>
      <c r="NWX33" s="165"/>
      <c r="NWY33" s="165"/>
      <c r="NWZ33" s="165"/>
      <c r="NXA33" s="165"/>
      <c r="NXB33" s="165"/>
      <c r="NXC33" s="165"/>
      <c r="NXD33" s="165"/>
      <c r="NXE33" s="165"/>
      <c r="NXF33" s="165"/>
      <c r="NXG33" s="165"/>
      <c r="NXH33" s="165"/>
      <c r="NXI33" s="165"/>
      <c r="NXJ33" s="165"/>
      <c r="NXK33" s="165"/>
      <c r="NXL33" s="165"/>
      <c r="NXM33" s="165"/>
      <c r="NXN33" s="165"/>
      <c r="NXO33" s="165"/>
      <c r="NXP33" s="165"/>
      <c r="NXQ33" s="165"/>
      <c r="NXR33" s="165"/>
      <c r="NXS33" s="165"/>
      <c r="NXT33" s="165"/>
      <c r="NXU33" s="165"/>
      <c r="NXV33" s="165"/>
      <c r="NXW33" s="165"/>
      <c r="NXX33" s="165"/>
      <c r="NXY33" s="165"/>
      <c r="NXZ33" s="165"/>
      <c r="NYA33" s="165"/>
      <c r="NYB33" s="165"/>
      <c r="NYC33" s="165"/>
      <c r="NYD33" s="165"/>
      <c r="NYE33" s="165"/>
      <c r="NYF33" s="165"/>
      <c r="NYG33" s="165"/>
      <c r="NYH33" s="165"/>
      <c r="NYI33" s="165"/>
      <c r="NYJ33" s="165"/>
      <c r="NYK33" s="165"/>
      <c r="NYL33" s="165"/>
      <c r="NYM33" s="165"/>
      <c r="NYN33" s="165"/>
      <c r="NYO33" s="165"/>
      <c r="NYP33" s="165"/>
      <c r="NYQ33" s="165"/>
      <c r="NYR33" s="165"/>
      <c r="NYS33" s="165"/>
      <c r="NYT33" s="165"/>
      <c r="NYU33" s="165"/>
      <c r="NYV33" s="165"/>
      <c r="NYW33" s="165"/>
      <c r="NYX33" s="165"/>
      <c r="NYY33" s="165"/>
      <c r="NYZ33" s="165"/>
      <c r="NZA33" s="165"/>
      <c r="NZB33" s="165"/>
      <c r="NZC33" s="165"/>
      <c r="NZD33" s="165"/>
      <c r="NZE33" s="165"/>
      <c r="NZF33" s="165"/>
      <c r="NZG33" s="165"/>
      <c r="NZH33" s="165"/>
      <c r="NZI33" s="165"/>
      <c r="NZJ33" s="165"/>
      <c r="NZK33" s="165"/>
      <c r="NZL33" s="165"/>
      <c r="NZM33" s="165"/>
      <c r="NZN33" s="165"/>
      <c r="NZO33" s="165"/>
      <c r="NZP33" s="165"/>
      <c r="NZQ33" s="165"/>
      <c r="NZR33" s="165"/>
      <c r="NZS33" s="165"/>
      <c r="NZT33" s="165"/>
      <c r="NZU33" s="165"/>
      <c r="NZV33" s="165"/>
      <c r="NZW33" s="165"/>
      <c r="NZX33" s="165"/>
      <c r="NZY33" s="165"/>
      <c r="NZZ33" s="165"/>
      <c r="OAA33" s="165"/>
      <c r="OAB33" s="165"/>
      <c r="OAC33" s="165"/>
      <c r="OAD33" s="165"/>
      <c r="OAE33" s="165"/>
      <c r="OAF33" s="165"/>
      <c r="OAG33" s="165"/>
      <c r="OAH33" s="165"/>
      <c r="OAI33" s="165"/>
      <c r="OAJ33" s="165"/>
      <c r="OAK33" s="165"/>
      <c r="OAL33" s="165"/>
      <c r="OAM33" s="165"/>
      <c r="OAN33" s="165"/>
      <c r="OAO33" s="165"/>
      <c r="OAP33" s="165"/>
      <c r="OAQ33" s="165"/>
      <c r="OAR33" s="165"/>
      <c r="OAS33" s="165"/>
      <c r="OAT33" s="165"/>
      <c r="OAU33" s="165"/>
      <c r="OAV33" s="165"/>
      <c r="OAW33" s="165"/>
      <c r="OAX33" s="165"/>
      <c r="OAY33" s="165"/>
      <c r="OAZ33" s="165"/>
      <c r="OBA33" s="165"/>
      <c r="OBB33" s="165"/>
      <c r="OBC33" s="165"/>
      <c r="OBD33" s="165"/>
      <c r="OBE33" s="165"/>
      <c r="OBF33" s="165"/>
      <c r="OBG33" s="165"/>
      <c r="OBH33" s="165"/>
      <c r="OBI33" s="165"/>
      <c r="OBJ33" s="165"/>
      <c r="OBK33" s="165"/>
      <c r="OBL33" s="165"/>
      <c r="OBM33" s="165"/>
      <c r="OBN33" s="165"/>
      <c r="OBO33" s="165"/>
      <c r="OBP33" s="165"/>
      <c r="OBQ33" s="165"/>
      <c r="OBR33" s="165"/>
      <c r="OBS33" s="165"/>
      <c r="OBT33" s="165"/>
      <c r="OBU33" s="165"/>
      <c r="OBV33" s="165"/>
      <c r="OBW33" s="165"/>
      <c r="OBX33" s="165"/>
      <c r="OBY33" s="165"/>
      <c r="OBZ33" s="165"/>
      <c r="OCA33" s="165"/>
      <c r="OCB33" s="165"/>
      <c r="OCC33" s="165"/>
      <c r="OCD33" s="165"/>
      <c r="OCE33" s="165"/>
      <c r="OCF33" s="165"/>
      <c r="OCG33" s="165"/>
      <c r="OCH33" s="165"/>
      <c r="OCI33" s="165"/>
      <c r="OCJ33" s="165"/>
      <c r="OCK33" s="165"/>
      <c r="OCL33" s="165"/>
      <c r="OCM33" s="165"/>
      <c r="OCN33" s="165"/>
      <c r="OCO33" s="165"/>
      <c r="OCP33" s="165"/>
      <c r="OCQ33" s="165"/>
      <c r="OCR33" s="165"/>
      <c r="OCS33" s="165"/>
      <c r="OCT33" s="165"/>
      <c r="OCU33" s="165"/>
      <c r="OCV33" s="165"/>
      <c r="OCW33" s="165"/>
      <c r="OCX33" s="165"/>
      <c r="OCY33" s="165"/>
      <c r="OCZ33" s="165"/>
      <c r="ODA33" s="165"/>
      <c r="ODB33" s="165"/>
      <c r="ODC33" s="165"/>
      <c r="ODD33" s="165"/>
      <c r="ODE33" s="165"/>
      <c r="ODF33" s="165"/>
      <c r="ODG33" s="165"/>
      <c r="ODH33" s="165"/>
      <c r="ODI33" s="165"/>
      <c r="ODJ33" s="165"/>
      <c r="ODK33" s="165"/>
      <c r="ODL33" s="165"/>
      <c r="ODM33" s="165"/>
      <c r="ODN33" s="165"/>
      <c r="ODO33" s="165"/>
      <c r="ODP33" s="165"/>
      <c r="ODQ33" s="165"/>
      <c r="ODR33" s="165"/>
      <c r="ODS33" s="165"/>
      <c r="ODT33" s="165"/>
      <c r="ODU33" s="165"/>
      <c r="ODV33" s="165"/>
      <c r="ODW33" s="165"/>
      <c r="ODX33" s="165"/>
      <c r="ODY33" s="165"/>
      <c r="ODZ33" s="165"/>
      <c r="OEA33" s="165"/>
      <c r="OEB33" s="165"/>
      <c r="OEC33" s="165"/>
      <c r="OED33" s="165"/>
      <c r="OEE33" s="165"/>
      <c r="OEF33" s="165"/>
      <c r="OEG33" s="165"/>
      <c r="OEH33" s="165"/>
      <c r="OEI33" s="165"/>
      <c r="OEJ33" s="165"/>
      <c r="OEK33" s="165"/>
      <c r="OEL33" s="165"/>
      <c r="OEM33" s="165"/>
      <c r="OEN33" s="165"/>
      <c r="OEO33" s="165"/>
      <c r="OEP33" s="165"/>
      <c r="OEQ33" s="165"/>
      <c r="OER33" s="165"/>
      <c r="OES33" s="165"/>
      <c r="OET33" s="165"/>
      <c r="OEU33" s="165"/>
      <c r="OEV33" s="165"/>
      <c r="OEW33" s="165"/>
      <c r="OEX33" s="165"/>
      <c r="OEY33" s="165"/>
      <c r="OEZ33" s="165"/>
      <c r="OFA33" s="165"/>
      <c r="OFB33" s="165"/>
      <c r="OFC33" s="165"/>
      <c r="OFD33" s="165"/>
      <c r="OFE33" s="165"/>
      <c r="OFF33" s="165"/>
      <c r="OFG33" s="165"/>
      <c r="OFH33" s="165"/>
      <c r="OFI33" s="165"/>
      <c r="OFJ33" s="165"/>
      <c r="OFK33" s="165"/>
      <c r="OFL33" s="165"/>
      <c r="OFM33" s="165"/>
      <c r="OFN33" s="165"/>
      <c r="OFO33" s="165"/>
      <c r="OFP33" s="165"/>
      <c r="OFQ33" s="165"/>
      <c r="OFR33" s="165"/>
      <c r="OFS33" s="165"/>
      <c r="OFT33" s="165"/>
      <c r="OFU33" s="165"/>
      <c r="OFV33" s="165"/>
      <c r="OFW33" s="165"/>
      <c r="OFX33" s="165"/>
      <c r="OFY33" s="165"/>
      <c r="OFZ33" s="165"/>
      <c r="OGA33" s="165"/>
      <c r="OGB33" s="165"/>
      <c r="OGC33" s="165"/>
      <c r="OGD33" s="165"/>
      <c r="OGE33" s="165"/>
      <c r="OGF33" s="165"/>
      <c r="OGG33" s="165"/>
      <c r="OGH33" s="165"/>
      <c r="OGI33" s="165"/>
      <c r="OGJ33" s="165"/>
      <c r="OGK33" s="165"/>
      <c r="OGL33" s="165"/>
      <c r="OGM33" s="165"/>
      <c r="OGN33" s="165"/>
      <c r="OGO33" s="165"/>
      <c r="OGP33" s="165"/>
      <c r="OGQ33" s="165"/>
      <c r="OGR33" s="165"/>
      <c r="OGS33" s="165"/>
      <c r="OGT33" s="165"/>
      <c r="OGU33" s="165"/>
      <c r="OGV33" s="165"/>
      <c r="OGW33" s="165"/>
      <c r="OGX33" s="165"/>
      <c r="OGY33" s="165"/>
      <c r="OGZ33" s="165"/>
      <c r="OHA33" s="165"/>
      <c r="OHB33" s="165"/>
      <c r="OHC33" s="165"/>
      <c r="OHD33" s="165"/>
      <c r="OHE33" s="165"/>
      <c r="OHF33" s="165"/>
      <c r="OHG33" s="165"/>
      <c r="OHH33" s="165"/>
      <c r="OHI33" s="165"/>
      <c r="OHJ33" s="165"/>
      <c r="OHK33" s="165"/>
      <c r="OHL33" s="165"/>
      <c r="OHM33" s="165"/>
      <c r="OHN33" s="165"/>
      <c r="OHO33" s="165"/>
      <c r="OHP33" s="165"/>
      <c r="OHQ33" s="165"/>
      <c r="OHR33" s="165"/>
      <c r="OHS33" s="165"/>
      <c r="OHT33" s="165"/>
      <c r="OHU33" s="165"/>
      <c r="OHV33" s="165"/>
      <c r="OHW33" s="165"/>
      <c r="OHX33" s="165"/>
      <c r="OHY33" s="165"/>
      <c r="OHZ33" s="165"/>
      <c r="OIA33" s="165"/>
      <c r="OIB33" s="165"/>
      <c r="OIC33" s="165"/>
      <c r="OID33" s="165"/>
      <c r="OIE33" s="165"/>
      <c r="OIF33" s="165"/>
      <c r="OIG33" s="165"/>
      <c r="OIH33" s="165"/>
      <c r="OII33" s="165"/>
      <c r="OIJ33" s="165"/>
      <c r="OIK33" s="165"/>
      <c r="OIL33" s="165"/>
      <c r="OIM33" s="165"/>
      <c r="OIN33" s="165"/>
      <c r="OIO33" s="165"/>
      <c r="OIP33" s="165"/>
      <c r="OIQ33" s="165"/>
      <c r="OIR33" s="165"/>
      <c r="OIS33" s="165"/>
      <c r="OIT33" s="165"/>
      <c r="OIU33" s="165"/>
      <c r="OIV33" s="165"/>
      <c r="OIW33" s="165"/>
      <c r="OIX33" s="165"/>
      <c r="OIY33" s="165"/>
      <c r="OIZ33" s="165"/>
      <c r="OJA33" s="165"/>
      <c r="OJB33" s="165"/>
      <c r="OJC33" s="165"/>
      <c r="OJD33" s="165"/>
      <c r="OJE33" s="165"/>
      <c r="OJF33" s="165"/>
      <c r="OJG33" s="165"/>
      <c r="OJH33" s="165"/>
      <c r="OJI33" s="165"/>
      <c r="OJJ33" s="165"/>
      <c r="OJK33" s="165"/>
      <c r="OJL33" s="165"/>
      <c r="OJM33" s="165"/>
      <c r="OJN33" s="165"/>
      <c r="OJO33" s="165"/>
      <c r="OJP33" s="165"/>
      <c r="OJQ33" s="165"/>
      <c r="OJR33" s="165"/>
      <c r="OJS33" s="165"/>
      <c r="OJT33" s="165"/>
      <c r="OJU33" s="165"/>
      <c r="OJV33" s="165"/>
      <c r="OJW33" s="165"/>
      <c r="OJX33" s="165"/>
      <c r="OJY33" s="165"/>
      <c r="OJZ33" s="165"/>
      <c r="OKA33" s="165"/>
      <c r="OKB33" s="165"/>
      <c r="OKC33" s="165"/>
      <c r="OKD33" s="165"/>
      <c r="OKE33" s="165"/>
      <c r="OKF33" s="165"/>
      <c r="OKG33" s="165"/>
      <c r="OKH33" s="165"/>
      <c r="OKI33" s="165"/>
      <c r="OKJ33" s="165"/>
      <c r="OKK33" s="165"/>
      <c r="OKL33" s="165"/>
      <c r="OKM33" s="165"/>
      <c r="OKN33" s="165"/>
      <c r="OKO33" s="165"/>
      <c r="OKP33" s="165"/>
      <c r="OKQ33" s="165"/>
      <c r="OKR33" s="165"/>
      <c r="OKS33" s="165"/>
      <c r="OKT33" s="165"/>
      <c r="OKU33" s="165"/>
      <c r="OKV33" s="165"/>
      <c r="OKW33" s="165"/>
      <c r="OKX33" s="165"/>
      <c r="OKY33" s="165"/>
      <c r="OKZ33" s="165"/>
      <c r="OLA33" s="165"/>
      <c r="OLB33" s="165"/>
      <c r="OLC33" s="165"/>
      <c r="OLD33" s="165"/>
      <c r="OLE33" s="165"/>
      <c r="OLF33" s="165"/>
      <c r="OLG33" s="165"/>
      <c r="OLH33" s="165"/>
      <c r="OLI33" s="165"/>
      <c r="OLJ33" s="165"/>
      <c r="OLK33" s="165"/>
      <c r="OLL33" s="165"/>
      <c r="OLM33" s="165"/>
      <c r="OLN33" s="165"/>
      <c r="OLO33" s="165"/>
      <c r="OLP33" s="165"/>
      <c r="OLQ33" s="165"/>
      <c r="OLR33" s="165"/>
      <c r="OLS33" s="165"/>
      <c r="OLT33" s="165"/>
      <c r="OLU33" s="165"/>
      <c r="OLV33" s="165"/>
      <c r="OLW33" s="165"/>
      <c r="OLX33" s="165"/>
      <c r="OLY33" s="165"/>
      <c r="OLZ33" s="165"/>
      <c r="OMA33" s="165"/>
      <c r="OMB33" s="165"/>
      <c r="OMC33" s="165"/>
      <c r="OMD33" s="165"/>
      <c r="OME33" s="165"/>
      <c r="OMF33" s="165"/>
      <c r="OMG33" s="165"/>
      <c r="OMH33" s="165"/>
      <c r="OMI33" s="165"/>
      <c r="OMJ33" s="165"/>
      <c r="OMK33" s="165"/>
      <c r="OML33" s="165"/>
      <c r="OMM33" s="165"/>
      <c r="OMN33" s="165"/>
      <c r="OMO33" s="165"/>
      <c r="OMP33" s="165"/>
      <c r="OMQ33" s="165"/>
      <c r="OMR33" s="165"/>
      <c r="OMS33" s="165"/>
      <c r="OMT33" s="165"/>
      <c r="OMU33" s="165"/>
      <c r="OMV33" s="165"/>
      <c r="OMW33" s="165"/>
      <c r="OMX33" s="165"/>
      <c r="OMY33" s="165"/>
      <c r="OMZ33" s="165"/>
      <c r="ONA33" s="165"/>
      <c r="ONB33" s="165"/>
      <c r="ONC33" s="165"/>
      <c r="OND33" s="165"/>
      <c r="ONE33" s="165"/>
      <c r="ONF33" s="165"/>
      <c r="ONG33" s="165"/>
      <c r="ONH33" s="165"/>
      <c r="ONI33" s="165"/>
      <c r="ONJ33" s="165"/>
      <c r="ONK33" s="165"/>
      <c r="ONL33" s="165"/>
      <c r="ONM33" s="165"/>
      <c r="ONN33" s="165"/>
      <c r="ONO33" s="165"/>
      <c r="ONP33" s="165"/>
      <c r="ONQ33" s="165"/>
      <c r="ONR33" s="165"/>
      <c r="ONS33" s="165"/>
      <c r="ONT33" s="165"/>
      <c r="ONU33" s="165"/>
      <c r="ONV33" s="165"/>
      <c r="ONW33" s="165"/>
      <c r="ONX33" s="165"/>
      <c r="ONY33" s="165"/>
      <c r="ONZ33" s="165"/>
      <c r="OOA33" s="165"/>
      <c r="OOB33" s="165"/>
      <c r="OOC33" s="165"/>
      <c r="OOD33" s="165"/>
      <c r="OOE33" s="165"/>
      <c r="OOF33" s="165"/>
      <c r="OOG33" s="165"/>
      <c r="OOH33" s="165"/>
      <c r="OOI33" s="165"/>
      <c r="OOJ33" s="165"/>
      <c r="OOK33" s="165"/>
      <c r="OOL33" s="165"/>
      <c r="OOM33" s="165"/>
      <c r="OON33" s="165"/>
      <c r="OOO33" s="165"/>
      <c r="OOP33" s="165"/>
      <c r="OOQ33" s="165"/>
      <c r="OOR33" s="165"/>
      <c r="OOS33" s="165"/>
      <c r="OOT33" s="165"/>
      <c r="OOU33" s="165"/>
      <c r="OOV33" s="165"/>
      <c r="OOW33" s="165"/>
      <c r="OOX33" s="165"/>
      <c r="OOY33" s="165"/>
      <c r="OOZ33" s="165"/>
      <c r="OPA33" s="165"/>
      <c r="OPB33" s="165"/>
      <c r="OPC33" s="165"/>
      <c r="OPD33" s="165"/>
      <c r="OPE33" s="165"/>
      <c r="OPF33" s="165"/>
      <c r="OPG33" s="165"/>
      <c r="OPH33" s="165"/>
      <c r="OPI33" s="165"/>
      <c r="OPJ33" s="165"/>
      <c r="OPK33" s="165"/>
      <c r="OPL33" s="165"/>
      <c r="OPM33" s="165"/>
      <c r="OPN33" s="165"/>
      <c r="OPO33" s="165"/>
      <c r="OPP33" s="165"/>
      <c r="OPQ33" s="165"/>
      <c r="OPR33" s="165"/>
      <c r="OPS33" s="165"/>
      <c r="OPT33" s="165"/>
      <c r="OPU33" s="165"/>
      <c r="OPV33" s="165"/>
      <c r="OPW33" s="165"/>
      <c r="OPX33" s="165"/>
      <c r="OPY33" s="165"/>
      <c r="OPZ33" s="165"/>
      <c r="OQA33" s="165"/>
      <c r="OQB33" s="165"/>
      <c r="OQC33" s="165"/>
      <c r="OQD33" s="165"/>
      <c r="OQE33" s="165"/>
      <c r="OQF33" s="165"/>
      <c r="OQG33" s="165"/>
      <c r="OQH33" s="165"/>
      <c r="OQI33" s="165"/>
      <c r="OQJ33" s="165"/>
      <c r="OQK33" s="165"/>
      <c r="OQL33" s="165"/>
      <c r="OQM33" s="165"/>
      <c r="OQN33" s="165"/>
      <c r="OQO33" s="165"/>
      <c r="OQP33" s="165"/>
      <c r="OQQ33" s="165"/>
      <c r="OQR33" s="165"/>
      <c r="OQS33" s="165"/>
      <c r="OQT33" s="165"/>
      <c r="OQU33" s="165"/>
      <c r="OQV33" s="165"/>
      <c r="OQW33" s="165"/>
      <c r="OQX33" s="165"/>
      <c r="OQY33" s="165"/>
      <c r="OQZ33" s="165"/>
      <c r="ORA33" s="165"/>
      <c r="ORB33" s="165"/>
      <c r="ORC33" s="165"/>
      <c r="ORD33" s="165"/>
      <c r="ORE33" s="165"/>
      <c r="ORF33" s="165"/>
      <c r="ORG33" s="165"/>
      <c r="ORH33" s="165"/>
      <c r="ORI33" s="165"/>
      <c r="ORJ33" s="165"/>
      <c r="ORK33" s="165"/>
      <c r="ORL33" s="165"/>
      <c r="ORM33" s="165"/>
      <c r="ORN33" s="165"/>
      <c r="ORO33" s="165"/>
      <c r="ORP33" s="165"/>
      <c r="ORQ33" s="165"/>
      <c r="ORR33" s="165"/>
      <c r="ORS33" s="165"/>
      <c r="ORT33" s="165"/>
      <c r="ORU33" s="165"/>
      <c r="ORV33" s="165"/>
      <c r="ORW33" s="165"/>
      <c r="ORX33" s="165"/>
      <c r="ORY33" s="165"/>
      <c r="ORZ33" s="165"/>
      <c r="OSA33" s="165"/>
      <c r="OSB33" s="165"/>
      <c r="OSC33" s="165"/>
      <c r="OSD33" s="165"/>
      <c r="OSE33" s="165"/>
      <c r="OSF33" s="165"/>
      <c r="OSG33" s="165"/>
      <c r="OSH33" s="165"/>
      <c r="OSI33" s="165"/>
      <c r="OSJ33" s="165"/>
      <c r="OSK33" s="165"/>
      <c r="OSL33" s="165"/>
      <c r="OSM33" s="165"/>
      <c r="OSN33" s="165"/>
      <c r="OSO33" s="165"/>
      <c r="OSP33" s="165"/>
      <c r="OSQ33" s="165"/>
      <c r="OSR33" s="165"/>
      <c r="OSS33" s="165"/>
      <c r="OST33" s="165"/>
      <c r="OSU33" s="165"/>
      <c r="OSV33" s="165"/>
      <c r="OSW33" s="165"/>
      <c r="OSX33" s="165"/>
      <c r="OSY33" s="165"/>
      <c r="OSZ33" s="165"/>
      <c r="OTA33" s="165"/>
      <c r="OTB33" s="165"/>
      <c r="OTC33" s="165"/>
      <c r="OTD33" s="165"/>
      <c r="OTE33" s="165"/>
      <c r="OTF33" s="165"/>
      <c r="OTG33" s="165"/>
      <c r="OTH33" s="165"/>
      <c r="OTI33" s="165"/>
      <c r="OTJ33" s="165"/>
      <c r="OTK33" s="165"/>
      <c r="OTL33" s="165"/>
      <c r="OTM33" s="165"/>
      <c r="OTN33" s="165"/>
      <c r="OTO33" s="165"/>
      <c r="OTP33" s="165"/>
      <c r="OTQ33" s="165"/>
      <c r="OTR33" s="165"/>
      <c r="OTS33" s="165"/>
      <c r="OTT33" s="165"/>
      <c r="OTU33" s="165"/>
      <c r="OTV33" s="165"/>
      <c r="OTW33" s="165"/>
      <c r="OTX33" s="165"/>
      <c r="OTY33" s="165"/>
      <c r="OTZ33" s="165"/>
      <c r="OUA33" s="165"/>
      <c r="OUB33" s="165"/>
      <c r="OUC33" s="165"/>
      <c r="OUD33" s="165"/>
      <c r="OUE33" s="165"/>
      <c r="OUF33" s="165"/>
      <c r="OUG33" s="165"/>
      <c r="OUH33" s="165"/>
      <c r="OUI33" s="165"/>
      <c r="OUJ33" s="165"/>
      <c r="OUK33" s="165"/>
      <c r="OUL33" s="165"/>
      <c r="OUM33" s="165"/>
      <c r="OUN33" s="165"/>
      <c r="OUO33" s="165"/>
      <c r="OUP33" s="165"/>
      <c r="OUQ33" s="165"/>
      <c r="OUR33" s="165"/>
      <c r="OUS33" s="165"/>
      <c r="OUT33" s="165"/>
      <c r="OUU33" s="165"/>
      <c r="OUV33" s="165"/>
      <c r="OUW33" s="165"/>
      <c r="OUX33" s="165"/>
      <c r="OUY33" s="165"/>
      <c r="OUZ33" s="165"/>
      <c r="OVA33" s="165"/>
      <c r="OVB33" s="165"/>
      <c r="OVC33" s="165"/>
      <c r="OVD33" s="165"/>
      <c r="OVE33" s="165"/>
      <c r="OVF33" s="165"/>
      <c r="OVG33" s="165"/>
      <c r="OVH33" s="165"/>
      <c r="OVI33" s="165"/>
      <c r="OVJ33" s="165"/>
      <c r="OVK33" s="165"/>
      <c r="OVL33" s="165"/>
      <c r="OVM33" s="165"/>
      <c r="OVN33" s="165"/>
      <c r="OVO33" s="165"/>
      <c r="OVP33" s="165"/>
      <c r="OVQ33" s="165"/>
      <c r="OVR33" s="165"/>
      <c r="OVS33" s="165"/>
      <c r="OVT33" s="165"/>
      <c r="OVU33" s="165"/>
      <c r="OVV33" s="165"/>
      <c r="OVW33" s="165"/>
      <c r="OVX33" s="165"/>
      <c r="OVY33" s="165"/>
      <c r="OVZ33" s="165"/>
      <c r="OWA33" s="165"/>
      <c r="OWB33" s="165"/>
      <c r="OWC33" s="165"/>
      <c r="OWD33" s="165"/>
      <c r="OWE33" s="165"/>
      <c r="OWF33" s="165"/>
      <c r="OWG33" s="165"/>
      <c r="OWH33" s="165"/>
      <c r="OWI33" s="165"/>
      <c r="OWJ33" s="165"/>
      <c r="OWK33" s="165"/>
      <c r="OWL33" s="165"/>
      <c r="OWM33" s="165"/>
      <c r="OWN33" s="165"/>
      <c r="OWO33" s="165"/>
      <c r="OWP33" s="165"/>
      <c r="OWQ33" s="165"/>
      <c r="OWR33" s="165"/>
      <c r="OWS33" s="165"/>
      <c r="OWT33" s="165"/>
      <c r="OWU33" s="165"/>
      <c r="OWV33" s="165"/>
      <c r="OWW33" s="165"/>
      <c r="OWX33" s="165"/>
      <c r="OWY33" s="165"/>
      <c r="OWZ33" s="165"/>
      <c r="OXA33" s="165"/>
      <c r="OXB33" s="165"/>
      <c r="OXC33" s="165"/>
      <c r="OXD33" s="165"/>
      <c r="OXE33" s="165"/>
      <c r="OXF33" s="165"/>
      <c r="OXG33" s="165"/>
      <c r="OXH33" s="165"/>
      <c r="OXI33" s="165"/>
      <c r="OXJ33" s="165"/>
      <c r="OXK33" s="165"/>
      <c r="OXL33" s="165"/>
      <c r="OXM33" s="165"/>
      <c r="OXN33" s="165"/>
      <c r="OXO33" s="165"/>
      <c r="OXP33" s="165"/>
      <c r="OXQ33" s="165"/>
      <c r="OXR33" s="165"/>
      <c r="OXS33" s="165"/>
      <c r="OXT33" s="165"/>
      <c r="OXU33" s="165"/>
      <c r="OXV33" s="165"/>
      <c r="OXW33" s="165"/>
      <c r="OXX33" s="165"/>
      <c r="OXY33" s="165"/>
      <c r="OXZ33" s="165"/>
      <c r="OYA33" s="165"/>
      <c r="OYB33" s="165"/>
      <c r="OYC33" s="165"/>
      <c r="OYD33" s="165"/>
      <c r="OYE33" s="165"/>
      <c r="OYF33" s="165"/>
      <c r="OYG33" s="165"/>
      <c r="OYH33" s="165"/>
      <c r="OYI33" s="165"/>
      <c r="OYJ33" s="165"/>
      <c r="OYK33" s="165"/>
      <c r="OYL33" s="165"/>
      <c r="OYM33" s="165"/>
      <c r="OYN33" s="165"/>
      <c r="OYO33" s="165"/>
      <c r="OYP33" s="165"/>
      <c r="OYQ33" s="165"/>
      <c r="OYR33" s="165"/>
      <c r="OYS33" s="165"/>
      <c r="OYT33" s="165"/>
      <c r="OYU33" s="165"/>
      <c r="OYV33" s="165"/>
      <c r="OYW33" s="165"/>
      <c r="OYX33" s="165"/>
      <c r="OYY33" s="165"/>
      <c r="OYZ33" s="165"/>
      <c r="OZA33" s="165"/>
      <c r="OZB33" s="165"/>
      <c r="OZC33" s="165"/>
      <c r="OZD33" s="165"/>
      <c r="OZE33" s="165"/>
      <c r="OZF33" s="165"/>
      <c r="OZG33" s="165"/>
      <c r="OZH33" s="165"/>
      <c r="OZI33" s="165"/>
      <c r="OZJ33" s="165"/>
      <c r="OZK33" s="165"/>
      <c r="OZL33" s="165"/>
      <c r="OZM33" s="165"/>
      <c r="OZN33" s="165"/>
      <c r="OZO33" s="165"/>
      <c r="OZP33" s="165"/>
      <c r="OZQ33" s="165"/>
      <c r="OZR33" s="165"/>
      <c r="OZS33" s="165"/>
      <c r="OZT33" s="165"/>
      <c r="OZU33" s="165"/>
      <c r="OZV33" s="165"/>
      <c r="OZW33" s="165"/>
      <c r="OZX33" s="165"/>
      <c r="OZY33" s="165"/>
      <c r="OZZ33" s="165"/>
      <c r="PAA33" s="165"/>
      <c r="PAB33" s="165"/>
      <c r="PAC33" s="165"/>
      <c r="PAD33" s="165"/>
      <c r="PAE33" s="165"/>
      <c r="PAF33" s="165"/>
      <c r="PAG33" s="165"/>
      <c r="PAH33" s="165"/>
      <c r="PAI33" s="165"/>
      <c r="PAJ33" s="165"/>
      <c r="PAK33" s="165"/>
      <c r="PAL33" s="165"/>
      <c r="PAM33" s="165"/>
      <c r="PAN33" s="165"/>
      <c r="PAO33" s="165"/>
      <c r="PAP33" s="165"/>
      <c r="PAQ33" s="165"/>
      <c r="PAR33" s="165"/>
      <c r="PAS33" s="165"/>
      <c r="PAT33" s="165"/>
      <c r="PAU33" s="165"/>
      <c r="PAV33" s="165"/>
      <c r="PAW33" s="165"/>
      <c r="PAX33" s="165"/>
      <c r="PAY33" s="165"/>
      <c r="PAZ33" s="165"/>
      <c r="PBA33" s="165"/>
      <c r="PBB33" s="165"/>
      <c r="PBC33" s="165"/>
      <c r="PBD33" s="165"/>
      <c r="PBE33" s="165"/>
      <c r="PBF33" s="165"/>
      <c r="PBG33" s="165"/>
      <c r="PBH33" s="165"/>
      <c r="PBI33" s="165"/>
      <c r="PBJ33" s="165"/>
      <c r="PBK33" s="165"/>
      <c r="PBL33" s="165"/>
      <c r="PBM33" s="165"/>
      <c r="PBN33" s="165"/>
      <c r="PBO33" s="165"/>
      <c r="PBP33" s="165"/>
      <c r="PBQ33" s="165"/>
      <c r="PBR33" s="165"/>
      <c r="PBS33" s="165"/>
      <c r="PBT33" s="165"/>
      <c r="PBU33" s="165"/>
      <c r="PBV33" s="165"/>
      <c r="PBW33" s="165"/>
      <c r="PBX33" s="165"/>
      <c r="PBY33" s="165"/>
      <c r="PBZ33" s="165"/>
      <c r="PCA33" s="165"/>
      <c r="PCB33" s="165"/>
      <c r="PCC33" s="165"/>
      <c r="PCD33" s="165"/>
      <c r="PCE33" s="165"/>
      <c r="PCF33" s="165"/>
      <c r="PCG33" s="165"/>
      <c r="PCH33" s="165"/>
      <c r="PCI33" s="165"/>
      <c r="PCJ33" s="165"/>
      <c r="PCK33" s="165"/>
      <c r="PCL33" s="165"/>
      <c r="PCM33" s="165"/>
      <c r="PCN33" s="165"/>
      <c r="PCO33" s="165"/>
      <c r="PCP33" s="165"/>
      <c r="PCQ33" s="165"/>
      <c r="PCR33" s="165"/>
      <c r="PCS33" s="165"/>
      <c r="PCT33" s="165"/>
      <c r="PCU33" s="165"/>
      <c r="PCV33" s="165"/>
      <c r="PCW33" s="165"/>
      <c r="PCX33" s="165"/>
      <c r="PCY33" s="165"/>
      <c r="PCZ33" s="165"/>
      <c r="PDA33" s="165"/>
      <c r="PDB33" s="165"/>
      <c r="PDC33" s="165"/>
      <c r="PDD33" s="165"/>
      <c r="PDE33" s="165"/>
      <c r="PDF33" s="165"/>
      <c r="PDG33" s="165"/>
      <c r="PDH33" s="165"/>
      <c r="PDI33" s="165"/>
      <c r="PDJ33" s="165"/>
      <c r="PDK33" s="165"/>
      <c r="PDL33" s="165"/>
      <c r="PDM33" s="165"/>
      <c r="PDN33" s="165"/>
      <c r="PDO33" s="165"/>
      <c r="PDP33" s="165"/>
      <c r="PDQ33" s="165"/>
      <c r="PDR33" s="165"/>
      <c r="PDS33" s="165"/>
      <c r="PDT33" s="165"/>
      <c r="PDU33" s="165"/>
      <c r="PDV33" s="165"/>
      <c r="PDW33" s="165"/>
      <c r="PDX33" s="165"/>
      <c r="PDY33" s="165"/>
      <c r="PDZ33" s="165"/>
      <c r="PEA33" s="165"/>
      <c r="PEB33" s="165"/>
      <c r="PEC33" s="165"/>
      <c r="PED33" s="165"/>
      <c r="PEE33" s="165"/>
      <c r="PEF33" s="165"/>
      <c r="PEG33" s="165"/>
      <c r="PEH33" s="165"/>
      <c r="PEI33" s="165"/>
      <c r="PEJ33" s="165"/>
      <c r="PEK33" s="165"/>
      <c r="PEL33" s="165"/>
      <c r="PEM33" s="165"/>
      <c r="PEN33" s="165"/>
      <c r="PEO33" s="165"/>
      <c r="PEP33" s="165"/>
      <c r="PEQ33" s="165"/>
      <c r="PER33" s="165"/>
      <c r="PES33" s="165"/>
      <c r="PET33" s="165"/>
      <c r="PEU33" s="165"/>
      <c r="PEV33" s="165"/>
      <c r="PEW33" s="165"/>
      <c r="PEX33" s="165"/>
      <c r="PEY33" s="165"/>
      <c r="PEZ33" s="165"/>
      <c r="PFA33" s="165"/>
      <c r="PFB33" s="165"/>
      <c r="PFC33" s="165"/>
      <c r="PFD33" s="165"/>
      <c r="PFE33" s="165"/>
      <c r="PFF33" s="165"/>
      <c r="PFG33" s="165"/>
      <c r="PFH33" s="165"/>
      <c r="PFI33" s="165"/>
      <c r="PFJ33" s="165"/>
      <c r="PFK33" s="165"/>
      <c r="PFL33" s="165"/>
      <c r="PFM33" s="165"/>
      <c r="PFN33" s="165"/>
      <c r="PFO33" s="165"/>
      <c r="PFP33" s="165"/>
      <c r="PFQ33" s="165"/>
      <c r="PFR33" s="165"/>
      <c r="PFS33" s="165"/>
      <c r="PFT33" s="165"/>
      <c r="PFU33" s="165"/>
      <c r="PFV33" s="165"/>
      <c r="PFW33" s="165"/>
      <c r="PFX33" s="165"/>
      <c r="PFY33" s="165"/>
      <c r="PFZ33" s="165"/>
      <c r="PGA33" s="165"/>
      <c r="PGB33" s="165"/>
      <c r="PGC33" s="165"/>
      <c r="PGD33" s="165"/>
      <c r="PGE33" s="165"/>
      <c r="PGF33" s="165"/>
      <c r="PGG33" s="165"/>
      <c r="PGH33" s="165"/>
      <c r="PGI33" s="165"/>
      <c r="PGJ33" s="165"/>
      <c r="PGK33" s="165"/>
      <c r="PGL33" s="165"/>
      <c r="PGM33" s="165"/>
      <c r="PGN33" s="165"/>
      <c r="PGO33" s="165"/>
      <c r="PGP33" s="165"/>
      <c r="PGQ33" s="165"/>
      <c r="PGR33" s="165"/>
      <c r="PGS33" s="165"/>
      <c r="PGT33" s="165"/>
      <c r="PGU33" s="165"/>
      <c r="PGV33" s="165"/>
      <c r="PGW33" s="165"/>
      <c r="PGX33" s="165"/>
      <c r="PGY33" s="165"/>
      <c r="PGZ33" s="165"/>
      <c r="PHA33" s="165"/>
      <c r="PHB33" s="165"/>
      <c r="PHC33" s="165"/>
      <c r="PHD33" s="165"/>
      <c r="PHE33" s="165"/>
      <c r="PHF33" s="165"/>
      <c r="PHG33" s="165"/>
      <c r="PHH33" s="165"/>
      <c r="PHI33" s="165"/>
      <c r="PHJ33" s="165"/>
      <c r="PHK33" s="165"/>
      <c r="PHL33" s="165"/>
      <c r="PHM33" s="165"/>
      <c r="PHN33" s="165"/>
      <c r="PHO33" s="165"/>
      <c r="PHP33" s="165"/>
      <c r="PHQ33" s="165"/>
      <c r="PHR33" s="165"/>
      <c r="PHS33" s="165"/>
      <c r="PHT33" s="165"/>
      <c r="PHU33" s="165"/>
      <c r="PHV33" s="165"/>
      <c r="PHW33" s="165"/>
      <c r="PHX33" s="165"/>
      <c r="PHY33" s="165"/>
      <c r="PHZ33" s="165"/>
      <c r="PIA33" s="165"/>
      <c r="PIB33" s="165"/>
      <c r="PIC33" s="165"/>
      <c r="PID33" s="165"/>
      <c r="PIE33" s="165"/>
      <c r="PIF33" s="165"/>
      <c r="PIG33" s="165"/>
      <c r="PIH33" s="165"/>
      <c r="PII33" s="165"/>
      <c r="PIJ33" s="165"/>
      <c r="PIK33" s="165"/>
      <c r="PIL33" s="165"/>
      <c r="PIM33" s="165"/>
      <c r="PIN33" s="165"/>
      <c r="PIO33" s="165"/>
      <c r="PIP33" s="165"/>
      <c r="PIQ33" s="165"/>
      <c r="PIR33" s="165"/>
      <c r="PIS33" s="165"/>
      <c r="PIT33" s="165"/>
      <c r="PIU33" s="165"/>
      <c r="PIV33" s="165"/>
      <c r="PIW33" s="165"/>
      <c r="PIX33" s="165"/>
      <c r="PIY33" s="165"/>
      <c r="PIZ33" s="165"/>
      <c r="PJA33" s="165"/>
      <c r="PJB33" s="165"/>
      <c r="PJC33" s="165"/>
      <c r="PJD33" s="165"/>
      <c r="PJE33" s="165"/>
      <c r="PJF33" s="165"/>
      <c r="PJG33" s="165"/>
      <c r="PJH33" s="165"/>
      <c r="PJI33" s="165"/>
      <c r="PJJ33" s="165"/>
      <c r="PJK33" s="165"/>
      <c r="PJL33" s="165"/>
      <c r="PJM33" s="165"/>
      <c r="PJN33" s="165"/>
      <c r="PJO33" s="165"/>
      <c r="PJP33" s="165"/>
      <c r="PJQ33" s="165"/>
      <c r="PJR33" s="165"/>
      <c r="PJS33" s="165"/>
      <c r="PJT33" s="165"/>
      <c r="PJU33" s="165"/>
      <c r="PJV33" s="165"/>
      <c r="PJW33" s="165"/>
      <c r="PJX33" s="165"/>
      <c r="PJY33" s="165"/>
      <c r="PJZ33" s="165"/>
      <c r="PKA33" s="165"/>
      <c r="PKB33" s="165"/>
      <c r="PKC33" s="165"/>
      <c r="PKD33" s="165"/>
      <c r="PKE33" s="165"/>
      <c r="PKF33" s="165"/>
      <c r="PKG33" s="165"/>
      <c r="PKH33" s="165"/>
      <c r="PKI33" s="165"/>
      <c r="PKJ33" s="165"/>
      <c r="PKK33" s="165"/>
      <c r="PKL33" s="165"/>
      <c r="PKM33" s="165"/>
      <c r="PKN33" s="165"/>
      <c r="PKO33" s="165"/>
      <c r="PKP33" s="165"/>
      <c r="PKQ33" s="165"/>
      <c r="PKR33" s="165"/>
      <c r="PKS33" s="165"/>
      <c r="PKT33" s="165"/>
      <c r="PKU33" s="165"/>
      <c r="PKV33" s="165"/>
      <c r="PKW33" s="165"/>
      <c r="PKX33" s="165"/>
      <c r="PKY33" s="165"/>
      <c r="PKZ33" s="165"/>
      <c r="PLA33" s="165"/>
      <c r="PLB33" s="165"/>
      <c r="PLC33" s="165"/>
      <c r="PLD33" s="165"/>
      <c r="PLE33" s="165"/>
      <c r="PLF33" s="165"/>
      <c r="PLG33" s="165"/>
      <c r="PLH33" s="165"/>
      <c r="PLI33" s="165"/>
      <c r="PLJ33" s="165"/>
      <c r="PLK33" s="165"/>
      <c r="PLL33" s="165"/>
      <c r="PLM33" s="165"/>
      <c r="PLN33" s="165"/>
      <c r="PLO33" s="165"/>
      <c r="PLP33" s="165"/>
      <c r="PLQ33" s="165"/>
      <c r="PLR33" s="165"/>
      <c r="PLS33" s="165"/>
      <c r="PLT33" s="165"/>
      <c r="PLU33" s="165"/>
      <c r="PLV33" s="165"/>
      <c r="PLW33" s="165"/>
      <c r="PLX33" s="165"/>
      <c r="PLY33" s="165"/>
      <c r="PLZ33" s="165"/>
      <c r="PMA33" s="165"/>
      <c r="PMB33" s="165"/>
      <c r="PMC33" s="165"/>
      <c r="PMD33" s="165"/>
      <c r="PME33" s="165"/>
      <c r="PMF33" s="165"/>
      <c r="PMG33" s="165"/>
      <c r="PMH33" s="165"/>
      <c r="PMI33" s="165"/>
      <c r="PMJ33" s="165"/>
      <c r="PMK33" s="165"/>
      <c r="PML33" s="165"/>
      <c r="PMM33" s="165"/>
      <c r="PMN33" s="165"/>
      <c r="PMO33" s="165"/>
      <c r="PMP33" s="165"/>
      <c r="PMQ33" s="165"/>
      <c r="PMR33" s="165"/>
      <c r="PMS33" s="165"/>
      <c r="PMT33" s="165"/>
      <c r="PMU33" s="165"/>
      <c r="PMV33" s="165"/>
      <c r="PMW33" s="165"/>
      <c r="PMX33" s="165"/>
      <c r="PMY33" s="165"/>
      <c r="PMZ33" s="165"/>
      <c r="PNA33" s="165"/>
      <c r="PNB33" s="165"/>
      <c r="PNC33" s="165"/>
      <c r="PND33" s="165"/>
      <c r="PNE33" s="165"/>
      <c r="PNF33" s="165"/>
      <c r="PNG33" s="165"/>
      <c r="PNH33" s="165"/>
      <c r="PNI33" s="165"/>
      <c r="PNJ33" s="165"/>
      <c r="PNK33" s="165"/>
      <c r="PNL33" s="165"/>
      <c r="PNM33" s="165"/>
      <c r="PNN33" s="165"/>
      <c r="PNO33" s="165"/>
      <c r="PNP33" s="165"/>
      <c r="PNQ33" s="165"/>
      <c r="PNR33" s="165"/>
      <c r="PNS33" s="165"/>
      <c r="PNT33" s="165"/>
      <c r="PNU33" s="165"/>
      <c r="PNV33" s="165"/>
      <c r="PNW33" s="165"/>
      <c r="PNX33" s="165"/>
      <c r="PNY33" s="165"/>
      <c r="PNZ33" s="165"/>
      <c r="POA33" s="165"/>
      <c r="POB33" s="165"/>
      <c r="POC33" s="165"/>
      <c r="POD33" s="165"/>
      <c r="POE33" s="165"/>
      <c r="POF33" s="165"/>
      <c r="POG33" s="165"/>
      <c r="POH33" s="165"/>
      <c r="POI33" s="165"/>
      <c r="POJ33" s="165"/>
      <c r="POK33" s="165"/>
      <c r="POL33" s="165"/>
      <c r="POM33" s="165"/>
      <c r="PON33" s="165"/>
      <c r="POO33" s="165"/>
      <c r="POP33" s="165"/>
      <c r="POQ33" s="165"/>
      <c r="POR33" s="165"/>
      <c r="POS33" s="165"/>
      <c r="POT33" s="165"/>
      <c r="POU33" s="165"/>
      <c r="POV33" s="165"/>
      <c r="POW33" s="165"/>
      <c r="POX33" s="165"/>
      <c r="POY33" s="165"/>
      <c r="POZ33" s="165"/>
      <c r="PPA33" s="165"/>
      <c r="PPB33" s="165"/>
      <c r="PPC33" s="165"/>
      <c r="PPD33" s="165"/>
      <c r="PPE33" s="165"/>
      <c r="PPF33" s="165"/>
      <c r="PPG33" s="165"/>
      <c r="PPH33" s="165"/>
      <c r="PPI33" s="165"/>
      <c r="PPJ33" s="165"/>
      <c r="PPK33" s="165"/>
      <c r="PPL33" s="165"/>
      <c r="PPM33" s="165"/>
      <c r="PPN33" s="165"/>
      <c r="PPO33" s="165"/>
      <c r="PPP33" s="165"/>
      <c r="PPQ33" s="165"/>
      <c r="PPR33" s="165"/>
      <c r="PPS33" s="165"/>
      <c r="PPT33" s="165"/>
      <c r="PPU33" s="165"/>
      <c r="PPV33" s="165"/>
      <c r="PPW33" s="165"/>
      <c r="PPX33" s="165"/>
      <c r="PPY33" s="165"/>
      <c r="PPZ33" s="165"/>
      <c r="PQA33" s="165"/>
      <c r="PQB33" s="165"/>
      <c r="PQC33" s="165"/>
      <c r="PQD33" s="165"/>
      <c r="PQE33" s="165"/>
      <c r="PQF33" s="165"/>
      <c r="PQG33" s="165"/>
      <c r="PQH33" s="165"/>
      <c r="PQI33" s="165"/>
      <c r="PQJ33" s="165"/>
      <c r="PQK33" s="165"/>
      <c r="PQL33" s="165"/>
      <c r="PQM33" s="165"/>
      <c r="PQN33" s="165"/>
      <c r="PQO33" s="165"/>
      <c r="PQP33" s="165"/>
      <c r="PQQ33" s="165"/>
      <c r="PQR33" s="165"/>
      <c r="PQS33" s="165"/>
      <c r="PQT33" s="165"/>
      <c r="PQU33" s="165"/>
      <c r="PQV33" s="165"/>
      <c r="PQW33" s="165"/>
      <c r="PQX33" s="165"/>
      <c r="PQY33" s="165"/>
      <c r="PQZ33" s="165"/>
      <c r="PRA33" s="165"/>
      <c r="PRB33" s="165"/>
      <c r="PRC33" s="165"/>
      <c r="PRD33" s="165"/>
      <c r="PRE33" s="165"/>
      <c r="PRF33" s="165"/>
      <c r="PRG33" s="165"/>
      <c r="PRH33" s="165"/>
      <c r="PRI33" s="165"/>
      <c r="PRJ33" s="165"/>
      <c r="PRK33" s="165"/>
      <c r="PRL33" s="165"/>
      <c r="PRM33" s="165"/>
      <c r="PRN33" s="165"/>
      <c r="PRO33" s="165"/>
      <c r="PRP33" s="165"/>
      <c r="PRQ33" s="165"/>
      <c r="PRR33" s="165"/>
      <c r="PRS33" s="165"/>
      <c r="PRT33" s="165"/>
      <c r="PRU33" s="165"/>
      <c r="PRV33" s="165"/>
      <c r="PRW33" s="165"/>
      <c r="PRX33" s="165"/>
      <c r="PRY33" s="165"/>
      <c r="PRZ33" s="165"/>
      <c r="PSA33" s="165"/>
      <c r="PSB33" s="165"/>
      <c r="PSC33" s="165"/>
      <c r="PSD33" s="165"/>
      <c r="PSE33" s="165"/>
      <c r="PSF33" s="165"/>
      <c r="PSG33" s="165"/>
      <c r="PSH33" s="165"/>
      <c r="PSI33" s="165"/>
      <c r="PSJ33" s="165"/>
      <c r="PSK33" s="165"/>
      <c r="PSL33" s="165"/>
      <c r="PSM33" s="165"/>
      <c r="PSN33" s="165"/>
      <c r="PSO33" s="165"/>
      <c r="PSP33" s="165"/>
      <c r="PSQ33" s="165"/>
      <c r="PSR33" s="165"/>
      <c r="PSS33" s="165"/>
      <c r="PST33" s="165"/>
      <c r="PSU33" s="165"/>
      <c r="PSV33" s="165"/>
      <c r="PSW33" s="165"/>
      <c r="PSX33" s="165"/>
      <c r="PSY33" s="165"/>
      <c r="PSZ33" s="165"/>
      <c r="PTA33" s="165"/>
      <c r="PTB33" s="165"/>
      <c r="PTC33" s="165"/>
      <c r="PTD33" s="165"/>
      <c r="PTE33" s="165"/>
      <c r="PTF33" s="165"/>
      <c r="PTG33" s="165"/>
      <c r="PTH33" s="165"/>
      <c r="PTI33" s="165"/>
      <c r="PTJ33" s="165"/>
      <c r="PTK33" s="165"/>
      <c r="PTL33" s="165"/>
      <c r="PTM33" s="165"/>
      <c r="PTN33" s="165"/>
      <c r="PTO33" s="165"/>
      <c r="PTP33" s="165"/>
      <c r="PTQ33" s="165"/>
      <c r="PTR33" s="165"/>
      <c r="PTS33" s="165"/>
      <c r="PTT33" s="165"/>
      <c r="PTU33" s="165"/>
      <c r="PTV33" s="165"/>
      <c r="PTW33" s="165"/>
      <c r="PTX33" s="165"/>
      <c r="PTY33" s="165"/>
      <c r="PTZ33" s="165"/>
      <c r="PUA33" s="165"/>
      <c r="PUB33" s="165"/>
      <c r="PUC33" s="165"/>
      <c r="PUD33" s="165"/>
      <c r="PUE33" s="165"/>
      <c r="PUF33" s="165"/>
      <c r="PUG33" s="165"/>
      <c r="PUH33" s="165"/>
      <c r="PUI33" s="165"/>
      <c r="PUJ33" s="165"/>
      <c r="PUK33" s="165"/>
      <c r="PUL33" s="165"/>
      <c r="PUM33" s="165"/>
      <c r="PUN33" s="165"/>
      <c r="PUO33" s="165"/>
      <c r="PUP33" s="165"/>
      <c r="PUQ33" s="165"/>
      <c r="PUR33" s="165"/>
      <c r="PUS33" s="165"/>
      <c r="PUT33" s="165"/>
      <c r="PUU33" s="165"/>
      <c r="PUV33" s="165"/>
      <c r="PUW33" s="165"/>
      <c r="PUX33" s="165"/>
      <c r="PUY33" s="165"/>
      <c r="PUZ33" s="165"/>
      <c r="PVA33" s="165"/>
      <c r="PVB33" s="165"/>
      <c r="PVC33" s="165"/>
      <c r="PVD33" s="165"/>
      <c r="PVE33" s="165"/>
      <c r="PVF33" s="165"/>
      <c r="PVG33" s="165"/>
      <c r="PVH33" s="165"/>
      <c r="PVI33" s="165"/>
      <c r="PVJ33" s="165"/>
      <c r="PVK33" s="165"/>
      <c r="PVL33" s="165"/>
      <c r="PVM33" s="165"/>
      <c r="PVN33" s="165"/>
      <c r="PVO33" s="165"/>
      <c r="PVP33" s="165"/>
      <c r="PVQ33" s="165"/>
      <c r="PVR33" s="165"/>
      <c r="PVS33" s="165"/>
      <c r="PVT33" s="165"/>
      <c r="PVU33" s="165"/>
      <c r="PVV33" s="165"/>
      <c r="PVW33" s="165"/>
      <c r="PVX33" s="165"/>
      <c r="PVY33" s="165"/>
      <c r="PVZ33" s="165"/>
      <c r="PWA33" s="165"/>
      <c r="PWB33" s="165"/>
      <c r="PWC33" s="165"/>
      <c r="PWD33" s="165"/>
      <c r="PWE33" s="165"/>
      <c r="PWF33" s="165"/>
      <c r="PWG33" s="165"/>
      <c r="PWH33" s="165"/>
      <c r="PWI33" s="165"/>
      <c r="PWJ33" s="165"/>
      <c r="PWK33" s="165"/>
      <c r="PWL33" s="165"/>
      <c r="PWM33" s="165"/>
      <c r="PWN33" s="165"/>
      <c r="PWO33" s="165"/>
      <c r="PWP33" s="165"/>
      <c r="PWQ33" s="165"/>
      <c r="PWR33" s="165"/>
      <c r="PWS33" s="165"/>
      <c r="PWT33" s="165"/>
      <c r="PWU33" s="165"/>
      <c r="PWV33" s="165"/>
      <c r="PWW33" s="165"/>
      <c r="PWX33" s="165"/>
      <c r="PWY33" s="165"/>
      <c r="PWZ33" s="165"/>
      <c r="PXA33" s="165"/>
      <c r="PXB33" s="165"/>
      <c r="PXC33" s="165"/>
      <c r="PXD33" s="165"/>
      <c r="PXE33" s="165"/>
      <c r="PXF33" s="165"/>
      <c r="PXG33" s="165"/>
      <c r="PXH33" s="165"/>
      <c r="PXI33" s="165"/>
      <c r="PXJ33" s="165"/>
      <c r="PXK33" s="165"/>
      <c r="PXL33" s="165"/>
      <c r="PXM33" s="165"/>
      <c r="PXN33" s="165"/>
      <c r="PXO33" s="165"/>
      <c r="PXP33" s="165"/>
      <c r="PXQ33" s="165"/>
      <c r="PXR33" s="165"/>
      <c r="PXS33" s="165"/>
      <c r="PXT33" s="165"/>
      <c r="PXU33" s="165"/>
      <c r="PXV33" s="165"/>
      <c r="PXW33" s="165"/>
      <c r="PXX33" s="165"/>
      <c r="PXY33" s="165"/>
      <c r="PXZ33" s="165"/>
      <c r="PYA33" s="165"/>
      <c r="PYB33" s="165"/>
      <c r="PYC33" s="165"/>
      <c r="PYD33" s="165"/>
      <c r="PYE33" s="165"/>
      <c r="PYF33" s="165"/>
      <c r="PYG33" s="165"/>
      <c r="PYH33" s="165"/>
      <c r="PYI33" s="165"/>
      <c r="PYJ33" s="165"/>
      <c r="PYK33" s="165"/>
      <c r="PYL33" s="165"/>
      <c r="PYM33" s="165"/>
      <c r="PYN33" s="165"/>
      <c r="PYO33" s="165"/>
      <c r="PYP33" s="165"/>
      <c r="PYQ33" s="165"/>
      <c r="PYR33" s="165"/>
      <c r="PYS33" s="165"/>
      <c r="PYT33" s="165"/>
      <c r="PYU33" s="165"/>
      <c r="PYV33" s="165"/>
      <c r="PYW33" s="165"/>
      <c r="PYX33" s="165"/>
      <c r="PYY33" s="165"/>
      <c r="PYZ33" s="165"/>
      <c r="PZA33" s="165"/>
      <c r="PZB33" s="165"/>
      <c r="PZC33" s="165"/>
      <c r="PZD33" s="165"/>
      <c r="PZE33" s="165"/>
      <c r="PZF33" s="165"/>
      <c r="PZG33" s="165"/>
      <c r="PZH33" s="165"/>
      <c r="PZI33" s="165"/>
      <c r="PZJ33" s="165"/>
      <c r="PZK33" s="165"/>
      <c r="PZL33" s="165"/>
      <c r="PZM33" s="165"/>
      <c r="PZN33" s="165"/>
      <c r="PZO33" s="165"/>
      <c r="PZP33" s="165"/>
      <c r="PZQ33" s="165"/>
      <c r="PZR33" s="165"/>
      <c r="PZS33" s="165"/>
      <c r="PZT33" s="165"/>
      <c r="PZU33" s="165"/>
      <c r="PZV33" s="165"/>
      <c r="PZW33" s="165"/>
      <c r="PZX33" s="165"/>
      <c r="PZY33" s="165"/>
      <c r="PZZ33" s="165"/>
      <c r="QAA33" s="165"/>
      <c r="QAB33" s="165"/>
      <c r="QAC33" s="165"/>
      <c r="QAD33" s="165"/>
      <c r="QAE33" s="165"/>
      <c r="QAF33" s="165"/>
      <c r="QAG33" s="165"/>
      <c r="QAH33" s="165"/>
      <c r="QAI33" s="165"/>
      <c r="QAJ33" s="165"/>
      <c r="QAK33" s="165"/>
      <c r="QAL33" s="165"/>
      <c r="QAM33" s="165"/>
      <c r="QAN33" s="165"/>
      <c r="QAO33" s="165"/>
      <c r="QAP33" s="165"/>
      <c r="QAQ33" s="165"/>
      <c r="QAR33" s="165"/>
      <c r="QAS33" s="165"/>
      <c r="QAT33" s="165"/>
      <c r="QAU33" s="165"/>
      <c r="QAV33" s="165"/>
      <c r="QAW33" s="165"/>
      <c r="QAX33" s="165"/>
      <c r="QAY33" s="165"/>
      <c r="QAZ33" s="165"/>
      <c r="QBA33" s="165"/>
      <c r="QBB33" s="165"/>
      <c r="QBC33" s="165"/>
      <c r="QBD33" s="165"/>
      <c r="QBE33" s="165"/>
      <c r="QBF33" s="165"/>
      <c r="QBG33" s="165"/>
      <c r="QBH33" s="165"/>
      <c r="QBI33" s="165"/>
      <c r="QBJ33" s="165"/>
      <c r="QBK33" s="165"/>
      <c r="QBL33" s="165"/>
      <c r="QBM33" s="165"/>
      <c r="QBN33" s="165"/>
      <c r="QBO33" s="165"/>
      <c r="QBP33" s="165"/>
      <c r="QBQ33" s="165"/>
      <c r="QBR33" s="165"/>
      <c r="QBS33" s="165"/>
      <c r="QBT33" s="165"/>
      <c r="QBU33" s="165"/>
      <c r="QBV33" s="165"/>
      <c r="QBW33" s="165"/>
      <c r="QBX33" s="165"/>
      <c r="QBY33" s="165"/>
      <c r="QBZ33" s="165"/>
      <c r="QCA33" s="165"/>
      <c r="QCB33" s="165"/>
      <c r="QCC33" s="165"/>
      <c r="QCD33" s="165"/>
      <c r="QCE33" s="165"/>
      <c r="QCF33" s="165"/>
      <c r="QCG33" s="165"/>
      <c r="QCH33" s="165"/>
      <c r="QCI33" s="165"/>
      <c r="QCJ33" s="165"/>
      <c r="QCK33" s="165"/>
      <c r="QCL33" s="165"/>
      <c r="QCM33" s="165"/>
      <c r="QCN33" s="165"/>
      <c r="QCO33" s="165"/>
      <c r="QCP33" s="165"/>
      <c r="QCQ33" s="165"/>
      <c r="QCR33" s="165"/>
      <c r="QCS33" s="165"/>
      <c r="QCT33" s="165"/>
      <c r="QCU33" s="165"/>
      <c r="QCV33" s="165"/>
      <c r="QCW33" s="165"/>
      <c r="QCX33" s="165"/>
      <c r="QCY33" s="165"/>
      <c r="QCZ33" s="165"/>
      <c r="QDA33" s="165"/>
      <c r="QDB33" s="165"/>
      <c r="QDC33" s="165"/>
      <c r="QDD33" s="165"/>
      <c r="QDE33" s="165"/>
      <c r="QDF33" s="165"/>
      <c r="QDG33" s="165"/>
      <c r="QDH33" s="165"/>
      <c r="QDI33" s="165"/>
      <c r="QDJ33" s="165"/>
      <c r="QDK33" s="165"/>
      <c r="QDL33" s="165"/>
      <c r="QDM33" s="165"/>
      <c r="QDN33" s="165"/>
      <c r="QDO33" s="165"/>
      <c r="QDP33" s="165"/>
      <c r="QDQ33" s="165"/>
      <c r="QDR33" s="165"/>
      <c r="QDS33" s="165"/>
      <c r="QDT33" s="165"/>
      <c r="QDU33" s="165"/>
      <c r="QDV33" s="165"/>
      <c r="QDW33" s="165"/>
      <c r="QDX33" s="165"/>
      <c r="QDY33" s="165"/>
      <c r="QDZ33" s="165"/>
      <c r="QEA33" s="165"/>
      <c r="QEB33" s="165"/>
      <c r="QEC33" s="165"/>
      <c r="QED33" s="165"/>
      <c r="QEE33" s="165"/>
      <c r="QEF33" s="165"/>
      <c r="QEG33" s="165"/>
      <c r="QEH33" s="165"/>
      <c r="QEI33" s="165"/>
      <c r="QEJ33" s="165"/>
      <c r="QEK33" s="165"/>
      <c r="QEL33" s="165"/>
      <c r="QEM33" s="165"/>
      <c r="QEN33" s="165"/>
      <c r="QEO33" s="165"/>
      <c r="QEP33" s="165"/>
      <c r="QEQ33" s="165"/>
      <c r="QER33" s="165"/>
      <c r="QES33" s="165"/>
      <c r="QET33" s="165"/>
      <c r="QEU33" s="165"/>
      <c r="QEV33" s="165"/>
      <c r="QEW33" s="165"/>
      <c r="QEX33" s="165"/>
      <c r="QEY33" s="165"/>
      <c r="QEZ33" s="165"/>
      <c r="QFA33" s="165"/>
      <c r="QFB33" s="165"/>
      <c r="QFC33" s="165"/>
      <c r="QFD33" s="165"/>
      <c r="QFE33" s="165"/>
      <c r="QFF33" s="165"/>
      <c r="QFG33" s="165"/>
      <c r="QFH33" s="165"/>
      <c r="QFI33" s="165"/>
      <c r="QFJ33" s="165"/>
      <c r="QFK33" s="165"/>
      <c r="QFL33" s="165"/>
      <c r="QFM33" s="165"/>
      <c r="QFN33" s="165"/>
      <c r="QFO33" s="165"/>
      <c r="QFP33" s="165"/>
      <c r="QFQ33" s="165"/>
      <c r="QFR33" s="165"/>
      <c r="QFS33" s="165"/>
      <c r="QFT33" s="165"/>
      <c r="QFU33" s="165"/>
      <c r="QFV33" s="165"/>
      <c r="QFW33" s="165"/>
      <c r="QFX33" s="165"/>
      <c r="QFY33" s="165"/>
      <c r="QFZ33" s="165"/>
      <c r="QGA33" s="165"/>
      <c r="QGB33" s="165"/>
      <c r="QGC33" s="165"/>
      <c r="QGD33" s="165"/>
      <c r="QGE33" s="165"/>
      <c r="QGF33" s="165"/>
      <c r="QGG33" s="165"/>
      <c r="QGH33" s="165"/>
      <c r="QGI33" s="165"/>
      <c r="QGJ33" s="165"/>
      <c r="QGK33" s="165"/>
      <c r="QGL33" s="165"/>
      <c r="QGM33" s="165"/>
      <c r="QGN33" s="165"/>
      <c r="QGO33" s="165"/>
      <c r="QGP33" s="165"/>
      <c r="QGQ33" s="165"/>
      <c r="QGR33" s="165"/>
      <c r="QGS33" s="165"/>
      <c r="QGT33" s="165"/>
      <c r="QGU33" s="165"/>
      <c r="QGV33" s="165"/>
      <c r="QGW33" s="165"/>
      <c r="QGX33" s="165"/>
      <c r="QGY33" s="165"/>
      <c r="QGZ33" s="165"/>
      <c r="QHA33" s="165"/>
      <c r="QHB33" s="165"/>
      <c r="QHC33" s="165"/>
      <c r="QHD33" s="165"/>
      <c r="QHE33" s="165"/>
      <c r="QHF33" s="165"/>
      <c r="QHG33" s="165"/>
      <c r="QHH33" s="165"/>
      <c r="QHI33" s="165"/>
      <c r="QHJ33" s="165"/>
      <c r="QHK33" s="165"/>
      <c r="QHL33" s="165"/>
      <c r="QHM33" s="165"/>
      <c r="QHN33" s="165"/>
      <c r="QHO33" s="165"/>
      <c r="QHP33" s="165"/>
      <c r="QHQ33" s="165"/>
      <c r="QHR33" s="165"/>
      <c r="QHS33" s="165"/>
      <c r="QHT33" s="165"/>
      <c r="QHU33" s="165"/>
      <c r="QHV33" s="165"/>
      <c r="QHW33" s="165"/>
      <c r="QHX33" s="165"/>
      <c r="QHY33" s="165"/>
      <c r="QHZ33" s="165"/>
      <c r="QIA33" s="165"/>
      <c r="QIB33" s="165"/>
      <c r="QIC33" s="165"/>
      <c r="QID33" s="165"/>
      <c r="QIE33" s="165"/>
      <c r="QIF33" s="165"/>
      <c r="QIG33" s="165"/>
      <c r="QIH33" s="165"/>
      <c r="QII33" s="165"/>
      <c r="QIJ33" s="165"/>
      <c r="QIK33" s="165"/>
      <c r="QIL33" s="165"/>
      <c r="QIM33" s="165"/>
      <c r="QIN33" s="165"/>
      <c r="QIO33" s="165"/>
      <c r="QIP33" s="165"/>
      <c r="QIQ33" s="165"/>
      <c r="QIR33" s="165"/>
      <c r="QIS33" s="165"/>
      <c r="QIT33" s="165"/>
      <c r="QIU33" s="165"/>
      <c r="QIV33" s="165"/>
      <c r="QIW33" s="165"/>
      <c r="QIX33" s="165"/>
      <c r="QIY33" s="165"/>
      <c r="QIZ33" s="165"/>
      <c r="QJA33" s="165"/>
      <c r="QJB33" s="165"/>
      <c r="QJC33" s="165"/>
      <c r="QJD33" s="165"/>
      <c r="QJE33" s="165"/>
      <c r="QJF33" s="165"/>
      <c r="QJG33" s="165"/>
      <c r="QJH33" s="165"/>
      <c r="QJI33" s="165"/>
      <c r="QJJ33" s="165"/>
      <c r="QJK33" s="165"/>
      <c r="QJL33" s="165"/>
      <c r="QJM33" s="165"/>
      <c r="QJN33" s="165"/>
      <c r="QJO33" s="165"/>
      <c r="QJP33" s="165"/>
      <c r="QJQ33" s="165"/>
      <c r="QJR33" s="165"/>
      <c r="QJS33" s="165"/>
      <c r="QJT33" s="165"/>
      <c r="QJU33" s="165"/>
      <c r="QJV33" s="165"/>
      <c r="QJW33" s="165"/>
      <c r="QJX33" s="165"/>
      <c r="QJY33" s="165"/>
      <c r="QJZ33" s="165"/>
      <c r="QKA33" s="165"/>
      <c r="QKB33" s="165"/>
      <c r="QKC33" s="165"/>
      <c r="QKD33" s="165"/>
      <c r="QKE33" s="165"/>
      <c r="QKF33" s="165"/>
      <c r="QKG33" s="165"/>
      <c r="QKH33" s="165"/>
      <c r="QKI33" s="165"/>
      <c r="QKJ33" s="165"/>
      <c r="QKK33" s="165"/>
      <c r="QKL33" s="165"/>
      <c r="QKM33" s="165"/>
      <c r="QKN33" s="165"/>
      <c r="QKO33" s="165"/>
      <c r="QKP33" s="165"/>
      <c r="QKQ33" s="165"/>
      <c r="QKR33" s="165"/>
      <c r="QKS33" s="165"/>
      <c r="QKT33" s="165"/>
      <c r="QKU33" s="165"/>
      <c r="QKV33" s="165"/>
      <c r="QKW33" s="165"/>
      <c r="QKX33" s="165"/>
      <c r="QKY33" s="165"/>
      <c r="QKZ33" s="165"/>
      <c r="QLA33" s="165"/>
      <c r="QLB33" s="165"/>
      <c r="QLC33" s="165"/>
      <c r="QLD33" s="165"/>
      <c r="QLE33" s="165"/>
      <c r="QLF33" s="165"/>
      <c r="QLG33" s="165"/>
      <c r="QLH33" s="165"/>
      <c r="QLI33" s="165"/>
      <c r="QLJ33" s="165"/>
      <c r="QLK33" s="165"/>
      <c r="QLL33" s="165"/>
      <c r="QLM33" s="165"/>
      <c r="QLN33" s="165"/>
      <c r="QLO33" s="165"/>
      <c r="QLP33" s="165"/>
      <c r="QLQ33" s="165"/>
      <c r="QLR33" s="165"/>
      <c r="QLS33" s="165"/>
      <c r="QLT33" s="165"/>
      <c r="QLU33" s="165"/>
      <c r="QLV33" s="165"/>
      <c r="QLW33" s="165"/>
      <c r="QLX33" s="165"/>
      <c r="QLY33" s="165"/>
      <c r="QLZ33" s="165"/>
      <c r="QMA33" s="165"/>
      <c r="QMB33" s="165"/>
      <c r="QMC33" s="165"/>
      <c r="QMD33" s="165"/>
      <c r="QME33" s="165"/>
      <c r="QMF33" s="165"/>
      <c r="QMG33" s="165"/>
      <c r="QMH33" s="165"/>
      <c r="QMI33" s="165"/>
      <c r="QMJ33" s="165"/>
      <c r="QMK33" s="165"/>
      <c r="QML33" s="165"/>
      <c r="QMM33" s="165"/>
      <c r="QMN33" s="165"/>
      <c r="QMO33" s="165"/>
      <c r="QMP33" s="165"/>
      <c r="QMQ33" s="165"/>
      <c r="QMR33" s="165"/>
      <c r="QMS33" s="165"/>
      <c r="QMT33" s="165"/>
      <c r="QMU33" s="165"/>
      <c r="QMV33" s="165"/>
      <c r="QMW33" s="165"/>
      <c r="QMX33" s="165"/>
      <c r="QMY33" s="165"/>
      <c r="QMZ33" s="165"/>
      <c r="QNA33" s="165"/>
      <c r="QNB33" s="165"/>
      <c r="QNC33" s="165"/>
      <c r="QND33" s="165"/>
      <c r="QNE33" s="165"/>
      <c r="QNF33" s="165"/>
      <c r="QNG33" s="165"/>
      <c r="QNH33" s="165"/>
      <c r="QNI33" s="165"/>
      <c r="QNJ33" s="165"/>
      <c r="QNK33" s="165"/>
      <c r="QNL33" s="165"/>
      <c r="QNM33" s="165"/>
      <c r="QNN33" s="165"/>
      <c r="QNO33" s="165"/>
      <c r="QNP33" s="165"/>
      <c r="QNQ33" s="165"/>
      <c r="QNR33" s="165"/>
      <c r="QNS33" s="165"/>
      <c r="QNT33" s="165"/>
      <c r="QNU33" s="165"/>
      <c r="QNV33" s="165"/>
      <c r="QNW33" s="165"/>
      <c r="QNX33" s="165"/>
      <c r="QNY33" s="165"/>
      <c r="QNZ33" s="165"/>
      <c r="QOA33" s="165"/>
      <c r="QOB33" s="165"/>
      <c r="QOC33" s="165"/>
      <c r="QOD33" s="165"/>
      <c r="QOE33" s="165"/>
      <c r="QOF33" s="165"/>
      <c r="QOG33" s="165"/>
      <c r="QOH33" s="165"/>
      <c r="QOI33" s="165"/>
      <c r="QOJ33" s="165"/>
      <c r="QOK33" s="165"/>
      <c r="QOL33" s="165"/>
      <c r="QOM33" s="165"/>
      <c r="QON33" s="165"/>
      <c r="QOO33" s="165"/>
      <c r="QOP33" s="165"/>
      <c r="QOQ33" s="165"/>
      <c r="QOR33" s="165"/>
      <c r="QOS33" s="165"/>
      <c r="QOT33" s="165"/>
      <c r="QOU33" s="165"/>
      <c r="QOV33" s="165"/>
      <c r="QOW33" s="165"/>
      <c r="QOX33" s="165"/>
      <c r="QOY33" s="165"/>
      <c r="QOZ33" s="165"/>
      <c r="QPA33" s="165"/>
      <c r="QPB33" s="165"/>
      <c r="QPC33" s="165"/>
      <c r="QPD33" s="165"/>
      <c r="QPE33" s="165"/>
      <c r="QPF33" s="165"/>
      <c r="QPG33" s="165"/>
      <c r="QPH33" s="165"/>
      <c r="QPI33" s="165"/>
      <c r="QPJ33" s="165"/>
      <c r="QPK33" s="165"/>
      <c r="QPL33" s="165"/>
      <c r="QPM33" s="165"/>
      <c r="QPN33" s="165"/>
      <c r="QPO33" s="165"/>
      <c r="QPP33" s="165"/>
      <c r="QPQ33" s="165"/>
      <c r="QPR33" s="165"/>
      <c r="QPS33" s="165"/>
      <c r="QPT33" s="165"/>
      <c r="QPU33" s="165"/>
      <c r="QPV33" s="165"/>
      <c r="QPW33" s="165"/>
      <c r="QPX33" s="165"/>
      <c r="QPY33" s="165"/>
      <c r="QPZ33" s="165"/>
      <c r="QQA33" s="165"/>
      <c r="QQB33" s="165"/>
      <c r="QQC33" s="165"/>
      <c r="QQD33" s="165"/>
      <c r="QQE33" s="165"/>
      <c r="QQF33" s="165"/>
      <c r="QQG33" s="165"/>
      <c r="QQH33" s="165"/>
      <c r="QQI33" s="165"/>
      <c r="QQJ33" s="165"/>
      <c r="QQK33" s="165"/>
      <c r="QQL33" s="165"/>
      <c r="QQM33" s="165"/>
      <c r="QQN33" s="165"/>
      <c r="QQO33" s="165"/>
      <c r="QQP33" s="165"/>
      <c r="QQQ33" s="165"/>
      <c r="QQR33" s="165"/>
      <c r="QQS33" s="165"/>
      <c r="QQT33" s="165"/>
      <c r="QQU33" s="165"/>
      <c r="QQV33" s="165"/>
      <c r="QQW33" s="165"/>
      <c r="QQX33" s="165"/>
      <c r="QQY33" s="165"/>
      <c r="QQZ33" s="165"/>
      <c r="QRA33" s="165"/>
      <c r="QRB33" s="165"/>
      <c r="QRC33" s="165"/>
      <c r="QRD33" s="165"/>
      <c r="QRE33" s="165"/>
      <c r="QRF33" s="165"/>
      <c r="QRG33" s="165"/>
      <c r="QRH33" s="165"/>
      <c r="QRI33" s="165"/>
      <c r="QRJ33" s="165"/>
      <c r="QRK33" s="165"/>
      <c r="QRL33" s="165"/>
      <c r="QRM33" s="165"/>
      <c r="QRN33" s="165"/>
      <c r="QRO33" s="165"/>
      <c r="QRP33" s="165"/>
      <c r="QRQ33" s="165"/>
      <c r="QRR33" s="165"/>
      <c r="QRS33" s="165"/>
      <c r="QRT33" s="165"/>
      <c r="QRU33" s="165"/>
      <c r="QRV33" s="165"/>
      <c r="QRW33" s="165"/>
      <c r="QRX33" s="165"/>
      <c r="QRY33" s="165"/>
      <c r="QRZ33" s="165"/>
      <c r="QSA33" s="165"/>
      <c r="QSB33" s="165"/>
      <c r="QSC33" s="165"/>
      <c r="QSD33" s="165"/>
      <c r="QSE33" s="165"/>
      <c r="QSF33" s="165"/>
      <c r="QSG33" s="165"/>
      <c r="QSH33" s="165"/>
      <c r="QSI33" s="165"/>
      <c r="QSJ33" s="165"/>
      <c r="QSK33" s="165"/>
      <c r="QSL33" s="165"/>
      <c r="QSM33" s="165"/>
      <c r="QSN33" s="165"/>
      <c r="QSO33" s="165"/>
      <c r="QSP33" s="165"/>
      <c r="QSQ33" s="165"/>
      <c r="QSR33" s="165"/>
      <c r="QSS33" s="165"/>
      <c r="QST33" s="165"/>
      <c r="QSU33" s="165"/>
      <c r="QSV33" s="165"/>
      <c r="QSW33" s="165"/>
      <c r="QSX33" s="165"/>
      <c r="QSY33" s="165"/>
      <c r="QSZ33" s="165"/>
      <c r="QTA33" s="165"/>
      <c r="QTB33" s="165"/>
      <c r="QTC33" s="165"/>
      <c r="QTD33" s="165"/>
      <c r="QTE33" s="165"/>
      <c r="QTF33" s="165"/>
      <c r="QTG33" s="165"/>
      <c r="QTH33" s="165"/>
      <c r="QTI33" s="165"/>
      <c r="QTJ33" s="165"/>
      <c r="QTK33" s="165"/>
      <c r="QTL33" s="165"/>
      <c r="QTM33" s="165"/>
      <c r="QTN33" s="165"/>
      <c r="QTO33" s="165"/>
      <c r="QTP33" s="165"/>
      <c r="QTQ33" s="165"/>
      <c r="QTR33" s="165"/>
      <c r="QTS33" s="165"/>
      <c r="QTT33" s="165"/>
      <c r="QTU33" s="165"/>
      <c r="QTV33" s="165"/>
      <c r="QTW33" s="165"/>
      <c r="QTX33" s="165"/>
      <c r="QTY33" s="165"/>
      <c r="QTZ33" s="165"/>
      <c r="QUA33" s="165"/>
      <c r="QUB33" s="165"/>
      <c r="QUC33" s="165"/>
      <c r="QUD33" s="165"/>
      <c r="QUE33" s="165"/>
      <c r="QUF33" s="165"/>
      <c r="QUG33" s="165"/>
      <c r="QUH33" s="165"/>
      <c r="QUI33" s="165"/>
      <c r="QUJ33" s="165"/>
      <c r="QUK33" s="165"/>
      <c r="QUL33" s="165"/>
      <c r="QUM33" s="165"/>
      <c r="QUN33" s="165"/>
      <c r="QUO33" s="165"/>
      <c r="QUP33" s="165"/>
      <c r="QUQ33" s="165"/>
      <c r="QUR33" s="165"/>
      <c r="QUS33" s="165"/>
      <c r="QUT33" s="165"/>
      <c r="QUU33" s="165"/>
      <c r="QUV33" s="165"/>
      <c r="QUW33" s="165"/>
      <c r="QUX33" s="165"/>
      <c r="QUY33" s="165"/>
      <c r="QUZ33" s="165"/>
      <c r="QVA33" s="165"/>
      <c r="QVB33" s="165"/>
      <c r="QVC33" s="165"/>
      <c r="QVD33" s="165"/>
      <c r="QVE33" s="165"/>
      <c r="QVF33" s="165"/>
      <c r="QVG33" s="165"/>
      <c r="QVH33" s="165"/>
      <c r="QVI33" s="165"/>
      <c r="QVJ33" s="165"/>
      <c r="QVK33" s="165"/>
      <c r="QVL33" s="165"/>
      <c r="QVM33" s="165"/>
      <c r="QVN33" s="165"/>
      <c r="QVO33" s="165"/>
      <c r="QVP33" s="165"/>
      <c r="QVQ33" s="165"/>
      <c r="QVR33" s="165"/>
      <c r="QVS33" s="165"/>
      <c r="QVT33" s="165"/>
      <c r="QVU33" s="165"/>
      <c r="QVV33" s="165"/>
      <c r="QVW33" s="165"/>
      <c r="QVX33" s="165"/>
      <c r="QVY33" s="165"/>
      <c r="QVZ33" s="165"/>
      <c r="QWA33" s="165"/>
      <c r="QWB33" s="165"/>
      <c r="QWC33" s="165"/>
      <c r="QWD33" s="165"/>
      <c r="QWE33" s="165"/>
      <c r="QWF33" s="165"/>
      <c r="QWG33" s="165"/>
      <c r="QWH33" s="165"/>
      <c r="QWI33" s="165"/>
      <c r="QWJ33" s="165"/>
      <c r="QWK33" s="165"/>
      <c r="QWL33" s="165"/>
      <c r="QWM33" s="165"/>
      <c r="QWN33" s="165"/>
      <c r="QWO33" s="165"/>
      <c r="QWP33" s="165"/>
      <c r="QWQ33" s="165"/>
      <c r="QWR33" s="165"/>
      <c r="QWS33" s="165"/>
      <c r="QWT33" s="165"/>
      <c r="QWU33" s="165"/>
      <c r="QWV33" s="165"/>
      <c r="QWW33" s="165"/>
      <c r="QWX33" s="165"/>
      <c r="QWY33" s="165"/>
      <c r="QWZ33" s="165"/>
      <c r="QXA33" s="165"/>
      <c r="QXB33" s="165"/>
      <c r="QXC33" s="165"/>
      <c r="QXD33" s="165"/>
      <c r="QXE33" s="165"/>
      <c r="QXF33" s="165"/>
      <c r="QXG33" s="165"/>
      <c r="QXH33" s="165"/>
      <c r="QXI33" s="165"/>
      <c r="QXJ33" s="165"/>
      <c r="QXK33" s="165"/>
      <c r="QXL33" s="165"/>
      <c r="QXM33" s="165"/>
      <c r="QXN33" s="165"/>
      <c r="QXO33" s="165"/>
      <c r="QXP33" s="165"/>
      <c r="QXQ33" s="165"/>
      <c r="QXR33" s="165"/>
      <c r="QXS33" s="165"/>
      <c r="QXT33" s="165"/>
      <c r="QXU33" s="165"/>
      <c r="QXV33" s="165"/>
      <c r="QXW33" s="165"/>
      <c r="QXX33" s="165"/>
      <c r="QXY33" s="165"/>
      <c r="QXZ33" s="165"/>
      <c r="QYA33" s="165"/>
      <c r="QYB33" s="165"/>
      <c r="QYC33" s="165"/>
      <c r="QYD33" s="165"/>
      <c r="QYE33" s="165"/>
      <c r="QYF33" s="165"/>
      <c r="QYG33" s="165"/>
      <c r="QYH33" s="165"/>
      <c r="QYI33" s="165"/>
      <c r="QYJ33" s="165"/>
      <c r="QYK33" s="165"/>
      <c r="QYL33" s="165"/>
      <c r="QYM33" s="165"/>
      <c r="QYN33" s="165"/>
      <c r="QYO33" s="165"/>
      <c r="QYP33" s="165"/>
      <c r="QYQ33" s="165"/>
      <c r="QYR33" s="165"/>
      <c r="QYS33" s="165"/>
      <c r="QYT33" s="165"/>
      <c r="QYU33" s="165"/>
      <c r="QYV33" s="165"/>
      <c r="QYW33" s="165"/>
      <c r="QYX33" s="165"/>
      <c r="QYY33" s="165"/>
      <c r="QYZ33" s="165"/>
      <c r="QZA33" s="165"/>
      <c r="QZB33" s="165"/>
      <c r="QZC33" s="165"/>
      <c r="QZD33" s="165"/>
      <c r="QZE33" s="165"/>
      <c r="QZF33" s="165"/>
      <c r="QZG33" s="165"/>
      <c r="QZH33" s="165"/>
      <c r="QZI33" s="165"/>
      <c r="QZJ33" s="165"/>
      <c r="QZK33" s="165"/>
      <c r="QZL33" s="165"/>
      <c r="QZM33" s="165"/>
      <c r="QZN33" s="165"/>
      <c r="QZO33" s="165"/>
      <c r="QZP33" s="165"/>
      <c r="QZQ33" s="165"/>
      <c r="QZR33" s="165"/>
      <c r="QZS33" s="165"/>
      <c r="QZT33" s="165"/>
      <c r="QZU33" s="165"/>
      <c r="QZV33" s="165"/>
      <c r="QZW33" s="165"/>
      <c r="QZX33" s="165"/>
      <c r="QZY33" s="165"/>
      <c r="QZZ33" s="165"/>
      <c r="RAA33" s="165"/>
      <c r="RAB33" s="165"/>
      <c r="RAC33" s="165"/>
      <c r="RAD33" s="165"/>
      <c r="RAE33" s="165"/>
      <c r="RAF33" s="165"/>
      <c r="RAG33" s="165"/>
      <c r="RAH33" s="165"/>
      <c r="RAI33" s="165"/>
      <c r="RAJ33" s="165"/>
      <c r="RAK33" s="165"/>
      <c r="RAL33" s="165"/>
      <c r="RAM33" s="165"/>
      <c r="RAN33" s="165"/>
      <c r="RAO33" s="165"/>
      <c r="RAP33" s="165"/>
      <c r="RAQ33" s="165"/>
      <c r="RAR33" s="165"/>
      <c r="RAS33" s="165"/>
      <c r="RAT33" s="165"/>
      <c r="RAU33" s="165"/>
      <c r="RAV33" s="165"/>
      <c r="RAW33" s="165"/>
      <c r="RAX33" s="165"/>
      <c r="RAY33" s="165"/>
      <c r="RAZ33" s="165"/>
      <c r="RBA33" s="165"/>
      <c r="RBB33" s="165"/>
      <c r="RBC33" s="165"/>
      <c r="RBD33" s="165"/>
      <c r="RBE33" s="165"/>
      <c r="RBF33" s="165"/>
      <c r="RBG33" s="165"/>
      <c r="RBH33" s="165"/>
      <c r="RBI33" s="165"/>
      <c r="RBJ33" s="165"/>
      <c r="RBK33" s="165"/>
      <c r="RBL33" s="165"/>
      <c r="RBM33" s="165"/>
      <c r="RBN33" s="165"/>
      <c r="RBO33" s="165"/>
      <c r="RBP33" s="165"/>
      <c r="RBQ33" s="165"/>
      <c r="RBR33" s="165"/>
      <c r="RBS33" s="165"/>
      <c r="RBT33" s="165"/>
      <c r="RBU33" s="165"/>
      <c r="RBV33" s="165"/>
      <c r="RBW33" s="165"/>
      <c r="RBX33" s="165"/>
      <c r="RBY33" s="165"/>
      <c r="RBZ33" s="165"/>
      <c r="RCA33" s="165"/>
      <c r="RCB33" s="165"/>
      <c r="RCC33" s="165"/>
      <c r="RCD33" s="165"/>
      <c r="RCE33" s="165"/>
      <c r="RCF33" s="165"/>
      <c r="RCG33" s="165"/>
      <c r="RCH33" s="165"/>
      <c r="RCI33" s="165"/>
      <c r="RCJ33" s="165"/>
      <c r="RCK33" s="165"/>
      <c r="RCL33" s="165"/>
      <c r="RCM33" s="165"/>
      <c r="RCN33" s="165"/>
      <c r="RCO33" s="165"/>
      <c r="RCP33" s="165"/>
      <c r="RCQ33" s="165"/>
      <c r="RCR33" s="165"/>
      <c r="RCS33" s="165"/>
      <c r="RCT33" s="165"/>
      <c r="RCU33" s="165"/>
      <c r="RCV33" s="165"/>
      <c r="RCW33" s="165"/>
      <c r="RCX33" s="165"/>
      <c r="RCY33" s="165"/>
      <c r="RCZ33" s="165"/>
      <c r="RDA33" s="165"/>
      <c r="RDB33" s="165"/>
      <c r="RDC33" s="165"/>
      <c r="RDD33" s="165"/>
      <c r="RDE33" s="165"/>
      <c r="RDF33" s="165"/>
      <c r="RDG33" s="165"/>
      <c r="RDH33" s="165"/>
      <c r="RDI33" s="165"/>
      <c r="RDJ33" s="165"/>
      <c r="RDK33" s="165"/>
      <c r="RDL33" s="165"/>
      <c r="RDM33" s="165"/>
      <c r="RDN33" s="165"/>
      <c r="RDO33" s="165"/>
      <c r="RDP33" s="165"/>
      <c r="RDQ33" s="165"/>
      <c r="RDR33" s="165"/>
      <c r="RDS33" s="165"/>
      <c r="RDT33" s="165"/>
      <c r="RDU33" s="165"/>
      <c r="RDV33" s="165"/>
      <c r="RDW33" s="165"/>
      <c r="RDX33" s="165"/>
      <c r="RDY33" s="165"/>
      <c r="RDZ33" s="165"/>
      <c r="REA33" s="165"/>
      <c r="REB33" s="165"/>
      <c r="REC33" s="165"/>
      <c r="RED33" s="165"/>
      <c r="REE33" s="165"/>
      <c r="REF33" s="165"/>
      <c r="REG33" s="165"/>
      <c r="REH33" s="165"/>
      <c r="REI33" s="165"/>
      <c r="REJ33" s="165"/>
      <c r="REK33" s="165"/>
      <c r="REL33" s="165"/>
      <c r="REM33" s="165"/>
      <c r="REN33" s="165"/>
      <c r="REO33" s="165"/>
      <c r="REP33" s="165"/>
      <c r="REQ33" s="165"/>
      <c r="RER33" s="165"/>
      <c r="RES33" s="165"/>
      <c r="RET33" s="165"/>
      <c r="REU33" s="165"/>
      <c r="REV33" s="165"/>
      <c r="REW33" s="165"/>
      <c r="REX33" s="165"/>
      <c r="REY33" s="165"/>
      <c r="REZ33" s="165"/>
      <c r="RFA33" s="165"/>
      <c r="RFB33" s="165"/>
      <c r="RFC33" s="165"/>
      <c r="RFD33" s="165"/>
      <c r="RFE33" s="165"/>
      <c r="RFF33" s="165"/>
      <c r="RFG33" s="165"/>
      <c r="RFH33" s="165"/>
      <c r="RFI33" s="165"/>
      <c r="RFJ33" s="165"/>
      <c r="RFK33" s="165"/>
      <c r="RFL33" s="165"/>
      <c r="RFM33" s="165"/>
      <c r="RFN33" s="165"/>
      <c r="RFO33" s="165"/>
      <c r="RFP33" s="165"/>
      <c r="RFQ33" s="165"/>
      <c r="RFR33" s="165"/>
      <c r="RFS33" s="165"/>
      <c r="RFT33" s="165"/>
      <c r="RFU33" s="165"/>
      <c r="RFV33" s="165"/>
      <c r="RFW33" s="165"/>
      <c r="RFX33" s="165"/>
      <c r="RFY33" s="165"/>
      <c r="RFZ33" s="165"/>
      <c r="RGA33" s="165"/>
      <c r="RGB33" s="165"/>
      <c r="RGC33" s="165"/>
      <c r="RGD33" s="165"/>
      <c r="RGE33" s="165"/>
      <c r="RGF33" s="165"/>
      <c r="RGG33" s="165"/>
      <c r="RGH33" s="165"/>
      <c r="RGI33" s="165"/>
      <c r="RGJ33" s="165"/>
      <c r="RGK33" s="165"/>
      <c r="RGL33" s="165"/>
      <c r="RGM33" s="165"/>
      <c r="RGN33" s="165"/>
      <c r="RGO33" s="165"/>
      <c r="RGP33" s="165"/>
      <c r="RGQ33" s="165"/>
      <c r="RGR33" s="165"/>
      <c r="RGS33" s="165"/>
      <c r="RGT33" s="165"/>
      <c r="RGU33" s="165"/>
      <c r="RGV33" s="165"/>
      <c r="RGW33" s="165"/>
      <c r="RGX33" s="165"/>
      <c r="RGY33" s="165"/>
      <c r="RGZ33" s="165"/>
      <c r="RHA33" s="165"/>
      <c r="RHB33" s="165"/>
      <c r="RHC33" s="165"/>
      <c r="RHD33" s="165"/>
      <c r="RHE33" s="165"/>
      <c r="RHF33" s="165"/>
      <c r="RHG33" s="165"/>
      <c r="RHH33" s="165"/>
      <c r="RHI33" s="165"/>
      <c r="RHJ33" s="165"/>
      <c r="RHK33" s="165"/>
      <c r="RHL33" s="165"/>
      <c r="RHM33" s="165"/>
      <c r="RHN33" s="165"/>
      <c r="RHO33" s="165"/>
      <c r="RHP33" s="165"/>
      <c r="RHQ33" s="165"/>
      <c r="RHR33" s="165"/>
      <c r="RHS33" s="165"/>
      <c r="RHT33" s="165"/>
      <c r="RHU33" s="165"/>
      <c r="RHV33" s="165"/>
      <c r="RHW33" s="165"/>
      <c r="RHX33" s="165"/>
      <c r="RHY33" s="165"/>
      <c r="RHZ33" s="165"/>
      <c r="RIA33" s="165"/>
      <c r="RIB33" s="165"/>
      <c r="RIC33" s="165"/>
      <c r="RID33" s="165"/>
      <c r="RIE33" s="165"/>
      <c r="RIF33" s="165"/>
      <c r="RIG33" s="165"/>
      <c r="RIH33" s="165"/>
      <c r="RII33" s="165"/>
      <c r="RIJ33" s="165"/>
      <c r="RIK33" s="165"/>
      <c r="RIL33" s="165"/>
      <c r="RIM33" s="165"/>
      <c r="RIN33" s="165"/>
      <c r="RIO33" s="165"/>
      <c r="RIP33" s="165"/>
      <c r="RIQ33" s="165"/>
      <c r="RIR33" s="165"/>
      <c r="RIS33" s="165"/>
      <c r="RIT33" s="165"/>
      <c r="RIU33" s="165"/>
      <c r="RIV33" s="165"/>
      <c r="RIW33" s="165"/>
      <c r="RIX33" s="165"/>
      <c r="RIY33" s="165"/>
      <c r="RIZ33" s="165"/>
      <c r="RJA33" s="165"/>
      <c r="RJB33" s="165"/>
      <c r="RJC33" s="165"/>
      <c r="RJD33" s="165"/>
      <c r="RJE33" s="165"/>
      <c r="RJF33" s="165"/>
      <c r="RJG33" s="165"/>
      <c r="RJH33" s="165"/>
      <c r="RJI33" s="165"/>
      <c r="RJJ33" s="165"/>
      <c r="RJK33" s="165"/>
      <c r="RJL33" s="165"/>
      <c r="RJM33" s="165"/>
      <c r="RJN33" s="165"/>
      <c r="RJO33" s="165"/>
      <c r="RJP33" s="165"/>
      <c r="RJQ33" s="165"/>
      <c r="RJR33" s="165"/>
      <c r="RJS33" s="165"/>
      <c r="RJT33" s="165"/>
      <c r="RJU33" s="165"/>
      <c r="RJV33" s="165"/>
      <c r="RJW33" s="165"/>
      <c r="RJX33" s="165"/>
      <c r="RJY33" s="165"/>
      <c r="RJZ33" s="165"/>
      <c r="RKA33" s="165"/>
      <c r="RKB33" s="165"/>
      <c r="RKC33" s="165"/>
      <c r="RKD33" s="165"/>
      <c r="RKE33" s="165"/>
      <c r="RKF33" s="165"/>
      <c r="RKG33" s="165"/>
      <c r="RKH33" s="165"/>
      <c r="RKI33" s="165"/>
      <c r="RKJ33" s="165"/>
      <c r="RKK33" s="165"/>
      <c r="RKL33" s="165"/>
      <c r="RKM33" s="165"/>
      <c r="RKN33" s="165"/>
      <c r="RKO33" s="165"/>
      <c r="RKP33" s="165"/>
      <c r="RKQ33" s="165"/>
      <c r="RKR33" s="165"/>
      <c r="RKS33" s="165"/>
      <c r="RKT33" s="165"/>
      <c r="RKU33" s="165"/>
      <c r="RKV33" s="165"/>
      <c r="RKW33" s="165"/>
      <c r="RKX33" s="165"/>
      <c r="RKY33" s="165"/>
      <c r="RKZ33" s="165"/>
      <c r="RLA33" s="165"/>
      <c r="RLB33" s="165"/>
      <c r="RLC33" s="165"/>
      <c r="RLD33" s="165"/>
      <c r="RLE33" s="165"/>
      <c r="RLF33" s="165"/>
      <c r="RLG33" s="165"/>
      <c r="RLH33" s="165"/>
      <c r="RLI33" s="165"/>
      <c r="RLJ33" s="165"/>
      <c r="RLK33" s="165"/>
      <c r="RLL33" s="165"/>
      <c r="RLM33" s="165"/>
      <c r="RLN33" s="165"/>
      <c r="RLO33" s="165"/>
      <c r="RLP33" s="165"/>
      <c r="RLQ33" s="165"/>
      <c r="RLR33" s="165"/>
      <c r="RLS33" s="165"/>
      <c r="RLT33" s="165"/>
      <c r="RLU33" s="165"/>
      <c r="RLV33" s="165"/>
      <c r="RLW33" s="165"/>
      <c r="RLX33" s="165"/>
      <c r="RLY33" s="165"/>
      <c r="RLZ33" s="165"/>
      <c r="RMA33" s="165"/>
      <c r="RMB33" s="165"/>
      <c r="RMC33" s="165"/>
      <c r="RMD33" s="165"/>
      <c r="RME33" s="165"/>
      <c r="RMF33" s="165"/>
      <c r="RMG33" s="165"/>
      <c r="RMH33" s="165"/>
      <c r="RMI33" s="165"/>
      <c r="RMJ33" s="165"/>
      <c r="RMK33" s="165"/>
      <c r="RML33" s="165"/>
      <c r="RMM33" s="165"/>
      <c r="RMN33" s="165"/>
      <c r="RMO33" s="165"/>
      <c r="RMP33" s="165"/>
      <c r="RMQ33" s="165"/>
      <c r="RMR33" s="165"/>
      <c r="RMS33" s="165"/>
      <c r="RMT33" s="165"/>
      <c r="RMU33" s="165"/>
      <c r="RMV33" s="165"/>
      <c r="RMW33" s="165"/>
      <c r="RMX33" s="165"/>
      <c r="RMY33" s="165"/>
      <c r="RMZ33" s="165"/>
      <c r="RNA33" s="165"/>
      <c r="RNB33" s="165"/>
      <c r="RNC33" s="165"/>
      <c r="RND33" s="165"/>
      <c r="RNE33" s="165"/>
      <c r="RNF33" s="165"/>
      <c r="RNG33" s="165"/>
      <c r="RNH33" s="165"/>
      <c r="RNI33" s="165"/>
      <c r="RNJ33" s="165"/>
      <c r="RNK33" s="165"/>
      <c r="RNL33" s="165"/>
      <c r="RNM33" s="165"/>
      <c r="RNN33" s="165"/>
      <c r="RNO33" s="165"/>
      <c r="RNP33" s="165"/>
      <c r="RNQ33" s="165"/>
      <c r="RNR33" s="165"/>
      <c r="RNS33" s="165"/>
      <c r="RNT33" s="165"/>
      <c r="RNU33" s="165"/>
      <c r="RNV33" s="165"/>
      <c r="RNW33" s="165"/>
      <c r="RNX33" s="165"/>
      <c r="RNY33" s="165"/>
      <c r="RNZ33" s="165"/>
      <c r="ROA33" s="165"/>
      <c r="ROB33" s="165"/>
      <c r="ROC33" s="165"/>
      <c r="ROD33" s="165"/>
      <c r="ROE33" s="165"/>
      <c r="ROF33" s="165"/>
      <c r="ROG33" s="165"/>
      <c r="ROH33" s="165"/>
      <c r="ROI33" s="165"/>
      <c r="ROJ33" s="165"/>
      <c r="ROK33" s="165"/>
      <c r="ROL33" s="165"/>
      <c r="ROM33" s="165"/>
      <c r="RON33" s="165"/>
      <c r="ROO33" s="165"/>
      <c r="ROP33" s="165"/>
      <c r="ROQ33" s="165"/>
      <c r="ROR33" s="165"/>
      <c r="ROS33" s="165"/>
      <c r="ROT33" s="165"/>
      <c r="ROU33" s="165"/>
      <c r="ROV33" s="165"/>
      <c r="ROW33" s="165"/>
      <c r="ROX33" s="165"/>
      <c r="ROY33" s="165"/>
      <c r="ROZ33" s="165"/>
      <c r="RPA33" s="165"/>
      <c r="RPB33" s="165"/>
      <c r="RPC33" s="165"/>
      <c r="RPD33" s="165"/>
      <c r="RPE33" s="165"/>
      <c r="RPF33" s="165"/>
      <c r="RPG33" s="165"/>
      <c r="RPH33" s="165"/>
      <c r="RPI33" s="165"/>
      <c r="RPJ33" s="165"/>
      <c r="RPK33" s="165"/>
      <c r="RPL33" s="165"/>
      <c r="RPM33" s="165"/>
      <c r="RPN33" s="165"/>
      <c r="RPO33" s="165"/>
      <c r="RPP33" s="165"/>
      <c r="RPQ33" s="165"/>
      <c r="RPR33" s="165"/>
      <c r="RPS33" s="165"/>
      <c r="RPT33" s="165"/>
      <c r="RPU33" s="165"/>
      <c r="RPV33" s="165"/>
      <c r="RPW33" s="165"/>
      <c r="RPX33" s="165"/>
      <c r="RPY33" s="165"/>
      <c r="RPZ33" s="165"/>
      <c r="RQA33" s="165"/>
      <c r="RQB33" s="165"/>
      <c r="RQC33" s="165"/>
      <c r="RQD33" s="165"/>
      <c r="RQE33" s="165"/>
      <c r="RQF33" s="165"/>
      <c r="RQG33" s="165"/>
      <c r="RQH33" s="165"/>
      <c r="RQI33" s="165"/>
      <c r="RQJ33" s="165"/>
      <c r="RQK33" s="165"/>
      <c r="RQL33" s="165"/>
      <c r="RQM33" s="165"/>
      <c r="RQN33" s="165"/>
      <c r="RQO33" s="165"/>
      <c r="RQP33" s="165"/>
      <c r="RQQ33" s="165"/>
      <c r="RQR33" s="165"/>
      <c r="RQS33" s="165"/>
      <c r="RQT33" s="165"/>
      <c r="RQU33" s="165"/>
      <c r="RQV33" s="165"/>
      <c r="RQW33" s="165"/>
      <c r="RQX33" s="165"/>
      <c r="RQY33" s="165"/>
      <c r="RQZ33" s="165"/>
      <c r="RRA33" s="165"/>
      <c r="RRB33" s="165"/>
      <c r="RRC33" s="165"/>
      <c r="RRD33" s="165"/>
      <c r="RRE33" s="165"/>
      <c r="RRF33" s="165"/>
      <c r="RRG33" s="165"/>
      <c r="RRH33" s="165"/>
      <c r="RRI33" s="165"/>
      <c r="RRJ33" s="165"/>
      <c r="RRK33" s="165"/>
      <c r="RRL33" s="165"/>
      <c r="RRM33" s="165"/>
      <c r="RRN33" s="165"/>
      <c r="RRO33" s="165"/>
      <c r="RRP33" s="165"/>
      <c r="RRQ33" s="165"/>
      <c r="RRR33" s="165"/>
      <c r="RRS33" s="165"/>
      <c r="RRT33" s="165"/>
      <c r="RRU33" s="165"/>
      <c r="RRV33" s="165"/>
      <c r="RRW33" s="165"/>
      <c r="RRX33" s="165"/>
      <c r="RRY33" s="165"/>
      <c r="RRZ33" s="165"/>
      <c r="RSA33" s="165"/>
      <c r="RSB33" s="165"/>
      <c r="RSC33" s="165"/>
      <c r="RSD33" s="165"/>
      <c r="RSE33" s="165"/>
      <c r="RSF33" s="165"/>
      <c r="RSG33" s="165"/>
      <c r="RSH33" s="165"/>
      <c r="RSI33" s="165"/>
      <c r="RSJ33" s="165"/>
      <c r="RSK33" s="165"/>
      <c r="RSL33" s="165"/>
      <c r="RSM33" s="165"/>
      <c r="RSN33" s="165"/>
      <c r="RSO33" s="165"/>
      <c r="RSP33" s="165"/>
      <c r="RSQ33" s="165"/>
      <c r="RSR33" s="165"/>
      <c r="RSS33" s="165"/>
      <c r="RST33" s="165"/>
      <c r="RSU33" s="165"/>
      <c r="RSV33" s="165"/>
      <c r="RSW33" s="165"/>
      <c r="RSX33" s="165"/>
      <c r="RSY33" s="165"/>
      <c r="RSZ33" s="165"/>
      <c r="RTA33" s="165"/>
      <c r="RTB33" s="165"/>
      <c r="RTC33" s="165"/>
      <c r="RTD33" s="165"/>
      <c r="RTE33" s="165"/>
      <c r="RTF33" s="165"/>
      <c r="RTG33" s="165"/>
      <c r="RTH33" s="165"/>
      <c r="RTI33" s="165"/>
      <c r="RTJ33" s="165"/>
      <c r="RTK33" s="165"/>
      <c r="RTL33" s="165"/>
      <c r="RTM33" s="165"/>
      <c r="RTN33" s="165"/>
      <c r="RTO33" s="165"/>
      <c r="RTP33" s="165"/>
      <c r="RTQ33" s="165"/>
      <c r="RTR33" s="165"/>
      <c r="RTS33" s="165"/>
      <c r="RTT33" s="165"/>
      <c r="RTU33" s="165"/>
      <c r="RTV33" s="165"/>
      <c r="RTW33" s="165"/>
      <c r="RTX33" s="165"/>
      <c r="RTY33" s="165"/>
      <c r="RTZ33" s="165"/>
      <c r="RUA33" s="165"/>
      <c r="RUB33" s="165"/>
      <c r="RUC33" s="165"/>
      <c r="RUD33" s="165"/>
      <c r="RUE33" s="165"/>
      <c r="RUF33" s="165"/>
      <c r="RUG33" s="165"/>
      <c r="RUH33" s="165"/>
      <c r="RUI33" s="165"/>
      <c r="RUJ33" s="165"/>
      <c r="RUK33" s="165"/>
      <c r="RUL33" s="165"/>
      <c r="RUM33" s="165"/>
      <c r="RUN33" s="165"/>
      <c r="RUO33" s="165"/>
      <c r="RUP33" s="165"/>
      <c r="RUQ33" s="165"/>
      <c r="RUR33" s="165"/>
      <c r="RUS33" s="165"/>
      <c r="RUT33" s="165"/>
      <c r="RUU33" s="165"/>
      <c r="RUV33" s="165"/>
      <c r="RUW33" s="165"/>
      <c r="RUX33" s="165"/>
      <c r="RUY33" s="165"/>
      <c r="RUZ33" s="165"/>
      <c r="RVA33" s="165"/>
      <c r="RVB33" s="165"/>
      <c r="RVC33" s="165"/>
      <c r="RVD33" s="165"/>
      <c r="RVE33" s="165"/>
      <c r="RVF33" s="165"/>
      <c r="RVG33" s="165"/>
      <c r="RVH33" s="165"/>
      <c r="RVI33" s="165"/>
      <c r="RVJ33" s="165"/>
      <c r="RVK33" s="165"/>
      <c r="RVL33" s="165"/>
      <c r="RVM33" s="165"/>
      <c r="RVN33" s="165"/>
      <c r="RVO33" s="165"/>
      <c r="RVP33" s="165"/>
      <c r="RVQ33" s="165"/>
      <c r="RVR33" s="165"/>
      <c r="RVS33" s="165"/>
      <c r="RVT33" s="165"/>
      <c r="RVU33" s="165"/>
      <c r="RVV33" s="165"/>
      <c r="RVW33" s="165"/>
      <c r="RVX33" s="165"/>
      <c r="RVY33" s="165"/>
      <c r="RVZ33" s="165"/>
      <c r="RWA33" s="165"/>
      <c r="RWB33" s="165"/>
      <c r="RWC33" s="165"/>
      <c r="RWD33" s="165"/>
      <c r="RWE33" s="165"/>
      <c r="RWF33" s="165"/>
      <c r="RWG33" s="165"/>
      <c r="RWH33" s="165"/>
      <c r="RWI33" s="165"/>
      <c r="RWJ33" s="165"/>
      <c r="RWK33" s="165"/>
      <c r="RWL33" s="165"/>
      <c r="RWM33" s="165"/>
      <c r="RWN33" s="165"/>
      <c r="RWO33" s="165"/>
      <c r="RWP33" s="165"/>
      <c r="RWQ33" s="165"/>
      <c r="RWR33" s="165"/>
      <c r="RWS33" s="165"/>
      <c r="RWT33" s="165"/>
      <c r="RWU33" s="165"/>
      <c r="RWV33" s="165"/>
      <c r="RWW33" s="165"/>
      <c r="RWX33" s="165"/>
      <c r="RWY33" s="165"/>
      <c r="RWZ33" s="165"/>
      <c r="RXA33" s="165"/>
      <c r="RXB33" s="165"/>
      <c r="RXC33" s="165"/>
      <c r="RXD33" s="165"/>
      <c r="RXE33" s="165"/>
      <c r="RXF33" s="165"/>
      <c r="RXG33" s="165"/>
      <c r="RXH33" s="165"/>
      <c r="RXI33" s="165"/>
      <c r="RXJ33" s="165"/>
      <c r="RXK33" s="165"/>
      <c r="RXL33" s="165"/>
      <c r="RXM33" s="165"/>
      <c r="RXN33" s="165"/>
      <c r="RXO33" s="165"/>
      <c r="RXP33" s="165"/>
      <c r="RXQ33" s="165"/>
      <c r="RXR33" s="165"/>
      <c r="RXS33" s="165"/>
      <c r="RXT33" s="165"/>
      <c r="RXU33" s="165"/>
      <c r="RXV33" s="165"/>
      <c r="RXW33" s="165"/>
      <c r="RXX33" s="165"/>
      <c r="RXY33" s="165"/>
      <c r="RXZ33" s="165"/>
      <c r="RYA33" s="165"/>
      <c r="RYB33" s="165"/>
      <c r="RYC33" s="165"/>
      <c r="RYD33" s="165"/>
      <c r="RYE33" s="165"/>
      <c r="RYF33" s="165"/>
      <c r="RYG33" s="165"/>
      <c r="RYH33" s="165"/>
      <c r="RYI33" s="165"/>
      <c r="RYJ33" s="165"/>
      <c r="RYK33" s="165"/>
      <c r="RYL33" s="165"/>
      <c r="RYM33" s="165"/>
      <c r="RYN33" s="165"/>
      <c r="RYO33" s="165"/>
      <c r="RYP33" s="165"/>
      <c r="RYQ33" s="165"/>
      <c r="RYR33" s="165"/>
      <c r="RYS33" s="165"/>
      <c r="RYT33" s="165"/>
      <c r="RYU33" s="165"/>
      <c r="RYV33" s="165"/>
      <c r="RYW33" s="165"/>
      <c r="RYX33" s="165"/>
      <c r="RYY33" s="165"/>
      <c r="RYZ33" s="165"/>
      <c r="RZA33" s="165"/>
      <c r="RZB33" s="165"/>
      <c r="RZC33" s="165"/>
      <c r="RZD33" s="165"/>
      <c r="RZE33" s="165"/>
      <c r="RZF33" s="165"/>
      <c r="RZG33" s="165"/>
      <c r="RZH33" s="165"/>
      <c r="RZI33" s="165"/>
      <c r="RZJ33" s="165"/>
      <c r="RZK33" s="165"/>
      <c r="RZL33" s="165"/>
      <c r="RZM33" s="165"/>
      <c r="RZN33" s="165"/>
      <c r="RZO33" s="165"/>
      <c r="RZP33" s="165"/>
      <c r="RZQ33" s="165"/>
      <c r="RZR33" s="165"/>
      <c r="RZS33" s="165"/>
      <c r="RZT33" s="165"/>
      <c r="RZU33" s="165"/>
      <c r="RZV33" s="165"/>
      <c r="RZW33" s="165"/>
      <c r="RZX33" s="165"/>
      <c r="RZY33" s="165"/>
      <c r="RZZ33" s="165"/>
      <c r="SAA33" s="165"/>
      <c r="SAB33" s="165"/>
      <c r="SAC33" s="165"/>
      <c r="SAD33" s="165"/>
      <c r="SAE33" s="165"/>
      <c r="SAF33" s="165"/>
      <c r="SAG33" s="165"/>
      <c r="SAH33" s="165"/>
      <c r="SAI33" s="165"/>
      <c r="SAJ33" s="165"/>
      <c r="SAK33" s="165"/>
      <c r="SAL33" s="165"/>
      <c r="SAM33" s="165"/>
      <c r="SAN33" s="165"/>
      <c r="SAO33" s="165"/>
      <c r="SAP33" s="165"/>
      <c r="SAQ33" s="165"/>
      <c r="SAR33" s="165"/>
      <c r="SAS33" s="165"/>
      <c r="SAT33" s="165"/>
      <c r="SAU33" s="165"/>
      <c r="SAV33" s="165"/>
      <c r="SAW33" s="165"/>
      <c r="SAX33" s="165"/>
      <c r="SAY33" s="165"/>
      <c r="SAZ33" s="165"/>
      <c r="SBA33" s="165"/>
      <c r="SBB33" s="165"/>
      <c r="SBC33" s="165"/>
      <c r="SBD33" s="165"/>
      <c r="SBE33" s="165"/>
      <c r="SBF33" s="165"/>
      <c r="SBG33" s="165"/>
      <c r="SBH33" s="165"/>
      <c r="SBI33" s="165"/>
      <c r="SBJ33" s="165"/>
      <c r="SBK33" s="165"/>
      <c r="SBL33" s="165"/>
      <c r="SBM33" s="165"/>
      <c r="SBN33" s="165"/>
      <c r="SBO33" s="165"/>
      <c r="SBP33" s="165"/>
      <c r="SBQ33" s="165"/>
      <c r="SBR33" s="165"/>
      <c r="SBS33" s="165"/>
      <c r="SBT33" s="165"/>
      <c r="SBU33" s="165"/>
      <c r="SBV33" s="165"/>
      <c r="SBW33" s="165"/>
      <c r="SBX33" s="165"/>
      <c r="SBY33" s="165"/>
      <c r="SBZ33" s="165"/>
      <c r="SCA33" s="165"/>
      <c r="SCB33" s="165"/>
      <c r="SCC33" s="165"/>
      <c r="SCD33" s="165"/>
      <c r="SCE33" s="165"/>
      <c r="SCF33" s="165"/>
      <c r="SCG33" s="165"/>
      <c r="SCH33" s="165"/>
      <c r="SCI33" s="165"/>
      <c r="SCJ33" s="165"/>
      <c r="SCK33" s="165"/>
      <c r="SCL33" s="165"/>
      <c r="SCM33" s="165"/>
      <c r="SCN33" s="165"/>
      <c r="SCO33" s="165"/>
      <c r="SCP33" s="165"/>
      <c r="SCQ33" s="165"/>
      <c r="SCR33" s="165"/>
      <c r="SCS33" s="165"/>
      <c r="SCT33" s="165"/>
      <c r="SCU33" s="165"/>
      <c r="SCV33" s="165"/>
      <c r="SCW33" s="165"/>
      <c r="SCX33" s="165"/>
      <c r="SCY33" s="165"/>
      <c r="SCZ33" s="165"/>
      <c r="SDA33" s="165"/>
      <c r="SDB33" s="165"/>
      <c r="SDC33" s="165"/>
      <c r="SDD33" s="165"/>
      <c r="SDE33" s="165"/>
      <c r="SDF33" s="165"/>
      <c r="SDG33" s="165"/>
      <c r="SDH33" s="165"/>
      <c r="SDI33" s="165"/>
      <c r="SDJ33" s="165"/>
      <c r="SDK33" s="165"/>
      <c r="SDL33" s="165"/>
      <c r="SDM33" s="165"/>
      <c r="SDN33" s="165"/>
      <c r="SDO33" s="165"/>
      <c r="SDP33" s="165"/>
      <c r="SDQ33" s="165"/>
      <c r="SDR33" s="165"/>
      <c r="SDS33" s="165"/>
      <c r="SDT33" s="165"/>
      <c r="SDU33" s="165"/>
      <c r="SDV33" s="165"/>
      <c r="SDW33" s="165"/>
      <c r="SDX33" s="165"/>
      <c r="SDY33" s="165"/>
      <c r="SDZ33" s="165"/>
      <c r="SEA33" s="165"/>
      <c r="SEB33" s="165"/>
      <c r="SEC33" s="165"/>
      <c r="SED33" s="165"/>
      <c r="SEE33" s="165"/>
      <c r="SEF33" s="165"/>
      <c r="SEG33" s="165"/>
      <c r="SEH33" s="165"/>
      <c r="SEI33" s="165"/>
      <c r="SEJ33" s="165"/>
      <c r="SEK33" s="165"/>
      <c r="SEL33" s="165"/>
      <c r="SEM33" s="165"/>
      <c r="SEN33" s="165"/>
      <c r="SEO33" s="165"/>
      <c r="SEP33" s="165"/>
      <c r="SEQ33" s="165"/>
      <c r="SER33" s="165"/>
      <c r="SES33" s="165"/>
      <c r="SET33" s="165"/>
      <c r="SEU33" s="165"/>
      <c r="SEV33" s="165"/>
      <c r="SEW33" s="165"/>
      <c r="SEX33" s="165"/>
      <c r="SEY33" s="165"/>
      <c r="SEZ33" s="165"/>
      <c r="SFA33" s="165"/>
      <c r="SFB33" s="165"/>
      <c r="SFC33" s="165"/>
      <c r="SFD33" s="165"/>
      <c r="SFE33" s="165"/>
      <c r="SFF33" s="165"/>
      <c r="SFG33" s="165"/>
      <c r="SFH33" s="165"/>
      <c r="SFI33" s="165"/>
      <c r="SFJ33" s="165"/>
      <c r="SFK33" s="165"/>
      <c r="SFL33" s="165"/>
      <c r="SFM33" s="165"/>
      <c r="SFN33" s="165"/>
      <c r="SFO33" s="165"/>
      <c r="SFP33" s="165"/>
      <c r="SFQ33" s="165"/>
      <c r="SFR33" s="165"/>
      <c r="SFS33" s="165"/>
      <c r="SFT33" s="165"/>
      <c r="SFU33" s="165"/>
      <c r="SFV33" s="165"/>
      <c r="SFW33" s="165"/>
      <c r="SFX33" s="165"/>
      <c r="SFY33" s="165"/>
      <c r="SFZ33" s="165"/>
      <c r="SGA33" s="165"/>
      <c r="SGB33" s="165"/>
      <c r="SGC33" s="165"/>
      <c r="SGD33" s="165"/>
      <c r="SGE33" s="165"/>
      <c r="SGF33" s="165"/>
      <c r="SGG33" s="165"/>
      <c r="SGH33" s="165"/>
      <c r="SGI33" s="165"/>
      <c r="SGJ33" s="165"/>
      <c r="SGK33" s="165"/>
      <c r="SGL33" s="165"/>
      <c r="SGM33" s="165"/>
      <c r="SGN33" s="165"/>
      <c r="SGO33" s="165"/>
      <c r="SGP33" s="165"/>
      <c r="SGQ33" s="165"/>
      <c r="SGR33" s="165"/>
      <c r="SGS33" s="165"/>
      <c r="SGT33" s="165"/>
      <c r="SGU33" s="165"/>
      <c r="SGV33" s="165"/>
      <c r="SGW33" s="165"/>
      <c r="SGX33" s="165"/>
      <c r="SGY33" s="165"/>
      <c r="SGZ33" s="165"/>
      <c r="SHA33" s="165"/>
      <c r="SHB33" s="165"/>
      <c r="SHC33" s="165"/>
      <c r="SHD33" s="165"/>
      <c r="SHE33" s="165"/>
      <c r="SHF33" s="165"/>
      <c r="SHG33" s="165"/>
      <c r="SHH33" s="165"/>
      <c r="SHI33" s="165"/>
      <c r="SHJ33" s="165"/>
      <c r="SHK33" s="165"/>
      <c r="SHL33" s="165"/>
      <c r="SHM33" s="165"/>
      <c r="SHN33" s="165"/>
      <c r="SHO33" s="165"/>
      <c r="SHP33" s="165"/>
      <c r="SHQ33" s="165"/>
      <c r="SHR33" s="165"/>
      <c r="SHS33" s="165"/>
      <c r="SHT33" s="165"/>
      <c r="SHU33" s="165"/>
      <c r="SHV33" s="165"/>
      <c r="SHW33" s="165"/>
      <c r="SHX33" s="165"/>
      <c r="SHY33" s="165"/>
      <c r="SHZ33" s="165"/>
      <c r="SIA33" s="165"/>
      <c r="SIB33" s="165"/>
      <c r="SIC33" s="165"/>
      <c r="SID33" s="165"/>
      <c r="SIE33" s="165"/>
      <c r="SIF33" s="165"/>
      <c r="SIG33" s="165"/>
      <c r="SIH33" s="165"/>
      <c r="SII33" s="165"/>
      <c r="SIJ33" s="165"/>
      <c r="SIK33" s="165"/>
      <c r="SIL33" s="165"/>
      <c r="SIM33" s="165"/>
      <c r="SIN33" s="165"/>
      <c r="SIO33" s="165"/>
      <c r="SIP33" s="165"/>
      <c r="SIQ33" s="165"/>
      <c r="SIR33" s="165"/>
      <c r="SIS33" s="165"/>
      <c r="SIT33" s="165"/>
      <c r="SIU33" s="165"/>
      <c r="SIV33" s="165"/>
      <c r="SIW33" s="165"/>
      <c r="SIX33" s="165"/>
      <c r="SIY33" s="165"/>
      <c r="SIZ33" s="165"/>
      <c r="SJA33" s="165"/>
      <c r="SJB33" s="165"/>
      <c r="SJC33" s="165"/>
      <c r="SJD33" s="165"/>
      <c r="SJE33" s="165"/>
      <c r="SJF33" s="165"/>
      <c r="SJG33" s="165"/>
      <c r="SJH33" s="165"/>
      <c r="SJI33" s="165"/>
      <c r="SJJ33" s="165"/>
      <c r="SJK33" s="165"/>
      <c r="SJL33" s="165"/>
      <c r="SJM33" s="165"/>
      <c r="SJN33" s="165"/>
      <c r="SJO33" s="165"/>
      <c r="SJP33" s="165"/>
      <c r="SJQ33" s="165"/>
      <c r="SJR33" s="165"/>
      <c r="SJS33" s="165"/>
      <c r="SJT33" s="165"/>
      <c r="SJU33" s="165"/>
      <c r="SJV33" s="165"/>
      <c r="SJW33" s="165"/>
      <c r="SJX33" s="165"/>
      <c r="SJY33" s="165"/>
      <c r="SJZ33" s="165"/>
      <c r="SKA33" s="165"/>
      <c r="SKB33" s="165"/>
      <c r="SKC33" s="165"/>
      <c r="SKD33" s="165"/>
      <c r="SKE33" s="165"/>
      <c r="SKF33" s="165"/>
      <c r="SKG33" s="165"/>
      <c r="SKH33" s="165"/>
      <c r="SKI33" s="165"/>
      <c r="SKJ33" s="165"/>
      <c r="SKK33" s="165"/>
      <c r="SKL33" s="165"/>
      <c r="SKM33" s="165"/>
      <c r="SKN33" s="165"/>
      <c r="SKO33" s="165"/>
      <c r="SKP33" s="165"/>
      <c r="SKQ33" s="165"/>
      <c r="SKR33" s="165"/>
      <c r="SKS33" s="165"/>
      <c r="SKT33" s="165"/>
      <c r="SKU33" s="165"/>
      <c r="SKV33" s="165"/>
      <c r="SKW33" s="165"/>
      <c r="SKX33" s="165"/>
      <c r="SKY33" s="165"/>
      <c r="SKZ33" s="165"/>
      <c r="SLA33" s="165"/>
      <c r="SLB33" s="165"/>
      <c r="SLC33" s="165"/>
      <c r="SLD33" s="165"/>
      <c r="SLE33" s="165"/>
      <c r="SLF33" s="165"/>
      <c r="SLG33" s="165"/>
      <c r="SLH33" s="165"/>
      <c r="SLI33" s="165"/>
      <c r="SLJ33" s="165"/>
      <c r="SLK33" s="165"/>
      <c r="SLL33" s="165"/>
      <c r="SLM33" s="165"/>
      <c r="SLN33" s="165"/>
      <c r="SLO33" s="165"/>
      <c r="SLP33" s="165"/>
      <c r="SLQ33" s="165"/>
      <c r="SLR33" s="165"/>
      <c r="SLS33" s="165"/>
      <c r="SLT33" s="165"/>
      <c r="SLU33" s="165"/>
      <c r="SLV33" s="165"/>
      <c r="SLW33" s="165"/>
      <c r="SLX33" s="165"/>
      <c r="SLY33" s="165"/>
      <c r="SLZ33" s="165"/>
      <c r="SMA33" s="165"/>
      <c r="SMB33" s="165"/>
      <c r="SMC33" s="165"/>
      <c r="SMD33" s="165"/>
      <c r="SME33" s="165"/>
      <c r="SMF33" s="165"/>
      <c r="SMG33" s="165"/>
      <c r="SMH33" s="165"/>
      <c r="SMI33" s="165"/>
      <c r="SMJ33" s="165"/>
      <c r="SMK33" s="165"/>
      <c r="SML33" s="165"/>
      <c r="SMM33" s="165"/>
      <c r="SMN33" s="165"/>
      <c r="SMO33" s="165"/>
      <c r="SMP33" s="165"/>
      <c r="SMQ33" s="165"/>
      <c r="SMR33" s="165"/>
      <c r="SMS33" s="165"/>
      <c r="SMT33" s="165"/>
      <c r="SMU33" s="165"/>
      <c r="SMV33" s="165"/>
      <c r="SMW33" s="165"/>
      <c r="SMX33" s="165"/>
      <c r="SMY33" s="165"/>
      <c r="SMZ33" s="165"/>
      <c r="SNA33" s="165"/>
      <c r="SNB33" s="165"/>
      <c r="SNC33" s="165"/>
      <c r="SND33" s="165"/>
      <c r="SNE33" s="165"/>
      <c r="SNF33" s="165"/>
      <c r="SNG33" s="165"/>
      <c r="SNH33" s="165"/>
      <c r="SNI33" s="165"/>
      <c r="SNJ33" s="165"/>
      <c r="SNK33" s="165"/>
      <c r="SNL33" s="165"/>
      <c r="SNM33" s="165"/>
      <c r="SNN33" s="165"/>
      <c r="SNO33" s="165"/>
      <c r="SNP33" s="165"/>
      <c r="SNQ33" s="165"/>
      <c r="SNR33" s="165"/>
      <c r="SNS33" s="165"/>
      <c r="SNT33" s="165"/>
      <c r="SNU33" s="165"/>
      <c r="SNV33" s="165"/>
      <c r="SNW33" s="165"/>
      <c r="SNX33" s="165"/>
      <c r="SNY33" s="165"/>
      <c r="SNZ33" s="165"/>
      <c r="SOA33" s="165"/>
      <c r="SOB33" s="165"/>
      <c r="SOC33" s="165"/>
      <c r="SOD33" s="165"/>
      <c r="SOE33" s="165"/>
      <c r="SOF33" s="165"/>
      <c r="SOG33" s="165"/>
      <c r="SOH33" s="165"/>
      <c r="SOI33" s="165"/>
      <c r="SOJ33" s="165"/>
      <c r="SOK33" s="165"/>
      <c r="SOL33" s="165"/>
      <c r="SOM33" s="165"/>
      <c r="SON33" s="165"/>
      <c r="SOO33" s="165"/>
      <c r="SOP33" s="165"/>
      <c r="SOQ33" s="165"/>
      <c r="SOR33" s="165"/>
      <c r="SOS33" s="165"/>
      <c r="SOT33" s="165"/>
      <c r="SOU33" s="165"/>
      <c r="SOV33" s="165"/>
      <c r="SOW33" s="165"/>
      <c r="SOX33" s="165"/>
      <c r="SOY33" s="165"/>
      <c r="SOZ33" s="165"/>
      <c r="SPA33" s="165"/>
      <c r="SPB33" s="165"/>
      <c r="SPC33" s="165"/>
      <c r="SPD33" s="165"/>
      <c r="SPE33" s="165"/>
      <c r="SPF33" s="165"/>
      <c r="SPG33" s="165"/>
      <c r="SPH33" s="165"/>
      <c r="SPI33" s="165"/>
      <c r="SPJ33" s="165"/>
      <c r="SPK33" s="165"/>
      <c r="SPL33" s="165"/>
      <c r="SPM33" s="165"/>
      <c r="SPN33" s="165"/>
      <c r="SPO33" s="165"/>
      <c r="SPP33" s="165"/>
      <c r="SPQ33" s="165"/>
      <c r="SPR33" s="165"/>
      <c r="SPS33" s="165"/>
      <c r="SPT33" s="165"/>
      <c r="SPU33" s="165"/>
      <c r="SPV33" s="165"/>
      <c r="SPW33" s="165"/>
      <c r="SPX33" s="165"/>
      <c r="SPY33" s="165"/>
      <c r="SPZ33" s="165"/>
      <c r="SQA33" s="165"/>
      <c r="SQB33" s="165"/>
      <c r="SQC33" s="165"/>
      <c r="SQD33" s="165"/>
      <c r="SQE33" s="165"/>
      <c r="SQF33" s="165"/>
      <c r="SQG33" s="165"/>
      <c r="SQH33" s="165"/>
      <c r="SQI33" s="165"/>
      <c r="SQJ33" s="165"/>
      <c r="SQK33" s="165"/>
      <c r="SQL33" s="165"/>
      <c r="SQM33" s="165"/>
      <c r="SQN33" s="165"/>
      <c r="SQO33" s="165"/>
      <c r="SQP33" s="165"/>
      <c r="SQQ33" s="165"/>
      <c r="SQR33" s="165"/>
      <c r="SQS33" s="165"/>
      <c r="SQT33" s="165"/>
      <c r="SQU33" s="165"/>
      <c r="SQV33" s="165"/>
      <c r="SQW33" s="165"/>
      <c r="SQX33" s="165"/>
      <c r="SQY33" s="165"/>
      <c r="SQZ33" s="165"/>
      <c r="SRA33" s="165"/>
      <c r="SRB33" s="165"/>
      <c r="SRC33" s="165"/>
      <c r="SRD33" s="165"/>
      <c r="SRE33" s="165"/>
      <c r="SRF33" s="165"/>
      <c r="SRG33" s="165"/>
      <c r="SRH33" s="165"/>
      <c r="SRI33" s="165"/>
      <c r="SRJ33" s="165"/>
      <c r="SRK33" s="165"/>
      <c r="SRL33" s="165"/>
      <c r="SRM33" s="165"/>
      <c r="SRN33" s="165"/>
      <c r="SRO33" s="165"/>
      <c r="SRP33" s="165"/>
      <c r="SRQ33" s="165"/>
      <c r="SRR33" s="165"/>
      <c r="SRS33" s="165"/>
      <c r="SRT33" s="165"/>
      <c r="SRU33" s="165"/>
      <c r="SRV33" s="165"/>
      <c r="SRW33" s="165"/>
      <c r="SRX33" s="165"/>
      <c r="SRY33" s="165"/>
      <c r="SRZ33" s="165"/>
      <c r="SSA33" s="165"/>
      <c r="SSB33" s="165"/>
      <c r="SSC33" s="165"/>
      <c r="SSD33" s="165"/>
      <c r="SSE33" s="165"/>
      <c r="SSF33" s="165"/>
      <c r="SSG33" s="165"/>
      <c r="SSH33" s="165"/>
      <c r="SSI33" s="165"/>
      <c r="SSJ33" s="165"/>
      <c r="SSK33" s="165"/>
      <c r="SSL33" s="165"/>
      <c r="SSM33" s="165"/>
      <c r="SSN33" s="165"/>
      <c r="SSO33" s="165"/>
      <c r="SSP33" s="165"/>
      <c r="SSQ33" s="165"/>
      <c r="SSR33" s="165"/>
      <c r="SSS33" s="165"/>
      <c r="SST33" s="165"/>
      <c r="SSU33" s="165"/>
      <c r="SSV33" s="165"/>
      <c r="SSW33" s="165"/>
      <c r="SSX33" s="165"/>
      <c r="SSY33" s="165"/>
      <c r="SSZ33" s="165"/>
      <c r="STA33" s="165"/>
      <c r="STB33" s="165"/>
      <c r="STC33" s="165"/>
      <c r="STD33" s="165"/>
      <c r="STE33" s="165"/>
      <c r="STF33" s="165"/>
      <c r="STG33" s="165"/>
      <c r="STH33" s="165"/>
      <c r="STI33" s="165"/>
      <c r="STJ33" s="165"/>
      <c r="STK33" s="165"/>
      <c r="STL33" s="165"/>
      <c r="STM33" s="165"/>
      <c r="STN33" s="165"/>
      <c r="STO33" s="165"/>
      <c r="STP33" s="165"/>
      <c r="STQ33" s="165"/>
      <c r="STR33" s="165"/>
      <c r="STS33" s="165"/>
      <c r="STT33" s="165"/>
      <c r="STU33" s="165"/>
      <c r="STV33" s="165"/>
      <c r="STW33" s="165"/>
      <c r="STX33" s="165"/>
      <c r="STY33" s="165"/>
      <c r="STZ33" s="165"/>
      <c r="SUA33" s="165"/>
      <c r="SUB33" s="165"/>
      <c r="SUC33" s="165"/>
      <c r="SUD33" s="165"/>
      <c r="SUE33" s="165"/>
      <c r="SUF33" s="165"/>
      <c r="SUG33" s="165"/>
      <c r="SUH33" s="165"/>
      <c r="SUI33" s="165"/>
      <c r="SUJ33" s="165"/>
      <c r="SUK33" s="165"/>
      <c r="SUL33" s="165"/>
      <c r="SUM33" s="165"/>
      <c r="SUN33" s="165"/>
      <c r="SUO33" s="165"/>
      <c r="SUP33" s="165"/>
      <c r="SUQ33" s="165"/>
      <c r="SUR33" s="165"/>
      <c r="SUS33" s="165"/>
      <c r="SUT33" s="165"/>
      <c r="SUU33" s="165"/>
      <c r="SUV33" s="165"/>
      <c r="SUW33" s="165"/>
      <c r="SUX33" s="165"/>
      <c r="SUY33" s="165"/>
      <c r="SUZ33" s="165"/>
      <c r="SVA33" s="165"/>
      <c r="SVB33" s="165"/>
      <c r="SVC33" s="165"/>
      <c r="SVD33" s="165"/>
      <c r="SVE33" s="165"/>
      <c r="SVF33" s="165"/>
      <c r="SVG33" s="165"/>
      <c r="SVH33" s="165"/>
      <c r="SVI33" s="165"/>
      <c r="SVJ33" s="165"/>
      <c r="SVK33" s="165"/>
      <c r="SVL33" s="165"/>
      <c r="SVM33" s="165"/>
      <c r="SVN33" s="165"/>
      <c r="SVO33" s="165"/>
      <c r="SVP33" s="165"/>
      <c r="SVQ33" s="165"/>
      <c r="SVR33" s="165"/>
      <c r="SVS33" s="165"/>
      <c r="SVT33" s="165"/>
      <c r="SVU33" s="165"/>
      <c r="SVV33" s="165"/>
      <c r="SVW33" s="165"/>
      <c r="SVX33" s="165"/>
      <c r="SVY33" s="165"/>
      <c r="SVZ33" s="165"/>
      <c r="SWA33" s="165"/>
      <c r="SWB33" s="165"/>
      <c r="SWC33" s="165"/>
      <c r="SWD33" s="165"/>
      <c r="SWE33" s="165"/>
      <c r="SWF33" s="165"/>
      <c r="SWG33" s="165"/>
      <c r="SWH33" s="165"/>
      <c r="SWI33" s="165"/>
      <c r="SWJ33" s="165"/>
      <c r="SWK33" s="165"/>
      <c r="SWL33" s="165"/>
      <c r="SWM33" s="165"/>
      <c r="SWN33" s="165"/>
      <c r="SWO33" s="165"/>
      <c r="SWP33" s="165"/>
      <c r="SWQ33" s="165"/>
      <c r="SWR33" s="165"/>
      <c r="SWS33" s="165"/>
      <c r="SWT33" s="165"/>
      <c r="SWU33" s="165"/>
      <c r="SWV33" s="165"/>
      <c r="SWW33" s="165"/>
      <c r="SWX33" s="165"/>
      <c r="SWY33" s="165"/>
      <c r="SWZ33" s="165"/>
      <c r="SXA33" s="165"/>
      <c r="SXB33" s="165"/>
      <c r="SXC33" s="165"/>
      <c r="SXD33" s="165"/>
      <c r="SXE33" s="165"/>
      <c r="SXF33" s="165"/>
      <c r="SXG33" s="165"/>
      <c r="SXH33" s="165"/>
      <c r="SXI33" s="165"/>
      <c r="SXJ33" s="165"/>
      <c r="SXK33" s="165"/>
      <c r="SXL33" s="165"/>
      <c r="SXM33" s="165"/>
      <c r="SXN33" s="165"/>
      <c r="SXO33" s="165"/>
      <c r="SXP33" s="165"/>
      <c r="SXQ33" s="165"/>
      <c r="SXR33" s="165"/>
      <c r="SXS33" s="165"/>
      <c r="SXT33" s="165"/>
      <c r="SXU33" s="165"/>
      <c r="SXV33" s="165"/>
      <c r="SXW33" s="165"/>
      <c r="SXX33" s="165"/>
      <c r="SXY33" s="165"/>
      <c r="SXZ33" s="165"/>
      <c r="SYA33" s="165"/>
      <c r="SYB33" s="165"/>
      <c r="SYC33" s="165"/>
      <c r="SYD33" s="165"/>
      <c r="SYE33" s="165"/>
      <c r="SYF33" s="165"/>
      <c r="SYG33" s="165"/>
      <c r="SYH33" s="165"/>
      <c r="SYI33" s="165"/>
      <c r="SYJ33" s="165"/>
      <c r="SYK33" s="165"/>
      <c r="SYL33" s="165"/>
      <c r="SYM33" s="165"/>
      <c r="SYN33" s="165"/>
      <c r="SYO33" s="165"/>
      <c r="SYP33" s="165"/>
      <c r="SYQ33" s="165"/>
      <c r="SYR33" s="165"/>
      <c r="SYS33" s="165"/>
      <c r="SYT33" s="165"/>
      <c r="SYU33" s="165"/>
      <c r="SYV33" s="165"/>
      <c r="SYW33" s="165"/>
      <c r="SYX33" s="165"/>
      <c r="SYY33" s="165"/>
      <c r="SYZ33" s="165"/>
      <c r="SZA33" s="165"/>
      <c r="SZB33" s="165"/>
      <c r="SZC33" s="165"/>
      <c r="SZD33" s="165"/>
      <c r="SZE33" s="165"/>
      <c r="SZF33" s="165"/>
      <c r="SZG33" s="165"/>
      <c r="SZH33" s="165"/>
      <c r="SZI33" s="165"/>
      <c r="SZJ33" s="165"/>
      <c r="SZK33" s="165"/>
      <c r="SZL33" s="165"/>
      <c r="SZM33" s="165"/>
      <c r="SZN33" s="165"/>
      <c r="SZO33" s="165"/>
      <c r="SZP33" s="165"/>
      <c r="SZQ33" s="165"/>
      <c r="SZR33" s="165"/>
      <c r="SZS33" s="165"/>
      <c r="SZT33" s="165"/>
      <c r="SZU33" s="165"/>
      <c r="SZV33" s="165"/>
      <c r="SZW33" s="165"/>
      <c r="SZX33" s="165"/>
      <c r="SZY33" s="165"/>
      <c r="SZZ33" s="165"/>
      <c r="TAA33" s="165"/>
      <c r="TAB33" s="165"/>
      <c r="TAC33" s="165"/>
      <c r="TAD33" s="165"/>
      <c r="TAE33" s="165"/>
      <c r="TAF33" s="165"/>
      <c r="TAG33" s="165"/>
      <c r="TAH33" s="165"/>
      <c r="TAI33" s="165"/>
      <c r="TAJ33" s="165"/>
      <c r="TAK33" s="165"/>
      <c r="TAL33" s="165"/>
      <c r="TAM33" s="165"/>
      <c r="TAN33" s="165"/>
      <c r="TAO33" s="165"/>
      <c r="TAP33" s="165"/>
      <c r="TAQ33" s="165"/>
      <c r="TAR33" s="165"/>
      <c r="TAS33" s="165"/>
      <c r="TAT33" s="165"/>
      <c r="TAU33" s="165"/>
      <c r="TAV33" s="165"/>
      <c r="TAW33" s="165"/>
      <c r="TAX33" s="165"/>
      <c r="TAY33" s="165"/>
      <c r="TAZ33" s="165"/>
      <c r="TBA33" s="165"/>
      <c r="TBB33" s="165"/>
      <c r="TBC33" s="165"/>
      <c r="TBD33" s="165"/>
      <c r="TBE33" s="165"/>
      <c r="TBF33" s="165"/>
      <c r="TBG33" s="165"/>
      <c r="TBH33" s="165"/>
      <c r="TBI33" s="165"/>
      <c r="TBJ33" s="165"/>
      <c r="TBK33" s="165"/>
      <c r="TBL33" s="165"/>
      <c r="TBM33" s="165"/>
      <c r="TBN33" s="165"/>
      <c r="TBO33" s="165"/>
      <c r="TBP33" s="165"/>
      <c r="TBQ33" s="165"/>
      <c r="TBR33" s="165"/>
      <c r="TBS33" s="165"/>
      <c r="TBT33" s="165"/>
      <c r="TBU33" s="165"/>
      <c r="TBV33" s="165"/>
      <c r="TBW33" s="165"/>
      <c r="TBX33" s="165"/>
      <c r="TBY33" s="165"/>
      <c r="TBZ33" s="165"/>
      <c r="TCA33" s="165"/>
      <c r="TCB33" s="165"/>
      <c r="TCC33" s="165"/>
      <c r="TCD33" s="165"/>
      <c r="TCE33" s="165"/>
      <c r="TCF33" s="165"/>
      <c r="TCG33" s="165"/>
      <c r="TCH33" s="165"/>
      <c r="TCI33" s="165"/>
      <c r="TCJ33" s="165"/>
      <c r="TCK33" s="165"/>
      <c r="TCL33" s="165"/>
      <c r="TCM33" s="165"/>
      <c r="TCN33" s="165"/>
      <c r="TCO33" s="165"/>
      <c r="TCP33" s="165"/>
      <c r="TCQ33" s="165"/>
      <c r="TCR33" s="165"/>
      <c r="TCS33" s="165"/>
      <c r="TCT33" s="165"/>
      <c r="TCU33" s="165"/>
      <c r="TCV33" s="165"/>
      <c r="TCW33" s="165"/>
      <c r="TCX33" s="165"/>
      <c r="TCY33" s="165"/>
      <c r="TCZ33" s="165"/>
      <c r="TDA33" s="165"/>
      <c r="TDB33" s="165"/>
      <c r="TDC33" s="165"/>
      <c r="TDD33" s="165"/>
      <c r="TDE33" s="165"/>
      <c r="TDF33" s="165"/>
      <c r="TDG33" s="165"/>
      <c r="TDH33" s="165"/>
      <c r="TDI33" s="165"/>
      <c r="TDJ33" s="165"/>
      <c r="TDK33" s="165"/>
      <c r="TDL33" s="165"/>
      <c r="TDM33" s="165"/>
      <c r="TDN33" s="165"/>
      <c r="TDO33" s="165"/>
      <c r="TDP33" s="165"/>
      <c r="TDQ33" s="165"/>
      <c r="TDR33" s="165"/>
      <c r="TDS33" s="165"/>
      <c r="TDT33" s="165"/>
      <c r="TDU33" s="165"/>
      <c r="TDV33" s="165"/>
      <c r="TDW33" s="165"/>
      <c r="TDX33" s="165"/>
      <c r="TDY33" s="165"/>
      <c r="TDZ33" s="165"/>
      <c r="TEA33" s="165"/>
      <c r="TEB33" s="165"/>
      <c r="TEC33" s="165"/>
      <c r="TED33" s="165"/>
      <c r="TEE33" s="165"/>
      <c r="TEF33" s="165"/>
      <c r="TEG33" s="165"/>
      <c r="TEH33" s="165"/>
      <c r="TEI33" s="165"/>
      <c r="TEJ33" s="165"/>
      <c r="TEK33" s="165"/>
      <c r="TEL33" s="165"/>
      <c r="TEM33" s="165"/>
      <c r="TEN33" s="165"/>
      <c r="TEO33" s="165"/>
      <c r="TEP33" s="165"/>
      <c r="TEQ33" s="165"/>
      <c r="TER33" s="165"/>
      <c r="TES33" s="165"/>
      <c r="TET33" s="165"/>
      <c r="TEU33" s="165"/>
      <c r="TEV33" s="165"/>
      <c r="TEW33" s="165"/>
      <c r="TEX33" s="165"/>
      <c r="TEY33" s="165"/>
      <c r="TEZ33" s="165"/>
      <c r="TFA33" s="165"/>
      <c r="TFB33" s="165"/>
      <c r="TFC33" s="165"/>
      <c r="TFD33" s="165"/>
      <c r="TFE33" s="165"/>
      <c r="TFF33" s="165"/>
      <c r="TFG33" s="165"/>
      <c r="TFH33" s="165"/>
      <c r="TFI33" s="165"/>
      <c r="TFJ33" s="165"/>
      <c r="TFK33" s="165"/>
      <c r="TFL33" s="165"/>
      <c r="TFM33" s="165"/>
      <c r="TFN33" s="165"/>
      <c r="TFO33" s="165"/>
      <c r="TFP33" s="165"/>
      <c r="TFQ33" s="165"/>
      <c r="TFR33" s="165"/>
      <c r="TFS33" s="165"/>
      <c r="TFT33" s="165"/>
      <c r="TFU33" s="165"/>
      <c r="TFV33" s="165"/>
      <c r="TFW33" s="165"/>
      <c r="TFX33" s="165"/>
      <c r="TFY33" s="165"/>
      <c r="TFZ33" s="165"/>
      <c r="TGA33" s="165"/>
      <c r="TGB33" s="165"/>
      <c r="TGC33" s="165"/>
      <c r="TGD33" s="165"/>
      <c r="TGE33" s="165"/>
      <c r="TGF33" s="165"/>
      <c r="TGG33" s="165"/>
      <c r="TGH33" s="165"/>
      <c r="TGI33" s="165"/>
      <c r="TGJ33" s="165"/>
      <c r="TGK33" s="165"/>
      <c r="TGL33" s="165"/>
      <c r="TGM33" s="165"/>
      <c r="TGN33" s="165"/>
      <c r="TGO33" s="165"/>
      <c r="TGP33" s="165"/>
      <c r="TGQ33" s="165"/>
      <c r="TGR33" s="165"/>
      <c r="TGS33" s="165"/>
      <c r="TGT33" s="165"/>
      <c r="TGU33" s="165"/>
      <c r="TGV33" s="165"/>
      <c r="TGW33" s="165"/>
      <c r="TGX33" s="165"/>
      <c r="TGY33" s="165"/>
      <c r="TGZ33" s="165"/>
      <c r="THA33" s="165"/>
      <c r="THB33" s="165"/>
      <c r="THC33" s="165"/>
      <c r="THD33" s="165"/>
      <c r="THE33" s="165"/>
      <c r="THF33" s="165"/>
      <c r="THG33" s="165"/>
      <c r="THH33" s="165"/>
      <c r="THI33" s="165"/>
      <c r="THJ33" s="165"/>
      <c r="THK33" s="165"/>
      <c r="THL33" s="165"/>
      <c r="THM33" s="165"/>
      <c r="THN33" s="165"/>
      <c r="THO33" s="165"/>
      <c r="THP33" s="165"/>
      <c r="THQ33" s="165"/>
      <c r="THR33" s="165"/>
      <c r="THS33" s="165"/>
      <c r="THT33" s="165"/>
      <c r="THU33" s="165"/>
      <c r="THV33" s="165"/>
      <c r="THW33" s="165"/>
      <c r="THX33" s="165"/>
      <c r="THY33" s="165"/>
      <c r="THZ33" s="165"/>
      <c r="TIA33" s="165"/>
      <c r="TIB33" s="165"/>
      <c r="TIC33" s="165"/>
      <c r="TID33" s="165"/>
      <c r="TIE33" s="165"/>
      <c r="TIF33" s="165"/>
      <c r="TIG33" s="165"/>
      <c r="TIH33" s="165"/>
      <c r="TII33" s="165"/>
      <c r="TIJ33" s="165"/>
      <c r="TIK33" s="165"/>
      <c r="TIL33" s="165"/>
      <c r="TIM33" s="165"/>
      <c r="TIN33" s="165"/>
      <c r="TIO33" s="165"/>
      <c r="TIP33" s="165"/>
      <c r="TIQ33" s="165"/>
      <c r="TIR33" s="165"/>
      <c r="TIS33" s="165"/>
      <c r="TIT33" s="165"/>
      <c r="TIU33" s="165"/>
      <c r="TIV33" s="165"/>
      <c r="TIW33" s="165"/>
      <c r="TIX33" s="165"/>
      <c r="TIY33" s="165"/>
      <c r="TIZ33" s="165"/>
      <c r="TJA33" s="165"/>
      <c r="TJB33" s="165"/>
      <c r="TJC33" s="165"/>
      <c r="TJD33" s="165"/>
      <c r="TJE33" s="165"/>
      <c r="TJF33" s="165"/>
      <c r="TJG33" s="165"/>
      <c r="TJH33" s="165"/>
      <c r="TJI33" s="165"/>
      <c r="TJJ33" s="165"/>
      <c r="TJK33" s="165"/>
      <c r="TJL33" s="165"/>
      <c r="TJM33" s="165"/>
      <c r="TJN33" s="165"/>
      <c r="TJO33" s="165"/>
      <c r="TJP33" s="165"/>
      <c r="TJQ33" s="165"/>
      <c r="TJR33" s="165"/>
      <c r="TJS33" s="165"/>
      <c r="TJT33" s="165"/>
      <c r="TJU33" s="165"/>
      <c r="TJV33" s="165"/>
      <c r="TJW33" s="165"/>
      <c r="TJX33" s="165"/>
      <c r="TJY33" s="165"/>
      <c r="TJZ33" s="165"/>
      <c r="TKA33" s="165"/>
      <c r="TKB33" s="165"/>
      <c r="TKC33" s="165"/>
      <c r="TKD33" s="165"/>
      <c r="TKE33" s="165"/>
      <c r="TKF33" s="165"/>
      <c r="TKG33" s="165"/>
      <c r="TKH33" s="165"/>
      <c r="TKI33" s="165"/>
      <c r="TKJ33" s="165"/>
      <c r="TKK33" s="165"/>
      <c r="TKL33" s="165"/>
      <c r="TKM33" s="165"/>
      <c r="TKN33" s="165"/>
      <c r="TKO33" s="165"/>
      <c r="TKP33" s="165"/>
      <c r="TKQ33" s="165"/>
      <c r="TKR33" s="165"/>
      <c r="TKS33" s="165"/>
      <c r="TKT33" s="165"/>
      <c r="TKU33" s="165"/>
      <c r="TKV33" s="165"/>
      <c r="TKW33" s="165"/>
      <c r="TKX33" s="165"/>
      <c r="TKY33" s="165"/>
      <c r="TKZ33" s="165"/>
      <c r="TLA33" s="165"/>
      <c r="TLB33" s="165"/>
      <c r="TLC33" s="165"/>
      <c r="TLD33" s="165"/>
      <c r="TLE33" s="165"/>
      <c r="TLF33" s="165"/>
      <c r="TLG33" s="165"/>
      <c r="TLH33" s="165"/>
      <c r="TLI33" s="165"/>
      <c r="TLJ33" s="165"/>
      <c r="TLK33" s="165"/>
      <c r="TLL33" s="165"/>
      <c r="TLM33" s="165"/>
      <c r="TLN33" s="165"/>
      <c r="TLO33" s="165"/>
      <c r="TLP33" s="165"/>
      <c r="TLQ33" s="165"/>
      <c r="TLR33" s="165"/>
      <c r="TLS33" s="165"/>
      <c r="TLT33" s="165"/>
      <c r="TLU33" s="165"/>
      <c r="TLV33" s="165"/>
      <c r="TLW33" s="165"/>
      <c r="TLX33" s="165"/>
      <c r="TLY33" s="165"/>
      <c r="TLZ33" s="165"/>
      <c r="TMA33" s="165"/>
      <c r="TMB33" s="165"/>
      <c r="TMC33" s="165"/>
      <c r="TMD33" s="165"/>
      <c r="TME33" s="165"/>
      <c r="TMF33" s="165"/>
      <c r="TMG33" s="165"/>
      <c r="TMH33" s="165"/>
      <c r="TMI33" s="165"/>
      <c r="TMJ33" s="165"/>
      <c r="TMK33" s="165"/>
      <c r="TML33" s="165"/>
      <c r="TMM33" s="165"/>
      <c r="TMN33" s="165"/>
      <c r="TMO33" s="165"/>
      <c r="TMP33" s="165"/>
      <c r="TMQ33" s="165"/>
      <c r="TMR33" s="165"/>
      <c r="TMS33" s="165"/>
      <c r="TMT33" s="165"/>
      <c r="TMU33" s="165"/>
      <c r="TMV33" s="165"/>
      <c r="TMW33" s="165"/>
      <c r="TMX33" s="165"/>
      <c r="TMY33" s="165"/>
      <c r="TMZ33" s="165"/>
      <c r="TNA33" s="165"/>
      <c r="TNB33" s="165"/>
      <c r="TNC33" s="165"/>
      <c r="TND33" s="165"/>
      <c r="TNE33" s="165"/>
      <c r="TNF33" s="165"/>
      <c r="TNG33" s="165"/>
      <c r="TNH33" s="165"/>
      <c r="TNI33" s="165"/>
      <c r="TNJ33" s="165"/>
      <c r="TNK33" s="165"/>
      <c r="TNL33" s="165"/>
      <c r="TNM33" s="165"/>
      <c r="TNN33" s="165"/>
      <c r="TNO33" s="165"/>
      <c r="TNP33" s="165"/>
      <c r="TNQ33" s="165"/>
      <c r="TNR33" s="165"/>
      <c r="TNS33" s="165"/>
      <c r="TNT33" s="165"/>
      <c r="TNU33" s="165"/>
      <c r="TNV33" s="165"/>
      <c r="TNW33" s="165"/>
      <c r="TNX33" s="165"/>
      <c r="TNY33" s="165"/>
      <c r="TNZ33" s="165"/>
      <c r="TOA33" s="165"/>
      <c r="TOB33" s="165"/>
      <c r="TOC33" s="165"/>
      <c r="TOD33" s="165"/>
      <c r="TOE33" s="165"/>
      <c r="TOF33" s="165"/>
      <c r="TOG33" s="165"/>
      <c r="TOH33" s="165"/>
      <c r="TOI33" s="165"/>
      <c r="TOJ33" s="165"/>
      <c r="TOK33" s="165"/>
      <c r="TOL33" s="165"/>
      <c r="TOM33" s="165"/>
      <c r="TON33" s="165"/>
      <c r="TOO33" s="165"/>
      <c r="TOP33" s="165"/>
      <c r="TOQ33" s="165"/>
      <c r="TOR33" s="165"/>
      <c r="TOS33" s="165"/>
      <c r="TOT33" s="165"/>
      <c r="TOU33" s="165"/>
      <c r="TOV33" s="165"/>
      <c r="TOW33" s="165"/>
      <c r="TOX33" s="165"/>
      <c r="TOY33" s="165"/>
      <c r="TOZ33" s="165"/>
      <c r="TPA33" s="165"/>
      <c r="TPB33" s="165"/>
      <c r="TPC33" s="165"/>
      <c r="TPD33" s="165"/>
      <c r="TPE33" s="165"/>
      <c r="TPF33" s="165"/>
      <c r="TPG33" s="165"/>
      <c r="TPH33" s="165"/>
      <c r="TPI33" s="165"/>
      <c r="TPJ33" s="165"/>
      <c r="TPK33" s="165"/>
      <c r="TPL33" s="165"/>
      <c r="TPM33" s="165"/>
      <c r="TPN33" s="165"/>
      <c r="TPO33" s="165"/>
      <c r="TPP33" s="165"/>
      <c r="TPQ33" s="165"/>
      <c r="TPR33" s="165"/>
      <c r="TPS33" s="165"/>
      <c r="TPT33" s="165"/>
      <c r="TPU33" s="165"/>
      <c r="TPV33" s="165"/>
      <c r="TPW33" s="165"/>
      <c r="TPX33" s="165"/>
      <c r="TPY33" s="165"/>
      <c r="TPZ33" s="165"/>
      <c r="TQA33" s="165"/>
      <c r="TQB33" s="165"/>
      <c r="TQC33" s="165"/>
      <c r="TQD33" s="165"/>
      <c r="TQE33" s="165"/>
      <c r="TQF33" s="165"/>
      <c r="TQG33" s="165"/>
      <c r="TQH33" s="165"/>
      <c r="TQI33" s="165"/>
      <c r="TQJ33" s="165"/>
      <c r="TQK33" s="165"/>
      <c r="TQL33" s="165"/>
      <c r="TQM33" s="165"/>
      <c r="TQN33" s="165"/>
      <c r="TQO33" s="165"/>
      <c r="TQP33" s="165"/>
      <c r="TQQ33" s="165"/>
      <c r="TQR33" s="165"/>
      <c r="TQS33" s="165"/>
      <c r="TQT33" s="165"/>
      <c r="TQU33" s="165"/>
      <c r="TQV33" s="165"/>
      <c r="TQW33" s="165"/>
      <c r="TQX33" s="165"/>
      <c r="TQY33" s="165"/>
      <c r="TQZ33" s="165"/>
      <c r="TRA33" s="165"/>
      <c r="TRB33" s="165"/>
      <c r="TRC33" s="165"/>
      <c r="TRD33" s="165"/>
      <c r="TRE33" s="165"/>
      <c r="TRF33" s="165"/>
      <c r="TRG33" s="165"/>
      <c r="TRH33" s="165"/>
      <c r="TRI33" s="165"/>
      <c r="TRJ33" s="165"/>
      <c r="TRK33" s="165"/>
      <c r="TRL33" s="165"/>
      <c r="TRM33" s="165"/>
      <c r="TRN33" s="165"/>
      <c r="TRO33" s="165"/>
      <c r="TRP33" s="165"/>
      <c r="TRQ33" s="165"/>
      <c r="TRR33" s="165"/>
      <c r="TRS33" s="165"/>
      <c r="TRT33" s="165"/>
      <c r="TRU33" s="165"/>
      <c r="TRV33" s="165"/>
      <c r="TRW33" s="165"/>
      <c r="TRX33" s="165"/>
      <c r="TRY33" s="165"/>
      <c r="TRZ33" s="165"/>
      <c r="TSA33" s="165"/>
      <c r="TSB33" s="165"/>
      <c r="TSC33" s="165"/>
      <c r="TSD33" s="165"/>
      <c r="TSE33" s="165"/>
      <c r="TSF33" s="165"/>
      <c r="TSG33" s="165"/>
      <c r="TSH33" s="165"/>
      <c r="TSI33" s="165"/>
      <c r="TSJ33" s="165"/>
      <c r="TSK33" s="165"/>
      <c r="TSL33" s="165"/>
      <c r="TSM33" s="165"/>
      <c r="TSN33" s="165"/>
      <c r="TSO33" s="165"/>
      <c r="TSP33" s="165"/>
      <c r="TSQ33" s="165"/>
      <c r="TSR33" s="165"/>
      <c r="TSS33" s="165"/>
      <c r="TST33" s="165"/>
      <c r="TSU33" s="165"/>
      <c r="TSV33" s="165"/>
      <c r="TSW33" s="165"/>
      <c r="TSX33" s="165"/>
      <c r="TSY33" s="165"/>
      <c r="TSZ33" s="165"/>
      <c r="TTA33" s="165"/>
      <c r="TTB33" s="165"/>
      <c r="TTC33" s="165"/>
      <c r="TTD33" s="165"/>
      <c r="TTE33" s="165"/>
      <c r="TTF33" s="165"/>
      <c r="TTG33" s="165"/>
      <c r="TTH33" s="165"/>
      <c r="TTI33" s="165"/>
      <c r="TTJ33" s="165"/>
      <c r="TTK33" s="165"/>
      <c r="TTL33" s="165"/>
      <c r="TTM33" s="165"/>
      <c r="TTN33" s="165"/>
      <c r="TTO33" s="165"/>
      <c r="TTP33" s="165"/>
      <c r="TTQ33" s="165"/>
      <c r="TTR33" s="165"/>
      <c r="TTS33" s="165"/>
      <c r="TTT33" s="165"/>
      <c r="TTU33" s="165"/>
      <c r="TTV33" s="165"/>
      <c r="TTW33" s="165"/>
      <c r="TTX33" s="165"/>
      <c r="TTY33" s="165"/>
      <c r="TTZ33" s="165"/>
      <c r="TUA33" s="165"/>
      <c r="TUB33" s="165"/>
      <c r="TUC33" s="165"/>
      <c r="TUD33" s="165"/>
      <c r="TUE33" s="165"/>
      <c r="TUF33" s="165"/>
      <c r="TUG33" s="165"/>
      <c r="TUH33" s="165"/>
      <c r="TUI33" s="165"/>
      <c r="TUJ33" s="165"/>
      <c r="TUK33" s="165"/>
      <c r="TUL33" s="165"/>
      <c r="TUM33" s="165"/>
      <c r="TUN33" s="165"/>
      <c r="TUO33" s="165"/>
      <c r="TUP33" s="165"/>
      <c r="TUQ33" s="165"/>
      <c r="TUR33" s="165"/>
      <c r="TUS33" s="165"/>
      <c r="TUT33" s="165"/>
      <c r="TUU33" s="165"/>
      <c r="TUV33" s="165"/>
      <c r="TUW33" s="165"/>
      <c r="TUX33" s="165"/>
      <c r="TUY33" s="165"/>
      <c r="TUZ33" s="165"/>
      <c r="TVA33" s="165"/>
      <c r="TVB33" s="165"/>
      <c r="TVC33" s="165"/>
      <c r="TVD33" s="165"/>
      <c r="TVE33" s="165"/>
      <c r="TVF33" s="165"/>
      <c r="TVG33" s="165"/>
      <c r="TVH33" s="165"/>
      <c r="TVI33" s="165"/>
      <c r="TVJ33" s="165"/>
      <c r="TVK33" s="165"/>
      <c r="TVL33" s="165"/>
      <c r="TVM33" s="165"/>
      <c r="TVN33" s="165"/>
      <c r="TVO33" s="165"/>
      <c r="TVP33" s="165"/>
      <c r="TVQ33" s="165"/>
      <c r="TVR33" s="165"/>
      <c r="TVS33" s="165"/>
      <c r="TVT33" s="165"/>
      <c r="TVU33" s="165"/>
      <c r="TVV33" s="165"/>
      <c r="TVW33" s="165"/>
      <c r="TVX33" s="165"/>
      <c r="TVY33" s="165"/>
      <c r="TVZ33" s="165"/>
      <c r="TWA33" s="165"/>
      <c r="TWB33" s="165"/>
      <c r="TWC33" s="165"/>
      <c r="TWD33" s="165"/>
      <c r="TWE33" s="165"/>
      <c r="TWF33" s="165"/>
      <c r="TWG33" s="165"/>
      <c r="TWH33" s="165"/>
      <c r="TWI33" s="165"/>
      <c r="TWJ33" s="165"/>
      <c r="TWK33" s="165"/>
      <c r="TWL33" s="165"/>
      <c r="TWM33" s="165"/>
      <c r="TWN33" s="165"/>
      <c r="TWO33" s="165"/>
      <c r="TWP33" s="165"/>
      <c r="TWQ33" s="165"/>
      <c r="TWR33" s="165"/>
      <c r="TWS33" s="165"/>
      <c r="TWT33" s="165"/>
      <c r="TWU33" s="165"/>
      <c r="TWV33" s="165"/>
      <c r="TWW33" s="165"/>
      <c r="TWX33" s="165"/>
      <c r="TWY33" s="165"/>
      <c r="TWZ33" s="165"/>
      <c r="TXA33" s="165"/>
      <c r="TXB33" s="165"/>
      <c r="TXC33" s="165"/>
      <c r="TXD33" s="165"/>
      <c r="TXE33" s="165"/>
      <c r="TXF33" s="165"/>
      <c r="TXG33" s="165"/>
      <c r="TXH33" s="165"/>
      <c r="TXI33" s="165"/>
      <c r="TXJ33" s="165"/>
      <c r="TXK33" s="165"/>
      <c r="TXL33" s="165"/>
      <c r="TXM33" s="165"/>
      <c r="TXN33" s="165"/>
      <c r="TXO33" s="165"/>
      <c r="TXP33" s="165"/>
      <c r="TXQ33" s="165"/>
      <c r="TXR33" s="165"/>
      <c r="TXS33" s="165"/>
      <c r="TXT33" s="165"/>
      <c r="TXU33" s="165"/>
      <c r="TXV33" s="165"/>
      <c r="TXW33" s="165"/>
      <c r="TXX33" s="165"/>
      <c r="TXY33" s="165"/>
      <c r="TXZ33" s="165"/>
      <c r="TYA33" s="165"/>
      <c r="TYB33" s="165"/>
      <c r="TYC33" s="165"/>
      <c r="TYD33" s="165"/>
      <c r="TYE33" s="165"/>
      <c r="TYF33" s="165"/>
      <c r="TYG33" s="165"/>
      <c r="TYH33" s="165"/>
      <c r="TYI33" s="165"/>
      <c r="TYJ33" s="165"/>
      <c r="TYK33" s="165"/>
      <c r="TYL33" s="165"/>
      <c r="TYM33" s="165"/>
      <c r="TYN33" s="165"/>
      <c r="TYO33" s="165"/>
      <c r="TYP33" s="165"/>
      <c r="TYQ33" s="165"/>
      <c r="TYR33" s="165"/>
      <c r="TYS33" s="165"/>
      <c r="TYT33" s="165"/>
      <c r="TYU33" s="165"/>
      <c r="TYV33" s="165"/>
      <c r="TYW33" s="165"/>
      <c r="TYX33" s="165"/>
      <c r="TYY33" s="165"/>
      <c r="TYZ33" s="165"/>
      <c r="TZA33" s="165"/>
      <c r="TZB33" s="165"/>
      <c r="TZC33" s="165"/>
      <c r="TZD33" s="165"/>
      <c r="TZE33" s="165"/>
      <c r="TZF33" s="165"/>
      <c r="TZG33" s="165"/>
      <c r="TZH33" s="165"/>
      <c r="TZI33" s="165"/>
      <c r="TZJ33" s="165"/>
      <c r="TZK33" s="165"/>
      <c r="TZL33" s="165"/>
      <c r="TZM33" s="165"/>
      <c r="TZN33" s="165"/>
      <c r="TZO33" s="165"/>
      <c r="TZP33" s="165"/>
      <c r="TZQ33" s="165"/>
      <c r="TZR33" s="165"/>
      <c r="TZS33" s="165"/>
      <c r="TZT33" s="165"/>
      <c r="TZU33" s="165"/>
      <c r="TZV33" s="165"/>
      <c r="TZW33" s="165"/>
      <c r="TZX33" s="165"/>
      <c r="TZY33" s="165"/>
      <c r="TZZ33" s="165"/>
      <c r="UAA33" s="165"/>
      <c r="UAB33" s="165"/>
      <c r="UAC33" s="165"/>
      <c r="UAD33" s="165"/>
      <c r="UAE33" s="165"/>
      <c r="UAF33" s="165"/>
      <c r="UAG33" s="165"/>
      <c r="UAH33" s="165"/>
      <c r="UAI33" s="165"/>
      <c r="UAJ33" s="165"/>
      <c r="UAK33" s="165"/>
      <c r="UAL33" s="165"/>
      <c r="UAM33" s="165"/>
      <c r="UAN33" s="165"/>
      <c r="UAO33" s="165"/>
      <c r="UAP33" s="165"/>
      <c r="UAQ33" s="165"/>
      <c r="UAR33" s="165"/>
      <c r="UAS33" s="165"/>
      <c r="UAT33" s="165"/>
      <c r="UAU33" s="165"/>
      <c r="UAV33" s="165"/>
      <c r="UAW33" s="165"/>
      <c r="UAX33" s="165"/>
      <c r="UAY33" s="165"/>
      <c r="UAZ33" s="165"/>
      <c r="UBA33" s="165"/>
      <c r="UBB33" s="165"/>
      <c r="UBC33" s="165"/>
      <c r="UBD33" s="165"/>
      <c r="UBE33" s="165"/>
      <c r="UBF33" s="165"/>
      <c r="UBG33" s="165"/>
      <c r="UBH33" s="165"/>
      <c r="UBI33" s="165"/>
      <c r="UBJ33" s="165"/>
      <c r="UBK33" s="165"/>
      <c r="UBL33" s="165"/>
      <c r="UBM33" s="165"/>
      <c r="UBN33" s="165"/>
      <c r="UBO33" s="165"/>
      <c r="UBP33" s="165"/>
      <c r="UBQ33" s="165"/>
      <c r="UBR33" s="165"/>
      <c r="UBS33" s="165"/>
      <c r="UBT33" s="165"/>
      <c r="UBU33" s="165"/>
      <c r="UBV33" s="165"/>
      <c r="UBW33" s="165"/>
      <c r="UBX33" s="165"/>
      <c r="UBY33" s="165"/>
      <c r="UBZ33" s="165"/>
      <c r="UCA33" s="165"/>
      <c r="UCB33" s="165"/>
      <c r="UCC33" s="165"/>
      <c r="UCD33" s="165"/>
      <c r="UCE33" s="165"/>
      <c r="UCF33" s="165"/>
      <c r="UCG33" s="165"/>
      <c r="UCH33" s="165"/>
      <c r="UCI33" s="165"/>
      <c r="UCJ33" s="165"/>
      <c r="UCK33" s="165"/>
      <c r="UCL33" s="165"/>
      <c r="UCM33" s="165"/>
      <c r="UCN33" s="165"/>
      <c r="UCO33" s="165"/>
      <c r="UCP33" s="165"/>
      <c r="UCQ33" s="165"/>
      <c r="UCR33" s="165"/>
      <c r="UCS33" s="165"/>
      <c r="UCT33" s="165"/>
      <c r="UCU33" s="165"/>
      <c r="UCV33" s="165"/>
      <c r="UCW33" s="165"/>
      <c r="UCX33" s="165"/>
      <c r="UCY33" s="165"/>
      <c r="UCZ33" s="165"/>
      <c r="UDA33" s="165"/>
      <c r="UDB33" s="165"/>
      <c r="UDC33" s="165"/>
      <c r="UDD33" s="165"/>
      <c r="UDE33" s="165"/>
      <c r="UDF33" s="165"/>
      <c r="UDG33" s="165"/>
      <c r="UDH33" s="165"/>
      <c r="UDI33" s="165"/>
      <c r="UDJ33" s="165"/>
      <c r="UDK33" s="165"/>
      <c r="UDL33" s="165"/>
      <c r="UDM33" s="165"/>
      <c r="UDN33" s="165"/>
      <c r="UDO33" s="165"/>
      <c r="UDP33" s="165"/>
      <c r="UDQ33" s="165"/>
      <c r="UDR33" s="165"/>
      <c r="UDS33" s="165"/>
      <c r="UDT33" s="165"/>
      <c r="UDU33" s="165"/>
      <c r="UDV33" s="165"/>
      <c r="UDW33" s="165"/>
      <c r="UDX33" s="165"/>
      <c r="UDY33" s="165"/>
      <c r="UDZ33" s="165"/>
      <c r="UEA33" s="165"/>
      <c r="UEB33" s="165"/>
      <c r="UEC33" s="165"/>
      <c r="UED33" s="165"/>
      <c r="UEE33" s="165"/>
      <c r="UEF33" s="165"/>
      <c r="UEG33" s="165"/>
      <c r="UEH33" s="165"/>
      <c r="UEI33" s="165"/>
      <c r="UEJ33" s="165"/>
      <c r="UEK33" s="165"/>
      <c r="UEL33" s="165"/>
      <c r="UEM33" s="165"/>
      <c r="UEN33" s="165"/>
      <c r="UEO33" s="165"/>
      <c r="UEP33" s="165"/>
      <c r="UEQ33" s="165"/>
      <c r="UER33" s="165"/>
      <c r="UES33" s="165"/>
      <c r="UET33" s="165"/>
      <c r="UEU33" s="165"/>
      <c r="UEV33" s="165"/>
      <c r="UEW33" s="165"/>
      <c r="UEX33" s="165"/>
      <c r="UEY33" s="165"/>
      <c r="UEZ33" s="165"/>
      <c r="UFA33" s="165"/>
      <c r="UFB33" s="165"/>
      <c r="UFC33" s="165"/>
      <c r="UFD33" s="165"/>
      <c r="UFE33" s="165"/>
      <c r="UFF33" s="165"/>
      <c r="UFG33" s="165"/>
      <c r="UFH33" s="165"/>
      <c r="UFI33" s="165"/>
      <c r="UFJ33" s="165"/>
      <c r="UFK33" s="165"/>
      <c r="UFL33" s="165"/>
      <c r="UFM33" s="165"/>
      <c r="UFN33" s="165"/>
      <c r="UFO33" s="165"/>
      <c r="UFP33" s="165"/>
      <c r="UFQ33" s="165"/>
      <c r="UFR33" s="165"/>
      <c r="UFS33" s="165"/>
      <c r="UFT33" s="165"/>
      <c r="UFU33" s="165"/>
      <c r="UFV33" s="165"/>
      <c r="UFW33" s="165"/>
      <c r="UFX33" s="165"/>
      <c r="UFY33" s="165"/>
      <c r="UFZ33" s="165"/>
      <c r="UGA33" s="165"/>
      <c r="UGB33" s="165"/>
      <c r="UGC33" s="165"/>
      <c r="UGD33" s="165"/>
      <c r="UGE33" s="165"/>
      <c r="UGF33" s="165"/>
      <c r="UGG33" s="165"/>
      <c r="UGH33" s="165"/>
      <c r="UGI33" s="165"/>
      <c r="UGJ33" s="165"/>
      <c r="UGK33" s="165"/>
      <c r="UGL33" s="165"/>
      <c r="UGM33" s="165"/>
      <c r="UGN33" s="165"/>
      <c r="UGO33" s="165"/>
      <c r="UGP33" s="165"/>
      <c r="UGQ33" s="165"/>
      <c r="UGR33" s="165"/>
      <c r="UGS33" s="165"/>
      <c r="UGT33" s="165"/>
      <c r="UGU33" s="165"/>
      <c r="UGV33" s="165"/>
      <c r="UGW33" s="165"/>
      <c r="UGX33" s="165"/>
      <c r="UGY33" s="165"/>
      <c r="UGZ33" s="165"/>
      <c r="UHA33" s="165"/>
      <c r="UHB33" s="165"/>
      <c r="UHC33" s="165"/>
      <c r="UHD33" s="165"/>
      <c r="UHE33" s="165"/>
      <c r="UHF33" s="165"/>
      <c r="UHG33" s="165"/>
      <c r="UHH33" s="165"/>
      <c r="UHI33" s="165"/>
      <c r="UHJ33" s="165"/>
      <c r="UHK33" s="165"/>
      <c r="UHL33" s="165"/>
      <c r="UHM33" s="165"/>
      <c r="UHN33" s="165"/>
      <c r="UHO33" s="165"/>
      <c r="UHP33" s="165"/>
      <c r="UHQ33" s="165"/>
      <c r="UHR33" s="165"/>
      <c r="UHS33" s="165"/>
      <c r="UHT33" s="165"/>
      <c r="UHU33" s="165"/>
      <c r="UHV33" s="165"/>
      <c r="UHW33" s="165"/>
      <c r="UHX33" s="165"/>
      <c r="UHY33" s="165"/>
      <c r="UHZ33" s="165"/>
      <c r="UIA33" s="165"/>
      <c r="UIB33" s="165"/>
      <c r="UIC33" s="165"/>
      <c r="UID33" s="165"/>
      <c r="UIE33" s="165"/>
      <c r="UIF33" s="165"/>
      <c r="UIG33" s="165"/>
      <c r="UIH33" s="165"/>
      <c r="UII33" s="165"/>
      <c r="UIJ33" s="165"/>
      <c r="UIK33" s="165"/>
      <c r="UIL33" s="165"/>
      <c r="UIM33" s="165"/>
      <c r="UIN33" s="165"/>
      <c r="UIO33" s="165"/>
      <c r="UIP33" s="165"/>
      <c r="UIQ33" s="165"/>
      <c r="UIR33" s="165"/>
      <c r="UIS33" s="165"/>
      <c r="UIT33" s="165"/>
      <c r="UIU33" s="165"/>
      <c r="UIV33" s="165"/>
      <c r="UIW33" s="165"/>
      <c r="UIX33" s="165"/>
      <c r="UIY33" s="165"/>
      <c r="UIZ33" s="165"/>
      <c r="UJA33" s="165"/>
      <c r="UJB33" s="165"/>
      <c r="UJC33" s="165"/>
      <c r="UJD33" s="165"/>
      <c r="UJE33" s="165"/>
      <c r="UJF33" s="165"/>
      <c r="UJG33" s="165"/>
      <c r="UJH33" s="165"/>
      <c r="UJI33" s="165"/>
      <c r="UJJ33" s="165"/>
      <c r="UJK33" s="165"/>
      <c r="UJL33" s="165"/>
      <c r="UJM33" s="165"/>
      <c r="UJN33" s="165"/>
      <c r="UJO33" s="165"/>
      <c r="UJP33" s="165"/>
      <c r="UJQ33" s="165"/>
      <c r="UJR33" s="165"/>
      <c r="UJS33" s="165"/>
      <c r="UJT33" s="165"/>
      <c r="UJU33" s="165"/>
      <c r="UJV33" s="165"/>
      <c r="UJW33" s="165"/>
      <c r="UJX33" s="165"/>
      <c r="UJY33" s="165"/>
      <c r="UJZ33" s="165"/>
      <c r="UKA33" s="165"/>
      <c r="UKB33" s="165"/>
      <c r="UKC33" s="165"/>
      <c r="UKD33" s="165"/>
      <c r="UKE33" s="165"/>
      <c r="UKF33" s="165"/>
      <c r="UKG33" s="165"/>
      <c r="UKH33" s="165"/>
      <c r="UKI33" s="165"/>
      <c r="UKJ33" s="165"/>
      <c r="UKK33" s="165"/>
      <c r="UKL33" s="165"/>
      <c r="UKM33" s="165"/>
      <c r="UKN33" s="165"/>
      <c r="UKO33" s="165"/>
      <c r="UKP33" s="165"/>
      <c r="UKQ33" s="165"/>
      <c r="UKR33" s="165"/>
      <c r="UKS33" s="165"/>
      <c r="UKT33" s="165"/>
      <c r="UKU33" s="165"/>
      <c r="UKV33" s="165"/>
      <c r="UKW33" s="165"/>
      <c r="UKX33" s="165"/>
      <c r="UKY33" s="165"/>
      <c r="UKZ33" s="165"/>
      <c r="ULA33" s="165"/>
      <c r="ULB33" s="165"/>
      <c r="ULC33" s="165"/>
      <c r="ULD33" s="165"/>
      <c r="ULE33" s="165"/>
      <c r="ULF33" s="165"/>
      <c r="ULG33" s="165"/>
      <c r="ULH33" s="165"/>
      <c r="ULI33" s="165"/>
      <c r="ULJ33" s="165"/>
      <c r="ULK33" s="165"/>
      <c r="ULL33" s="165"/>
      <c r="ULM33" s="165"/>
      <c r="ULN33" s="165"/>
      <c r="ULO33" s="165"/>
      <c r="ULP33" s="165"/>
      <c r="ULQ33" s="165"/>
      <c r="ULR33" s="165"/>
      <c r="ULS33" s="165"/>
      <c r="ULT33" s="165"/>
      <c r="ULU33" s="165"/>
      <c r="ULV33" s="165"/>
      <c r="ULW33" s="165"/>
      <c r="ULX33" s="165"/>
      <c r="ULY33" s="165"/>
      <c r="ULZ33" s="165"/>
      <c r="UMA33" s="165"/>
      <c r="UMB33" s="165"/>
      <c r="UMC33" s="165"/>
      <c r="UMD33" s="165"/>
      <c r="UME33" s="165"/>
      <c r="UMF33" s="165"/>
      <c r="UMG33" s="165"/>
      <c r="UMH33" s="165"/>
      <c r="UMI33" s="165"/>
      <c r="UMJ33" s="165"/>
      <c r="UMK33" s="165"/>
      <c r="UML33" s="165"/>
      <c r="UMM33" s="165"/>
      <c r="UMN33" s="165"/>
      <c r="UMO33" s="165"/>
      <c r="UMP33" s="165"/>
      <c r="UMQ33" s="165"/>
      <c r="UMR33" s="165"/>
      <c r="UMS33" s="165"/>
      <c r="UMT33" s="165"/>
      <c r="UMU33" s="165"/>
      <c r="UMV33" s="165"/>
      <c r="UMW33" s="165"/>
      <c r="UMX33" s="165"/>
      <c r="UMY33" s="165"/>
      <c r="UMZ33" s="165"/>
      <c r="UNA33" s="165"/>
      <c r="UNB33" s="165"/>
      <c r="UNC33" s="165"/>
      <c r="UND33" s="165"/>
      <c r="UNE33" s="165"/>
      <c r="UNF33" s="165"/>
      <c r="UNG33" s="165"/>
      <c r="UNH33" s="165"/>
      <c r="UNI33" s="165"/>
      <c r="UNJ33" s="165"/>
      <c r="UNK33" s="165"/>
      <c r="UNL33" s="165"/>
      <c r="UNM33" s="165"/>
      <c r="UNN33" s="165"/>
      <c r="UNO33" s="165"/>
      <c r="UNP33" s="165"/>
      <c r="UNQ33" s="165"/>
      <c r="UNR33" s="165"/>
      <c r="UNS33" s="165"/>
      <c r="UNT33" s="165"/>
      <c r="UNU33" s="165"/>
      <c r="UNV33" s="165"/>
      <c r="UNW33" s="165"/>
      <c r="UNX33" s="165"/>
      <c r="UNY33" s="165"/>
      <c r="UNZ33" s="165"/>
      <c r="UOA33" s="165"/>
      <c r="UOB33" s="165"/>
      <c r="UOC33" s="165"/>
      <c r="UOD33" s="165"/>
      <c r="UOE33" s="165"/>
      <c r="UOF33" s="165"/>
      <c r="UOG33" s="165"/>
      <c r="UOH33" s="165"/>
      <c r="UOI33" s="165"/>
      <c r="UOJ33" s="165"/>
      <c r="UOK33" s="165"/>
      <c r="UOL33" s="165"/>
      <c r="UOM33" s="165"/>
      <c r="UON33" s="165"/>
      <c r="UOO33" s="165"/>
      <c r="UOP33" s="165"/>
      <c r="UOQ33" s="165"/>
      <c r="UOR33" s="165"/>
      <c r="UOS33" s="165"/>
      <c r="UOT33" s="165"/>
      <c r="UOU33" s="165"/>
      <c r="UOV33" s="165"/>
      <c r="UOW33" s="165"/>
      <c r="UOX33" s="165"/>
      <c r="UOY33" s="165"/>
      <c r="UOZ33" s="165"/>
      <c r="UPA33" s="165"/>
      <c r="UPB33" s="165"/>
      <c r="UPC33" s="165"/>
      <c r="UPD33" s="165"/>
      <c r="UPE33" s="165"/>
      <c r="UPF33" s="165"/>
      <c r="UPG33" s="165"/>
      <c r="UPH33" s="165"/>
      <c r="UPI33" s="165"/>
      <c r="UPJ33" s="165"/>
      <c r="UPK33" s="165"/>
      <c r="UPL33" s="165"/>
      <c r="UPM33" s="165"/>
      <c r="UPN33" s="165"/>
      <c r="UPO33" s="165"/>
      <c r="UPP33" s="165"/>
      <c r="UPQ33" s="165"/>
      <c r="UPR33" s="165"/>
      <c r="UPS33" s="165"/>
      <c r="UPT33" s="165"/>
      <c r="UPU33" s="165"/>
      <c r="UPV33" s="165"/>
      <c r="UPW33" s="165"/>
      <c r="UPX33" s="165"/>
      <c r="UPY33" s="165"/>
      <c r="UPZ33" s="165"/>
      <c r="UQA33" s="165"/>
      <c r="UQB33" s="165"/>
      <c r="UQC33" s="165"/>
      <c r="UQD33" s="165"/>
      <c r="UQE33" s="165"/>
      <c r="UQF33" s="165"/>
      <c r="UQG33" s="165"/>
      <c r="UQH33" s="165"/>
      <c r="UQI33" s="165"/>
      <c r="UQJ33" s="165"/>
      <c r="UQK33" s="165"/>
      <c r="UQL33" s="165"/>
      <c r="UQM33" s="165"/>
      <c r="UQN33" s="165"/>
      <c r="UQO33" s="165"/>
      <c r="UQP33" s="165"/>
      <c r="UQQ33" s="165"/>
      <c r="UQR33" s="165"/>
      <c r="UQS33" s="165"/>
      <c r="UQT33" s="165"/>
      <c r="UQU33" s="165"/>
      <c r="UQV33" s="165"/>
      <c r="UQW33" s="165"/>
      <c r="UQX33" s="165"/>
      <c r="UQY33" s="165"/>
      <c r="UQZ33" s="165"/>
      <c r="URA33" s="165"/>
      <c r="URB33" s="165"/>
      <c r="URC33" s="165"/>
      <c r="URD33" s="165"/>
      <c r="URE33" s="165"/>
      <c r="URF33" s="165"/>
      <c r="URG33" s="165"/>
      <c r="URH33" s="165"/>
      <c r="URI33" s="165"/>
      <c r="URJ33" s="165"/>
      <c r="URK33" s="165"/>
      <c r="URL33" s="165"/>
      <c r="URM33" s="165"/>
      <c r="URN33" s="165"/>
      <c r="URO33" s="165"/>
      <c r="URP33" s="165"/>
      <c r="URQ33" s="165"/>
      <c r="URR33" s="165"/>
      <c r="URS33" s="165"/>
      <c r="URT33" s="165"/>
      <c r="URU33" s="165"/>
      <c r="URV33" s="165"/>
      <c r="URW33" s="165"/>
      <c r="URX33" s="165"/>
      <c r="URY33" s="165"/>
      <c r="URZ33" s="165"/>
      <c r="USA33" s="165"/>
      <c r="USB33" s="165"/>
      <c r="USC33" s="165"/>
      <c r="USD33" s="165"/>
      <c r="USE33" s="165"/>
      <c r="USF33" s="165"/>
      <c r="USG33" s="165"/>
      <c r="USH33" s="165"/>
      <c r="USI33" s="165"/>
      <c r="USJ33" s="165"/>
      <c r="USK33" s="165"/>
      <c r="USL33" s="165"/>
      <c r="USM33" s="165"/>
      <c r="USN33" s="165"/>
      <c r="USO33" s="165"/>
      <c r="USP33" s="165"/>
      <c r="USQ33" s="165"/>
      <c r="USR33" s="165"/>
      <c r="USS33" s="165"/>
      <c r="UST33" s="165"/>
      <c r="USU33" s="165"/>
      <c r="USV33" s="165"/>
      <c r="USW33" s="165"/>
      <c r="USX33" s="165"/>
      <c r="USY33" s="165"/>
      <c r="USZ33" s="165"/>
      <c r="UTA33" s="165"/>
      <c r="UTB33" s="165"/>
      <c r="UTC33" s="165"/>
      <c r="UTD33" s="165"/>
      <c r="UTE33" s="165"/>
      <c r="UTF33" s="165"/>
      <c r="UTG33" s="165"/>
      <c r="UTH33" s="165"/>
      <c r="UTI33" s="165"/>
      <c r="UTJ33" s="165"/>
      <c r="UTK33" s="165"/>
      <c r="UTL33" s="165"/>
      <c r="UTM33" s="165"/>
      <c r="UTN33" s="165"/>
      <c r="UTO33" s="165"/>
      <c r="UTP33" s="165"/>
      <c r="UTQ33" s="165"/>
      <c r="UTR33" s="165"/>
      <c r="UTS33" s="165"/>
      <c r="UTT33" s="165"/>
      <c r="UTU33" s="165"/>
      <c r="UTV33" s="165"/>
      <c r="UTW33" s="165"/>
      <c r="UTX33" s="165"/>
      <c r="UTY33" s="165"/>
      <c r="UTZ33" s="165"/>
      <c r="UUA33" s="165"/>
      <c r="UUB33" s="165"/>
      <c r="UUC33" s="165"/>
      <c r="UUD33" s="165"/>
      <c r="UUE33" s="165"/>
      <c r="UUF33" s="165"/>
      <c r="UUG33" s="165"/>
      <c r="UUH33" s="165"/>
      <c r="UUI33" s="165"/>
      <c r="UUJ33" s="165"/>
      <c r="UUK33" s="165"/>
      <c r="UUL33" s="165"/>
      <c r="UUM33" s="165"/>
      <c r="UUN33" s="165"/>
      <c r="UUO33" s="165"/>
      <c r="UUP33" s="165"/>
      <c r="UUQ33" s="165"/>
      <c r="UUR33" s="165"/>
      <c r="UUS33" s="165"/>
      <c r="UUT33" s="165"/>
      <c r="UUU33" s="165"/>
      <c r="UUV33" s="165"/>
      <c r="UUW33" s="165"/>
      <c r="UUX33" s="165"/>
      <c r="UUY33" s="165"/>
      <c r="UUZ33" s="165"/>
      <c r="UVA33" s="165"/>
      <c r="UVB33" s="165"/>
      <c r="UVC33" s="165"/>
      <c r="UVD33" s="165"/>
      <c r="UVE33" s="165"/>
      <c r="UVF33" s="165"/>
      <c r="UVG33" s="165"/>
      <c r="UVH33" s="165"/>
      <c r="UVI33" s="165"/>
      <c r="UVJ33" s="165"/>
      <c r="UVK33" s="165"/>
      <c r="UVL33" s="165"/>
      <c r="UVM33" s="165"/>
      <c r="UVN33" s="165"/>
      <c r="UVO33" s="165"/>
      <c r="UVP33" s="165"/>
      <c r="UVQ33" s="165"/>
      <c r="UVR33" s="165"/>
      <c r="UVS33" s="165"/>
      <c r="UVT33" s="165"/>
      <c r="UVU33" s="165"/>
      <c r="UVV33" s="165"/>
      <c r="UVW33" s="165"/>
      <c r="UVX33" s="165"/>
      <c r="UVY33" s="165"/>
      <c r="UVZ33" s="165"/>
      <c r="UWA33" s="165"/>
      <c r="UWB33" s="165"/>
      <c r="UWC33" s="165"/>
      <c r="UWD33" s="165"/>
      <c r="UWE33" s="165"/>
      <c r="UWF33" s="165"/>
      <c r="UWG33" s="165"/>
      <c r="UWH33" s="165"/>
      <c r="UWI33" s="165"/>
      <c r="UWJ33" s="165"/>
      <c r="UWK33" s="165"/>
      <c r="UWL33" s="165"/>
      <c r="UWM33" s="165"/>
      <c r="UWN33" s="165"/>
      <c r="UWO33" s="165"/>
      <c r="UWP33" s="165"/>
      <c r="UWQ33" s="165"/>
      <c r="UWR33" s="165"/>
      <c r="UWS33" s="165"/>
      <c r="UWT33" s="165"/>
      <c r="UWU33" s="165"/>
      <c r="UWV33" s="165"/>
      <c r="UWW33" s="165"/>
      <c r="UWX33" s="165"/>
      <c r="UWY33" s="165"/>
      <c r="UWZ33" s="165"/>
      <c r="UXA33" s="165"/>
      <c r="UXB33" s="165"/>
      <c r="UXC33" s="165"/>
      <c r="UXD33" s="165"/>
      <c r="UXE33" s="165"/>
      <c r="UXF33" s="165"/>
      <c r="UXG33" s="165"/>
      <c r="UXH33" s="165"/>
      <c r="UXI33" s="165"/>
      <c r="UXJ33" s="165"/>
      <c r="UXK33" s="165"/>
      <c r="UXL33" s="165"/>
      <c r="UXM33" s="165"/>
      <c r="UXN33" s="165"/>
      <c r="UXO33" s="165"/>
      <c r="UXP33" s="165"/>
      <c r="UXQ33" s="165"/>
      <c r="UXR33" s="165"/>
      <c r="UXS33" s="165"/>
      <c r="UXT33" s="165"/>
      <c r="UXU33" s="165"/>
      <c r="UXV33" s="165"/>
      <c r="UXW33" s="165"/>
      <c r="UXX33" s="165"/>
      <c r="UXY33" s="165"/>
      <c r="UXZ33" s="165"/>
      <c r="UYA33" s="165"/>
      <c r="UYB33" s="165"/>
      <c r="UYC33" s="165"/>
      <c r="UYD33" s="165"/>
      <c r="UYE33" s="165"/>
      <c r="UYF33" s="165"/>
      <c r="UYG33" s="165"/>
      <c r="UYH33" s="165"/>
      <c r="UYI33" s="165"/>
      <c r="UYJ33" s="165"/>
      <c r="UYK33" s="165"/>
      <c r="UYL33" s="165"/>
      <c r="UYM33" s="165"/>
      <c r="UYN33" s="165"/>
      <c r="UYO33" s="165"/>
      <c r="UYP33" s="165"/>
      <c r="UYQ33" s="165"/>
      <c r="UYR33" s="165"/>
      <c r="UYS33" s="165"/>
      <c r="UYT33" s="165"/>
      <c r="UYU33" s="165"/>
      <c r="UYV33" s="165"/>
      <c r="UYW33" s="165"/>
      <c r="UYX33" s="165"/>
      <c r="UYY33" s="165"/>
      <c r="UYZ33" s="165"/>
      <c r="UZA33" s="165"/>
      <c r="UZB33" s="165"/>
      <c r="UZC33" s="165"/>
      <c r="UZD33" s="165"/>
      <c r="UZE33" s="165"/>
      <c r="UZF33" s="165"/>
      <c r="UZG33" s="165"/>
      <c r="UZH33" s="165"/>
      <c r="UZI33" s="165"/>
      <c r="UZJ33" s="165"/>
      <c r="UZK33" s="165"/>
      <c r="UZL33" s="165"/>
      <c r="UZM33" s="165"/>
      <c r="UZN33" s="165"/>
      <c r="UZO33" s="165"/>
      <c r="UZP33" s="165"/>
      <c r="UZQ33" s="165"/>
      <c r="UZR33" s="165"/>
      <c r="UZS33" s="165"/>
      <c r="UZT33" s="165"/>
      <c r="UZU33" s="165"/>
      <c r="UZV33" s="165"/>
      <c r="UZW33" s="165"/>
      <c r="UZX33" s="165"/>
      <c r="UZY33" s="165"/>
      <c r="UZZ33" s="165"/>
      <c r="VAA33" s="165"/>
      <c r="VAB33" s="165"/>
      <c r="VAC33" s="165"/>
      <c r="VAD33" s="165"/>
      <c r="VAE33" s="165"/>
      <c r="VAF33" s="165"/>
      <c r="VAG33" s="165"/>
      <c r="VAH33" s="165"/>
      <c r="VAI33" s="165"/>
      <c r="VAJ33" s="165"/>
      <c r="VAK33" s="165"/>
      <c r="VAL33" s="165"/>
      <c r="VAM33" s="165"/>
      <c r="VAN33" s="165"/>
      <c r="VAO33" s="165"/>
      <c r="VAP33" s="165"/>
      <c r="VAQ33" s="165"/>
      <c r="VAR33" s="165"/>
      <c r="VAS33" s="165"/>
      <c r="VAT33" s="165"/>
      <c r="VAU33" s="165"/>
      <c r="VAV33" s="165"/>
      <c r="VAW33" s="165"/>
      <c r="VAX33" s="165"/>
      <c r="VAY33" s="165"/>
      <c r="VAZ33" s="165"/>
      <c r="VBA33" s="165"/>
      <c r="VBB33" s="165"/>
      <c r="VBC33" s="165"/>
      <c r="VBD33" s="165"/>
      <c r="VBE33" s="165"/>
      <c r="VBF33" s="165"/>
      <c r="VBG33" s="165"/>
      <c r="VBH33" s="165"/>
      <c r="VBI33" s="165"/>
      <c r="VBJ33" s="165"/>
      <c r="VBK33" s="165"/>
      <c r="VBL33" s="165"/>
      <c r="VBM33" s="165"/>
      <c r="VBN33" s="165"/>
      <c r="VBO33" s="165"/>
      <c r="VBP33" s="165"/>
      <c r="VBQ33" s="165"/>
      <c r="VBR33" s="165"/>
      <c r="VBS33" s="165"/>
      <c r="VBT33" s="165"/>
      <c r="VBU33" s="165"/>
      <c r="VBV33" s="165"/>
      <c r="VBW33" s="165"/>
      <c r="VBX33" s="165"/>
      <c r="VBY33" s="165"/>
      <c r="VBZ33" s="165"/>
      <c r="VCA33" s="165"/>
      <c r="VCB33" s="165"/>
      <c r="VCC33" s="165"/>
      <c r="VCD33" s="165"/>
      <c r="VCE33" s="165"/>
      <c r="VCF33" s="165"/>
      <c r="VCG33" s="165"/>
      <c r="VCH33" s="165"/>
      <c r="VCI33" s="165"/>
      <c r="VCJ33" s="165"/>
      <c r="VCK33" s="165"/>
      <c r="VCL33" s="165"/>
      <c r="VCM33" s="165"/>
      <c r="VCN33" s="165"/>
      <c r="VCO33" s="165"/>
      <c r="VCP33" s="165"/>
      <c r="VCQ33" s="165"/>
      <c r="VCR33" s="165"/>
      <c r="VCS33" s="165"/>
      <c r="VCT33" s="165"/>
      <c r="VCU33" s="165"/>
      <c r="VCV33" s="165"/>
      <c r="VCW33" s="165"/>
      <c r="VCX33" s="165"/>
      <c r="VCY33" s="165"/>
      <c r="VCZ33" s="165"/>
      <c r="VDA33" s="165"/>
      <c r="VDB33" s="165"/>
      <c r="VDC33" s="165"/>
      <c r="VDD33" s="165"/>
      <c r="VDE33" s="165"/>
      <c r="VDF33" s="165"/>
      <c r="VDG33" s="165"/>
      <c r="VDH33" s="165"/>
      <c r="VDI33" s="165"/>
      <c r="VDJ33" s="165"/>
      <c r="VDK33" s="165"/>
      <c r="VDL33" s="165"/>
      <c r="VDM33" s="165"/>
      <c r="VDN33" s="165"/>
      <c r="VDO33" s="165"/>
      <c r="VDP33" s="165"/>
      <c r="VDQ33" s="165"/>
      <c r="VDR33" s="165"/>
      <c r="VDS33" s="165"/>
      <c r="VDT33" s="165"/>
      <c r="VDU33" s="165"/>
      <c r="VDV33" s="165"/>
      <c r="VDW33" s="165"/>
      <c r="VDX33" s="165"/>
      <c r="VDY33" s="165"/>
      <c r="VDZ33" s="165"/>
      <c r="VEA33" s="165"/>
      <c r="VEB33" s="165"/>
      <c r="VEC33" s="165"/>
      <c r="VED33" s="165"/>
      <c r="VEE33" s="165"/>
      <c r="VEF33" s="165"/>
      <c r="VEG33" s="165"/>
      <c r="VEH33" s="165"/>
      <c r="VEI33" s="165"/>
      <c r="VEJ33" s="165"/>
      <c r="VEK33" s="165"/>
      <c r="VEL33" s="165"/>
      <c r="VEM33" s="165"/>
      <c r="VEN33" s="165"/>
      <c r="VEO33" s="165"/>
      <c r="VEP33" s="165"/>
      <c r="VEQ33" s="165"/>
      <c r="VER33" s="165"/>
      <c r="VES33" s="165"/>
      <c r="VET33" s="165"/>
      <c r="VEU33" s="165"/>
      <c r="VEV33" s="165"/>
      <c r="VEW33" s="165"/>
      <c r="VEX33" s="165"/>
      <c r="VEY33" s="165"/>
      <c r="VEZ33" s="165"/>
      <c r="VFA33" s="165"/>
      <c r="VFB33" s="165"/>
      <c r="VFC33" s="165"/>
      <c r="VFD33" s="165"/>
      <c r="VFE33" s="165"/>
      <c r="VFF33" s="165"/>
      <c r="VFG33" s="165"/>
      <c r="VFH33" s="165"/>
      <c r="VFI33" s="165"/>
      <c r="VFJ33" s="165"/>
      <c r="VFK33" s="165"/>
      <c r="VFL33" s="165"/>
      <c r="VFM33" s="165"/>
      <c r="VFN33" s="165"/>
      <c r="VFO33" s="165"/>
      <c r="VFP33" s="165"/>
      <c r="VFQ33" s="165"/>
      <c r="VFR33" s="165"/>
      <c r="VFS33" s="165"/>
      <c r="VFT33" s="165"/>
      <c r="VFU33" s="165"/>
      <c r="VFV33" s="165"/>
      <c r="VFW33" s="165"/>
      <c r="VFX33" s="165"/>
      <c r="VFY33" s="165"/>
      <c r="VFZ33" s="165"/>
      <c r="VGA33" s="165"/>
      <c r="VGB33" s="165"/>
      <c r="VGC33" s="165"/>
      <c r="VGD33" s="165"/>
      <c r="VGE33" s="165"/>
      <c r="VGF33" s="165"/>
      <c r="VGG33" s="165"/>
      <c r="VGH33" s="165"/>
      <c r="VGI33" s="165"/>
      <c r="VGJ33" s="165"/>
      <c r="VGK33" s="165"/>
      <c r="VGL33" s="165"/>
      <c r="VGM33" s="165"/>
      <c r="VGN33" s="165"/>
      <c r="VGO33" s="165"/>
      <c r="VGP33" s="165"/>
      <c r="VGQ33" s="165"/>
      <c r="VGR33" s="165"/>
      <c r="VGS33" s="165"/>
      <c r="VGT33" s="165"/>
      <c r="VGU33" s="165"/>
      <c r="VGV33" s="165"/>
      <c r="VGW33" s="165"/>
      <c r="VGX33" s="165"/>
      <c r="VGY33" s="165"/>
      <c r="VGZ33" s="165"/>
      <c r="VHA33" s="165"/>
      <c r="VHB33" s="165"/>
      <c r="VHC33" s="165"/>
      <c r="VHD33" s="165"/>
      <c r="VHE33" s="165"/>
      <c r="VHF33" s="165"/>
      <c r="VHG33" s="165"/>
      <c r="VHH33" s="165"/>
      <c r="VHI33" s="165"/>
      <c r="VHJ33" s="165"/>
      <c r="VHK33" s="165"/>
      <c r="VHL33" s="165"/>
      <c r="VHM33" s="165"/>
      <c r="VHN33" s="165"/>
      <c r="VHO33" s="165"/>
      <c r="VHP33" s="165"/>
      <c r="VHQ33" s="165"/>
      <c r="VHR33" s="165"/>
      <c r="VHS33" s="165"/>
      <c r="VHT33" s="165"/>
      <c r="VHU33" s="165"/>
      <c r="VHV33" s="165"/>
      <c r="VHW33" s="165"/>
      <c r="VHX33" s="165"/>
      <c r="VHY33" s="165"/>
      <c r="VHZ33" s="165"/>
      <c r="VIA33" s="165"/>
      <c r="VIB33" s="165"/>
      <c r="VIC33" s="165"/>
      <c r="VID33" s="165"/>
      <c r="VIE33" s="165"/>
      <c r="VIF33" s="165"/>
      <c r="VIG33" s="165"/>
      <c r="VIH33" s="165"/>
      <c r="VII33" s="165"/>
      <c r="VIJ33" s="165"/>
      <c r="VIK33" s="165"/>
      <c r="VIL33" s="165"/>
      <c r="VIM33" s="165"/>
      <c r="VIN33" s="165"/>
      <c r="VIO33" s="165"/>
      <c r="VIP33" s="165"/>
      <c r="VIQ33" s="165"/>
      <c r="VIR33" s="165"/>
      <c r="VIS33" s="165"/>
      <c r="VIT33" s="165"/>
      <c r="VIU33" s="165"/>
      <c r="VIV33" s="165"/>
      <c r="VIW33" s="165"/>
      <c r="VIX33" s="165"/>
      <c r="VIY33" s="165"/>
      <c r="VIZ33" s="165"/>
      <c r="VJA33" s="165"/>
      <c r="VJB33" s="165"/>
      <c r="VJC33" s="165"/>
      <c r="VJD33" s="165"/>
      <c r="VJE33" s="165"/>
      <c r="VJF33" s="165"/>
      <c r="VJG33" s="165"/>
      <c r="VJH33" s="165"/>
      <c r="VJI33" s="165"/>
      <c r="VJJ33" s="165"/>
      <c r="VJK33" s="165"/>
      <c r="VJL33" s="165"/>
      <c r="VJM33" s="165"/>
      <c r="VJN33" s="165"/>
      <c r="VJO33" s="165"/>
      <c r="VJP33" s="165"/>
      <c r="VJQ33" s="165"/>
      <c r="VJR33" s="165"/>
      <c r="VJS33" s="165"/>
      <c r="VJT33" s="165"/>
      <c r="VJU33" s="165"/>
      <c r="VJV33" s="165"/>
      <c r="VJW33" s="165"/>
      <c r="VJX33" s="165"/>
      <c r="VJY33" s="165"/>
      <c r="VJZ33" s="165"/>
      <c r="VKA33" s="165"/>
      <c r="VKB33" s="165"/>
      <c r="VKC33" s="165"/>
      <c r="VKD33" s="165"/>
      <c r="VKE33" s="165"/>
      <c r="VKF33" s="165"/>
      <c r="VKG33" s="165"/>
      <c r="VKH33" s="165"/>
      <c r="VKI33" s="165"/>
      <c r="VKJ33" s="165"/>
      <c r="VKK33" s="165"/>
      <c r="VKL33" s="165"/>
      <c r="VKM33" s="165"/>
      <c r="VKN33" s="165"/>
      <c r="VKO33" s="165"/>
      <c r="VKP33" s="165"/>
      <c r="VKQ33" s="165"/>
      <c r="VKR33" s="165"/>
      <c r="VKS33" s="165"/>
      <c r="VKT33" s="165"/>
      <c r="VKU33" s="165"/>
      <c r="VKV33" s="165"/>
      <c r="VKW33" s="165"/>
      <c r="VKX33" s="165"/>
      <c r="VKY33" s="165"/>
      <c r="VKZ33" s="165"/>
      <c r="VLA33" s="165"/>
      <c r="VLB33" s="165"/>
      <c r="VLC33" s="165"/>
      <c r="VLD33" s="165"/>
      <c r="VLE33" s="165"/>
      <c r="VLF33" s="165"/>
      <c r="VLG33" s="165"/>
      <c r="VLH33" s="165"/>
      <c r="VLI33" s="165"/>
      <c r="VLJ33" s="165"/>
      <c r="VLK33" s="165"/>
      <c r="VLL33" s="165"/>
      <c r="VLM33" s="165"/>
      <c r="VLN33" s="165"/>
      <c r="VLO33" s="165"/>
      <c r="VLP33" s="165"/>
      <c r="VLQ33" s="165"/>
      <c r="VLR33" s="165"/>
      <c r="VLS33" s="165"/>
      <c r="VLT33" s="165"/>
      <c r="VLU33" s="165"/>
      <c r="VLV33" s="165"/>
      <c r="VLW33" s="165"/>
      <c r="VLX33" s="165"/>
      <c r="VLY33" s="165"/>
      <c r="VLZ33" s="165"/>
      <c r="VMA33" s="165"/>
      <c r="VMB33" s="165"/>
      <c r="VMC33" s="165"/>
      <c r="VMD33" s="165"/>
      <c r="VME33" s="165"/>
      <c r="VMF33" s="165"/>
      <c r="VMG33" s="165"/>
      <c r="VMH33" s="165"/>
      <c r="VMI33" s="165"/>
      <c r="VMJ33" s="165"/>
      <c r="VMK33" s="165"/>
      <c r="VML33" s="165"/>
      <c r="VMM33" s="165"/>
      <c r="VMN33" s="165"/>
      <c r="VMO33" s="165"/>
      <c r="VMP33" s="165"/>
      <c r="VMQ33" s="165"/>
      <c r="VMR33" s="165"/>
      <c r="VMS33" s="165"/>
      <c r="VMT33" s="165"/>
      <c r="VMU33" s="165"/>
      <c r="VMV33" s="165"/>
      <c r="VMW33" s="165"/>
      <c r="VMX33" s="165"/>
      <c r="VMY33" s="165"/>
      <c r="VMZ33" s="165"/>
      <c r="VNA33" s="165"/>
      <c r="VNB33" s="165"/>
      <c r="VNC33" s="165"/>
      <c r="VND33" s="165"/>
      <c r="VNE33" s="165"/>
      <c r="VNF33" s="165"/>
      <c r="VNG33" s="165"/>
      <c r="VNH33" s="165"/>
      <c r="VNI33" s="165"/>
      <c r="VNJ33" s="165"/>
      <c r="VNK33" s="165"/>
      <c r="VNL33" s="165"/>
      <c r="VNM33" s="165"/>
      <c r="VNN33" s="165"/>
      <c r="VNO33" s="165"/>
      <c r="VNP33" s="165"/>
      <c r="VNQ33" s="165"/>
      <c r="VNR33" s="165"/>
      <c r="VNS33" s="165"/>
      <c r="VNT33" s="165"/>
      <c r="VNU33" s="165"/>
      <c r="VNV33" s="165"/>
      <c r="VNW33" s="165"/>
      <c r="VNX33" s="165"/>
      <c r="VNY33" s="165"/>
      <c r="VNZ33" s="165"/>
      <c r="VOA33" s="165"/>
      <c r="VOB33" s="165"/>
      <c r="VOC33" s="165"/>
      <c r="VOD33" s="165"/>
      <c r="VOE33" s="165"/>
      <c r="VOF33" s="165"/>
      <c r="VOG33" s="165"/>
      <c r="VOH33" s="165"/>
      <c r="VOI33" s="165"/>
      <c r="VOJ33" s="165"/>
      <c r="VOK33" s="165"/>
      <c r="VOL33" s="165"/>
      <c r="VOM33" s="165"/>
      <c r="VON33" s="165"/>
      <c r="VOO33" s="165"/>
      <c r="VOP33" s="165"/>
      <c r="VOQ33" s="165"/>
      <c r="VOR33" s="165"/>
      <c r="VOS33" s="165"/>
      <c r="VOT33" s="165"/>
      <c r="VOU33" s="165"/>
      <c r="VOV33" s="165"/>
      <c r="VOW33" s="165"/>
      <c r="VOX33" s="165"/>
      <c r="VOY33" s="165"/>
      <c r="VOZ33" s="165"/>
      <c r="VPA33" s="165"/>
      <c r="VPB33" s="165"/>
      <c r="VPC33" s="165"/>
      <c r="VPD33" s="165"/>
      <c r="VPE33" s="165"/>
      <c r="VPF33" s="165"/>
      <c r="VPG33" s="165"/>
      <c r="VPH33" s="165"/>
      <c r="VPI33" s="165"/>
      <c r="VPJ33" s="165"/>
      <c r="VPK33" s="165"/>
      <c r="VPL33" s="165"/>
      <c r="VPM33" s="165"/>
      <c r="VPN33" s="165"/>
      <c r="VPO33" s="165"/>
      <c r="VPP33" s="165"/>
      <c r="VPQ33" s="165"/>
      <c r="VPR33" s="165"/>
      <c r="VPS33" s="165"/>
      <c r="VPT33" s="165"/>
      <c r="VPU33" s="165"/>
      <c r="VPV33" s="165"/>
      <c r="VPW33" s="165"/>
      <c r="VPX33" s="165"/>
      <c r="VPY33" s="165"/>
      <c r="VPZ33" s="165"/>
      <c r="VQA33" s="165"/>
      <c r="VQB33" s="165"/>
      <c r="VQC33" s="165"/>
      <c r="VQD33" s="165"/>
      <c r="VQE33" s="165"/>
      <c r="VQF33" s="165"/>
      <c r="VQG33" s="165"/>
      <c r="VQH33" s="165"/>
      <c r="VQI33" s="165"/>
      <c r="VQJ33" s="165"/>
      <c r="VQK33" s="165"/>
      <c r="VQL33" s="165"/>
      <c r="VQM33" s="165"/>
      <c r="VQN33" s="165"/>
      <c r="VQO33" s="165"/>
      <c r="VQP33" s="165"/>
      <c r="VQQ33" s="165"/>
      <c r="VQR33" s="165"/>
      <c r="VQS33" s="165"/>
      <c r="VQT33" s="165"/>
      <c r="VQU33" s="165"/>
      <c r="VQV33" s="165"/>
      <c r="VQW33" s="165"/>
      <c r="VQX33" s="165"/>
      <c r="VQY33" s="165"/>
      <c r="VQZ33" s="165"/>
      <c r="VRA33" s="165"/>
      <c r="VRB33" s="165"/>
      <c r="VRC33" s="165"/>
      <c r="VRD33" s="165"/>
      <c r="VRE33" s="165"/>
      <c r="VRF33" s="165"/>
      <c r="VRG33" s="165"/>
      <c r="VRH33" s="165"/>
      <c r="VRI33" s="165"/>
      <c r="VRJ33" s="165"/>
      <c r="VRK33" s="165"/>
      <c r="VRL33" s="165"/>
      <c r="VRM33" s="165"/>
      <c r="VRN33" s="165"/>
      <c r="VRO33" s="165"/>
      <c r="VRP33" s="165"/>
      <c r="VRQ33" s="165"/>
      <c r="VRR33" s="165"/>
      <c r="VRS33" s="165"/>
      <c r="VRT33" s="165"/>
      <c r="VRU33" s="165"/>
      <c r="VRV33" s="165"/>
      <c r="VRW33" s="165"/>
      <c r="VRX33" s="165"/>
      <c r="VRY33" s="165"/>
      <c r="VRZ33" s="165"/>
      <c r="VSA33" s="165"/>
      <c r="VSB33" s="165"/>
      <c r="VSC33" s="165"/>
      <c r="VSD33" s="165"/>
      <c r="VSE33" s="165"/>
      <c r="VSF33" s="165"/>
      <c r="VSG33" s="165"/>
      <c r="VSH33" s="165"/>
      <c r="VSI33" s="165"/>
      <c r="VSJ33" s="165"/>
      <c r="VSK33" s="165"/>
      <c r="VSL33" s="165"/>
      <c r="VSM33" s="165"/>
      <c r="VSN33" s="165"/>
      <c r="VSO33" s="165"/>
      <c r="VSP33" s="165"/>
      <c r="VSQ33" s="165"/>
      <c r="VSR33" s="165"/>
      <c r="VSS33" s="165"/>
      <c r="VST33" s="165"/>
      <c r="VSU33" s="165"/>
      <c r="VSV33" s="165"/>
      <c r="VSW33" s="165"/>
      <c r="VSX33" s="165"/>
      <c r="VSY33" s="165"/>
      <c r="VSZ33" s="165"/>
      <c r="VTA33" s="165"/>
      <c r="VTB33" s="165"/>
      <c r="VTC33" s="165"/>
      <c r="VTD33" s="165"/>
      <c r="VTE33" s="165"/>
      <c r="VTF33" s="165"/>
      <c r="VTG33" s="165"/>
      <c r="VTH33" s="165"/>
      <c r="VTI33" s="165"/>
      <c r="VTJ33" s="165"/>
      <c r="VTK33" s="165"/>
      <c r="VTL33" s="165"/>
      <c r="VTM33" s="165"/>
      <c r="VTN33" s="165"/>
      <c r="VTO33" s="165"/>
      <c r="VTP33" s="165"/>
      <c r="VTQ33" s="165"/>
      <c r="VTR33" s="165"/>
      <c r="VTS33" s="165"/>
      <c r="VTT33" s="165"/>
      <c r="VTU33" s="165"/>
      <c r="VTV33" s="165"/>
      <c r="VTW33" s="165"/>
      <c r="VTX33" s="165"/>
      <c r="VTY33" s="165"/>
      <c r="VTZ33" s="165"/>
      <c r="VUA33" s="165"/>
      <c r="VUB33" s="165"/>
      <c r="VUC33" s="165"/>
      <c r="VUD33" s="165"/>
      <c r="VUE33" s="165"/>
      <c r="VUF33" s="165"/>
      <c r="VUG33" s="165"/>
      <c r="VUH33" s="165"/>
      <c r="VUI33" s="165"/>
      <c r="VUJ33" s="165"/>
      <c r="VUK33" s="165"/>
      <c r="VUL33" s="165"/>
      <c r="VUM33" s="165"/>
      <c r="VUN33" s="165"/>
      <c r="VUO33" s="165"/>
      <c r="VUP33" s="165"/>
      <c r="VUQ33" s="165"/>
      <c r="VUR33" s="165"/>
      <c r="VUS33" s="165"/>
      <c r="VUT33" s="165"/>
      <c r="VUU33" s="165"/>
      <c r="VUV33" s="165"/>
      <c r="VUW33" s="165"/>
      <c r="VUX33" s="165"/>
      <c r="VUY33" s="165"/>
      <c r="VUZ33" s="165"/>
      <c r="VVA33" s="165"/>
      <c r="VVB33" s="165"/>
      <c r="VVC33" s="165"/>
      <c r="VVD33" s="165"/>
      <c r="VVE33" s="165"/>
      <c r="VVF33" s="165"/>
      <c r="VVG33" s="165"/>
      <c r="VVH33" s="165"/>
      <c r="VVI33" s="165"/>
      <c r="VVJ33" s="165"/>
      <c r="VVK33" s="165"/>
      <c r="VVL33" s="165"/>
      <c r="VVM33" s="165"/>
      <c r="VVN33" s="165"/>
      <c r="VVO33" s="165"/>
      <c r="VVP33" s="165"/>
      <c r="VVQ33" s="165"/>
      <c r="VVR33" s="165"/>
      <c r="VVS33" s="165"/>
      <c r="VVT33" s="165"/>
      <c r="VVU33" s="165"/>
      <c r="VVV33" s="165"/>
      <c r="VVW33" s="165"/>
      <c r="VVX33" s="165"/>
      <c r="VVY33" s="165"/>
      <c r="VVZ33" s="165"/>
      <c r="VWA33" s="165"/>
      <c r="VWB33" s="165"/>
      <c r="VWC33" s="165"/>
      <c r="VWD33" s="165"/>
      <c r="VWE33" s="165"/>
      <c r="VWF33" s="165"/>
      <c r="VWG33" s="165"/>
      <c r="VWH33" s="165"/>
      <c r="VWI33" s="165"/>
      <c r="VWJ33" s="165"/>
      <c r="VWK33" s="165"/>
      <c r="VWL33" s="165"/>
      <c r="VWM33" s="165"/>
      <c r="VWN33" s="165"/>
      <c r="VWO33" s="165"/>
      <c r="VWP33" s="165"/>
      <c r="VWQ33" s="165"/>
      <c r="VWR33" s="165"/>
      <c r="VWS33" s="165"/>
      <c r="VWT33" s="165"/>
      <c r="VWU33" s="165"/>
      <c r="VWV33" s="165"/>
      <c r="VWW33" s="165"/>
      <c r="VWX33" s="165"/>
      <c r="VWY33" s="165"/>
      <c r="VWZ33" s="165"/>
      <c r="VXA33" s="165"/>
      <c r="VXB33" s="165"/>
      <c r="VXC33" s="165"/>
      <c r="VXD33" s="165"/>
      <c r="VXE33" s="165"/>
      <c r="VXF33" s="165"/>
      <c r="VXG33" s="165"/>
      <c r="VXH33" s="165"/>
      <c r="VXI33" s="165"/>
      <c r="VXJ33" s="165"/>
      <c r="VXK33" s="165"/>
      <c r="VXL33" s="165"/>
      <c r="VXM33" s="165"/>
      <c r="VXN33" s="165"/>
      <c r="VXO33" s="165"/>
      <c r="VXP33" s="165"/>
      <c r="VXQ33" s="165"/>
      <c r="VXR33" s="165"/>
      <c r="VXS33" s="165"/>
      <c r="VXT33" s="165"/>
      <c r="VXU33" s="165"/>
      <c r="VXV33" s="165"/>
      <c r="VXW33" s="165"/>
      <c r="VXX33" s="165"/>
      <c r="VXY33" s="165"/>
      <c r="VXZ33" s="165"/>
      <c r="VYA33" s="165"/>
      <c r="VYB33" s="165"/>
      <c r="VYC33" s="165"/>
      <c r="VYD33" s="165"/>
      <c r="VYE33" s="165"/>
      <c r="VYF33" s="165"/>
      <c r="VYG33" s="165"/>
      <c r="VYH33" s="165"/>
      <c r="VYI33" s="165"/>
      <c r="VYJ33" s="165"/>
      <c r="VYK33" s="165"/>
      <c r="VYL33" s="165"/>
      <c r="VYM33" s="165"/>
      <c r="VYN33" s="165"/>
      <c r="VYO33" s="165"/>
      <c r="VYP33" s="165"/>
      <c r="VYQ33" s="165"/>
      <c r="VYR33" s="165"/>
      <c r="VYS33" s="165"/>
      <c r="VYT33" s="165"/>
      <c r="VYU33" s="165"/>
      <c r="VYV33" s="165"/>
      <c r="VYW33" s="165"/>
      <c r="VYX33" s="165"/>
      <c r="VYY33" s="165"/>
      <c r="VYZ33" s="165"/>
      <c r="VZA33" s="165"/>
      <c r="VZB33" s="165"/>
      <c r="VZC33" s="165"/>
      <c r="VZD33" s="165"/>
      <c r="VZE33" s="165"/>
      <c r="VZF33" s="165"/>
      <c r="VZG33" s="165"/>
      <c r="VZH33" s="165"/>
      <c r="VZI33" s="165"/>
      <c r="VZJ33" s="165"/>
      <c r="VZK33" s="165"/>
      <c r="VZL33" s="165"/>
      <c r="VZM33" s="165"/>
      <c r="VZN33" s="165"/>
      <c r="VZO33" s="165"/>
      <c r="VZP33" s="165"/>
      <c r="VZQ33" s="165"/>
      <c r="VZR33" s="165"/>
      <c r="VZS33" s="165"/>
      <c r="VZT33" s="165"/>
      <c r="VZU33" s="165"/>
      <c r="VZV33" s="165"/>
      <c r="VZW33" s="165"/>
      <c r="VZX33" s="165"/>
      <c r="VZY33" s="165"/>
      <c r="VZZ33" s="165"/>
      <c r="WAA33" s="165"/>
      <c r="WAB33" s="165"/>
      <c r="WAC33" s="165"/>
      <c r="WAD33" s="165"/>
      <c r="WAE33" s="165"/>
      <c r="WAF33" s="165"/>
      <c r="WAG33" s="165"/>
      <c r="WAH33" s="165"/>
      <c r="WAI33" s="165"/>
      <c r="WAJ33" s="165"/>
      <c r="WAK33" s="165"/>
      <c r="WAL33" s="165"/>
      <c r="WAM33" s="165"/>
      <c r="WAN33" s="165"/>
      <c r="WAO33" s="165"/>
      <c r="WAP33" s="165"/>
      <c r="WAQ33" s="165"/>
      <c r="WAR33" s="165"/>
      <c r="WAS33" s="165"/>
      <c r="WAT33" s="165"/>
      <c r="WAU33" s="165"/>
      <c r="WAV33" s="165"/>
      <c r="WAW33" s="165"/>
      <c r="WAX33" s="165"/>
      <c r="WAY33" s="165"/>
      <c r="WAZ33" s="165"/>
      <c r="WBA33" s="165"/>
      <c r="WBB33" s="165"/>
      <c r="WBC33" s="165"/>
      <c r="WBD33" s="165"/>
      <c r="WBE33" s="165"/>
      <c r="WBF33" s="165"/>
      <c r="WBG33" s="165"/>
      <c r="WBH33" s="165"/>
      <c r="WBI33" s="165"/>
      <c r="WBJ33" s="165"/>
      <c r="WBK33" s="165"/>
      <c r="WBL33" s="165"/>
      <c r="WBM33" s="165"/>
      <c r="WBN33" s="165"/>
      <c r="WBO33" s="165"/>
      <c r="WBP33" s="165"/>
      <c r="WBQ33" s="165"/>
      <c r="WBR33" s="165"/>
      <c r="WBS33" s="165"/>
      <c r="WBT33" s="165"/>
      <c r="WBU33" s="165"/>
      <c r="WBV33" s="165"/>
      <c r="WBW33" s="165"/>
      <c r="WBX33" s="165"/>
      <c r="WBY33" s="165"/>
      <c r="WBZ33" s="165"/>
      <c r="WCA33" s="165"/>
      <c r="WCB33" s="165"/>
      <c r="WCC33" s="165"/>
      <c r="WCD33" s="165"/>
      <c r="WCE33" s="165"/>
      <c r="WCF33" s="165"/>
      <c r="WCG33" s="165"/>
      <c r="WCH33" s="165"/>
      <c r="WCI33" s="165"/>
      <c r="WCJ33" s="165"/>
      <c r="WCK33" s="165"/>
      <c r="WCL33" s="165"/>
      <c r="WCM33" s="165"/>
      <c r="WCN33" s="165"/>
      <c r="WCO33" s="165"/>
      <c r="WCP33" s="165"/>
      <c r="WCQ33" s="165"/>
      <c r="WCR33" s="165"/>
      <c r="WCS33" s="165"/>
      <c r="WCT33" s="165"/>
      <c r="WCU33" s="165"/>
      <c r="WCV33" s="165"/>
      <c r="WCW33" s="165"/>
      <c r="WCX33" s="165"/>
      <c r="WCY33" s="165"/>
      <c r="WCZ33" s="165"/>
      <c r="WDA33" s="165"/>
      <c r="WDB33" s="165"/>
      <c r="WDC33" s="165"/>
      <c r="WDD33" s="165"/>
      <c r="WDE33" s="165"/>
      <c r="WDF33" s="165"/>
      <c r="WDG33" s="165"/>
      <c r="WDH33" s="165"/>
      <c r="WDI33" s="165"/>
      <c r="WDJ33" s="165"/>
      <c r="WDK33" s="165"/>
      <c r="WDL33" s="165"/>
      <c r="WDM33" s="165"/>
      <c r="WDN33" s="165"/>
      <c r="WDO33" s="165"/>
      <c r="WDP33" s="165"/>
      <c r="WDQ33" s="165"/>
      <c r="WDR33" s="165"/>
      <c r="WDS33" s="165"/>
      <c r="WDT33" s="165"/>
      <c r="WDU33" s="165"/>
      <c r="WDV33" s="165"/>
      <c r="WDW33" s="165"/>
      <c r="WDX33" s="165"/>
      <c r="WDY33" s="165"/>
      <c r="WDZ33" s="165"/>
      <c r="WEA33" s="165"/>
      <c r="WEB33" s="165"/>
      <c r="WEC33" s="165"/>
      <c r="WED33" s="165"/>
      <c r="WEE33" s="165"/>
      <c r="WEF33" s="165"/>
      <c r="WEG33" s="165"/>
      <c r="WEH33" s="165"/>
      <c r="WEI33" s="165"/>
      <c r="WEJ33" s="165"/>
      <c r="WEK33" s="165"/>
      <c r="WEL33" s="165"/>
      <c r="WEM33" s="165"/>
      <c r="WEN33" s="165"/>
      <c r="WEO33" s="165"/>
      <c r="WEP33" s="165"/>
      <c r="WEQ33" s="165"/>
      <c r="WER33" s="165"/>
      <c r="WES33" s="165"/>
      <c r="WET33" s="165"/>
      <c r="WEU33" s="165"/>
      <c r="WEV33" s="165"/>
      <c r="WEW33" s="165"/>
      <c r="WEX33" s="165"/>
      <c r="WEY33" s="165"/>
      <c r="WEZ33" s="165"/>
      <c r="WFA33" s="165"/>
      <c r="WFB33" s="165"/>
      <c r="WFC33" s="165"/>
      <c r="WFD33" s="165"/>
      <c r="WFE33" s="165"/>
      <c r="WFF33" s="165"/>
      <c r="WFG33" s="165"/>
      <c r="WFH33" s="165"/>
      <c r="WFI33" s="165"/>
      <c r="WFJ33" s="165"/>
      <c r="WFK33" s="165"/>
      <c r="WFL33" s="165"/>
      <c r="WFM33" s="165"/>
      <c r="WFN33" s="165"/>
      <c r="WFO33" s="165"/>
      <c r="WFP33" s="165"/>
      <c r="WFQ33" s="165"/>
      <c r="WFR33" s="165"/>
      <c r="WFS33" s="165"/>
      <c r="WFT33" s="165"/>
      <c r="WFU33" s="165"/>
      <c r="WFV33" s="165"/>
      <c r="WFW33" s="165"/>
      <c r="WFX33" s="165"/>
      <c r="WFY33" s="165"/>
      <c r="WFZ33" s="165"/>
      <c r="WGA33" s="165"/>
      <c r="WGB33" s="165"/>
      <c r="WGC33" s="165"/>
      <c r="WGD33" s="165"/>
      <c r="WGE33" s="165"/>
      <c r="WGF33" s="165"/>
      <c r="WGG33" s="165"/>
      <c r="WGH33" s="165"/>
      <c r="WGI33" s="165"/>
      <c r="WGJ33" s="165"/>
      <c r="WGK33" s="165"/>
      <c r="WGL33" s="165"/>
      <c r="WGM33" s="165"/>
      <c r="WGN33" s="165"/>
      <c r="WGO33" s="165"/>
      <c r="WGP33" s="165"/>
      <c r="WGQ33" s="165"/>
      <c r="WGR33" s="165"/>
      <c r="WGS33" s="165"/>
      <c r="WGT33" s="165"/>
      <c r="WGU33" s="165"/>
      <c r="WGV33" s="165"/>
      <c r="WGW33" s="165"/>
      <c r="WGX33" s="165"/>
      <c r="WGY33" s="165"/>
      <c r="WGZ33" s="165"/>
      <c r="WHA33" s="165"/>
      <c r="WHB33" s="165"/>
      <c r="WHC33" s="165"/>
      <c r="WHD33" s="165"/>
      <c r="WHE33" s="165"/>
      <c r="WHF33" s="165"/>
      <c r="WHG33" s="165"/>
      <c r="WHH33" s="165"/>
      <c r="WHI33" s="165"/>
      <c r="WHJ33" s="165"/>
      <c r="WHK33" s="165"/>
      <c r="WHL33" s="165"/>
      <c r="WHM33" s="165"/>
      <c r="WHN33" s="165"/>
      <c r="WHO33" s="165"/>
      <c r="WHP33" s="165"/>
      <c r="WHQ33" s="165"/>
      <c r="WHR33" s="165"/>
      <c r="WHS33" s="165"/>
      <c r="WHT33" s="165"/>
      <c r="WHU33" s="165"/>
      <c r="WHV33" s="165"/>
      <c r="WHW33" s="165"/>
      <c r="WHX33" s="165"/>
      <c r="WHY33" s="165"/>
      <c r="WHZ33" s="165"/>
      <c r="WIA33" s="165"/>
      <c r="WIB33" s="165"/>
      <c r="WIC33" s="165"/>
      <c r="WID33" s="165"/>
      <c r="WIE33" s="165"/>
      <c r="WIF33" s="165"/>
      <c r="WIG33" s="165"/>
      <c r="WIH33" s="165"/>
      <c r="WII33" s="165"/>
      <c r="WIJ33" s="165"/>
      <c r="WIK33" s="165"/>
      <c r="WIL33" s="165"/>
      <c r="WIM33" s="165"/>
      <c r="WIN33" s="165"/>
      <c r="WIO33" s="165"/>
      <c r="WIP33" s="165"/>
      <c r="WIQ33" s="165"/>
      <c r="WIR33" s="165"/>
      <c r="WIS33" s="165"/>
      <c r="WIT33" s="165"/>
      <c r="WIU33" s="165"/>
      <c r="WIV33" s="165"/>
      <c r="WIW33" s="165"/>
      <c r="WIX33" s="165"/>
      <c r="WIY33" s="165"/>
      <c r="WIZ33" s="165"/>
      <c r="WJA33" s="165"/>
      <c r="WJB33" s="165"/>
      <c r="WJC33" s="165"/>
      <c r="WJD33" s="165"/>
      <c r="WJE33" s="165"/>
      <c r="WJF33" s="165"/>
      <c r="WJG33" s="165"/>
      <c r="WJH33" s="165"/>
      <c r="WJI33" s="165"/>
      <c r="WJJ33" s="165"/>
      <c r="WJK33" s="165"/>
      <c r="WJL33" s="165"/>
      <c r="WJM33" s="165"/>
      <c r="WJN33" s="165"/>
      <c r="WJO33" s="165"/>
      <c r="WJP33" s="165"/>
      <c r="WJQ33" s="165"/>
      <c r="WJR33" s="165"/>
      <c r="WJS33" s="165"/>
      <c r="WJT33" s="165"/>
      <c r="WJU33" s="165"/>
      <c r="WJV33" s="165"/>
      <c r="WJW33" s="165"/>
      <c r="WJX33" s="165"/>
      <c r="WJY33" s="165"/>
      <c r="WJZ33" s="165"/>
      <c r="WKA33" s="165"/>
      <c r="WKB33" s="165"/>
      <c r="WKC33" s="165"/>
      <c r="WKD33" s="165"/>
      <c r="WKE33" s="165"/>
      <c r="WKF33" s="165"/>
      <c r="WKG33" s="165"/>
      <c r="WKH33" s="165"/>
      <c r="WKI33" s="165"/>
      <c r="WKJ33" s="165"/>
      <c r="WKK33" s="165"/>
      <c r="WKL33" s="165"/>
      <c r="WKM33" s="165"/>
      <c r="WKN33" s="165"/>
      <c r="WKO33" s="165"/>
      <c r="WKP33" s="165"/>
      <c r="WKQ33" s="165"/>
      <c r="WKR33" s="165"/>
      <c r="WKS33" s="165"/>
      <c r="WKT33" s="165"/>
      <c r="WKU33" s="165"/>
      <c r="WKV33" s="165"/>
      <c r="WKW33" s="165"/>
      <c r="WKX33" s="165"/>
      <c r="WKY33" s="165"/>
      <c r="WKZ33" s="165"/>
      <c r="WLA33" s="165"/>
      <c r="WLB33" s="165"/>
      <c r="WLC33" s="165"/>
      <c r="WLD33" s="165"/>
      <c r="WLE33" s="165"/>
      <c r="WLF33" s="165"/>
      <c r="WLG33" s="165"/>
      <c r="WLH33" s="165"/>
      <c r="WLI33" s="165"/>
      <c r="WLJ33" s="165"/>
      <c r="WLK33" s="165"/>
      <c r="WLL33" s="165"/>
      <c r="WLM33" s="165"/>
      <c r="WLN33" s="165"/>
      <c r="WLO33" s="165"/>
      <c r="WLP33" s="165"/>
      <c r="WLQ33" s="165"/>
      <c r="WLR33" s="165"/>
      <c r="WLS33" s="165"/>
      <c r="WLT33" s="165"/>
      <c r="WLU33" s="165"/>
      <c r="WLV33" s="165"/>
      <c r="WLW33" s="165"/>
      <c r="WLX33" s="165"/>
      <c r="WLY33" s="165"/>
      <c r="WLZ33" s="165"/>
      <c r="WMA33" s="165"/>
      <c r="WMB33" s="165"/>
      <c r="WMC33" s="165"/>
      <c r="WMD33" s="165"/>
      <c r="WME33" s="165"/>
      <c r="WMF33" s="165"/>
      <c r="WMG33" s="165"/>
      <c r="WMH33" s="165"/>
      <c r="WMI33" s="165"/>
      <c r="WMJ33" s="165"/>
      <c r="WMK33" s="165"/>
      <c r="WML33" s="165"/>
      <c r="WMM33" s="165"/>
      <c r="WMN33" s="165"/>
      <c r="WMO33" s="165"/>
      <c r="WMP33" s="165"/>
      <c r="WMQ33" s="165"/>
      <c r="WMR33" s="165"/>
      <c r="WMS33" s="165"/>
      <c r="WMT33" s="165"/>
      <c r="WMU33" s="165"/>
      <c r="WMV33" s="165"/>
      <c r="WMW33" s="165"/>
      <c r="WMX33" s="165"/>
      <c r="WMY33" s="165"/>
      <c r="WMZ33" s="165"/>
      <c r="WNA33" s="165"/>
      <c r="WNB33" s="165"/>
      <c r="WNC33" s="165"/>
      <c r="WND33" s="165"/>
      <c r="WNE33" s="165"/>
      <c r="WNF33" s="165"/>
      <c r="WNG33" s="165"/>
      <c r="WNH33" s="165"/>
      <c r="WNI33" s="165"/>
      <c r="WNJ33" s="165"/>
      <c r="WNK33" s="165"/>
      <c r="WNL33" s="165"/>
      <c r="WNM33" s="165"/>
      <c r="WNN33" s="165"/>
      <c r="WNO33" s="165"/>
      <c r="WNP33" s="165"/>
      <c r="WNQ33" s="165"/>
      <c r="WNR33" s="165"/>
      <c r="WNS33" s="165"/>
      <c r="WNT33" s="165"/>
      <c r="WNU33" s="165"/>
      <c r="WNV33" s="165"/>
      <c r="WNW33" s="165"/>
      <c r="WNX33" s="165"/>
      <c r="WNY33" s="165"/>
      <c r="WNZ33" s="165"/>
      <c r="WOA33" s="165"/>
      <c r="WOB33" s="165"/>
      <c r="WOC33" s="165"/>
      <c r="WOD33" s="165"/>
      <c r="WOE33" s="165"/>
      <c r="WOF33" s="165"/>
      <c r="WOG33" s="165"/>
      <c r="WOH33" s="165"/>
      <c r="WOI33" s="165"/>
      <c r="WOJ33" s="165"/>
      <c r="WOK33" s="165"/>
      <c r="WOL33" s="165"/>
      <c r="WOM33" s="165"/>
      <c r="WON33" s="165"/>
      <c r="WOO33" s="165"/>
      <c r="WOP33" s="165"/>
      <c r="WOQ33" s="165"/>
      <c r="WOR33" s="165"/>
      <c r="WOS33" s="165"/>
      <c r="WOT33" s="165"/>
      <c r="WOU33" s="165"/>
      <c r="WOV33" s="165"/>
      <c r="WOW33" s="165"/>
      <c r="WOX33" s="165"/>
      <c r="WOY33" s="165"/>
      <c r="WOZ33" s="165"/>
      <c r="WPA33" s="165"/>
      <c r="WPB33" s="165"/>
      <c r="WPC33" s="165"/>
      <c r="WPD33" s="165"/>
      <c r="WPE33" s="165"/>
      <c r="WPF33" s="165"/>
      <c r="WPG33" s="165"/>
      <c r="WPH33" s="165"/>
      <c r="WPI33" s="165"/>
      <c r="WPJ33" s="165"/>
      <c r="WPK33" s="165"/>
      <c r="WPL33" s="165"/>
      <c r="WPM33" s="165"/>
      <c r="WPN33" s="165"/>
      <c r="WPO33" s="165"/>
      <c r="WPP33" s="165"/>
      <c r="WPQ33" s="165"/>
      <c r="WPR33" s="165"/>
      <c r="WPS33" s="165"/>
      <c r="WPT33" s="165"/>
      <c r="WPU33" s="165"/>
      <c r="WPV33" s="165"/>
      <c r="WPW33" s="165"/>
      <c r="WPX33" s="165"/>
      <c r="WPY33" s="165"/>
      <c r="WPZ33" s="165"/>
      <c r="WQA33" s="165"/>
      <c r="WQB33" s="165"/>
      <c r="WQC33" s="165"/>
      <c r="WQD33" s="165"/>
      <c r="WQE33" s="165"/>
      <c r="WQF33" s="165"/>
      <c r="WQG33" s="165"/>
      <c r="WQH33" s="165"/>
      <c r="WQI33" s="165"/>
      <c r="WQJ33" s="165"/>
      <c r="WQK33" s="165"/>
      <c r="WQL33" s="165"/>
      <c r="WQM33" s="165"/>
      <c r="WQN33" s="165"/>
      <c r="WQO33" s="165"/>
      <c r="WQP33" s="165"/>
      <c r="WQQ33" s="165"/>
      <c r="WQR33" s="165"/>
      <c r="WQS33" s="165"/>
      <c r="WQT33" s="165"/>
      <c r="WQU33" s="165"/>
      <c r="WQV33" s="165"/>
      <c r="WQW33" s="165"/>
      <c r="WQX33" s="165"/>
      <c r="WQY33" s="165"/>
      <c r="WQZ33" s="165"/>
      <c r="WRA33" s="165"/>
      <c r="WRB33" s="165"/>
      <c r="WRC33" s="165"/>
      <c r="WRD33" s="165"/>
      <c r="WRE33" s="165"/>
      <c r="WRF33" s="165"/>
      <c r="WRG33" s="165"/>
      <c r="WRH33" s="165"/>
      <c r="WRI33" s="165"/>
      <c r="WRJ33" s="165"/>
      <c r="WRK33" s="165"/>
      <c r="WRL33" s="165"/>
      <c r="WRM33" s="165"/>
      <c r="WRN33" s="165"/>
      <c r="WRO33" s="165"/>
      <c r="WRP33" s="165"/>
      <c r="WRQ33" s="165"/>
      <c r="WRR33" s="165"/>
      <c r="WRS33" s="165"/>
      <c r="WRT33" s="165"/>
      <c r="WRU33" s="165"/>
      <c r="WRV33" s="165"/>
      <c r="WRW33" s="165"/>
      <c r="WRX33" s="165"/>
      <c r="WRY33" s="165"/>
      <c r="WRZ33" s="165"/>
      <c r="WSA33" s="165"/>
      <c r="WSB33" s="165"/>
      <c r="WSC33" s="165"/>
      <c r="WSD33" s="165"/>
      <c r="WSE33" s="165"/>
      <c r="WSF33" s="165"/>
      <c r="WSG33" s="165"/>
      <c r="WSH33" s="165"/>
      <c r="WSI33" s="165"/>
      <c r="WSJ33" s="165"/>
      <c r="WSK33" s="165"/>
      <c r="WSL33" s="165"/>
      <c r="WSM33" s="165"/>
      <c r="WSN33" s="165"/>
      <c r="WSO33" s="165"/>
      <c r="WSP33" s="165"/>
      <c r="WSQ33" s="165"/>
      <c r="WSR33" s="165"/>
      <c r="WSS33" s="165"/>
      <c r="WST33" s="165"/>
      <c r="WSU33" s="165"/>
      <c r="WSV33" s="165"/>
      <c r="WSW33" s="165"/>
      <c r="WSX33" s="165"/>
      <c r="WSY33" s="165"/>
      <c r="WSZ33" s="165"/>
      <c r="WTA33" s="165"/>
      <c r="WTB33" s="165"/>
      <c r="WTC33" s="165"/>
      <c r="WTD33" s="165"/>
      <c r="WTE33" s="165"/>
      <c r="WTF33" s="165"/>
      <c r="WTG33" s="165"/>
      <c r="WTH33" s="165"/>
      <c r="WTI33" s="165"/>
      <c r="WTJ33" s="165"/>
      <c r="WTK33" s="165"/>
      <c r="WTL33" s="165"/>
      <c r="WTM33" s="165"/>
      <c r="WTN33" s="165"/>
      <c r="WTO33" s="165"/>
      <c r="WTP33" s="165"/>
      <c r="WTQ33" s="165"/>
      <c r="WTR33" s="165"/>
      <c r="WTS33" s="165"/>
      <c r="WTT33" s="165"/>
      <c r="WTU33" s="165"/>
      <c r="WTV33" s="165"/>
      <c r="WTW33" s="165"/>
      <c r="WTX33" s="165"/>
      <c r="WTY33" s="165"/>
      <c r="WTZ33" s="165"/>
      <c r="WUA33" s="165"/>
      <c r="WUB33" s="165"/>
      <c r="WUC33" s="165"/>
      <c r="WUD33" s="165"/>
      <c r="WUE33" s="165"/>
      <c r="WUF33" s="165"/>
      <c r="WUG33" s="165"/>
      <c r="WUH33" s="165"/>
      <c r="WUI33" s="165"/>
      <c r="WUJ33" s="165"/>
      <c r="WUK33" s="165"/>
      <c r="WUL33" s="165"/>
      <c r="WUM33" s="165"/>
      <c r="WUN33" s="165"/>
      <c r="WUO33" s="165"/>
      <c r="WUP33" s="165"/>
      <c r="WUQ33" s="165"/>
      <c r="WUR33" s="165"/>
      <c r="WUS33" s="165"/>
      <c r="WUT33" s="165"/>
      <c r="WUU33" s="165"/>
      <c r="WUV33" s="165"/>
      <c r="WUW33" s="165"/>
      <c r="WUX33" s="165"/>
      <c r="WUY33" s="165"/>
      <c r="WUZ33" s="165"/>
      <c r="WVA33" s="165"/>
      <c r="WVB33" s="165"/>
      <c r="WVC33" s="165"/>
      <c r="WVD33" s="165"/>
      <c r="WVE33" s="165"/>
      <c r="WVF33" s="165"/>
      <c r="WVG33" s="165"/>
      <c r="WVH33" s="165"/>
      <c r="WVI33" s="165"/>
      <c r="WVJ33" s="165"/>
      <c r="WVK33" s="165"/>
      <c r="WVL33" s="165"/>
      <c r="WVM33" s="165"/>
      <c r="WVN33" s="165"/>
      <c r="WVO33" s="165"/>
      <c r="WVP33" s="165"/>
      <c r="WVQ33" s="165"/>
      <c r="WVR33" s="165"/>
      <c r="WVS33" s="165"/>
      <c r="WVT33" s="165"/>
      <c r="WVU33" s="165"/>
      <c r="WVV33" s="165"/>
      <c r="WVW33" s="165"/>
      <c r="WVX33" s="165"/>
      <c r="WVY33" s="165"/>
      <c r="WVZ33" s="165"/>
      <c r="WWA33" s="165"/>
      <c r="WWB33" s="165"/>
      <c r="WWC33" s="165"/>
      <c r="WWD33" s="165"/>
      <c r="WWE33" s="165"/>
      <c r="WWF33" s="165"/>
      <c r="WWG33" s="165"/>
      <c r="WWH33" s="165"/>
      <c r="WWI33" s="165"/>
      <c r="WWJ33" s="165"/>
      <c r="WWK33" s="165"/>
      <c r="WWL33" s="165"/>
      <c r="WWM33" s="165"/>
      <c r="WWN33" s="165"/>
      <c r="WWO33" s="165"/>
      <c r="WWP33" s="165"/>
      <c r="WWQ33" s="165"/>
      <c r="WWR33" s="165"/>
      <c r="WWS33" s="165"/>
      <c r="WWT33" s="165"/>
      <c r="WWU33" s="165"/>
      <c r="WWV33" s="165"/>
      <c r="WWW33" s="165"/>
      <c r="WWX33" s="165"/>
      <c r="WWY33" s="165"/>
      <c r="WWZ33" s="165"/>
      <c r="WXA33" s="165"/>
      <c r="WXB33" s="165"/>
      <c r="WXC33" s="165"/>
      <c r="WXD33" s="165"/>
      <c r="WXE33" s="165"/>
      <c r="WXF33" s="165"/>
      <c r="WXG33" s="165"/>
      <c r="WXH33" s="165"/>
      <c r="WXI33" s="165"/>
      <c r="WXJ33" s="165"/>
      <c r="WXK33" s="165"/>
      <c r="WXL33" s="165"/>
      <c r="WXM33" s="165"/>
      <c r="WXN33" s="165"/>
      <c r="WXO33" s="165"/>
      <c r="WXP33" s="165"/>
      <c r="WXQ33" s="165"/>
      <c r="WXR33" s="165"/>
      <c r="WXS33" s="165"/>
      <c r="WXT33" s="165"/>
      <c r="WXU33" s="165"/>
      <c r="WXV33" s="165"/>
      <c r="WXW33" s="165"/>
      <c r="WXX33" s="165"/>
      <c r="WXY33" s="165"/>
      <c r="WXZ33" s="165"/>
      <c r="WYA33" s="165"/>
      <c r="WYB33" s="165"/>
      <c r="WYC33" s="165"/>
      <c r="WYD33" s="165"/>
      <c r="WYE33" s="165"/>
      <c r="WYF33" s="165"/>
      <c r="WYG33" s="165"/>
      <c r="WYH33" s="165"/>
      <c r="WYI33" s="165"/>
      <c r="WYJ33" s="165"/>
      <c r="WYK33" s="165"/>
      <c r="WYL33" s="165"/>
      <c r="WYM33" s="165"/>
      <c r="WYN33" s="165"/>
      <c r="WYO33" s="165"/>
      <c r="WYP33" s="165"/>
      <c r="WYQ33" s="165"/>
      <c r="WYR33" s="165"/>
      <c r="WYS33" s="165"/>
      <c r="WYT33" s="165"/>
      <c r="WYU33" s="165"/>
      <c r="WYV33" s="165"/>
      <c r="WYW33" s="165"/>
      <c r="WYX33" s="165"/>
      <c r="WYY33" s="165"/>
      <c r="WYZ33" s="165"/>
      <c r="WZA33" s="165"/>
      <c r="WZB33" s="165"/>
      <c r="WZC33" s="165"/>
      <c r="WZD33" s="165"/>
      <c r="WZE33" s="165"/>
      <c r="WZF33" s="165"/>
      <c r="WZG33" s="165"/>
      <c r="WZH33" s="165"/>
      <c r="WZI33" s="165"/>
      <c r="WZJ33" s="165"/>
      <c r="WZK33" s="165"/>
      <c r="WZL33" s="165"/>
      <c r="WZM33" s="165"/>
      <c r="WZN33" s="165"/>
      <c r="WZO33" s="165"/>
      <c r="WZP33" s="165"/>
      <c r="WZQ33" s="165"/>
      <c r="WZR33" s="165"/>
      <c r="WZS33" s="165"/>
      <c r="WZT33" s="165"/>
      <c r="WZU33" s="165"/>
      <c r="WZV33" s="165"/>
      <c r="WZW33" s="165"/>
      <c r="WZX33" s="165"/>
      <c r="WZY33" s="165"/>
      <c r="WZZ33" s="165"/>
      <c r="XAA33" s="165"/>
      <c r="XAB33" s="165"/>
      <c r="XAC33" s="165"/>
      <c r="XAD33" s="165"/>
      <c r="XAE33" s="165"/>
      <c r="XAF33" s="165"/>
      <c r="XAG33" s="165"/>
      <c r="XAH33" s="165"/>
      <c r="XAI33" s="165"/>
      <c r="XAJ33" s="165"/>
      <c r="XAK33" s="165"/>
      <c r="XAL33" s="165"/>
      <c r="XAM33" s="165"/>
      <c r="XAN33" s="165"/>
      <c r="XAO33" s="165"/>
      <c r="XAP33" s="165"/>
      <c r="XAQ33" s="165"/>
      <c r="XAR33" s="165"/>
      <c r="XAS33" s="165"/>
      <c r="XAT33" s="165"/>
      <c r="XAU33" s="165"/>
      <c r="XAV33" s="165"/>
      <c r="XAW33" s="165"/>
      <c r="XAX33" s="165"/>
      <c r="XAY33" s="165"/>
      <c r="XAZ33" s="165"/>
      <c r="XBA33" s="165"/>
      <c r="XBB33" s="165"/>
      <c r="XBC33" s="165"/>
      <c r="XBD33" s="165"/>
      <c r="XBE33" s="165"/>
      <c r="XBF33" s="165"/>
      <c r="XBG33" s="165"/>
      <c r="XBH33" s="165"/>
      <c r="XBI33" s="165"/>
      <c r="XBJ33" s="165"/>
      <c r="XBK33" s="165"/>
      <c r="XBL33" s="165"/>
      <c r="XBM33" s="165"/>
      <c r="XBN33" s="165"/>
      <c r="XBO33" s="165"/>
      <c r="XBP33" s="165"/>
      <c r="XBQ33" s="165"/>
      <c r="XBR33" s="165"/>
      <c r="XBS33" s="165"/>
      <c r="XBT33" s="165"/>
      <c r="XBU33" s="165"/>
      <c r="XBV33" s="165"/>
      <c r="XBW33" s="165"/>
      <c r="XBX33" s="165"/>
      <c r="XBY33" s="165"/>
      <c r="XBZ33" s="165"/>
      <c r="XCA33" s="165"/>
      <c r="XCB33" s="165"/>
      <c r="XCC33" s="165"/>
      <c r="XCD33" s="165"/>
      <c r="XCE33" s="165"/>
      <c r="XCF33" s="165"/>
      <c r="XCG33" s="165"/>
      <c r="XCH33" s="165"/>
      <c r="XCI33" s="165"/>
      <c r="XCJ33" s="165"/>
      <c r="XCK33" s="165"/>
      <c r="XCL33" s="165"/>
      <c r="XCM33" s="165"/>
      <c r="XCN33" s="165"/>
      <c r="XCO33" s="165"/>
      <c r="XCP33" s="165"/>
      <c r="XCQ33" s="165"/>
      <c r="XCR33" s="165"/>
      <c r="XCS33" s="165"/>
      <c r="XCT33" s="165"/>
      <c r="XCU33" s="165"/>
      <c r="XCV33" s="165"/>
      <c r="XCW33" s="165"/>
      <c r="XCX33" s="165"/>
      <c r="XCY33" s="165"/>
      <c r="XCZ33" s="165"/>
      <c r="XDA33" s="165"/>
      <c r="XDB33" s="165"/>
      <c r="XDC33" s="165"/>
      <c r="XDD33" s="165"/>
      <c r="XDE33" s="165"/>
      <c r="XDF33" s="165"/>
      <c r="XDG33" s="165"/>
      <c r="XDH33" s="165"/>
      <c r="XDI33" s="165"/>
      <c r="XDJ33" s="165"/>
      <c r="XDK33" s="165"/>
      <c r="XDL33" s="165"/>
      <c r="XDM33" s="165"/>
      <c r="XDN33" s="165"/>
      <c r="XDO33" s="165"/>
      <c r="XDP33" s="165"/>
      <c r="XDQ33" s="165"/>
      <c r="XDR33" s="165"/>
      <c r="XDS33" s="165"/>
      <c r="XDT33" s="165"/>
      <c r="XDU33" s="165"/>
      <c r="XDV33" s="165"/>
      <c r="XDW33" s="165"/>
      <c r="XDX33" s="165"/>
      <c r="XDY33" s="165"/>
      <c r="XDZ33" s="165"/>
      <c r="XEA33" s="165"/>
      <c r="XEB33" s="165"/>
      <c r="XEC33" s="165"/>
      <c r="XED33" s="165"/>
      <c r="XEE33" s="165"/>
      <c r="XEF33" s="165"/>
      <c r="XEG33" s="165"/>
      <c r="XEH33" s="165"/>
      <c r="XEI33" s="165"/>
      <c r="XEJ33" s="165"/>
      <c r="XEK33" s="165"/>
      <c r="XEL33" s="165"/>
      <c r="XEM33" s="165"/>
      <c r="XEN33" s="165"/>
      <c r="XEO33" s="165"/>
      <c r="XEP33" s="165"/>
      <c r="XEQ33" s="165"/>
      <c r="XER33" s="165"/>
      <c r="XES33" s="165"/>
      <c r="XET33" s="165"/>
      <c r="XEU33" s="165"/>
      <c r="XEV33" s="165"/>
    </row>
  </sheetData>
  <autoFilter ref="A3:AA33"/>
  <conditionalFormatting sqref="A4:A10">
    <cfRule type="cellIs" dxfId="1098" priority="8" operator="equal">
      <formula>"close"</formula>
    </cfRule>
  </conditionalFormatting>
  <conditionalFormatting sqref="A11:A13">
    <cfRule type="cellIs" dxfId="1097" priority="7" operator="equal">
      <formula>"close"</formula>
    </cfRule>
  </conditionalFormatting>
  <conditionalFormatting sqref="A14:A24">
    <cfRule type="cellIs" dxfId="1096" priority="6" operator="equal">
      <formula>"close"</formula>
    </cfRule>
  </conditionalFormatting>
  <conditionalFormatting sqref="A25:A27">
    <cfRule type="cellIs" dxfId="1095" priority="5" operator="equal">
      <formula>"close"</formula>
    </cfRule>
  </conditionalFormatting>
  <conditionalFormatting sqref="A28:A29">
    <cfRule type="cellIs" dxfId="1094" priority="4" operator="equal">
      <formula>"close"</formula>
    </cfRule>
  </conditionalFormatting>
  <conditionalFormatting sqref="A30:A31">
    <cfRule type="cellIs" dxfId="1093" priority="3" operator="equal">
      <formula>"close"</formula>
    </cfRule>
  </conditionalFormatting>
  <conditionalFormatting sqref="A32">
    <cfRule type="cellIs" dxfId="1092" priority="2" operator="equal">
      <formula>"close"</formula>
    </cfRule>
  </conditionalFormatting>
  <conditionalFormatting sqref="A33">
    <cfRule type="cellIs" dxfId="1091"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S11" sqref="S11"/>
    </sheetView>
  </sheetViews>
  <sheetFormatPr defaultColWidth="9.140625" defaultRowHeight="15"/>
  <cols>
    <col min="1" max="1" width="11.85546875" style="100" customWidth="1"/>
    <col min="2" max="4" width="10.85546875" style="37" customWidth="1"/>
    <col min="5" max="5" width="9.85546875" style="37" customWidth="1"/>
    <col min="6" max="6" width="12" style="100" customWidth="1"/>
    <col min="7" max="7" width="18.5703125" style="37" customWidth="1"/>
    <col min="8" max="8" width="14.42578125" style="37" customWidth="1"/>
    <col min="9" max="9" width="16.28515625" style="100" customWidth="1"/>
    <col min="10" max="10" width="16.7109375" style="37" customWidth="1"/>
    <col min="11" max="11" width="16.42578125" style="37" customWidth="1"/>
    <col min="12" max="12" width="15" style="37" customWidth="1"/>
    <col min="13" max="13" width="8.85546875" style="37" customWidth="1"/>
    <col min="14" max="16" width="10.85546875" style="37" customWidth="1"/>
    <col min="17" max="17" width="5.28515625" style="37" customWidth="1"/>
    <col min="18" max="18" width="24.28515625" style="37" customWidth="1"/>
    <col min="19" max="19" width="19.28515625" style="37" customWidth="1"/>
    <col min="20" max="20" width="12.140625" style="37" bestFit="1" customWidth="1"/>
    <col min="21" max="21" width="8.85546875" style="37" bestFit="1" customWidth="1"/>
    <col min="22" max="22" width="8.5703125" style="90" bestFit="1" customWidth="1"/>
    <col min="23" max="23" width="7.28515625" style="90" bestFit="1" customWidth="1"/>
    <col min="24" max="25" width="8.140625" style="90" bestFit="1" customWidth="1"/>
    <col min="26" max="26" width="11" style="90" customWidth="1"/>
    <col min="27" max="32" width="9.140625" style="90"/>
    <col min="33" max="33" width="15" style="90" customWidth="1"/>
    <col min="34" max="34" width="9.140625" style="90"/>
    <col min="35" max="40" width="17.85546875" style="90" customWidth="1"/>
    <col min="41" max="41" width="18.7109375" style="90" customWidth="1"/>
    <col min="42" max="43" width="17.85546875" style="90" customWidth="1"/>
    <col min="44" max="44" width="18.28515625" style="90" customWidth="1"/>
    <col min="45" max="45" width="19.42578125" style="90" customWidth="1"/>
    <col min="46" max="16384" width="9.140625" style="37"/>
  </cols>
  <sheetData>
    <row r="1" spans="1:53" s="100" customFormat="1" ht="6.75" customHeight="1">
      <c r="A1" s="468"/>
      <c r="B1" s="469"/>
      <c r="C1" s="469"/>
      <c r="D1" s="469"/>
      <c r="E1" s="469"/>
      <c r="F1" s="469"/>
      <c r="G1" s="469"/>
      <c r="H1" s="469"/>
      <c r="I1" s="469"/>
      <c r="J1" s="469"/>
      <c r="K1" s="469"/>
      <c r="L1" s="469"/>
      <c r="M1" s="469"/>
      <c r="N1" s="469"/>
      <c r="O1" s="469"/>
      <c r="P1" s="469"/>
      <c r="Q1" s="470"/>
    </row>
    <row r="2" spans="1:53" s="1" customFormat="1" ht="36.75" thickBot="1">
      <c r="A2" s="471"/>
      <c r="B2" s="831"/>
      <c r="C2" s="831"/>
      <c r="D2" s="831"/>
      <c r="E2" s="831"/>
      <c r="F2" s="831"/>
      <c r="G2" s="831"/>
      <c r="H2" s="831"/>
      <c r="I2" s="831"/>
      <c r="J2" s="831"/>
      <c r="K2" s="831"/>
      <c r="L2" s="831"/>
      <c r="M2" s="831"/>
      <c r="N2" s="831"/>
      <c r="O2" s="831"/>
      <c r="P2" s="831"/>
      <c r="Q2" s="472"/>
      <c r="AZ2" s="78"/>
      <c r="BA2" s="78"/>
    </row>
    <row r="3" spans="1:53" s="1" customFormat="1" ht="33" customHeight="1">
      <c r="A3" s="843" t="s">
        <v>616</v>
      </c>
      <c r="B3" s="844"/>
      <c r="C3" s="844"/>
      <c r="D3" s="844"/>
      <c r="E3" s="844"/>
      <c r="F3" s="844"/>
      <c r="G3" s="844"/>
      <c r="H3" s="844"/>
      <c r="I3" s="844"/>
      <c r="J3" s="844"/>
      <c r="K3" s="844"/>
      <c r="L3" s="751"/>
      <c r="M3" s="751"/>
      <c r="N3" s="751"/>
      <c r="O3" s="751"/>
      <c r="P3" s="751"/>
      <c r="Q3" s="470"/>
      <c r="V3" s="90"/>
      <c r="W3" s="90"/>
      <c r="X3" s="90"/>
      <c r="Y3" s="90"/>
      <c r="Z3" s="90"/>
      <c r="AA3" s="90"/>
      <c r="AB3" s="90"/>
      <c r="AC3" s="90"/>
      <c r="AD3" s="90"/>
      <c r="AE3" s="90"/>
      <c r="AF3" s="90"/>
      <c r="AG3" s="90"/>
      <c r="AH3" s="90"/>
      <c r="AI3" s="90"/>
      <c r="AJ3" s="90"/>
      <c r="AK3" s="90"/>
      <c r="AL3" s="90"/>
      <c r="AM3" s="90"/>
      <c r="AN3" s="90"/>
      <c r="AO3" s="90"/>
      <c r="AP3" s="90"/>
      <c r="AZ3" s="78"/>
      <c r="BA3" s="78"/>
    </row>
    <row r="4" spans="1:53" s="21" customFormat="1" ht="18" customHeight="1">
      <c r="A4" s="845">
        <f>Report_Date</f>
        <v>42522</v>
      </c>
      <c r="B4" s="846"/>
      <c r="C4" s="846"/>
      <c r="D4" s="846"/>
      <c r="E4" s="846"/>
      <c r="F4" s="846"/>
      <c r="G4" s="846"/>
      <c r="H4" s="846"/>
      <c r="I4" s="846"/>
      <c r="J4" s="846"/>
      <c r="K4" s="846"/>
      <c r="L4" s="463"/>
      <c r="M4" s="463"/>
      <c r="N4" s="463"/>
      <c r="O4" s="463"/>
      <c r="P4" s="463"/>
      <c r="Q4" s="472"/>
      <c r="R4" s="1"/>
      <c r="W4" s="90"/>
      <c r="X4" s="90"/>
      <c r="Y4" s="90"/>
      <c r="Z4" s="90"/>
      <c r="AA4" s="90"/>
      <c r="AB4" s="90"/>
      <c r="AC4" s="90"/>
      <c r="AD4" s="90"/>
      <c r="AE4" s="90"/>
      <c r="AF4" s="90"/>
      <c r="AG4" s="90"/>
      <c r="AH4" s="90"/>
      <c r="AI4" s="90"/>
      <c r="AJ4" s="90"/>
      <c r="AK4" s="90"/>
      <c r="AL4" s="90"/>
      <c r="AM4" s="90"/>
      <c r="AN4" s="90"/>
      <c r="AO4" s="90"/>
      <c r="AP4" s="90"/>
      <c r="AZ4" s="79"/>
      <c r="BA4" s="79"/>
    </row>
    <row r="5" spans="1:53" ht="36">
      <c r="A5" s="67"/>
      <c r="B5" s="54"/>
      <c r="C5" s="54"/>
      <c r="D5" s="54"/>
      <c r="E5" s="54"/>
      <c r="F5" s="54"/>
      <c r="G5" s="54"/>
      <c r="H5" s="54"/>
      <c r="I5" s="54"/>
      <c r="J5" s="54"/>
      <c r="K5" s="54"/>
      <c r="L5" s="54"/>
      <c r="M5" s="54"/>
      <c r="N5" s="54"/>
      <c r="O5" s="54"/>
      <c r="P5" s="54"/>
      <c r="Q5" s="473"/>
      <c r="R5" s="54"/>
      <c r="S5" s="102"/>
      <c r="T5" s="102"/>
      <c r="U5" s="102"/>
      <c r="V5" s="102"/>
      <c r="W5" s="102"/>
      <c r="X5" s="102"/>
      <c r="Y5" s="102"/>
      <c r="Z5" s="102"/>
      <c r="AA5" s="102"/>
      <c r="AB5" s="102"/>
      <c r="AC5" s="102"/>
      <c r="AD5" s="102"/>
      <c r="AE5" s="102"/>
      <c r="AF5" s="102"/>
      <c r="AS5" s="37"/>
    </row>
    <row r="6" spans="1:53">
      <c r="A6" s="67"/>
      <c r="B6" s="54"/>
      <c r="C6" s="54"/>
      <c r="D6" s="54"/>
      <c r="E6" s="54"/>
      <c r="F6" s="54"/>
      <c r="G6" s="54"/>
      <c r="H6" s="54"/>
      <c r="I6" s="54"/>
      <c r="J6" s="54"/>
      <c r="K6" s="54"/>
      <c r="L6" s="54"/>
      <c r="M6" s="54"/>
      <c r="N6" s="54"/>
      <c r="O6" s="54"/>
      <c r="P6" s="54"/>
      <c r="Q6" s="473"/>
      <c r="R6" s="1"/>
      <c r="AG6" s="358" t="s">
        <v>1</v>
      </c>
      <c r="AH6" s="358" t="s">
        <v>606</v>
      </c>
      <c r="AI6" s="358" t="s">
        <v>609</v>
      </c>
      <c r="AJ6" s="358" t="s">
        <v>608</v>
      </c>
      <c r="AK6" s="358" t="s">
        <v>610</v>
      </c>
      <c r="AL6" s="39" t="s">
        <v>940</v>
      </c>
      <c r="AS6" s="37"/>
    </row>
    <row r="7" spans="1:53" ht="9.75" customHeight="1">
      <c r="A7" s="67"/>
      <c r="B7" s="54"/>
      <c r="C7" s="54"/>
      <c r="D7" s="54"/>
      <c r="E7" s="54"/>
      <c r="F7" s="54"/>
      <c r="G7" s="54"/>
      <c r="H7" s="54"/>
      <c r="I7" s="54"/>
      <c r="J7" s="54"/>
      <c r="K7" s="54"/>
      <c r="L7" s="54"/>
      <c r="M7" s="54"/>
      <c r="N7" s="54"/>
      <c r="O7" s="54"/>
      <c r="P7" s="54"/>
      <c r="Q7" s="473"/>
      <c r="R7" s="1"/>
      <c r="AG7" s="346" t="s">
        <v>17</v>
      </c>
      <c r="AH7" s="345">
        <f>SUMIFS(Camp_List[Total],Camp_List[TOWNSHIP_NAME],$AG7,Camp_List[Total],"&gt;0",Camp_List[Total],"&lt;=1000",Camp_List[Status],"Open")</f>
        <v>327</v>
      </c>
      <c r="AI7" s="345">
        <f>SUMIFS(Camp_List[Total],Camp_List[TOWNSHIP_NAME],$AG7,Camp_List[Total],"&gt;1000",Camp_List[Total],"&lt;=5000",Camp_List[Status],"Open")</f>
        <v>1274</v>
      </c>
      <c r="AJ7" s="345">
        <f>SUMIFS(Camp_List[Total],Camp_List[TOWNSHIP_NAME],$AG7,Camp_List[Total],"&gt;5000",Camp_List[Total],"&lt;=10000",Camp_List[Status],"Open")</f>
        <v>0</v>
      </c>
      <c r="AK7" s="345">
        <f>SUMIFS(Camp_List[Total],Camp_List[TOWNSHIP_NAME],$AG7,Camp_List[Total],"&gt;10000",Camp_List[Total],"&lt;=100000",Camp_List[Status],"Open")</f>
        <v>0</v>
      </c>
      <c r="AL7" s="345">
        <f>SUMIFS(Camp_List[Total],Camp_List[TOWNSHIP_NAME],$AG7,Camp_List[Total],"",Camp_List[Status],"Open")</f>
        <v>0</v>
      </c>
      <c r="AS7" s="37"/>
    </row>
    <row r="8" spans="1:53" ht="12.75" customHeight="1">
      <c r="A8" s="67"/>
      <c r="B8" s="54"/>
      <c r="C8" s="54"/>
      <c r="D8" s="54"/>
      <c r="E8" s="54"/>
      <c r="F8" s="54"/>
      <c r="G8" s="54"/>
      <c r="H8" s="54"/>
      <c r="I8" s="54"/>
      <c r="J8" s="54"/>
      <c r="K8" s="54"/>
      <c r="L8" s="54"/>
      <c r="M8" s="54"/>
      <c r="N8" s="54"/>
      <c r="O8" s="54"/>
      <c r="P8" s="54"/>
      <c r="Q8" s="473"/>
      <c r="R8" s="1"/>
      <c r="AG8" s="346" t="s">
        <v>15</v>
      </c>
      <c r="AH8" s="345">
        <f>SUMIFS(Camp_List[Total],Camp_List[TOWNSHIP_NAME],$AG8,Camp_List[Total],"&gt;0",Camp_List[Total],"&lt;=1000",Camp_List[Status],"Open")</f>
        <v>546</v>
      </c>
      <c r="AI8" s="345">
        <f>SUMIFS(Camp_List[Total],Camp_List[TOWNSHIP_NAME],$AG8,Camp_List[Total],"&gt;1000",Camp_List[Total],"&lt;=5000",Camp_List[Status],"Open")</f>
        <v>0</v>
      </c>
      <c r="AJ8" s="345">
        <f>SUMIFS(Camp_List[Total],Camp_List[TOWNSHIP_NAME],$AG8,Camp_List[Total],"&gt;5000",Camp_List[Total],"&lt;=10000",Camp_List[Status],"Open")</f>
        <v>0</v>
      </c>
      <c r="AK8" s="345">
        <f>SUMIFS(Camp_List[Total],Camp_List[TOWNSHIP_NAME],$AG8,Camp_List[Total],"&gt;10000",Camp_List[Total],"&lt;=100000",Camp_List[Status],"Open")</f>
        <v>0</v>
      </c>
      <c r="AL8" s="345">
        <f>SUMIFS(Camp_List[Total],Camp_List[TOWNSHIP_NAME],$AG8,Camp_List[Total],"",Camp_List[Status],"Open")</f>
        <v>0</v>
      </c>
      <c r="AS8" s="37"/>
    </row>
    <row r="9" spans="1:53" ht="18.75" customHeight="1">
      <c r="A9" s="67"/>
      <c r="B9" s="54"/>
      <c r="C9" s="54"/>
      <c r="D9" s="54"/>
      <c r="E9" s="54"/>
      <c r="F9" s="54"/>
      <c r="G9" s="54"/>
      <c r="H9" s="54"/>
      <c r="I9" s="54"/>
      <c r="J9" s="54"/>
      <c r="K9" s="54"/>
      <c r="L9" s="54"/>
      <c r="M9" s="54"/>
      <c r="N9" s="54"/>
      <c r="O9" s="54"/>
      <c r="P9" s="54"/>
      <c r="Q9" s="473"/>
      <c r="R9" s="1"/>
      <c r="AG9" s="346" t="s">
        <v>20</v>
      </c>
      <c r="AH9" s="345">
        <f>SUMIFS(Camp_List[Total],Camp_List[TOWNSHIP_NAME],$AG9,Camp_List[Total],"&gt;0",Camp_List[Total],"&lt;=1000",Camp_List[Status],"Open")</f>
        <v>1378</v>
      </c>
      <c r="AI9" s="345">
        <f>SUMIFS(Camp_List[Total],Camp_List[TOWNSHIP_NAME],$AG9,Camp_List[Total],"&gt;1000",Camp_List[Total],"&lt;=5000",Camp_List[Status],"Open")</f>
        <v>0</v>
      </c>
      <c r="AJ9" s="345">
        <f>SUMIFS(Camp_List[Total],Camp_List[TOWNSHIP_NAME],$AG9,Camp_List[Total],"&gt;5000",Camp_List[Total],"&lt;=10000",Camp_List[Status],"Open")</f>
        <v>0</v>
      </c>
      <c r="AK9" s="345">
        <f>SUMIFS(Camp_List[Total],Camp_List[TOWNSHIP_NAME],$AG9,Camp_List[Total],"&gt;10000",Camp_List[Total],"&lt;=100000",Camp_List[Status],"Open")</f>
        <v>0</v>
      </c>
      <c r="AL9" s="345">
        <f>SUMIFS(Camp_List[Total],Camp_List[TOWNSHIP_NAME],$AG9,Camp_List[Total],"",Camp_List[Status],"Open")</f>
        <v>0</v>
      </c>
      <c r="AS9" s="37"/>
    </row>
    <row r="10" spans="1:53" ht="29.25" customHeight="1">
      <c r="A10" s="67"/>
      <c r="B10" s="54"/>
      <c r="C10" s="54"/>
      <c r="D10" s="54"/>
      <c r="E10" s="54"/>
      <c r="F10" s="54"/>
      <c r="G10" s="54"/>
      <c r="H10" s="838" t="s">
        <v>1033</v>
      </c>
      <c r="I10" s="840"/>
      <c r="J10" s="841"/>
      <c r="K10" s="841"/>
      <c r="L10" s="842"/>
      <c r="M10" s="54"/>
      <c r="N10" s="54"/>
      <c r="O10" s="54"/>
      <c r="P10" s="54"/>
      <c r="Q10" s="474"/>
      <c r="R10" s="1"/>
      <c r="AG10" s="346" t="s">
        <v>900</v>
      </c>
      <c r="AH10" s="345">
        <f>SUMIFS(Camp_List[Total],Camp_List[TOWNSHIP_NAME],$AG10,Camp_List[Total],"&gt;0",Camp_List[Total],"&lt;=1000",Camp_List[Status],"Open")</f>
        <v>204</v>
      </c>
      <c r="AI10" s="345">
        <f>SUMIFS(Camp_List[Total],Camp_List[TOWNSHIP_NAME],$AG10,Camp_List[Total],"&gt;1000",Camp_List[Total],"&lt;=5000",Camp_List[Status],"Open")</f>
        <v>2718</v>
      </c>
      <c r="AJ10" s="345">
        <f>SUMIFS(Camp_List[Total],Camp_List[TOWNSHIP_NAME],$AG10,Camp_List[Total],"&gt;5000",Camp_List[Total],"&lt;=10000",Camp_List[Status],"Open")</f>
        <v>0</v>
      </c>
      <c r="AK10" s="345">
        <f>SUMIFS(Camp_List[Total],Camp_List[TOWNSHIP_NAME],$AG10,Camp_List[Total],"&gt;10000",Camp_List[Total],"&lt;=100000",Camp_List[Status],"Open")</f>
        <v>0</v>
      </c>
      <c r="AL10" s="345">
        <f>SUMIFS(Camp_List[Total],Camp_List[TOWNSHIP_NAME],$AG10,Camp_List[Total],"",Camp_List[Status],"Open")</f>
        <v>0</v>
      </c>
      <c r="AS10" s="37"/>
    </row>
    <row r="11" spans="1:53" ht="18.75">
      <c r="A11" s="67"/>
      <c r="B11" s="54"/>
      <c r="C11" s="54"/>
      <c r="D11" s="54"/>
      <c r="E11" s="54"/>
      <c r="F11" s="54"/>
      <c r="G11" s="54"/>
      <c r="H11" s="839"/>
      <c r="I11" s="760" t="s">
        <v>741</v>
      </c>
      <c r="J11" s="761" t="s">
        <v>742</v>
      </c>
      <c r="K11" s="762" t="s">
        <v>743</v>
      </c>
      <c r="L11" s="763" t="s">
        <v>744</v>
      </c>
      <c r="M11" s="54"/>
      <c r="N11" s="54"/>
      <c r="O11" s="54"/>
      <c r="P11" s="54"/>
      <c r="Q11" s="475"/>
      <c r="AG11" s="346" t="s">
        <v>11</v>
      </c>
      <c r="AH11" s="345">
        <f>SUMIFS(Camp_List[Total],Camp_List[TOWNSHIP_NAME],$AG11,Camp_List[Total],"&gt;0",Camp_List[Total],"&lt;=1000",Camp_List[Status],"Open")</f>
        <v>0</v>
      </c>
      <c r="AI11" s="345">
        <f>SUMIFS(Camp_List[Total],Camp_List[TOWNSHIP_NAME],$AG11,Camp_List[Total],"&gt;1000",Camp_List[Total],"&lt;=5000",Camp_List[Status],"Open")</f>
        <v>0</v>
      </c>
      <c r="AJ11" s="345">
        <f>SUMIFS(Camp_List[Total],Camp_List[TOWNSHIP_NAME],$AG11,Camp_List[Total],"&gt;5000",Camp_List[Total],"&lt;=10000",Camp_List[Status],"Open")</f>
        <v>0</v>
      </c>
      <c r="AK11" s="345">
        <f>SUMIFS(Camp_List[Total],Camp_List[TOWNSHIP_NAME],$AG11,Camp_List[Total],"&gt;10000",Camp_List[Total],"&lt;=100000",Camp_List[Status],"Open")</f>
        <v>0</v>
      </c>
      <c r="AL11" s="345">
        <f>SUMIFS(Camp_List[Total],Camp_List[TOWNSHIP_NAME],$AG11,Camp_List[Total],"",Camp_List[Status],"Open")</f>
        <v>0</v>
      </c>
      <c r="AS11" s="37"/>
    </row>
    <row r="12" spans="1:53" ht="20.100000000000001" customHeight="1">
      <c r="A12" s="67"/>
      <c r="B12" s="54"/>
      <c r="C12" s="54"/>
      <c r="D12" s="54"/>
      <c r="E12" s="54"/>
      <c r="F12" s="54"/>
      <c r="G12" s="54"/>
      <c r="H12" s="752" t="s">
        <v>788</v>
      </c>
      <c r="I12" s="753">
        <f>AH38</f>
        <v>17</v>
      </c>
      <c r="J12" s="753">
        <f>AI38</f>
        <v>14</v>
      </c>
      <c r="K12" s="753">
        <f>AJ38</f>
        <v>4</v>
      </c>
      <c r="L12" s="753">
        <f>AK38</f>
        <v>4</v>
      </c>
      <c r="M12" s="54"/>
      <c r="N12" s="54"/>
      <c r="O12" s="54"/>
      <c r="P12" s="54"/>
      <c r="Q12" s="475"/>
      <c r="V12" s="100"/>
      <c r="AG12" s="346" t="s">
        <v>12</v>
      </c>
      <c r="AH12" s="345">
        <f>SUMIFS(Camp_List[Total],Camp_List[TOWNSHIP_NAME],$AG12,Camp_List[Total],"&gt;0",Camp_List[Total],"&lt;=1000",Camp_List[Status],"Open")</f>
        <v>0</v>
      </c>
      <c r="AI12" s="345">
        <f>SUMIFS(Camp_List[Total],Camp_List[TOWNSHIP_NAME],$AG12,Camp_List[Total],"&gt;1000",Camp_List[Total],"&lt;=5000",Camp_List[Status],"Open")</f>
        <v>0</v>
      </c>
      <c r="AJ12" s="345">
        <f>SUMIFS(Camp_List[Total],Camp_List[TOWNSHIP_NAME],$AG12,Camp_List[Total],"&gt;5000",Camp_List[Total],"&lt;=10000",Camp_List[Status],"Open")</f>
        <v>0</v>
      </c>
      <c r="AK12" s="345">
        <f>SUMIFS(Camp_List[Total],Camp_List[TOWNSHIP_NAME],$AG12,Camp_List[Total],"&gt;10000",Camp_List[Total],"&lt;=100000",Camp_List[Status],"Open")</f>
        <v>0</v>
      </c>
      <c r="AL12" s="345">
        <f>SUMIFS(Camp_List[Total],Camp_List[TOWNSHIP_NAME],$AG12,Camp_List[Total],"",Camp_List[Status],"Open")</f>
        <v>0</v>
      </c>
      <c r="AS12" s="37"/>
    </row>
    <row r="13" spans="1:53" ht="20.100000000000001" customHeight="1">
      <c r="A13" s="67"/>
      <c r="B13" s="54"/>
      <c r="C13" s="54"/>
      <c r="D13" s="54"/>
      <c r="E13" s="54"/>
      <c r="F13" s="54"/>
      <c r="G13" s="54"/>
      <c r="H13" s="752" t="s">
        <v>594</v>
      </c>
      <c r="I13" s="753">
        <f>AH17</f>
        <v>3933</v>
      </c>
      <c r="J13" s="753">
        <f>AI17</f>
        <v>40840</v>
      </c>
      <c r="K13" s="753">
        <f>AJ17</f>
        <v>25822</v>
      </c>
      <c r="L13" s="753">
        <f>AK17</f>
        <v>49267</v>
      </c>
      <c r="M13" s="54"/>
      <c r="N13" s="54"/>
      <c r="O13" s="54"/>
      <c r="P13" s="54"/>
      <c r="Q13" s="473"/>
      <c r="R13" s="182"/>
      <c r="S13" s="181"/>
      <c r="T13" s="181"/>
      <c r="V13" s="100"/>
      <c r="AG13" s="346" t="s">
        <v>14</v>
      </c>
      <c r="AH13" s="345">
        <f>SUMIFS(Camp_List[Total],Camp_List[TOWNSHIP_NAME],$AG13,Camp_List[Total],"&gt;0",Camp_List[Total],"&lt;=1000",Camp_List[Status],"Open")</f>
        <v>0</v>
      </c>
      <c r="AI13" s="345">
        <f>SUMIFS(Camp_List[Total],Camp_List[TOWNSHIP_NAME],$AG13,Camp_List[Total],"&gt;1000",Camp_List[Total],"&lt;=5000",Camp_List[Status],"Open")</f>
        <v>10369</v>
      </c>
      <c r="AJ13" s="345">
        <f>SUMIFS(Camp_List[Total],Camp_List[TOWNSHIP_NAME],$AG13,Camp_List[Total],"&gt;5000",Camp_List[Total],"&lt;=10000",Camp_List[Status],"Open")</f>
        <v>5060</v>
      </c>
      <c r="AK13" s="345">
        <f>SUMIFS(Camp_List[Total],Camp_List[TOWNSHIP_NAME],$AG13,Camp_List[Total],"&gt;10000",Camp_List[Total],"&lt;=100000",Camp_List[Status],"Open")</f>
        <v>0</v>
      </c>
      <c r="AL13" s="345">
        <f>SUMIFS(Camp_List[Total],Camp_List[TOWNSHIP_NAME],$AG13,Camp_List[Total],"",Camp_List[Status],"Open")</f>
        <v>0</v>
      </c>
      <c r="AS13" s="37"/>
    </row>
    <row r="14" spans="1:53" hidden="1">
      <c r="A14" s="67"/>
      <c r="B14" s="54"/>
      <c r="C14" s="54"/>
      <c r="D14" s="54"/>
      <c r="E14" s="54"/>
      <c r="F14" s="54"/>
      <c r="G14" s="54"/>
      <c r="H14" s="54"/>
      <c r="I14" s="54"/>
      <c r="J14" s="54"/>
      <c r="K14" s="54"/>
      <c r="L14" s="54"/>
      <c r="M14" s="54"/>
      <c r="N14" s="54"/>
      <c r="O14" s="54"/>
      <c r="P14" s="54"/>
      <c r="Q14" s="473"/>
      <c r="R14" s="28"/>
      <c r="S14" s="28"/>
      <c r="T14" s="28"/>
      <c r="V14" s="100"/>
      <c r="AG14" s="346" t="s">
        <v>18</v>
      </c>
      <c r="AH14" s="345">
        <f>SUMIFS(Camp_List[Total],Camp_List[TOWNSHIP_NAME],$AG14,Camp_List[Total],"&gt;0",Camp_List[Total],"&lt;=1000",Camp_List[Status],"Open")</f>
        <v>264</v>
      </c>
      <c r="AI14" s="345">
        <f>SUMIFS(Camp_List[Total],Camp_List[TOWNSHIP_NAME],$AG14,Camp_List[Total],"&gt;1000",Camp_List[Total],"&lt;=5000",Camp_List[Status],"Open")</f>
        <v>0</v>
      </c>
      <c r="AJ14" s="345">
        <f>SUMIFS(Camp_List[Total],Camp_List[TOWNSHIP_NAME],$AG14,Camp_List[Total],"&gt;5000",Camp_List[Total],"&lt;=10000",Camp_List[Status],"Open")</f>
        <v>0</v>
      </c>
      <c r="AK14" s="345">
        <f>SUMIFS(Camp_List[Total],Camp_List[TOWNSHIP_NAME],$AG14,Camp_List[Total],"&gt;10000",Camp_List[Total],"&lt;=100000",Camp_List[Status],"Open")</f>
        <v>0</v>
      </c>
      <c r="AL14" s="345">
        <f>SUMIFS(Camp_List[Total],Camp_List[TOWNSHIP_NAME],$AG14,Camp_List[Total],"",Camp_List[Status],"Open")</f>
        <v>0</v>
      </c>
      <c r="AS14" s="37"/>
    </row>
    <row r="15" spans="1:53">
      <c r="A15" s="67"/>
      <c r="B15" s="54"/>
      <c r="C15" s="54"/>
      <c r="D15" s="54"/>
      <c r="E15" s="54"/>
      <c r="F15" s="54"/>
      <c r="G15" s="54"/>
      <c r="H15" s="54"/>
      <c r="I15" s="54"/>
      <c r="J15" s="54"/>
      <c r="K15" s="54"/>
      <c r="L15" s="54"/>
      <c r="M15" s="54"/>
      <c r="N15" s="54"/>
      <c r="O15" s="54"/>
      <c r="P15" s="54"/>
      <c r="Q15" s="473"/>
      <c r="V15" s="100"/>
      <c r="AG15" s="346" t="s">
        <v>16</v>
      </c>
      <c r="AH15" s="345">
        <f>SUMIFS(Camp_List[Total],Camp_List[TOWNSHIP_NAME],$AG15,Camp_List[Total],"&gt;0",Camp_List[Total],"&lt;=1000",Camp_List[Status],"Open")</f>
        <v>961</v>
      </c>
      <c r="AI15" s="345">
        <f>SUMIFS(Camp_List[Total],Camp_List[TOWNSHIP_NAME],$AG15,Camp_List[Total],"&gt;1000",Camp_List[Total],"&lt;=5000",Camp_List[Status],"Open")</f>
        <v>2605</v>
      </c>
      <c r="AJ15" s="345">
        <f>SUMIFS(Camp_List[Total],Camp_List[TOWNSHIP_NAME],$AG15,Camp_List[Total],"&gt;5000",Camp_List[Total],"&lt;=10000",Camp_List[Status],"Open")</f>
        <v>0</v>
      </c>
      <c r="AK15" s="345">
        <f>SUMIFS(Camp_List[Total],Camp_List[TOWNSHIP_NAME],$AG15,Camp_List[Total],"&gt;10000",Camp_List[Total],"&lt;=100000",Camp_List[Status],"Open")</f>
        <v>0</v>
      </c>
      <c r="AL15" s="345">
        <f>SUMIFS(Camp_List[Total],Camp_List[TOWNSHIP_NAME],$AG15,Camp_List[Total],"",Camp_List[Status],"Open")</f>
        <v>0</v>
      </c>
      <c r="AS15" s="37"/>
    </row>
    <row r="16" spans="1:53" ht="26.25" customHeight="1">
      <c r="A16" s="67"/>
      <c r="B16" s="54"/>
      <c r="C16" s="54"/>
      <c r="D16" s="54"/>
      <c r="E16" s="54"/>
      <c r="F16" s="54"/>
      <c r="G16" s="54"/>
      <c r="H16" s="757" t="s">
        <v>1</v>
      </c>
      <c r="I16" s="758" t="s">
        <v>590</v>
      </c>
      <c r="J16" s="758" t="s">
        <v>594</v>
      </c>
      <c r="K16" s="758" t="s">
        <v>790</v>
      </c>
      <c r="L16" s="759" t="s">
        <v>802</v>
      </c>
      <c r="M16" s="54"/>
      <c r="N16" s="54"/>
      <c r="O16" s="54"/>
      <c r="P16" s="1"/>
      <c r="Q16" s="68"/>
      <c r="T16" s="90"/>
      <c r="U16" s="90"/>
      <c r="AG16" s="346" t="s">
        <v>19</v>
      </c>
      <c r="AH16" s="345">
        <f>SUMIFS(Camp_List[Total],Camp_List[TOWNSHIP_NAME],$AG16,Camp_List[Total],"&gt;0",Camp_List[Total],"&lt;=1000",Camp_List[Status],"Open")</f>
        <v>253</v>
      </c>
      <c r="AI16" s="345">
        <f>SUMIFS(Camp_List[Total],Camp_List[TOWNSHIP_NAME],$AG16,Camp_List[Total],"&gt;1000",Camp_List[Total],"&lt;=5000",Camp_List[Status],"Open")</f>
        <v>23874</v>
      </c>
      <c r="AJ16" s="345">
        <f>SUMIFS(Camp_List[Total],Camp_List[TOWNSHIP_NAME],$AG16,Camp_List[Total],"&gt;5000",Camp_List[Total],"&lt;=10000",Camp_List[Status],"Open")</f>
        <v>20762</v>
      </c>
      <c r="AK16" s="345">
        <f>SUMIFS(Camp_List[Total],Camp_List[TOWNSHIP_NAME],$AG16,Camp_List[Total],"&gt;10000",Camp_List[Total],"&lt;=100000",Camp_List[Status],"Open")</f>
        <v>49267</v>
      </c>
      <c r="AL16" s="345">
        <f>SUMIFS(Camp_List[Total],Camp_List[TOWNSHIP_NAME],$AG16,Camp_List[Total],"",Camp_List[Status],"Open")</f>
        <v>0</v>
      </c>
      <c r="AM16" s="75"/>
      <c r="AQ16" s="37"/>
      <c r="AR16" s="37"/>
      <c r="AS16" s="37"/>
    </row>
    <row r="17" spans="1:45" ht="18.95" customHeight="1">
      <c r="A17" s="67"/>
      <c r="B17" s="54"/>
      <c r="C17" s="54"/>
      <c r="D17" s="54"/>
      <c r="E17" s="54"/>
      <c r="F17" s="54"/>
      <c r="G17" s="54"/>
      <c r="H17" s="764" t="s">
        <v>17</v>
      </c>
      <c r="I17" s="754">
        <f>SUMIFS(Camplist_HH,Camplist_Township,'CCCM Dashboard'!$H17,CampList_Status,"Open")</f>
        <v>492</v>
      </c>
      <c r="J17" s="754">
        <f>SUMIFS(Camplist_Popl,Camplist_Township,'CCCM Dashboard'!$H17,CampList_Status,"Open")</f>
        <v>1601</v>
      </c>
      <c r="K17" s="754">
        <f t="shared" ref="K17:K21" si="0">AN23</f>
        <v>2</v>
      </c>
      <c r="L17" s="754">
        <f>AR23-Table9[[#This Row],['# of Planned Camp]]</f>
        <v>0</v>
      </c>
      <c r="M17" s="54"/>
      <c r="N17" s="54"/>
      <c r="O17" s="54"/>
      <c r="P17" s="1"/>
      <c r="Q17" s="68"/>
      <c r="T17" s="90"/>
      <c r="U17" s="90"/>
      <c r="AG17" s="24" t="s">
        <v>237</v>
      </c>
      <c r="AH17" s="648">
        <f>SUM(AH7:AH16)</f>
        <v>3933</v>
      </c>
      <c r="AI17" s="648">
        <f>SUM(AI7:AI16)</f>
        <v>40840</v>
      </c>
      <c r="AJ17" s="648">
        <f>SUM(AJ7:AJ16)</f>
        <v>25822</v>
      </c>
      <c r="AK17" s="648">
        <f>SUM(AK7:AK16)</f>
        <v>49267</v>
      </c>
      <c r="AL17" s="648">
        <f>SUM(AL7:AL16)</f>
        <v>0</v>
      </c>
      <c r="AM17" s="649">
        <f>SUM(AH17:AL17)</f>
        <v>119862</v>
      </c>
      <c r="AR17" s="37"/>
      <c r="AS17" s="37"/>
    </row>
    <row r="18" spans="1:45" ht="18.95" customHeight="1">
      <c r="A18" s="67"/>
      <c r="B18" s="54"/>
      <c r="C18" s="54"/>
      <c r="D18" s="54"/>
      <c r="E18" s="54"/>
      <c r="F18" s="54"/>
      <c r="G18" s="54"/>
      <c r="H18" s="764" t="s">
        <v>15</v>
      </c>
      <c r="I18" s="754">
        <f>SUMIFS(Camplist_HH,Camplist_Township,'CCCM Dashboard'!$H18,CampList_Status,"Open")</f>
        <v>85</v>
      </c>
      <c r="J18" s="754">
        <f>SUMIFS(Camplist_Popl,Camplist_Township,'CCCM Dashboard'!$H18,CampList_Status,"Open")</f>
        <v>546</v>
      </c>
      <c r="K18" s="754">
        <f t="shared" si="0"/>
        <v>0</v>
      </c>
      <c r="L18" s="754">
        <f>AR24-Table9[[#This Row],['# of Planned Camp]]</f>
        <v>1</v>
      </c>
      <c r="M18" s="54"/>
      <c r="N18" s="54"/>
      <c r="O18" s="54"/>
      <c r="P18" s="1"/>
      <c r="Q18" s="68"/>
      <c r="T18" s="90"/>
      <c r="U18" s="90"/>
      <c r="AG18" s="37"/>
      <c r="AH18" s="37"/>
      <c r="AI18" s="37"/>
      <c r="AJ18" s="37"/>
      <c r="AK18" s="37"/>
      <c r="AL18" s="26"/>
      <c r="AM18" s="27"/>
      <c r="AR18" s="37"/>
      <c r="AS18" s="37"/>
    </row>
    <row r="19" spans="1:45" ht="18.95" customHeight="1">
      <c r="A19" s="67"/>
      <c r="B19" s="54"/>
      <c r="C19" s="54"/>
      <c r="D19" s="54"/>
      <c r="E19" s="54"/>
      <c r="F19" s="54"/>
      <c r="G19" s="54"/>
      <c r="H19" s="764" t="s">
        <v>20</v>
      </c>
      <c r="I19" s="754">
        <f>SUMIFS(Camplist_HH,Camplist_Township,'CCCM Dashboard'!$H19,CampList_Status,"Open")</f>
        <v>219</v>
      </c>
      <c r="J19" s="754">
        <f>SUMIFS(Camplist_Popl,Camplist_Township,'CCCM Dashboard'!$H19,CampList_Status,"Open")</f>
        <v>1378</v>
      </c>
      <c r="K19" s="754">
        <f t="shared" si="0"/>
        <v>0</v>
      </c>
      <c r="L19" s="754">
        <f>AR25-Table9[[#This Row],['# of Planned Camp]]</f>
        <v>9</v>
      </c>
      <c r="M19" s="54"/>
      <c r="N19" s="54"/>
      <c r="O19" s="54"/>
      <c r="P19" s="1"/>
      <c r="Q19" s="68"/>
      <c r="T19" s="90"/>
      <c r="U19" s="90"/>
      <c r="AG19" s="37"/>
      <c r="AH19" s="37"/>
      <c r="AI19" s="37"/>
      <c r="AJ19" s="37"/>
      <c r="AK19" s="37"/>
      <c r="AL19" s="26"/>
      <c r="AM19" s="27"/>
      <c r="AR19" s="37"/>
      <c r="AS19" s="37"/>
    </row>
    <row r="20" spans="1:45" ht="18.95" customHeight="1">
      <c r="A20" s="67"/>
      <c r="B20" s="54"/>
      <c r="C20" s="54"/>
      <c r="D20" s="54"/>
      <c r="E20" s="54"/>
      <c r="F20" s="54"/>
      <c r="G20" s="54"/>
      <c r="H20" s="764" t="s">
        <v>900</v>
      </c>
      <c r="I20" s="754">
        <f>SUMIFS(Camplist_HH,Camplist_Township,'CCCM Dashboard'!$H20,CampList_Status,"Open")</f>
        <v>724</v>
      </c>
      <c r="J20" s="754">
        <f>SUMIFS(Camplist_Popl,Camplist_Township,'CCCM Dashboard'!$H20,CampList_Status,"Open")</f>
        <v>2922</v>
      </c>
      <c r="K20" s="754">
        <f t="shared" si="0"/>
        <v>2</v>
      </c>
      <c r="L20" s="754">
        <f>AR26-Table9[[#This Row],['# of Planned Camp]]</f>
        <v>0</v>
      </c>
      <c r="M20" s="54"/>
      <c r="N20" s="54"/>
      <c r="O20" s="54"/>
      <c r="P20" s="1"/>
      <c r="Q20" s="68"/>
      <c r="R20" s="653"/>
      <c r="T20" s="90"/>
      <c r="U20" s="90"/>
      <c r="AG20" s="37"/>
      <c r="AH20" s="37"/>
      <c r="AI20" s="37"/>
      <c r="AJ20" s="37"/>
      <c r="AK20" s="37"/>
      <c r="AL20" s="26"/>
      <c r="AM20" s="27"/>
      <c r="AR20" s="37"/>
      <c r="AS20" s="37"/>
    </row>
    <row r="21" spans="1:45" ht="18.95" customHeight="1">
      <c r="A21" s="67"/>
      <c r="B21" s="54"/>
      <c r="C21" s="54"/>
      <c r="D21" s="54"/>
      <c r="E21" s="54"/>
      <c r="F21" s="54"/>
      <c r="G21" s="54"/>
      <c r="H21" s="764" t="s">
        <v>11</v>
      </c>
      <c r="I21" s="754">
        <f>SUMIFS(Camplist_HH,Camplist_Township,'CCCM Dashboard'!$H21,CampList_Status,"Open")</f>
        <v>0</v>
      </c>
      <c r="J21" s="754">
        <f>SUMIFS(Camplist_Popl,Camplist_Township,'CCCM Dashboard'!$H21,CampList_Status,"Open")</f>
        <v>0</v>
      </c>
      <c r="K21" s="754">
        <f t="shared" si="0"/>
        <v>0</v>
      </c>
      <c r="L21" s="754">
        <f>AR27-Table9[[#This Row],['# of Planned Camp]]</f>
        <v>0</v>
      </c>
      <c r="M21" s="54"/>
      <c r="N21" s="54"/>
      <c r="O21" s="54"/>
      <c r="P21" s="1"/>
      <c r="Q21" s="68"/>
      <c r="T21" s="90"/>
      <c r="U21" s="90"/>
      <c r="AG21" s="25" t="s">
        <v>791</v>
      </c>
      <c r="AI21" s="17"/>
      <c r="AJ21" s="17"/>
      <c r="AK21" s="37"/>
      <c r="AL21" s="26"/>
      <c r="AM21" s="27"/>
      <c r="AR21" s="37"/>
      <c r="AS21" s="37"/>
    </row>
    <row r="22" spans="1:45" ht="18.95" customHeight="1">
      <c r="A22" s="67"/>
      <c r="B22" s="54"/>
      <c r="C22" s="54"/>
      <c r="D22" s="54"/>
      <c r="E22" s="54"/>
      <c r="F22" s="54"/>
      <c r="G22" s="54"/>
      <c r="H22" s="764" t="s">
        <v>12</v>
      </c>
      <c r="I22" s="754">
        <f>SUMIFS(Camplist_HH,Camplist_Township,'CCCM Dashboard'!$H22,CampList_Status,"Open")</f>
        <v>0</v>
      </c>
      <c r="J22" s="754">
        <f>SUMIFS(Camplist_Popl,Camplist_Township,'CCCM Dashboard'!$H22,CampList_Status,"Open")</f>
        <v>0</v>
      </c>
      <c r="K22" s="754">
        <f t="shared" ref="K22:K27" si="1">AN33</f>
        <v>0</v>
      </c>
      <c r="L22" s="754">
        <f>AR33-Table9[[#This Row],['# of Planned Camp]]</f>
        <v>0</v>
      </c>
      <c r="M22" s="54"/>
      <c r="N22" s="54"/>
      <c r="O22" s="54"/>
      <c r="P22" s="1"/>
      <c r="Q22" s="68"/>
      <c r="T22" s="90"/>
      <c r="U22" s="90"/>
      <c r="AG22" s="24" t="s">
        <v>1</v>
      </c>
      <c r="AH22" s="31" t="s">
        <v>606</v>
      </c>
      <c r="AI22" s="31" t="s">
        <v>607</v>
      </c>
      <c r="AJ22" s="31" t="s">
        <v>608</v>
      </c>
      <c r="AK22" s="31" t="s">
        <v>611</v>
      </c>
      <c r="AL22" s="31" t="s">
        <v>617</v>
      </c>
      <c r="AM22" s="178" t="s">
        <v>5</v>
      </c>
      <c r="AN22" s="180" t="s">
        <v>22</v>
      </c>
      <c r="AO22" s="180" t="s">
        <v>899</v>
      </c>
      <c r="AP22" s="100" t="s">
        <v>23</v>
      </c>
      <c r="AQ22" s="100" t="s">
        <v>841</v>
      </c>
      <c r="AR22" s="37"/>
      <c r="AS22" s="37"/>
    </row>
    <row r="23" spans="1:45" ht="18.95" customHeight="1">
      <c r="A23" s="67"/>
      <c r="B23" s="54"/>
      <c r="C23" s="54"/>
      <c r="D23" s="54"/>
      <c r="E23" s="54"/>
      <c r="F23" s="54"/>
      <c r="G23" s="54"/>
      <c r="H23" s="764" t="s">
        <v>14</v>
      </c>
      <c r="I23" s="754">
        <f>SUMIFS(Camplist_HH,Camplist_Township,'CCCM Dashboard'!$H23,CampList_Status,"Open")</f>
        <v>4031</v>
      </c>
      <c r="J23" s="754">
        <f>SUMIFS(Camplist_Popl,Camplist_Township,'CCCM Dashboard'!$H23,CampList_Status,"Open")</f>
        <v>15429</v>
      </c>
      <c r="K23" s="754">
        <f t="shared" si="1"/>
        <v>4</v>
      </c>
      <c r="L23" s="754">
        <f>AR34-Table9[[#This Row],['# of Planned Camp]]</f>
        <v>0</v>
      </c>
      <c r="M23" s="54"/>
      <c r="N23" s="54"/>
      <c r="O23" s="54"/>
      <c r="P23" s="1"/>
      <c r="Q23" s="68"/>
      <c r="T23" s="90"/>
      <c r="U23" s="90"/>
      <c r="AG23" s="346" t="s">
        <v>17</v>
      </c>
      <c r="AH23" s="38">
        <f>COUNTIFS(Camp_List[TOWNSHIP_NAME],$AG23,Camp_List[Total],"&gt;0",Camp_List[Total],"&lt;=1000", Camp_List[Status],"Open")</f>
        <v>1</v>
      </c>
      <c r="AI23" s="38">
        <f>COUNTIFS(Camp_List[TOWNSHIP_NAME],$AG23,Camp_List[Total],"&gt;1000",Camp_List[Total],"&lt;=5000",Camp_List[Status],"Open")</f>
        <v>1</v>
      </c>
      <c r="AJ23" s="345">
        <f>COUNTIFS(Camp_List[TOWNSHIP_NAME],$AG23,Camp_List[Total],"&gt;5000",Camp_List[Total],"&lt;=10000",Camp_List[Status],"Open")</f>
        <v>0</v>
      </c>
      <c r="AK23" s="345">
        <f>COUNTIFS(Camp_List[TOWNSHIP_NAME],$AG23,Camp_List[Total],"&gt;10000",Camp_List[Total],"&lt;=100000",Camp_List[Status],"Open")</f>
        <v>0</v>
      </c>
      <c r="AL23" s="345">
        <f>COUNTIFS(Camp_List[TOWNSHIP_NAME],$AG23,Camp_List[Total],"",Camp_List[Status],"Open")</f>
        <v>0</v>
      </c>
      <c r="AM23" s="179">
        <f>SUM(AH23:AL23)</f>
        <v>2</v>
      </c>
      <c r="AN23" s="90">
        <f>COUNTIFS(Camp_List[TOWNSHIP_NAME],$AG23,Camp_List[Total],"&gt;0",Camp_List[Status],"Open",Camp_List[Type of Accomodation],"Planned Camp")</f>
        <v>2</v>
      </c>
      <c r="AO23" s="100">
        <f>COUNTIFS(Camp_List[TOWNSHIP_NAME],$AG23,Camp_List[Total],"&gt;0",Camp_List[Status],"Open",Camp_List[Type of Accomodation],"Collective centre")</f>
        <v>0</v>
      </c>
      <c r="AP23" s="100">
        <f>COUNTIFS(Camp_List[TOWNSHIP_NAME],$AG23,Camp_List[Total],"&gt;0",Camp_List[Status],"open",Camp_List[Type of Accomodation],"Self Settled Camp")</f>
        <v>0</v>
      </c>
      <c r="AQ23" s="100">
        <f>COUNTIFS(Camp_List[TOWNSHIP_NAME],$AG23,Camp_List[Total],"&gt;0",Camp_List[Status],"Open",Camp_List[Type of Accomodation],"Host Families")</f>
        <v>0</v>
      </c>
      <c r="AR23" s="100">
        <f>SUM(AN23:AQ23)</f>
        <v>2</v>
      </c>
      <c r="AS23" s="37"/>
    </row>
    <row r="24" spans="1:45" ht="18.95" customHeight="1">
      <c r="A24" s="67"/>
      <c r="B24" s="464"/>
      <c r="C24" s="54"/>
      <c r="D24" s="54"/>
      <c r="E24" s="54"/>
      <c r="F24" s="54"/>
      <c r="G24" s="54"/>
      <c r="H24" s="764" t="s">
        <v>18</v>
      </c>
      <c r="I24" s="754">
        <f>SUMIFS(Camplist_HH,Camplist_Township,'CCCM Dashboard'!$H24,CampList_Status,"Open")</f>
        <v>75</v>
      </c>
      <c r="J24" s="754">
        <f>SUMIFS(Camplist_Popl,Camplist_Township,'CCCM Dashboard'!$H24,CampList_Status,"Open")</f>
        <v>264</v>
      </c>
      <c r="K24" s="754">
        <f t="shared" si="1"/>
        <v>1</v>
      </c>
      <c r="L24" s="754">
        <f>AR35-Table9[[#This Row],['# of Planned Camp]]</f>
        <v>1</v>
      </c>
      <c r="M24" s="54"/>
      <c r="N24" s="54"/>
      <c r="O24" s="54"/>
      <c r="P24" s="1"/>
      <c r="Q24" s="68"/>
      <c r="T24" s="90"/>
      <c r="U24" s="90"/>
      <c r="AG24" s="346" t="s">
        <v>15</v>
      </c>
      <c r="AH24" s="38">
        <f>COUNTIFS(Camp_List[TOWNSHIP_NAME],$AG24,Camp_List[Total],"&gt;0",Camp_List[Total],"&lt;=1000", Camp_List[Status],"Open")</f>
        <v>1</v>
      </c>
      <c r="AI24" s="38">
        <f>COUNTIFS(Camp_List[TOWNSHIP_NAME],$AG24,Camp_List[Total],"&gt;1000",Camp_List[Total],"&lt;=5000",Camp_List[Status],"Open")</f>
        <v>0</v>
      </c>
      <c r="AJ24" s="345">
        <f>COUNTIFS(Camp_List[TOWNSHIP_NAME],$AG24,Camp_List[Total],"&gt;5000",Camp_List[Total],"&lt;=10000",Camp_List[Status],"Open")</f>
        <v>0</v>
      </c>
      <c r="AK24" s="345">
        <f>COUNTIFS(Camp_List[TOWNSHIP_NAME],$AG24,Camp_List[Total],"&gt;10000",Camp_List[Total],"&lt;=100000",Camp_List[Status],"Open")</f>
        <v>0</v>
      </c>
      <c r="AL24" s="345">
        <f>COUNTIFS(Camp_List[TOWNSHIP_NAME],$AG24,Camp_List[Total],"",Camp_List[Status],"Open")</f>
        <v>0</v>
      </c>
      <c r="AM24" s="179">
        <f t="shared" ref="AM24:AM37" si="2">SUM(AH24:AL24)</f>
        <v>1</v>
      </c>
      <c r="AN24" s="100">
        <f>COUNTIFS(Camp_List[TOWNSHIP_NAME],$AG24,Camp_List[Total],"&gt;0",Camp_List[Status],"Open",Camp_List[Type of Accomodation],"Planned Camp")</f>
        <v>0</v>
      </c>
      <c r="AO24" s="100">
        <f>COUNTIFS(Camp_List[TOWNSHIP_NAME],$AG24,Camp_List[Total],"&gt;0",Camp_List[Status],"Open",Camp_List[Type of Accomodation],"Collective centre")</f>
        <v>0</v>
      </c>
      <c r="AP24" s="100">
        <f>COUNTIFS(Camp_List[TOWNSHIP_NAME],$AG24,Camp_List[Total],"&gt;0",Camp_List[Status],"open",Camp_List[Type of Accomodation],"Self Settled Camp")</f>
        <v>1</v>
      </c>
      <c r="AQ24" s="100">
        <f>COUNTIFS(Camp_List[TOWNSHIP_NAME],$AG24,Camp_List[Total],"&gt;0",Camp_List[Status],"Open",Camp_List[Type of Accomodation],"Host Families")</f>
        <v>0</v>
      </c>
      <c r="AR24" s="100">
        <f t="shared" ref="AR24:AR37" si="3">SUM(AN24:AQ24)</f>
        <v>1</v>
      </c>
      <c r="AS24" s="37"/>
    </row>
    <row r="25" spans="1:45" ht="18.95" customHeight="1">
      <c r="A25" s="67"/>
      <c r="B25" s="54"/>
      <c r="C25" s="54"/>
      <c r="D25" s="54"/>
      <c r="E25" s="54"/>
      <c r="F25" s="54"/>
      <c r="G25" s="54"/>
      <c r="H25" s="764" t="s">
        <v>16</v>
      </c>
      <c r="I25" s="754">
        <f>SUMIFS(Camplist_HH,Camplist_Township,'CCCM Dashboard'!$H25,CampList_Status,"Open")</f>
        <v>661</v>
      </c>
      <c r="J25" s="754">
        <f>SUMIFS(Camplist_Popl,Camplist_Township,'CCCM Dashboard'!$H25,CampList_Status,"Open")</f>
        <v>3566</v>
      </c>
      <c r="K25" s="754">
        <f t="shared" si="1"/>
        <v>2</v>
      </c>
      <c r="L25" s="754">
        <f>AR36-Table9[[#This Row],['# of Planned Camp]]</f>
        <v>1</v>
      </c>
      <c r="M25" s="54"/>
      <c r="N25" s="54"/>
      <c r="O25" s="54"/>
      <c r="P25" s="1"/>
      <c r="Q25" s="68"/>
      <c r="T25" s="90"/>
      <c r="U25" s="90"/>
      <c r="AG25" s="346" t="s">
        <v>20</v>
      </c>
      <c r="AH25" s="38">
        <f>COUNTIFS(Camp_List[TOWNSHIP_NAME],$AG25,Camp_List[Total],"&gt;0",Camp_List[Total],"&lt;=1000", Camp_List[Status],"Open")</f>
        <v>9</v>
      </c>
      <c r="AI25" s="38">
        <f>COUNTIFS(Camp_List[TOWNSHIP_NAME],$AG25,Camp_List[Total],"&gt;1000",Camp_List[Total],"&lt;=5000",Camp_List[Status],"Open")</f>
        <v>0</v>
      </c>
      <c r="AJ25" s="345">
        <f>COUNTIFS(Camp_List[TOWNSHIP_NAME],$AG25,Camp_List[Total],"&gt;5000",Camp_List[Total],"&lt;=10000",Camp_List[Status],"Open")</f>
        <v>0</v>
      </c>
      <c r="AK25" s="345">
        <f>COUNTIFS(Camp_List[TOWNSHIP_NAME],$AG25,Camp_List[Total],"&gt;10000",Camp_List[Total],"&lt;=100000",Camp_List[Status],"Open")</f>
        <v>0</v>
      </c>
      <c r="AL25" s="345">
        <f>COUNTIFS(Camp_List[TOWNSHIP_NAME],$AG25,Camp_List[Total],"",Camp_List[Status],"Open")</f>
        <v>0</v>
      </c>
      <c r="AM25" s="179">
        <f t="shared" si="2"/>
        <v>9</v>
      </c>
      <c r="AN25" s="100">
        <f>COUNTIFS(Camp_List[TOWNSHIP_NAME],$AG25,Camp_List[Total],"&gt;0",Camp_List[Status],"Open",Camp_List[Type of Accomodation],"Planned Camp")</f>
        <v>0</v>
      </c>
      <c r="AO25" s="100">
        <f>COUNTIFS(Camp_List[TOWNSHIP_NAME],$AG25,Camp_List[Total],"&gt;0",Camp_List[Status],"Open",Camp_List[Type of Accomodation],"Collective centre")</f>
        <v>0</v>
      </c>
      <c r="AP25" s="100">
        <f>COUNTIFS(Camp_List[TOWNSHIP_NAME],$AG25,Camp_List[Total],"&gt;0",Camp_List[Status],"open",Camp_List[Type of Accomodation],"Self Settled Camp")</f>
        <v>9</v>
      </c>
      <c r="AQ25" s="100">
        <f>COUNTIFS(Camp_List[TOWNSHIP_NAME],$AG25,Camp_List[Total],"&gt;0",Camp_List[Status],"Open",Camp_List[Type of Accomodation],"Host Families")</f>
        <v>0</v>
      </c>
      <c r="AR25" s="100">
        <f t="shared" si="3"/>
        <v>9</v>
      </c>
      <c r="AS25" s="37"/>
    </row>
    <row r="26" spans="1:45" ht="18.95" customHeight="1">
      <c r="A26" s="67"/>
      <c r="B26" s="54"/>
      <c r="C26" s="54"/>
      <c r="D26" s="54"/>
      <c r="E26" s="54"/>
      <c r="F26" s="54"/>
      <c r="G26" s="54"/>
      <c r="H26" s="764" t="s">
        <v>19</v>
      </c>
      <c r="I26" s="754">
        <f>SUMIFS(Camplist_HH,Camplist_Township,'CCCM Dashboard'!$H26,CampList_Status,"Open")</f>
        <v>17661</v>
      </c>
      <c r="J26" s="754">
        <f>SUMIFS(Camplist_Popl,Camplist_Township,'CCCM Dashboard'!$H26,CampList_Status,"Open")</f>
        <v>94156</v>
      </c>
      <c r="K26" s="754">
        <f t="shared" si="1"/>
        <v>11</v>
      </c>
      <c r="L26" s="754">
        <f>AR37-Table9[[#This Row],['# of Planned Camp]]</f>
        <v>5</v>
      </c>
      <c r="M26" s="54"/>
      <c r="N26" s="54"/>
      <c r="O26" s="54"/>
      <c r="P26" s="1"/>
      <c r="Q26" s="68"/>
      <c r="T26" s="90"/>
      <c r="U26" s="90"/>
      <c r="AG26" s="346" t="s">
        <v>900</v>
      </c>
      <c r="AH26" s="38">
        <f>COUNTIFS(Camp_List[TOWNSHIP_NAME],$AG26,Camp_List[Total],"&gt;0",Camp_List[Total],"&lt;=1000", Camp_List[Status],"Open")</f>
        <v>1</v>
      </c>
      <c r="AI26" s="38">
        <f>COUNTIFS(Camp_List[TOWNSHIP_NAME],$AG26,Camp_List[Total],"&gt;1000",Camp_List[Total],"&lt;=5000",Camp_List[Status],"Open")</f>
        <v>1</v>
      </c>
      <c r="AJ26" s="345">
        <f>COUNTIFS(Camp_List[TOWNSHIP_NAME],$AG26,Camp_List[Total],"&gt;5000",Camp_List[Total],"&lt;=10000",Camp_List[Status],"Open")</f>
        <v>0</v>
      </c>
      <c r="AK26" s="345">
        <f>COUNTIFS(Camp_List[TOWNSHIP_NAME],$AG26,Camp_List[Total],"&gt;10000",Camp_List[Total],"&lt;=100000",Camp_List[Status],"Open")</f>
        <v>0</v>
      </c>
      <c r="AL26" s="345">
        <f>COUNTIFS(Camp_List[TOWNSHIP_NAME],$AG26,Camp_List[Total],"",Camp_List[Status],"Open")</f>
        <v>0</v>
      </c>
      <c r="AM26" s="179">
        <f t="shared" si="2"/>
        <v>2</v>
      </c>
      <c r="AN26" s="100">
        <f>COUNTIFS(Camp_List[TOWNSHIP_NAME],$AG26,Camp_List[Total],"&gt;0",Camp_List[Status],"Open",Camp_List[Type of Accomodation],"Planned Camp")</f>
        <v>2</v>
      </c>
      <c r="AO26" s="100">
        <f>COUNTIFS(Camp_List[TOWNSHIP_NAME],$AG26,Camp_List[Total],"&gt;0",Camp_List[Status],"Open",Camp_List[Type of Accomodation],"Collective centre")</f>
        <v>0</v>
      </c>
      <c r="AP26" s="100">
        <f>COUNTIFS(Camp_List[TOWNSHIP_NAME],$AG26,Camp_List[Total],"&gt;0",Camp_List[Status],"open",Camp_List[Type of Accomodation],"Self Settled Camp")</f>
        <v>0</v>
      </c>
      <c r="AQ26" s="100">
        <f>COUNTIFS(Camp_List[TOWNSHIP_NAME],$AG26,Camp_List[Total],"&gt;0",Camp_List[Status],"Open",Camp_List[Type of Accomodation],"Host Families")</f>
        <v>0</v>
      </c>
      <c r="AR26" s="100">
        <f t="shared" si="3"/>
        <v>2</v>
      </c>
      <c r="AS26" s="37"/>
    </row>
    <row r="27" spans="1:45" ht="18.95" customHeight="1">
      <c r="A27" s="67"/>
      <c r="B27" s="54"/>
      <c r="C27" s="54"/>
      <c r="D27" s="54"/>
      <c r="E27" s="54"/>
      <c r="F27" s="54"/>
      <c r="G27" s="465"/>
      <c r="H27" s="765" t="s">
        <v>5</v>
      </c>
      <c r="I27" s="755">
        <f>SUM(I17:I26)</f>
        <v>23948</v>
      </c>
      <c r="J27" s="755">
        <f>SUM(J17:J26)</f>
        <v>119862</v>
      </c>
      <c r="K27" s="755">
        <f t="shared" si="1"/>
        <v>22</v>
      </c>
      <c r="L27" s="756">
        <f>AR38-Table9[[#This Row],['# of Planned Camp]]</f>
        <v>17</v>
      </c>
      <c r="M27" s="54"/>
      <c r="N27" s="54"/>
      <c r="O27" s="54"/>
      <c r="P27" s="1"/>
      <c r="Q27" s="68"/>
      <c r="T27" s="90"/>
      <c r="U27" s="90"/>
      <c r="AG27" s="346" t="s">
        <v>11</v>
      </c>
      <c r="AH27" s="38">
        <f>COUNTIFS(Camp_List[TOWNSHIP_NAME],$AG27,Camp_List[Total],"&gt;0",Camp_List[Total],"&lt;=1000", Camp_List[Status],"Open")</f>
        <v>0</v>
      </c>
      <c r="AI27" s="38">
        <f>COUNTIFS(Camp_List[TOWNSHIP_NAME],$AG27,Camp_List[Total],"&gt;1000",Camp_List[Total],"&lt;=5000",Camp_List[Status],"Open")</f>
        <v>0</v>
      </c>
      <c r="AJ27" s="345">
        <f>COUNTIFS(Camp_List[TOWNSHIP_NAME],$AG27,Camp_List[Total],"&gt;5000",Camp_List[Total],"&lt;=10000",Camp_List[Status],"Open")</f>
        <v>0</v>
      </c>
      <c r="AK27" s="345">
        <f>COUNTIFS(Camp_List[TOWNSHIP_NAME],$AG27,Camp_List[Total],"&gt;10000",Camp_List[Total],"&lt;=100000",Camp_List[Status],"Open")</f>
        <v>0</v>
      </c>
      <c r="AL27" s="345">
        <f>COUNTIFS(Camp_List[TOWNSHIP_NAME],$AG27,Camp_List[Total],"",Camp_List[Status],"Open")</f>
        <v>0</v>
      </c>
      <c r="AM27" s="179">
        <f t="shared" si="2"/>
        <v>0</v>
      </c>
      <c r="AN27" s="100">
        <f>COUNTIFS(Camp_List[TOWNSHIP_NAME],$AG27,Camp_List[Total],"&gt;0",Camp_List[Status],"Open",Camp_List[Type of Accomodation],"Planned Camp")</f>
        <v>0</v>
      </c>
      <c r="AO27" s="100">
        <f>COUNTIFS(Camp_List[TOWNSHIP_NAME],$AG27,Camp_List[Total],"&gt;0",Camp_List[Status],"Open",Camp_List[Type of Accomodation],"Collective centre")</f>
        <v>0</v>
      </c>
      <c r="AP27" s="100">
        <f>COUNTIFS(Camp_List[TOWNSHIP_NAME],$AG27,Camp_List[Total],"&gt;0",Camp_List[Status],"open",Camp_List[Type of Accomodation],"Self Settled Camp")</f>
        <v>0</v>
      </c>
      <c r="AQ27" s="100">
        <f>COUNTIFS(Camp_List[TOWNSHIP_NAME],$AG27,Camp_List[Total],"&gt;0",Camp_List[Status],"Open",Camp_List[Type of Accomodation],"Host Families")</f>
        <v>0</v>
      </c>
      <c r="AR27" s="100">
        <f t="shared" si="3"/>
        <v>0</v>
      </c>
      <c r="AS27" s="37"/>
    </row>
    <row r="28" spans="1:45" s="100" customFormat="1">
      <c r="A28" s="67"/>
      <c r="B28" s="54"/>
      <c r="C28" s="54"/>
      <c r="D28" s="54"/>
      <c r="E28" s="54"/>
      <c r="F28" s="54"/>
      <c r="G28" s="465"/>
      <c r="H28" s="749"/>
      <c r="I28" s="750"/>
      <c r="J28" s="750"/>
      <c r="K28" s="750"/>
      <c r="L28" s="750"/>
      <c r="M28" s="54"/>
      <c r="N28" s="54"/>
      <c r="O28" s="54"/>
      <c r="P28" s="1"/>
      <c r="Q28" s="68"/>
      <c r="AG28" s="346"/>
      <c r="AH28" s="38"/>
      <c r="AI28" s="38"/>
      <c r="AJ28" s="345"/>
      <c r="AK28" s="345"/>
      <c r="AL28" s="345"/>
      <c r="AM28" s="179"/>
    </row>
    <row r="29" spans="1:45" s="100" customFormat="1">
      <c r="A29" s="67"/>
      <c r="B29" s="54"/>
      <c r="C29" s="54"/>
      <c r="D29" s="54"/>
      <c r="E29" s="54"/>
      <c r="F29" s="54"/>
      <c r="G29" s="465"/>
      <c r="H29" s="749"/>
      <c r="I29" s="750"/>
      <c r="J29" s="750"/>
      <c r="K29" s="750"/>
      <c r="L29" s="750"/>
      <c r="M29" s="54"/>
      <c r="N29" s="54"/>
      <c r="O29" s="54"/>
      <c r="P29" s="1"/>
      <c r="Q29" s="68"/>
      <c r="AG29" s="346"/>
      <c r="AH29" s="38"/>
      <c r="AI29" s="38"/>
      <c r="AJ29" s="345"/>
      <c r="AK29" s="345"/>
      <c r="AL29" s="345"/>
      <c r="AM29" s="179"/>
    </row>
    <row r="30" spans="1:45" s="100" customFormat="1">
      <c r="A30" s="67"/>
      <c r="B30" s="54"/>
      <c r="C30" s="54"/>
      <c r="D30" s="54"/>
      <c r="E30" s="54"/>
      <c r="F30" s="54"/>
      <c r="G30" s="465"/>
      <c r="H30" s="749"/>
      <c r="I30" s="750"/>
      <c r="J30" s="750"/>
      <c r="K30" s="750"/>
      <c r="L30" s="750"/>
      <c r="M30" s="54"/>
      <c r="N30" s="54"/>
      <c r="O30" s="54"/>
      <c r="P30" s="1"/>
      <c r="Q30" s="68"/>
      <c r="AG30" s="346"/>
      <c r="AH30" s="38"/>
      <c r="AI30" s="38"/>
      <c r="AJ30" s="345"/>
      <c r="AK30" s="345"/>
      <c r="AL30" s="345"/>
      <c r="AM30" s="179"/>
    </row>
    <row r="31" spans="1:45" s="100" customFormat="1">
      <c r="A31" s="67"/>
      <c r="B31" s="54"/>
      <c r="C31" s="54"/>
      <c r="D31" s="54"/>
      <c r="E31" s="54"/>
      <c r="F31" s="54"/>
      <c r="G31" s="465"/>
      <c r="H31" s="749"/>
      <c r="I31" s="750"/>
      <c r="J31" s="750"/>
      <c r="K31" s="750"/>
      <c r="L31" s="750"/>
      <c r="M31" s="54"/>
      <c r="N31" s="54"/>
      <c r="O31" s="54"/>
      <c r="P31" s="1"/>
      <c r="Q31" s="68"/>
      <c r="AG31" s="346"/>
      <c r="AH31" s="38"/>
      <c r="AI31" s="38"/>
      <c r="AJ31" s="345"/>
      <c r="AK31" s="345"/>
      <c r="AL31" s="345"/>
      <c r="AM31" s="179"/>
    </row>
    <row r="32" spans="1:45" s="100" customFormat="1">
      <c r="A32" s="67"/>
      <c r="B32" s="54"/>
      <c r="C32" s="54"/>
      <c r="D32" s="54"/>
      <c r="E32" s="54"/>
      <c r="F32" s="54"/>
      <c r="G32" s="465"/>
      <c r="H32" s="749"/>
      <c r="I32" s="750"/>
      <c r="J32" s="750"/>
      <c r="K32" s="750"/>
      <c r="L32" s="750"/>
      <c r="M32" s="54"/>
      <c r="N32" s="54"/>
      <c r="O32" s="54"/>
      <c r="P32" s="1"/>
      <c r="Q32" s="68"/>
      <c r="AG32" s="346"/>
      <c r="AH32" s="38"/>
      <c r="AI32" s="38"/>
      <c r="AJ32" s="345"/>
      <c r="AK32" s="345"/>
      <c r="AL32" s="345"/>
      <c r="AM32" s="179"/>
    </row>
    <row r="33" spans="1:46">
      <c r="A33" s="476"/>
      <c r="B33" s="54"/>
      <c r="C33" s="54"/>
      <c r="D33" s="54"/>
      <c r="E33" s="54"/>
      <c r="F33" s="54"/>
      <c r="G33" s="465"/>
      <c r="H33" s="465"/>
      <c r="I33" s="465"/>
      <c r="J33" s="466"/>
      <c r="K33" s="466"/>
      <c r="L33" s="466"/>
      <c r="M33" s="54"/>
      <c r="N33" s="54"/>
      <c r="O33" s="54"/>
      <c r="P33" s="54"/>
      <c r="Q33" s="473"/>
      <c r="AG33" s="346" t="s">
        <v>12</v>
      </c>
      <c r="AH33" s="38">
        <f>COUNTIFS(Camp_List[TOWNSHIP_NAME],$AG33,Camp_List[Total],"&gt;0",Camp_List[Total],"&lt;=1000", Camp_List[Status],"Open")</f>
        <v>0</v>
      </c>
      <c r="AI33" s="38">
        <f>COUNTIFS(Camp_List[TOWNSHIP_NAME],$AG33,Camp_List[Total],"&gt;1000",Camp_List[Total],"&lt;=5000",Camp_List[Status],"Open")</f>
        <v>0</v>
      </c>
      <c r="AJ33" s="345">
        <f>COUNTIFS(Camp_List[TOWNSHIP_NAME],$AG33,Camp_List[Total],"&gt;5000",Camp_List[Total],"&lt;=10000",Camp_List[Status],"Open")</f>
        <v>0</v>
      </c>
      <c r="AK33" s="345">
        <f>COUNTIFS(Camp_List[TOWNSHIP_NAME],$AG33,Camp_List[Total],"&gt;10000",Camp_List[Total],"&lt;=100000",Camp_List[Status],"Open")</f>
        <v>0</v>
      </c>
      <c r="AL33" s="345">
        <f>COUNTIFS(Camp_List[TOWNSHIP_NAME],$AG33,Camp_List[Total],"",Camp_List[Status],"Open")</f>
        <v>0</v>
      </c>
      <c r="AM33" s="179">
        <f t="shared" si="2"/>
        <v>0</v>
      </c>
      <c r="AN33" s="100">
        <f>COUNTIFS(Camp_List[TOWNSHIP_NAME],$AG33,Camp_List[Total],"&gt;0",Camp_List[Status],"Open",Camp_List[Type of Accomodation],"Planned Camp")</f>
        <v>0</v>
      </c>
      <c r="AO33" s="100">
        <f>COUNTIFS(Camp_List[TOWNSHIP_NAME],$AG33,Camp_List[Total],"&gt;0",Camp_List[Status],"Open",Camp_List[Type of Accomodation],"Collective centre")</f>
        <v>0</v>
      </c>
      <c r="AP33" s="100">
        <f>COUNTIFS(Camp_List[TOWNSHIP_NAME],$AG33,Camp_List[Total],"&gt;0",Camp_List[Status],"open",Camp_List[Type of Accomodation],"Self Settled Camp")</f>
        <v>0</v>
      </c>
      <c r="AQ33" s="100">
        <f>COUNTIFS(Camp_List[TOWNSHIP_NAME],$AG33,Camp_List[Total],"&gt;0",Camp_List[Status],"Open",Camp_List[Type of Accomodation],"Host Families")</f>
        <v>0</v>
      </c>
      <c r="AR33" s="100">
        <f t="shared" si="3"/>
        <v>0</v>
      </c>
      <c r="AS33" s="100"/>
      <c r="AT33" s="100"/>
    </row>
    <row r="34" spans="1:46">
      <c r="A34" s="476"/>
      <c r="B34" s="54"/>
      <c r="C34" s="54"/>
      <c r="D34" s="54"/>
      <c r="E34" s="54"/>
      <c r="F34" s="54"/>
      <c r="G34" s="465"/>
      <c r="H34" s="465"/>
      <c r="I34" s="465"/>
      <c r="J34" s="466"/>
      <c r="K34" s="466"/>
      <c r="L34" s="466"/>
      <c r="M34" s="54"/>
      <c r="N34" s="54"/>
      <c r="O34" s="54"/>
      <c r="P34" s="54"/>
      <c r="Q34" s="473"/>
      <c r="AG34" s="346" t="s">
        <v>14</v>
      </c>
      <c r="AH34" s="38">
        <f>COUNTIFS(Camp_List[TOWNSHIP_NAME],$AG34,Camp_List[Total],"&gt;0",Camp_List[Total],"&lt;=1000", Camp_List[Status],"Open")</f>
        <v>0</v>
      </c>
      <c r="AI34" s="38">
        <f>COUNTIFS(Camp_List[TOWNSHIP_NAME],$AG34,Camp_List[Total],"&gt;1000",Camp_List[Total],"&lt;=5000",Camp_List[Status],"Open")</f>
        <v>3</v>
      </c>
      <c r="AJ34" s="345">
        <f>COUNTIFS(Camp_List[TOWNSHIP_NAME],$AG34,Camp_List[Total],"&gt;5000",Camp_List[Total],"&lt;=10000",Camp_List[Status],"Open")</f>
        <v>1</v>
      </c>
      <c r="AK34" s="345">
        <f>COUNTIFS(Camp_List[TOWNSHIP_NAME],$AG34,Camp_List[Total],"&gt;10000",Camp_List[Total],"&lt;=100000",Camp_List[Status],"Open")</f>
        <v>0</v>
      </c>
      <c r="AL34" s="345">
        <f>COUNTIFS(Camp_List[TOWNSHIP_NAME],$AG34,Camp_List[Total],"",Camp_List[Status],"Open")</f>
        <v>0</v>
      </c>
      <c r="AM34" s="179">
        <f t="shared" si="2"/>
        <v>4</v>
      </c>
      <c r="AN34" s="100">
        <f>COUNTIFS(Camp_List[TOWNSHIP_NAME],$AG34,Camp_List[Total],"&gt;0",Camp_List[Status],"Open",Camp_List[Type of Accomodation],"Planned Camp")</f>
        <v>4</v>
      </c>
      <c r="AO34" s="100">
        <f>COUNTIFS(Camp_List[TOWNSHIP_NAME],$AG34,Camp_List[Total],"&gt;0",Camp_List[Status],"Open",Camp_List[Type of Accomodation],"Collective centre")</f>
        <v>0</v>
      </c>
      <c r="AP34" s="100">
        <f>COUNTIFS(Camp_List[TOWNSHIP_NAME],$AG34,Camp_List[Total],"&gt;0",Camp_List[Status],"open",Camp_List[Type of Accomodation],"Self Settled Camp")</f>
        <v>0</v>
      </c>
      <c r="AQ34" s="100">
        <f>COUNTIFS(Camp_List[TOWNSHIP_NAME],$AG34,Camp_List[Total],"&gt;0",Camp_List[Status],"Open",Camp_List[Type of Accomodation],"Host Families")</f>
        <v>0</v>
      </c>
      <c r="AR34" s="100">
        <f t="shared" si="3"/>
        <v>4</v>
      </c>
      <c r="AS34" s="100"/>
      <c r="AT34" s="100"/>
    </row>
    <row r="35" spans="1:46">
      <c r="A35" s="476"/>
      <c r="B35" s="54"/>
      <c r="C35" s="54"/>
      <c r="D35" s="54"/>
      <c r="E35" s="54"/>
      <c r="F35" s="54"/>
      <c r="G35" s="465"/>
      <c r="H35" s="54"/>
      <c r="I35" s="54"/>
      <c r="J35" s="54"/>
      <c r="K35" s="54"/>
      <c r="L35" s="54"/>
      <c r="M35" s="54"/>
      <c r="N35" s="54"/>
      <c r="O35" s="54"/>
      <c r="P35" s="54"/>
      <c r="Q35" s="473"/>
      <c r="AG35" s="346" t="s">
        <v>18</v>
      </c>
      <c r="AH35" s="38">
        <f>COUNTIFS(Camp_List[TOWNSHIP_NAME],$AG35,Camp_List[Total],"&gt;0",Camp_List[Total],"&lt;=1000", Camp_List[Status],"Open")</f>
        <v>2</v>
      </c>
      <c r="AI35" s="38">
        <f>COUNTIFS(Camp_List[TOWNSHIP_NAME],$AG35,Camp_List[Total],"&gt;1000",Camp_List[Total],"&lt;=5000",Camp_List[Status],"Open")</f>
        <v>0</v>
      </c>
      <c r="AJ35" s="345">
        <f>COUNTIFS(Camp_List[TOWNSHIP_NAME],$AG35,Camp_List[Total],"&gt;5000",Camp_List[Total],"&lt;=10000",Camp_List[Status],"Open")</f>
        <v>0</v>
      </c>
      <c r="AK35" s="345">
        <f>COUNTIFS(Camp_List[TOWNSHIP_NAME],$AG35,Camp_List[Total],"&gt;10000",Camp_List[Total],"&lt;=100000",Camp_List[Status],"Open")</f>
        <v>0</v>
      </c>
      <c r="AL35" s="345">
        <f>COUNTIFS(Camp_List[TOWNSHIP_NAME],$AG35,Camp_List[Total],"",Camp_List[Status],"Open")</f>
        <v>0</v>
      </c>
      <c r="AM35" s="179">
        <f t="shared" si="2"/>
        <v>2</v>
      </c>
      <c r="AN35" s="100">
        <f>COUNTIFS(Camp_List[TOWNSHIP_NAME],$AG35,Camp_List[Total],"&gt;0",Camp_List[Status],"Open",Camp_List[Type of Accomodation],"Planned Camp")</f>
        <v>1</v>
      </c>
      <c r="AO35" s="100">
        <f>COUNTIFS(Camp_List[TOWNSHIP_NAME],$AG35,Camp_List[Total],"&gt;0",Camp_List[Status],"Open",Camp_List[Type of Accomodation],"Collective centre")</f>
        <v>0</v>
      </c>
      <c r="AP35" s="100">
        <f>COUNTIFS(Camp_List[TOWNSHIP_NAME],$AG35,Camp_List[Total],"&gt;0",Camp_List[Status],"open",Camp_List[Type of Accomodation],"Self Settled Camp")</f>
        <v>1</v>
      </c>
      <c r="AQ35" s="100">
        <f>COUNTIFS(Camp_List[TOWNSHIP_NAME],$AG35,Camp_List[Total],"&gt;0",Camp_List[Status],"Open",Camp_List[Type of Accomodation],"Host Families")</f>
        <v>0</v>
      </c>
      <c r="AR35" s="100">
        <f t="shared" si="3"/>
        <v>2</v>
      </c>
      <c r="AS35" s="100"/>
      <c r="AT35" s="100"/>
    </row>
    <row r="36" spans="1:46" ht="15" customHeight="1">
      <c r="A36" s="476"/>
      <c r="B36" s="54"/>
      <c r="C36" s="54"/>
      <c r="D36" s="54"/>
      <c r="E36" s="54"/>
      <c r="F36" s="54"/>
      <c r="G36" s="465"/>
      <c r="H36" s="54"/>
      <c r="I36" s="54"/>
      <c r="J36" s="54"/>
      <c r="K36" s="54"/>
      <c r="L36" s="54"/>
      <c r="M36" s="54"/>
      <c r="N36" s="54"/>
      <c r="O36" s="54"/>
      <c r="P36" s="54"/>
      <c r="Q36" s="473"/>
      <c r="AG36" s="346" t="s">
        <v>16</v>
      </c>
      <c r="AH36" s="38">
        <f>COUNTIFS(Camp_List[TOWNSHIP_NAME],$AG36,Camp_List[Total],"&gt;0",Camp_List[Total],"&lt;=1000", Camp_List[Status],"Open")</f>
        <v>1</v>
      </c>
      <c r="AI36" s="38">
        <f>COUNTIFS(Camp_List[TOWNSHIP_NAME],$AG36,Camp_List[Total],"&gt;1000",Camp_List[Total],"&lt;=5000",Camp_List[Status],"Open")</f>
        <v>2</v>
      </c>
      <c r="AJ36" s="345">
        <f>COUNTIFS(Camp_List[TOWNSHIP_NAME],$AG36,Camp_List[Total],"&gt;5000",Camp_List[Total],"&lt;=10000",Camp_List[Status],"Open")</f>
        <v>0</v>
      </c>
      <c r="AK36" s="345">
        <f>COUNTIFS(Camp_List[TOWNSHIP_NAME],$AG36,Camp_List[Total],"&gt;10000",Camp_List[Total],"&lt;=100000",Camp_List[Status],"Open")</f>
        <v>0</v>
      </c>
      <c r="AL36" s="345">
        <f>COUNTIFS(Camp_List[TOWNSHIP_NAME],$AG36,Camp_List[Total],"",Camp_List[Status],"Open")</f>
        <v>0</v>
      </c>
      <c r="AM36" s="179">
        <f t="shared" si="2"/>
        <v>3</v>
      </c>
      <c r="AN36" s="100">
        <f>COUNTIFS(Camp_List[TOWNSHIP_NAME],$AG36,Camp_List[Total],"&gt;0",Camp_List[Status],"Open",Camp_List[Type of Accomodation],"Planned Camp")</f>
        <v>2</v>
      </c>
      <c r="AO36" s="100">
        <f>COUNTIFS(Camp_List[TOWNSHIP_NAME],$AG36,Camp_List[Total],"&gt;0",Camp_List[Status],"Open",Camp_List[Type of Accomodation],"Collective centre")</f>
        <v>0</v>
      </c>
      <c r="AP36" s="100">
        <f>COUNTIFS(Camp_List[TOWNSHIP_NAME],$AG36,Camp_List[Total],"&gt;0",Camp_List[Status],"open",Camp_List[Type of Accomodation],"Self Settled Camp")</f>
        <v>1</v>
      </c>
      <c r="AQ36" s="100">
        <f>COUNTIFS(Camp_List[TOWNSHIP_NAME],$AG36,Camp_List[Total],"&gt;0",Camp_List[Status],"Open",Camp_List[Type of Accomodation],"Host Families")</f>
        <v>0</v>
      </c>
      <c r="AR36" s="100">
        <f t="shared" si="3"/>
        <v>3</v>
      </c>
      <c r="AS36" s="100"/>
      <c r="AT36" s="100"/>
    </row>
    <row r="37" spans="1:46" s="100" customFormat="1" ht="14.25" customHeight="1">
      <c r="A37" s="476"/>
      <c r="B37" s="54"/>
      <c r="C37" s="54"/>
      <c r="D37" s="54"/>
      <c r="E37" s="54"/>
      <c r="F37" s="54"/>
      <c r="G37" s="465"/>
      <c r="H37" s="54"/>
      <c r="I37" s="54"/>
      <c r="J37" s="54"/>
      <c r="K37" s="54"/>
      <c r="L37" s="54"/>
      <c r="M37" s="54"/>
      <c r="N37" s="54"/>
      <c r="O37" s="54"/>
      <c r="P37" s="54"/>
      <c r="Q37" s="473"/>
      <c r="AG37" s="346" t="s">
        <v>19</v>
      </c>
      <c r="AH37" s="38">
        <f>COUNTIFS(Camp_List[TOWNSHIP_NAME],$AG37,Camp_List[Total],"&gt;0",Camp_List[Total],"&lt;=1000", Camp_List[Status],"Open")</f>
        <v>2</v>
      </c>
      <c r="AI37" s="38">
        <f>COUNTIFS(Camp_List[TOWNSHIP_NAME],$AG37,Camp_List[Total],"&gt;1000",Camp_List[Total],"&lt;=5000",Camp_List[Status],"Open")</f>
        <v>7</v>
      </c>
      <c r="AJ37" s="345">
        <f>COUNTIFS(Camp_List[TOWNSHIP_NAME],$AG37,Camp_List[Total],"&gt;5000",Camp_List[Total],"&lt;=10000",Camp_List[Status],"Open")</f>
        <v>3</v>
      </c>
      <c r="AK37" s="345">
        <f>COUNTIFS(Camp_List[TOWNSHIP_NAME],$AG37,Camp_List[Total],"&gt;10000",Camp_List[Total],"&lt;=100000",Camp_List[Status],"Open")</f>
        <v>4</v>
      </c>
      <c r="AL37" s="345">
        <f>COUNTIFS(Camp_List[TOWNSHIP_NAME],$AG37,Camp_List[Total],"",Camp_List[Status],"Open")</f>
        <v>0</v>
      </c>
      <c r="AM37" s="179">
        <f t="shared" si="2"/>
        <v>16</v>
      </c>
      <c r="AN37" s="100">
        <f>COUNTIFS(Camp_List[TOWNSHIP_NAME],$AG37,Camp_List[Total],"&gt;0",Camp_List[Status],"Open",Camp_List[Type of Accomodation],"Planned Camp")</f>
        <v>11</v>
      </c>
      <c r="AO37" s="100">
        <f>COUNTIFS(Camp_List[TOWNSHIP_NAME],$AG37,Camp_List[Total],"&gt;0",Camp_List[Status],"Open",Camp_List[Type of Accomodation],"Collective centre")</f>
        <v>0</v>
      </c>
      <c r="AP37" s="100">
        <f>COUNTIFS(Camp_List[TOWNSHIP_NAME],$AG37,Camp_List[Total],"&gt;0",Camp_List[Status],"open",Camp_List[Type of Accomodation],"Self Settled Camp")</f>
        <v>1</v>
      </c>
      <c r="AQ37" s="100">
        <f>COUNTIFS(Camp_List[TOWNSHIP_NAME],$AG37,Camp_List[Total],"&gt;0",Camp_List[Status],"Open",Camp_List[Type of Accomodation],"Host Families")</f>
        <v>4</v>
      </c>
      <c r="AR37" s="100">
        <f t="shared" si="3"/>
        <v>16</v>
      </c>
    </row>
    <row r="38" spans="1:46">
      <c r="A38" s="476"/>
      <c r="B38" s="54"/>
      <c r="C38" s="54"/>
      <c r="D38" s="54"/>
      <c r="E38" s="54"/>
      <c r="F38" s="54"/>
      <c r="G38" s="54"/>
      <c r="H38" s="54"/>
      <c r="I38" s="54"/>
      <c r="J38" s="54"/>
      <c r="K38" s="54"/>
      <c r="L38" s="54"/>
      <c r="M38" s="54"/>
      <c r="N38" s="54"/>
      <c r="O38" s="54"/>
      <c r="P38" s="54"/>
      <c r="Q38" s="473"/>
      <c r="AG38" s="358" t="s">
        <v>5</v>
      </c>
      <c r="AH38" s="647">
        <f>SUM(AH23:AH37)</f>
        <v>17</v>
      </c>
      <c r="AI38" s="647">
        <f>SUM(AI23:AI37)</f>
        <v>14</v>
      </c>
      <c r="AJ38" s="357">
        <f t="shared" ref="AJ38:AR38" si="4">SUM(AJ23:AJ37)</f>
        <v>4</v>
      </c>
      <c r="AK38" s="357">
        <f t="shared" si="4"/>
        <v>4</v>
      </c>
      <c r="AL38" s="646">
        <f t="shared" si="4"/>
        <v>0</v>
      </c>
      <c r="AM38" s="178">
        <f>SUM(AM23:AM37)</f>
        <v>39</v>
      </c>
      <c r="AN38" s="322">
        <f>SUM(AN23:AN37)</f>
        <v>22</v>
      </c>
      <c r="AO38" s="179">
        <f>SUM(AO23:AO37)</f>
        <v>0</v>
      </c>
      <c r="AP38" s="100">
        <f>SUM(AP23:AP37)</f>
        <v>13</v>
      </c>
      <c r="AQ38" s="100">
        <f>SUM(AQ23:AQ37)</f>
        <v>4</v>
      </c>
      <c r="AR38" s="179">
        <f t="shared" si="4"/>
        <v>39</v>
      </c>
      <c r="AS38" s="179"/>
      <c r="AT38" s="75"/>
    </row>
    <row r="39" spans="1:46">
      <c r="A39" s="476"/>
      <c r="B39" s="54"/>
      <c r="C39" s="54"/>
      <c r="D39" s="54"/>
      <c r="E39" s="54"/>
      <c r="F39" s="54"/>
      <c r="G39" s="54"/>
      <c r="H39" s="54"/>
      <c r="I39" s="54"/>
      <c r="J39" s="54"/>
      <c r="K39" s="54"/>
      <c r="L39" s="54"/>
      <c r="M39" s="54"/>
      <c r="N39" s="54"/>
      <c r="O39" s="54"/>
      <c r="P39" s="54"/>
      <c r="Q39" s="473"/>
      <c r="U39" s="90"/>
      <c r="AH39" s="37"/>
      <c r="AI39" s="37"/>
      <c r="AJ39" s="37"/>
      <c r="AK39" s="37"/>
      <c r="AL39" s="37"/>
      <c r="AM39" s="37"/>
      <c r="AN39" s="37"/>
      <c r="AO39" s="37"/>
    </row>
    <row r="40" spans="1:46">
      <c r="A40" s="476"/>
      <c r="B40" s="54"/>
      <c r="C40" s="54"/>
      <c r="D40" s="54"/>
      <c r="E40" s="54"/>
      <c r="F40" s="54"/>
      <c r="G40" s="54"/>
      <c r="H40" s="54"/>
      <c r="I40" s="54"/>
      <c r="J40" s="54"/>
      <c r="K40" s="54"/>
      <c r="L40" s="54"/>
      <c r="M40" s="54"/>
      <c r="N40" s="54"/>
      <c r="O40" s="54"/>
      <c r="P40" s="54"/>
      <c r="Q40" s="473"/>
      <c r="U40" s="90"/>
      <c r="AH40" s="37"/>
      <c r="AO40" s="37"/>
    </row>
    <row r="41" spans="1:46" s="100" customFormat="1">
      <c r="A41" s="476"/>
      <c r="B41" s="54"/>
      <c r="C41" s="54"/>
      <c r="D41" s="54"/>
      <c r="E41" s="54"/>
      <c r="F41" s="54"/>
      <c r="G41" s="54"/>
      <c r="H41" s="54"/>
      <c r="I41" s="54"/>
      <c r="J41" s="54"/>
      <c r="K41" s="54"/>
      <c r="L41" s="54"/>
      <c r="M41" s="54"/>
      <c r="N41" s="54"/>
      <c r="O41" s="54"/>
      <c r="P41" s="54"/>
      <c r="Q41" s="473"/>
      <c r="AI41" s="90"/>
      <c r="AJ41" s="90"/>
      <c r="AK41" s="90"/>
      <c r="AL41" s="90"/>
      <c r="AM41" s="90"/>
      <c r="AN41" s="90"/>
      <c r="AO41" s="37"/>
      <c r="AP41" s="90"/>
      <c r="AQ41" s="90"/>
      <c r="AR41" s="90"/>
      <c r="AS41" s="90"/>
    </row>
    <row r="42" spans="1:46" ht="63.75" customHeight="1">
      <c r="A42" s="476"/>
      <c r="B42" s="54"/>
      <c r="C42" s="54"/>
      <c r="D42" s="54"/>
      <c r="E42" s="54"/>
      <c r="F42" s="54"/>
      <c r="G42" s="54"/>
      <c r="H42" s="54"/>
      <c r="I42" s="54"/>
      <c r="J42" s="54"/>
      <c r="K42" s="54"/>
      <c r="L42" s="54"/>
      <c r="M42" s="54"/>
      <c r="N42" s="54"/>
      <c r="O42" s="54"/>
      <c r="P42" s="54"/>
      <c r="Q42" s="473"/>
      <c r="U42" s="90"/>
      <c r="AH42" s="37"/>
      <c r="AO42" s="37"/>
    </row>
    <row r="43" spans="1:46" s="100" customFormat="1" ht="6.75" customHeight="1">
      <c r="A43" s="476"/>
      <c r="B43" s="54"/>
      <c r="C43" s="54"/>
      <c r="D43" s="54"/>
      <c r="E43" s="54"/>
      <c r="F43" s="54"/>
      <c r="G43" s="467"/>
      <c r="H43" s="467"/>
      <c r="I43" s="467"/>
      <c r="J43" s="467"/>
      <c r="K43" s="467"/>
      <c r="L43" s="467"/>
      <c r="M43" s="54"/>
      <c r="N43" s="54"/>
      <c r="O43" s="54"/>
      <c r="P43" s="54"/>
      <c r="Q43" s="473"/>
      <c r="AI43" s="90"/>
      <c r="AJ43" s="90"/>
      <c r="AK43" s="90"/>
      <c r="AL43" s="90"/>
      <c r="AM43" s="90"/>
      <c r="AN43" s="90"/>
      <c r="AO43" s="37"/>
      <c r="AP43" s="90"/>
      <c r="AQ43" s="90"/>
      <c r="AR43" s="90"/>
      <c r="AS43" s="90"/>
    </row>
    <row r="44" spans="1:46">
      <c r="A44" s="476"/>
      <c r="B44" s="54"/>
      <c r="C44" s="54"/>
      <c r="D44" s="54"/>
      <c r="E44" s="54"/>
      <c r="F44" s="54"/>
      <c r="G44" s="54"/>
      <c r="H44" s="54"/>
      <c r="I44" s="54"/>
      <c r="J44" s="54"/>
      <c r="K44" s="54"/>
      <c r="L44" s="54"/>
      <c r="M44" s="54"/>
      <c r="N44" s="54"/>
      <c r="O44" s="54"/>
      <c r="P44" s="54"/>
      <c r="Q44" s="473"/>
      <c r="AO44" s="37"/>
    </row>
    <row r="45" spans="1:46">
      <c r="A45" s="476"/>
      <c r="B45" s="54"/>
      <c r="C45" s="54"/>
      <c r="D45" s="54"/>
      <c r="E45" s="54"/>
      <c r="F45" s="54"/>
      <c r="G45" s="54"/>
      <c r="H45" s="54"/>
      <c r="I45" s="54"/>
      <c r="J45" s="54"/>
      <c r="K45" s="54"/>
      <c r="L45" s="54"/>
      <c r="M45" s="54"/>
      <c r="N45" s="54"/>
      <c r="O45" s="54"/>
      <c r="P45" s="54"/>
      <c r="Q45" s="473"/>
      <c r="AO45" s="37"/>
    </row>
    <row r="46" spans="1:46" ht="3.75" customHeight="1">
      <c r="A46" s="476"/>
      <c r="B46" s="54"/>
      <c r="C46" s="54"/>
      <c r="D46" s="54"/>
      <c r="E46" s="54"/>
      <c r="F46" s="54"/>
      <c r="G46" s="54"/>
      <c r="H46" s="54"/>
      <c r="I46" s="54"/>
      <c r="J46" s="54"/>
      <c r="K46" s="54"/>
      <c r="L46" s="54"/>
      <c r="M46" s="54"/>
      <c r="N46" s="54"/>
      <c r="O46" s="54"/>
      <c r="P46" s="54"/>
      <c r="Q46" s="473"/>
      <c r="AO46" s="37"/>
    </row>
    <row r="47" spans="1:46">
      <c r="A47" s="476"/>
      <c r="B47" s="54"/>
      <c r="C47" s="54"/>
      <c r="D47" s="54"/>
      <c r="E47" s="54"/>
      <c r="F47" s="54"/>
      <c r="G47" s="54"/>
      <c r="H47" s="54"/>
      <c r="I47" s="54"/>
      <c r="J47" s="54"/>
      <c r="K47" s="54"/>
      <c r="L47" s="54"/>
      <c r="M47" s="54"/>
      <c r="N47" s="54"/>
      <c r="O47" s="54"/>
      <c r="P47" s="54"/>
      <c r="Q47" s="473"/>
      <c r="AO47" s="37"/>
    </row>
    <row r="48" spans="1:46">
      <c r="A48" s="832"/>
      <c r="B48" s="833"/>
      <c r="C48" s="833"/>
      <c r="D48" s="833"/>
      <c r="E48" s="833"/>
      <c r="F48" s="833"/>
      <c r="G48" s="833"/>
      <c r="H48" s="833"/>
      <c r="I48" s="833"/>
      <c r="J48" s="833"/>
      <c r="K48" s="833"/>
      <c r="L48" s="833"/>
      <c r="M48" s="833"/>
      <c r="N48" s="833"/>
      <c r="O48" s="833"/>
      <c r="P48" s="833"/>
      <c r="Q48" s="834"/>
      <c r="AO48" s="37"/>
    </row>
    <row r="49" spans="1:41">
      <c r="A49" s="832"/>
      <c r="B49" s="833"/>
      <c r="C49" s="833"/>
      <c r="D49" s="833"/>
      <c r="E49" s="833"/>
      <c r="F49" s="833"/>
      <c r="G49" s="833"/>
      <c r="H49" s="833"/>
      <c r="I49" s="833"/>
      <c r="J49" s="833"/>
      <c r="K49" s="833"/>
      <c r="L49" s="833"/>
      <c r="M49" s="833"/>
      <c r="N49" s="833"/>
      <c r="O49" s="833"/>
      <c r="P49" s="833"/>
      <c r="Q49" s="834"/>
      <c r="AO49" s="37"/>
    </row>
    <row r="50" spans="1:41" ht="15.75" thickBot="1">
      <c r="A50" s="835"/>
      <c r="B50" s="836"/>
      <c r="C50" s="836"/>
      <c r="D50" s="836"/>
      <c r="E50" s="836"/>
      <c r="F50" s="836"/>
      <c r="G50" s="836"/>
      <c r="H50" s="836"/>
      <c r="I50" s="836"/>
      <c r="J50" s="836"/>
      <c r="K50" s="836"/>
      <c r="L50" s="836"/>
      <c r="M50" s="836"/>
      <c r="N50" s="836"/>
      <c r="O50" s="836"/>
      <c r="P50" s="836"/>
      <c r="Q50" s="837"/>
      <c r="AO50" s="37"/>
    </row>
    <row r="51" spans="1:41">
      <c r="AO51" s="37"/>
    </row>
    <row r="62" spans="1:41" ht="15.75">
      <c r="K62" s="772"/>
    </row>
    <row r="90" spans="25:27">
      <c r="Y90" s="20"/>
      <c r="Z90" s="20"/>
      <c r="AA90" s="20"/>
    </row>
    <row r="91" spans="25:27">
      <c r="Y91" s="20"/>
      <c r="Z91" s="20"/>
    </row>
    <row r="92" spans="25:27">
      <c r="Y92" s="20"/>
      <c r="Z92" s="20"/>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21" customWidth="1"/>
    <col min="110" max="110" width="12.7109375" style="21" customWidth="1"/>
    <col min="111" max="111" width="9.140625" style="21"/>
    <col min="112" max="112" width="11.42578125" style="21" customWidth="1"/>
    <col min="113" max="113" width="6.140625" style="5" customWidth="1"/>
    <col min="114" max="114" width="5.85546875" style="5" customWidth="1"/>
    <col min="115" max="16384" width="9.140625" style="5"/>
  </cols>
  <sheetData>
    <row r="1" spans="15:112" ht="15.75" thickBot="1">
      <c r="O1" s="21"/>
      <c r="P1" s="21"/>
      <c r="S1" s="21">
        <v>19</v>
      </c>
      <c r="T1" s="144" t="s">
        <v>550</v>
      </c>
      <c r="U1" s="145"/>
      <c r="V1" s="145"/>
      <c r="W1" s="145"/>
      <c r="X1" s="145"/>
      <c r="Y1" s="145"/>
      <c r="Z1" s="145"/>
      <c r="AA1" s="146" t="s">
        <v>241</v>
      </c>
      <c r="AB1" s="144" t="s">
        <v>242</v>
      </c>
      <c r="AC1" s="145"/>
      <c r="AD1" s="98"/>
      <c r="CT1" s="5"/>
      <c r="CU1" s="5"/>
      <c r="CV1" s="5"/>
      <c r="CW1" s="5"/>
      <c r="CX1" s="5"/>
      <c r="CY1" s="5"/>
      <c r="CZ1" s="5"/>
      <c r="DA1" s="5"/>
      <c r="DB1" s="5"/>
      <c r="DC1" s="5"/>
      <c r="DD1" s="5"/>
      <c r="DE1" s="5"/>
      <c r="DF1" s="5"/>
      <c r="DG1" s="5"/>
      <c r="DH1" s="5"/>
    </row>
    <row r="2" spans="15:112" ht="15">
      <c r="O2" s="21"/>
      <c r="P2" s="21"/>
      <c r="S2" s="21">
        <v>92.8</v>
      </c>
      <c r="T2" s="147" t="s">
        <v>581</v>
      </c>
      <c r="U2" s="148" t="s">
        <v>1</v>
      </c>
      <c r="V2" s="148" t="s">
        <v>583</v>
      </c>
      <c r="W2" s="149" t="s">
        <v>582</v>
      </c>
      <c r="X2" s="147" t="s">
        <v>586</v>
      </c>
      <c r="Y2" s="148" t="s">
        <v>587</v>
      </c>
      <c r="Z2" s="150" t="s">
        <v>731</v>
      </c>
      <c r="AA2" s="151" t="s">
        <v>236</v>
      </c>
      <c r="AB2" s="152" t="s">
        <v>551</v>
      </c>
      <c r="AC2" s="148" t="s">
        <v>552</v>
      </c>
      <c r="AD2" s="153" t="s">
        <v>553</v>
      </c>
      <c r="AE2" s="96" t="s">
        <v>584</v>
      </c>
      <c r="AF2" s="95" t="s">
        <v>585</v>
      </c>
      <c r="AG2" s="154" t="s">
        <v>732</v>
      </c>
      <c r="CT2" s="5"/>
      <c r="CU2" s="5"/>
      <c r="CV2" s="5"/>
      <c r="CW2" s="5"/>
      <c r="CX2" s="5"/>
      <c r="CY2" s="5"/>
      <c r="CZ2" s="5"/>
      <c r="DA2" s="5"/>
      <c r="DB2" s="5"/>
      <c r="DC2" s="5"/>
      <c r="DD2" s="5"/>
      <c r="DE2" s="5"/>
      <c r="DF2" s="5"/>
      <c r="DG2" s="5"/>
      <c r="DH2" s="5"/>
    </row>
    <row r="3" spans="15:112" ht="15">
      <c r="O3" s="21"/>
      <c r="P3" s="21"/>
      <c r="S3" s="21">
        <v>600</v>
      </c>
      <c r="T3" s="155" t="s">
        <v>733</v>
      </c>
      <c r="U3" s="156" t="str">
        <f>'CCCM Dashboard'!H17</f>
        <v>Kyauk_Phyu</v>
      </c>
      <c r="V3" s="91">
        <v>93.5</v>
      </c>
      <c r="W3" s="93">
        <v>19.315330739299597</v>
      </c>
      <c r="X3" s="156">
        <f>'CCCM Dashboard'!I17</f>
        <v>492</v>
      </c>
      <c r="Y3" s="156">
        <f>'CCCM Dashboard'!J17</f>
        <v>1601</v>
      </c>
      <c r="Z3" s="156">
        <f>'CCCM Dashboard'!K17</f>
        <v>2</v>
      </c>
      <c r="AA3" s="157">
        <f ca="1">'Shelter Coverage &amp; Gaps'!G18</f>
        <v>0.97560975609756095</v>
      </c>
      <c r="AB3" s="157">
        <v>0</v>
      </c>
      <c r="AC3" s="157">
        <v>0</v>
      </c>
      <c r="AD3" s="88">
        <v>0</v>
      </c>
      <c r="AE3" s="158">
        <f t="shared" ref="AE3:AE12" si="0">$S$3-ROUND((W3-$S$1)*$S$5,0)</f>
        <v>521</v>
      </c>
      <c r="AF3" s="159">
        <f t="shared" ref="AF3:AF12" si="1">ROUND((V3-$S$2)*$S$5,0)+$S$4</f>
        <v>325</v>
      </c>
      <c r="AG3" s="160">
        <v>13</v>
      </c>
      <c r="CT3" s="5"/>
      <c r="CU3" s="5"/>
      <c r="CV3" s="5"/>
      <c r="CW3" s="5"/>
      <c r="CX3" s="5"/>
      <c r="CY3" s="5"/>
      <c r="CZ3" s="5"/>
      <c r="DA3" s="5"/>
      <c r="DB3" s="5"/>
      <c r="DC3" s="5"/>
      <c r="DD3" s="5"/>
      <c r="DE3" s="5"/>
      <c r="DF3" s="5"/>
      <c r="DG3" s="5"/>
      <c r="DH3" s="5"/>
    </row>
    <row r="4" spans="15:112" ht="15">
      <c r="O4" s="21"/>
      <c r="P4" s="21"/>
      <c r="S4" s="21">
        <v>150</v>
      </c>
      <c r="T4" s="161" t="s">
        <v>734</v>
      </c>
      <c r="U4" s="156" t="str">
        <f>'CCCM Dashboard'!H18</f>
        <v>Kyauktaw</v>
      </c>
      <c r="V4" s="91">
        <v>92.954056224899546</v>
      </c>
      <c r="W4" s="93">
        <v>20.835542168674699</v>
      </c>
      <c r="X4" s="156">
        <f>'CCCM Dashboard'!I18</f>
        <v>85</v>
      </c>
      <c r="Y4" s="156">
        <f>'CCCM Dashboard'!J18</f>
        <v>546</v>
      </c>
      <c r="Z4" s="156">
        <f>'CCCM Dashboard'!K18</f>
        <v>0</v>
      </c>
      <c r="AA4" s="157">
        <f ca="1">'Shelter Coverage &amp; Gaps'!G19</f>
        <v>7.1928071928071935E-2</v>
      </c>
      <c r="AB4" s="157">
        <v>1</v>
      </c>
      <c r="AC4" s="157">
        <v>0</v>
      </c>
      <c r="AD4" s="88">
        <v>0.95387840670859536</v>
      </c>
      <c r="AE4" s="158">
        <f t="shared" si="0"/>
        <v>141</v>
      </c>
      <c r="AF4" s="159">
        <f t="shared" si="1"/>
        <v>189</v>
      </c>
      <c r="AG4" s="160">
        <v>6</v>
      </c>
      <c r="CT4" s="5"/>
      <c r="CU4" s="5"/>
      <c r="CV4" s="5"/>
      <c r="CW4" s="5"/>
      <c r="CX4" s="5"/>
      <c r="CY4" s="5"/>
      <c r="CZ4" s="5"/>
      <c r="DA4" s="5"/>
      <c r="DB4" s="5"/>
      <c r="DC4" s="5"/>
      <c r="DD4" s="5"/>
      <c r="DE4" s="5"/>
      <c r="DF4" s="5"/>
      <c r="DG4" s="5"/>
      <c r="DH4" s="5"/>
    </row>
    <row r="5" spans="15:112" ht="15">
      <c r="O5" s="21"/>
      <c r="P5" s="21"/>
      <c r="S5" s="21">
        <v>250</v>
      </c>
      <c r="T5" s="155" t="s">
        <v>735</v>
      </c>
      <c r="U5" s="156" t="str">
        <f>'CCCM Dashboard'!H19</f>
        <v>Maungdaw</v>
      </c>
      <c r="V5" s="91">
        <v>92.3</v>
      </c>
      <c r="W5" s="93">
        <v>20.89</v>
      </c>
      <c r="X5" s="156">
        <f>'CCCM Dashboard'!I19</f>
        <v>219</v>
      </c>
      <c r="Y5" s="156">
        <f>'CCCM Dashboard'!J19</f>
        <v>1378</v>
      </c>
      <c r="Z5" s="156">
        <f>'CCCM Dashboard'!K19</f>
        <v>0</v>
      </c>
      <c r="AA5" s="157">
        <f ca="1">'Shelter Coverage &amp; Gaps'!G20</f>
        <v>0</v>
      </c>
      <c r="AB5" s="157">
        <v>0.69172932330827064</v>
      </c>
      <c r="AC5" s="157">
        <v>0</v>
      </c>
      <c r="AD5" s="88">
        <v>1</v>
      </c>
      <c r="AE5" s="158">
        <f t="shared" si="0"/>
        <v>127</v>
      </c>
      <c r="AF5" s="159">
        <f t="shared" si="1"/>
        <v>25</v>
      </c>
      <c r="AG5" s="160">
        <v>24</v>
      </c>
      <c r="CT5" s="5"/>
      <c r="CU5" s="5"/>
      <c r="CV5" s="5"/>
      <c r="CW5" s="5"/>
      <c r="CX5" s="5"/>
      <c r="CY5" s="5"/>
      <c r="CZ5" s="5"/>
      <c r="DA5" s="5"/>
      <c r="DB5" s="5"/>
      <c r="DC5" s="5"/>
      <c r="DD5" s="5"/>
      <c r="DE5" s="5"/>
      <c r="DF5" s="5"/>
      <c r="DG5" s="5"/>
      <c r="DH5" s="5"/>
    </row>
    <row r="6" spans="15:112" ht="15">
      <c r="O6" s="21"/>
      <c r="P6" s="21"/>
      <c r="T6" s="161"/>
      <c r="U6" s="156" t="str">
        <f>'CCCM Dashboard'!H20</f>
        <v>Myebon</v>
      </c>
      <c r="V6" s="91">
        <v>93.45</v>
      </c>
      <c r="W6" s="93">
        <v>19.899999999999999</v>
      </c>
      <c r="X6" s="156">
        <f>'CCCM Dashboard'!I20</f>
        <v>724</v>
      </c>
      <c r="Y6" s="156">
        <f>'CCCM Dashboard'!J20</f>
        <v>2922</v>
      </c>
      <c r="Z6" s="156">
        <f>'CCCM Dashboard'!K20</f>
        <v>2</v>
      </c>
      <c r="AA6" s="157">
        <f ca="1">'Shelter Coverage &amp; Gaps'!G21</f>
        <v>1</v>
      </c>
      <c r="AB6" s="157"/>
      <c r="AC6" s="157"/>
      <c r="AD6" s="88"/>
      <c r="AE6" s="158">
        <f t="shared" si="0"/>
        <v>375</v>
      </c>
      <c r="AF6" s="159">
        <f t="shared" si="1"/>
        <v>313</v>
      </c>
      <c r="AG6" s="160">
        <v>1</v>
      </c>
      <c r="AI6" s="21"/>
      <c r="CT6" s="5"/>
      <c r="CU6" s="5"/>
      <c r="CV6" s="5"/>
      <c r="CW6" s="5"/>
      <c r="CX6" s="5"/>
      <c r="CY6" s="5"/>
      <c r="CZ6" s="5"/>
      <c r="DA6" s="5"/>
      <c r="DB6" s="5"/>
      <c r="DC6" s="5"/>
      <c r="DD6" s="5"/>
      <c r="DE6" s="5"/>
      <c r="DF6" s="5"/>
      <c r="DG6" s="5"/>
      <c r="DH6" s="5"/>
    </row>
    <row r="7" spans="15:112" ht="15">
      <c r="O7" s="21"/>
      <c r="P7" s="21"/>
      <c r="T7" s="161" t="s">
        <v>736</v>
      </c>
      <c r="U7" s="156" t="str">
        <f>'CCCM Dashboard'!H21</f>
        <v>Minbya</v>
      </c>
      <c r="V7" s="91">
        <v>93.42</v>
      </c>
      <c r="W7" s="93">
        <v>20.39</v>
      </c>
      <c r="X7" s="156">
        <f>'CCCM Dashboard'!I21</f>
        <v>0</v>
      </c>
      <c r="Y7" s="156">
        <f>'CCCM Dashboard'!J21</f>
        <v>0</v>
      </c>
      <c r="Z7" s="156">
        <f>'CCCM Dashboard'!K21</f>
        <v>0</v>
      </c>
      <c r="AA7" s="157">
        <f ca="1">'Shelter Coverage &amp; Gaps'!G22</f>
        <v>0</v>
      </c>
      <c r="AB7" s="157">
        <v>0</v>
      </c>
      <c r="AC7" s="157">
        <v>0</v>
      </c>
      <c r="AD7" s="88">
        <v>0</v>
      </c>
      <c r="AE7" s="158">
        <f t="shared" si="0"/>
        <v>252</v>
      </c>
      <c r="AF7" s="159">
        <f t="shared" si="1"/>
        <v>305</v>
      </c>
      <c r="AG7" s="160">
        <v>1</v>
      </c>
      <c r="CT7" s="5"/>
      <c r="CU7" s="5"/>
      <c r="CV7" s="5"/>
      <c r="CW7" s="5"/>
      <c r="CX7" s="5"/>
      <c r="CY7" s="5"/>
      <c r="CZ7" s="5"/>
      <c r="DA7" s="5"/>
      <c r="DB7" s="5"/>
      <c r="DC7" s="5"/>
      <c r="DD7" s="5"/>
      <c r="DE7" s="5"/>
      <c r="DF7" s="5"/>
      <c r="DG7" s="5"/>
      <c r="DH7" s="5"/>
    </row>
    <row r="8" spans="15:112" ht="15">
      <c r="O8" s="21"/>
      <c r="P8" s="21"/>
      <c r="T8" s="155" t="s">
        <v>737</v>
      </c>
      <c r="U8" s="156" t="str">
        <f>'CCCM Dashboard'!H22</f>
        <v>Mrauk_U</v>
      </c>
      <c r="V8" s="91">
        <v>93.171744680851077</v>
      </c>
      <c r="W8" s="93">
        <v>20.580936170212777</v>
      </c>
      <c r="X8" s="156">
        <f>'CCCM Dashboard'!I22</f>
        <v>0</v>
      </c>
      <c r="Y8" s="156">
        <f>'CCCM Dashboard'!J22</f>
        <v>0</v>
      </c>
      <c r="Z8" s="156">
        <f>'CCCM Dashboard'!K22</f>
        <v>0</v>
      </c>
      <c r="AA8" s="157">
        <f ca="1">'Shelter Coverage &amp; Gaps'!G23</f>
        <v>0</v>
      </c>
      <c r="AB8" s="157">
        <v>0</v>
      </c>
      <c r="AC8" s="157">
        <v>0</v>
      </c>
      <c r="AD8" s="88">
        <v>0</v>
      </c>
      <c r="AE8" s="158">
        <f t="shared" si="0"/>
        <v>205</v>
      </c>
      <c r="AF8" s="159">
        <f t="shared" si="1"/>
        <v>243</v>
      </c>
      <c r="AG8" s="160">
        <v>1</v>
      </c>
      <c r="CT8" s="5"/>
      <c r="CU8" s="5"/>
      <c r="CV8" s="5"/>
      <c r="CW8" s="5"/>
      <c r="CX8" s="5"/>
      <c r="CY8" s="5"/>
      <c r="CZ8" s="5"/>
      <c r="DA8" s="5"/>
      <c r="DB8" s="5"/>
      <c r="DC8" s="5"/>
      <c r="DD8" s="5"/>
      <c r="DE8" s="5"/>
      <c r="DF8" s="5"/>
      <c r="DG8" s="5"/>
      <c r="DH8" s="5"/>
    </row>
    <row r="9" spans="15:112" ht="15">
      <c r="O9" s="21"/>
      <c r="P9" s="21"/>
      <c r="T9" s="161" t="s">
        <v>738</v>
      </c>
      <c r="U9" s="156" t="str">
        <f>'CCCM Dashboard'!H23</f>
        <v>Pauktaw</v>
      </c>
      <c r="V9" s="91">
        <v>93.15</v>
      </c>
      <c r="W9" s="93">
        <v>19.984999999999999</v>
      </c>
      <c r="X9" s="156">
        <f>'CCCM Dashboard'!I23</f>
        <v>4031</v>
      </c>
      <c r="Y9" s="156">
        <f>'CCCM Dashboard'!J23</f>
        <v>15429</v>
      </c>
      <c r="Z9" s="156">
        <f>'CCCM Dashboard'!K23</f>
        <v>4</v>
      </c>
      <c r="AA9" s="157">
        <f ca="1">'Shelter Coverage &amp; Gaps'!G24</f>
        <v>0.92979971677119166</v>
      </c>
      <c r="AB9" s="157">
        <v>0</v>
      </c>
      <c r="AC9" s="157">
        <v>0</v>
      </c>
      <c r="AD9" s="88">
        <v>1</v>
      </c>
      <c r="AE9" s="158">
        <f t="shared" si="0"/>
        <v>354</v>
      </c>
      <c r="AF9" s="159">
        <f t="shared" si="1"/>
        <v>238</v>
      </c>
      <c r="AG9" s="160">
        <v>8</v>
      </c>
      <c r="CT9" s="5"/>
      <c r="CU9" s="5"/>
      <c r="CV9" s="5"/>
      <c r="CW9" s="5"/>
      <c r="CX9" s="5"/>
      <c r="CY9" s="5"/>
      <c r="CZ9" s="5"/>
      <c r="DA9" s="5"/>
      <c r="DB9" s="5"/>
      <c r="DC9" s="5"/>
      <c r="DD9" s="5"/>
      <c r="DE9" s="5"/>
      <c r="DF9" s="5"/>
      <c r="DG9" s="5"/>
      <c r="DH9" s="5"/>
    </row>
    <row r="10" spans="15:112" ht="15">
      <c r="O10" s="21"/>
      <c r="P10" s="21"/>
      <c r="T10" s="161"/>
      <c r="U10" s="156" t="str">
        <f>'CCCM Dashboard'!H24</f>
        <v>Ramree</v>
      </c>
      <c r="V10" s="91">
        <v>93.7</v>
      </c>
      <c r="W10" s="93">
        <v>19.033045977011483</v>
      </c>
      <c r="X10" s="156">
        <f>'CCCM Dashboard'!I24</f>
        <v>75</v>
      </c>
      <c r="Y10" s="156">
        <f>'CCCM Dashboard'!J24</f>
        <v>264</v>
      </c>
      <c r="Z10" s="156">
        <f>'CCCM Dashboard'!K24</f>
        <v>1</v>
      </c>
      <c r="AA10" s="157">
        <f ca="1">'Shelter Coverage &amp; Gaps'!G25</f>
        <v>1</v>
      </c>
      <c r="AB10" s="157"/>
      <c r="AC10" s="157"/>
      <c r="AD10" s="88"/>
      <c r="AE10" s="158">
        <f t="shared" si="0"/>
        <v>592</v>
      </c>
      <c r="AF10" s="159">
        <f t="shared" si="1"/>
        <v>375</v>
      </c>
      <c r="AG10" s="160">
        <v>1</v>
      </c>
      <c r="CT10" s="5"/>
      <c r="CU10" s="5"/>
      <c r="CV10" s="5"/>
      <c r="CW10" s="5"/>
      <c r="CX10" s="5"/>
      <c r="CY10" s="5"/>
      <c r="CZ10" s="5"/>
      <c r="DA10" s="5"/>
      <c r="DB10" s="5"/>
      <c r="DC10" s="5"/>
      <c r="DD10" s="5"/>
      <c r="DE10" s="5"/>
      <c r="DF10" s="5"/>
      <c r="DG10" s="5"/>
      <c r="DH10" s="5"/>
    </row>
    <row r="11" spans="15:112" ht="15">
      <c r="O11" s="21"/>
      <c r="P11" s="21"/>
      <c r="T11" s="155" t="s">
        <v>739</v>
      </c>
      <c r="U11" s="156" t="str">
        <f>'CCCM Dashboard'!H25</f>
        <v>Rathedaung</v>
      </c>
      <c r="V11" s="91">
        <v>92.74</v>
      </c>
      <c r="W11" s="93">
        <v>20.399999999999999</v>
      </c>
      <c r="X11" s="156">
        <f>'CCCM Dashboard'!I25</f>
        <v>661</v>
      </c>
      <c r="Y11" s="156">
        <f>'CCCM Dashboard'!J25</f>
        <v>3566</v>
      </c>
      <c r="Z11" s="156">
        <f>'CCCM Dashboard'!K25</f>
        <v>2</v>
      </c>
      <c r="AA11" s="157">
        <f ca="1">'Shelter Coverage &amp; Gaps'!G26</f>
        <v>0.56760374832663985</v>
      </c>
      <c r="AB11" s="157">
        <v>0</v>
      </c>
      <c r="AC11" s="157">
        <v>0</v>
      </c>
      <c r="AD11" s="88">
        <v>0</v>
      </c>
      <c r="AE11" s="158">
        <f t="shared" si="0"/>
        <v>250</v>
      </c>
      <c r="AF11" s="159">
        <f t="shared" si="1"/>
        <v>135</v>
      </c>
      <c r="AG11" s="160">
        <v>17</v>
      </c>
      <c r="CT11" s="5"/>
      <c r="CU11" s="5"/>
      <c r="CV11" s="5"/>
      <c r="CW11" s="5"/>
      <c r="CX11" s="5"/>
      <c r="CY11" s="5"/>
      <c r="CZ11" s="5"/>
      <c r="DA11" s="5"/>
      <c r="DB11" s="5"/>
      <c r="DC11" s="5"/>
      <c r="DD11" s="5"/>
      <c r="DE11" s="5"/>
      <c r="DF11" s="5"/>
      <c r="DG11" s="5"/>
      <c r="DH11" s="5"/>
    </row>
    <row r="12" spans="15:112" ht="15.75" thickBot="1">
      <c r="O12" s="21"/>
      <c r="P12" s="21"/>
      <c r="T12" s="161" t="s">
        <v>740</v>
      </c>
      <c r="U12" s="156" t="str">
        <f>'CCCM Dashboard'!H26</f>
        <v>Sittwe</v>
      </c>
      <c r="V12" s="92">
        <v>92.7</v>
      </c>
      <c r="W12" s="94">
        <v>20.11</v>
      </c>
      <c r="X12" s="156">
        <f>'CCCM Dashboard'!I26</f>
        <v>17661</v>
      </c>
      <c r="Y12" s="156">
        <f>'CCCM Dashboard'!J26</f>
        <v>94156</v>
      </c>
      <c r="Z12" s="156">
        <f>'CCCM Dashboard'!K26</f>
        <v>11</v>
      </c>
      <c r="AA12" s="157">
        <f ca="1">'Shelter Coverage &amp; Gaps'!G27</f>
        <v>0.80470055522613337</v>
      </c>
      <c r="AB12" s="157">
        <v>0</v>
      </c>
      <c r="AC12" s="157">
        <v>0</v>
      </c>
      <c r="AD12" s="88">
        <v>0</v>
      </c>
      <c r="AE12" s="158">
        <f t="shared" si="0"/>
        <v>322</v>
      </c>
      <c r="AF12" s="159">
        <f t="shared" si="1"/>
        <v>125</v>
      </c>
      <c r="AG12" s="160">
        <v>4</v>
      </c>
      <c r="CT12" s="5"/>
      <c r="CU12" s="5"/>
      <c r="CV12" s="5"/>
      <c r="CW12" s="5"/>
      <c r="CX12" s="5"/>
      <c r="CY12" s="5"/>
      <c r="CZ12" s="5"/>
      <c r="DA12" s="5"/>
      <c r="DB12" s="5"/>
      <c r="DC12" s="5"/>
      <c r="DD12" s="5"/>
      <c r="DE12" s="5"/>
      <c r="DF12" s="5"/>
      <c r="DG12" s="5"/>
      <c r="DH12" s="5"/>
    </row>
    <row r="13" spans="15:112" ht="15">
      <c r="O13" s="21"/>
      <c r="P13" s="21"/>
      <c r="T13" s="155"/>
      <c r="U13" s="156" t="s">
        <v>7</v>
      </c>
      <c r="V13" s="161">
        <v>94</v>
      </c>
      <c r="W13" s="156">
        <v>20</v>
      </c>
      <c r="X13" s="160">
        <f>SUBTOTAL(109,X3:X12)</f>
        <v>23948</v>
      </c>
      <c r="Y13" s="160">
        <f>SUBTOTAL(109,Y3:Y12)</f>
        <v>119862</v>
      </c>
      <c r="Z13" s="160">
        <f>SUBTOTAL(109,Z3:Z12)</f>
        <v>22</v>
      </c>
      <c r="AA13" s="160"/>
      <c r="AB13" s="160"/>
      <c r="AC13" s="160"/>
      <c r="AD13" s="160"/>
      <c r="AE13" s="158">
        <f>$S$3-ROUND((W13-$S$1)*$S$5,0)</f>
        <v>350</v>
      </c>
      <c r="AF13" s="159">
        <f>ROUND((V13-$S$2)*$S$5,0)+$S$4</f>
        <v>450</v>
      </c>
      <c r="AG13" s="160">
        <f>SUBTOTAL(109,AG3:AG12)</f>
        <v>76</v>
      </c>
      <c r="CT13" s="5"/>
      <c r="CU13" s="5"/>
      <c r="CV13" s="5"/>
      <c r="CW13" s="5"/>
      <c r="CX13" s="5"/>
      <c r="CY13" s="5"/>
      <c r="CZ13" s="5"/>
      <c r="DA13" s="5"/>
      <c r="DB13" s="5"/>
      <c r="DC13" s="5"/>
      <c r="DD13" s="5"/>
      <c r="DE13" s="5"/>
      <c r="DF13" s="5"/>
      <c r="DG13" s="5"/>
      <c r="DH13" s="5"/>
    </row>
    <row r="14" spans="15:112" ht="15">
      <c r="O14" s="21"/>
      <c r="P14" s="21"/>
      <c r="CT14" s="5"/>
      <c r="CU14" s="5"/>
      <c r="CV14" s="5"/>
      <c r="CW14" s="5"/>
      <c r="CX14" s="5"/>
      <c r="CY14" s="5"/>
      <c r="CZ14" s="5"/>
      <c r="DA14" s="5"/>
      <c r="DB14" s="5"/>
      <c r="DC14" s="5"/>
      <c r="DD14" s="5"/>
      <c r="DE14" s="5"/>
      <c r="DF14" s="5"/>
      <c r="DG14" s="5"/>
      <c r="DH14" s="5"/>
    </row>
    <row r="15" spans="15:112" ht="15">
      <c r="O15" s="21"/>
      <c r="P15" s="21"/>
      <c r="CT15" s="5"/>
      <c r="CU15" s="5"/>
      <c r="CV15" s="5"/>
      <c r="CW15" s="5"/>
      <c r="CX15" s="5"/>
      <c r="CY15" s="5"/>
      <c r="CZ15" s="5"/>
      <c r="DA15" s="5"/>
      <c r="DB15" s="5"/>
      <c r="DC15" s="5"/>
      <c r="DD15" s="5"/>
      <c r="DE15" s="5"/>
      <c r="DF15" s="5"/>
      <c r="DG15" s="5"/>
      <c r="DH15" s="5"/>
    </row>
    <row r="16" spans="15:112" ht="15">
      <c r="O16" s="21"/>
      <c r="P16" s="21"/>
      <c r="CT16" s="5"/>
      <c r="CU16" s="5"/>
      <c r="CV16" s="5"/>
      <c r="CW16" s="5"/>
      <c r="CX16" s="5"/>
      <c r="CY16" s="5"/>
      <c r="CZ16" s="5"/>
      <c r="DA16" s="5"/>
      <c r="DB16" s="5"/>
      <c r="DC16" s="5"/>
      <c r="DD16" s="5"/>
      <c r="DE16" s="5"/>
      <c r="DF16" s="5"/>
      <c r="DG16" s="5"/>
      <c r="DH16" s="5"/>
    </row>
    <row r="17" spans="1:112" ht="15">
      <c r="O17" s="21"/>
      <c r="P17" s="21"/>
      <c r="CT17" s="5"/>
      <c r="CU17" s="5"/>
      <c r="CV17" s="5"/>
      <c r="CW17" s="5"/>
      <c r="CX17" s="5"/>
      <c r="CY17" s="5"/>
      <c r="CZ17" s="5"/>
      <c r="DA17" s="5"/>
      <c r="DB17" s="5"/>
      <c r="DC17" s="5"/>
      <c r="DD17" s="5"/>
      <c r="DE17" s="5"/>
      <c r="DF17" s="5"/>
      <c r="DG17" s="5"/>
      <c r="DH17" s="5"/>
    </row>
    <row r="18" spans="1:112" ht="15">
      <c r="O18" s="21"/>
      <c r="P18" s="21"/>
      <c r="CT18" s="5"/>
      <c r="CU18" s="5"/>
      <c r="CV18" s="5"/>
      <c r="CW18" s="5"/>
      <c r="CX18" s="5"/>
      <c r="CY18" s="5"/>
      <c r="CZ18" s="5"/>
      <c r="DA18" s="5"/>
      <c r="DB18" s="5"/>
      <c r="DC18" s="5"/>
      <c r="DD18" s="5"/>
      <c r="DE18" s="5"/>
      <c r="DF18" s="5"/>
      <c r="DG18" s="5"/>
      <c r="DH18" s="5"/>
    </row>
    <row r="19" spans="1:112" ht="15">
      <c r="O19" s="21"/>
      <c r="P19" s="21"/>
      <c r="CT19" s="5"/>
      <c r="CU19" s="5"/>
      <c r="CV19" s="5"/>
      <c r="CW19" s="5"/>
      <c r="CX19" s="5"/>
      <c r="CY19" s="5"/>
      <c r="CZ19" s="5"/>
      <c r="DA19" s="5"/>
      <c r="DB19" s="5"/>
      <c r="DC19" s="5"/>
      <c r="DD19" s="5"/>
      <c r="DE19" s="5"/>
      <c r="DF19" s="5"/>
      <c r="DG19" s="5"/>
      <c r="DH19" s="5"/>
    </row>
    <row r="20" spans="1:112" ht="15">
      <c r="O20" s="21"/>
      <c r="P20" s="21"/>
      <c r="CT20" s="5"/>
      <c r="CU20" s="5"/>
      <c r="CV20" s="5"/>
      <c r="CW20" s="5"/>
      <c r="CX20" s="5"/>
      <c r="CY20" s="5"/>
      <c r="CZ20" s="5"/>
      <c r="DA20" s="5"/>
      <c r="DB20" s="5"/>
      <c r="DC20" s="5"/>
      <c r="DD20" s="5"/>
      <c r="DE20" s="5"/>
      <c r="DF20" s="5"/>
      <c r="DG20" s="5"/>
      <c r="DH20" s="5"/>
    </row>
    <row r="21" spans="1:112" ht="15">
      <c r="DA21" s="87"/>
      <c r="DB21" s="88"/>
      <c r="DC21" s="88"/>
      <c r="DD21" s="88"/>
      <c r="DE21" s="88"/>
    </row>
    <row r="22" spans="1:112" ht="15">
      <c r="A22" s="164"/>
      <c r="B22" s="164"/>
      <c r="C22" s="164"/>
      <c r="D22" s="164"/>
      <c r="E22" s="164"/>
      <c r="F22" s="164"/>
      <c r="G22" s="164"/>
      <c r="H22" s="164"/>
      <c r="I22" s="164"/>
      <c r="J22" s="164"/>
      <c r="K22" s="164"/>
      <c r="L22" s="164"/>
      <c r="M22" s="164"/>
      <c r="N22" s="165"/>
      <c r="DA22" s="87"/>
      <c r="DB22" s="88"/>
      <c r="DC22" s="88"/>
      <c r="DD22" s="88"/>
      <c r="DE22" s="88"/>
    </row>
    <row r="23" spans="1:112" ht="15">
      <c r="A23" s="156"/>
      <c r="B23" s="156"/>
      <c r="C23" s="162"/>
      <c r="D23" s="162"/>
      <c r="E23" s="163"/>
      <c r="F23" s="163"/>
      <c r="G23" s="164"/>
      <c r="H23" s="164"/>
      <c r="I23" s="164"/>
      <c r="J23" s="164"/>
      <c r="K23" s="164"/>
      <c r="L23" s="164"/>
      <c r="M23" s="164"/>
      <c r="N23" s="165"/>
      <c r="DA23" s="87"/>
      <c r="DB23" s="88"/>
      <c r="DC23" s="88"/>
      <c r="DD23" s="88"/>
      <c r="DE23" s="88"/>
    </row>
    <row r="24" spans="1:112" ht="15">
      <c r="G24" s="164"/>
      <c r="H24" s="164"/>
      <c r="I24" s="164"/>
      <c r="J24" s="164"/>
      <c r="K24" s="164"/>
      <c r="L24" s="164"/>
      <c r="DA24" s="87"/>
      <c r="DE24" s="1"/>
      <c r="DF24" s="65"/>
    </row>
    <row r="25" spans="1:112" ht="15">
      <c r="DA25" s="87"/>
      <c r="DE25" s="1"/>
      <c r="DF25" s="65"/>
    </row>
    <row r="26" spans="1:112" ht="15">
      <c r="P26" s="97"/>
      <c r="Q26" s="97"/>
      <c r="DA26" s="87"/>
      <c r="DE26" s="1"/>
      <c r="DF26" s="65"/>
    </row>
    <row r="27" spans="1:112" s="21"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87"/>
      <c r="DE27" s="1"/>
      <c r="DF27" s="65"/>
    </row>
    <row r="28" spans="1:112" s="21"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87"/>
      <c r="DE28" s="1"/>
      <c r="DF28" s="65"/>
    </row>
    <row r="29" spans="1:112" s="21"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87"/>
      <c r="DE29" s="1"/>
      <c r="DF29" s="65"/>
    </row>
    <row r="30" spans="1:112" s="21"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87"/>
      <c r="DE30" s="1"/>
      <c r="DF30" s="65"/>
    </row>
    <row r="31" spans="1:112" s="21"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87"/>
      <c r="DE31" s="1"/>
      <c r="DF31" s="65"/>
    </row>
    <row r="32" spans="1:112" s="21"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65"/>
    </row>
    <row r="33" spans="1:111" s="21"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65"/>
    </row>
    <row r="34" spans="1:111" s="21"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65"/>
    </row>
    <row r="35" spans="1:111" s="21"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65"/>
    </row>
    <row r="36" spans="1:111" s="21"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65"/>
    </row>
    <row r="37" spans="1:111" s="21"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65"/>
    </row>
    <row r="38" spans="1:111" s="21"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65"/>
    </row>
    <row r="39" spans="1:111" s="21"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65"/>
    </row>
    <row r="40" spans="1:111" s="21"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65"/>
    </row>
    <row r="41" spans="1:111" s="21"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65"/>
    </row>
    <row r="42" spans="1:111" s="21"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65"/>
    </row>
    <row r="43" spans="1:111" s="21"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65"/>
    </row>
    <row r="44" spans="1:111" s="21"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65"/>
    </row>
    <row r="45" spans="1:111" s="21"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65"/>
    </row>
    <row r="46" spans="1:111" s="21"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65"/>
      <c r="DG46" s="65"/>
    </row>
    <row r="47" spans="1:111" s="21"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65"/>
      <c r="DG47" s="65"/>
    </row>
    <row r="48" spans="1:111" s="21"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65"/>
      <c r="DG48" s="65"/>
    </row>
    <row r="49" spans="1:111" s="21"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65"/>
      <c r="DG49" s="65"/>
    </row>
    <row r="50" spans="1:111" s="21"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65"/>
      <c r="DG50" s="65"/>
    </row>
    <row r="51" spans="1:111" s="21"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65"/>
      <c r="DG51" s="65"/>
    </row>
    <row r="52" spans="1:111" s="21"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65"/>
      <c r="DG52" s="65"/>
    </row>
  </sheetData>
  <conditionalFormatting sqref="AA3:AD12">
    <cfRule type="cellIs" dxfId="1081" priority="1" operator="between">
      <formula>0.4</formula>
      <formula>0.6</formula>
    </cfRule>
    <cfRule type="cellIs" dxfId="1080" priority="2" operator="greaterThan">
      <formula>0.8</formula>
    </cfRule>
    <cfRule type="cellIs" dxfId="1079" priority="3" operator="between">
      <formula>0.6</formula>
      <formula>0.8</formula>
    </cfRule>
    <cfRule type="cellIs" dxfId="1078" priority="4" operator="between">
      <formula>0.2</formula>
      <formula>0.4</formula>
    </cfRule>
    <cfRule type="cellIs" dxfId="1077"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0.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1.xml>��< ? x m l   v e r s i o n = " 1 . 0 "   e n c o d i n g = " U T F - 1 6 " ? > < G e m i n i   x m l n s = " h t t p : / / g e m i n i / w o r k b o o k c u s t o m i z a t i o n / R e l a t i o n s h i p A u t o D e t e c t i o n E n a b l e d " > < C u s t o m C o n t e n t > < ! [ C D A T A [ T r u e ] ] > < / C u s t o m C o n t e n t > < / G e m i n i > 
</file>

<file path=customXml/item1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6.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O r d e r " > < C u s t o m C o n t e n t > < ! [ C D A T A [ T a b l e _ C a m p L i s t , T a b l e _ S h e l t e r ] ] > < / C u s t o m C o n t e n t > < / G e m i n i > 
</file>

<file path=customXml/item5.xml>��< ? x m l   v e r s i o n = " 1 . 0 "   e n c o d i n g = " U T F - 1 6 " ? > < G e m i n i   x m l n s = " h t t p : / / g e m i n i / p i v o t c u s t o m i z a t i o n / L i n k e d T a b l e U p d a t e M o d e " > < C u s t o m C o n t e n t > < ! [ C D A T A [ T r u e ] ] > < / C u s t o m C o n t e n t > < / G e m i n i > 
</file>

<file path=customXml/item6.xml>��< ? x m l   v e r s i o n = " 1 . 0 "   e n c o d i n g = " U T F - 1 6 " ? > < G e m i n i   x m l n s = " h t t p : / / g e m i n i / w o r k b o o k c u s t o m i z a t i o n / S a n d b o x N o n E m p t y " > < C u s t o m C o n t e n t > < ! [ C D A T A [ 1 ] ] > < / C u s t o m C o n t e n t > < / G e m i n i > 
</file>

<file path=customXml/item7.xml>��< ? x m l   v e r s i o n = " 1 . 0 "   e n c o d i n g = " U T F - 1 6 " ? > < G e m i n i   x m l n s = " h t t p : / / g e m i n i / p i v o t c u s t o m i z a t i o n / C l i e n t W i n d o w X M L " > < C u s t o m C o n t e n t > < ! [ C D A T A [ T a b l e _ C a m p L i s t ] ] > < / C u s t o m C o n t e n t > < / G e m i n i > 
</file>

<file path=customXml/item8.xml>��< ? x m l   v e r s i o n = " 1 . 0 "   e n c o d i n g = " U T F - 1 6 " ? > < G e m i n i   x m l n s = " h t t p : / / g e m i n i / p i v o t c u s t o m i z a t i o n / T a b l e C o u n t I n S a n d b o x " > < C u s t o m C o n t e n t > < ! [ C D A T A [ 2 ] ] > < / C u s t o m C o n t e n t > < / G e m i n i > 
</file>

<file path=customXml/item9.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Props1.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0.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1.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2.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3.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4.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6.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3.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4.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6.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7.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8.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9.xml><?xml version="1.0" encoding="utf-8"?>
<ds:datastoreItem xmlns:ds="http://schemas.openxmlformats.org/officeDocument/2006/customXml" ds:itemID="{BD47491D-A072-4E9A-9936-7CEEF1F17C78}">
  <ds:schemaRefs>
    <ds:schemaRef ds:uri="http://schemas.microsoft.com/office/2006/documentManagement/types"/>
    <ds:schemaRef ds:uri="http://purl.org/dc/terms/"/>
    <ds:schemaRef ds:uri="http://schemas.microsoft.com/office/2006/metadata/properties"/>
    <ds:schemaRef ds:uri="http://schemas.microsoft.com/sharepoint/v3"/>
    <ds:schemaRef ds:uri="http://schemas.microsoft.com/office/infopath/2007/PartnerControls"/>
    <ds:schemaRef ds:uri="http://www.w3.org/XML/1998/namespace"/>
    <ds:schemaRef ds:uri="http://purl.org/dc/dcmitype/"/>
    <ds:schemaRef ds:uri="410da107-b4b9-4416-82f0-a17ea7b4313c"/>
    <ds:schemaRef ds:uri="http://schemas.openxmlformats.org/package/2006/metadata/core-properties"/>
    <ds:schemaRef ds:uri="http://purl.org/dc/elements/1.1/"/>
    <ds:schemaRef ds:uri="44d82dea-fc32-4e1e-a3c6-c3136ef66f65"/>
    <ds:schemaRef ds:uri="c2760211-3e43-4ff7-a9ea-22e8b7d99117"/>
    <ds:schemaRef ds:uri="96664bca-06c0-4657-b6f9-0a997f5ff9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96</vt:i4>
      </vt:variant>
    </vt:vector>
  </HeadingPairs>
  <TitlesOfParts>
    <vt:vector size="124" baseType="lpstr">
      <vt:lpstr>File_details</vt:lpstr>
      <vt:lpstr>Home</vt:lpstr>
      <vt:lpstr>Definition_TCL</vt:lpstr>
      <vt:lpstr>Definition</vt:lpstr>
      <vt:lpstr>Key CCCM Definitions</vt:lpstr>
      <vt:lpstr>Camp List</vt:lpstr>
      <vt:lpstr>ReturntoIH</vt:lpstr>
      <vt:lpstr>CCCM Dashboard</vt:lpstr>
      <vt:lpstr>Map</vt:lpstr>
      <vt:lpstr>Age-Sex Breakdown per Camp</vt:lpstr>
      <vt:lpstr>Vulnerability per Camp</vt:lpstr>
      <vt:lpstr>Camp Analysis</vt:lpstr>
      <vt:lpstr>Camp List (printable) </vt:lpstr>
      <vt:lpstr>Camp Management-Focal Point</vt:lpstr>
      <vt:lpstr>Displacement Areas</vt:lpstr>
      <vt:lpstr>Camp_Profile</vt:lpstr>
      <vt:lpstr>Shelter Tracking</vt:lpstr>
      <vt:lpstr>Camp Infrastructure</vt:lpstr>
      <vt:lpstr>Shelter Progress</vt:lpstr>
      <vt:lpstr>Shelter Summary (by agency)</vt:lpstr>
      <vt:lpstr>Shelter Coverage &amp; Gaps</vt:lpstr>
      <vt:lpstr>NFI Tracking</vt:lpstr>
      <vt:lpstr>NFI Pipeline</vt:lpstr>
      <vt:lpstr>analysis</vt:lpstr>
      <vt:lpstr>NFI Distribution (by Tship)</vt:lpstr>
      <vt:lpstr>NFI Summary</vt:lpstr>
      <vt:lpstr>Sheet1</vt:lpstr>
      <vt:lpstr>Sheet2</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2016-06-28T04:58:55Z</cp:lastPrinted>
  <dcterms:created xsi:type="dcterms:W3CDTF">2013-03-18T02:36:38Z</dcterms:created>
  <dcterms:modified xsi:type="dcterms:W3CDTF">2016-06-28T08:11:38Z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