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ropbox (Global Protection Cluster)\MYAYA_IMO\Rakhine\Cluster Report\2017\Mar\"/>
    </mc:Choice>
  </mc:AlternateContent>
  <bookViews>
    <workbookView xWindow="0" yWindow="0" windowWidth="25200" windowHeight="11985" tabRatio="838" firstSheet="1" activeTab="8"/>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Tracking'!$A$5:$P$302</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leaning_Kit_Bucket_Sanitarypad_broom_Track">'NFI Tracking'!#REF!</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Tracking'!$AH:$AH</definedName>
    <definedName name="NFI_Blanket_Pipeline">'NFI Pipeline'!$Y:$Y</definedName>
    <definedName name="NFI_Blanket_Stock">'NFI Pipeline'!$X:$X</definedName>
    <definedName name="NFI_Blanket_Track">'NFI Tracking'!$AB:$AB</definedName>
    <definedName name="NFI_CampStatus">'NFI Tracking'!$AL:$AL</definedName>
    <definedName name="NFI_Children_Clothes_Track">'NFI Tracking'!$AI:$AI</definedName>
    <definedName name="NFI_Complementary_Pipeline">'NFI Pipeline'!$AE:$AE</definedName>
    <definedName name="NFI_Complementary_Stock">'NFI Pipeline'!$AD:$AD</definedName>
    <definedName name="NFI_Complementary_Track">'NFI Tracking'!$AD:$AD</definedName>
    <definedName name="NFI_Core_Pipeline">'NFI Pipeline'!$J:$J</definedName>
    <definedName name="NFI_Core_Stock">'NFI Pipeline'!$I:$I</definedName>
    <definedName name="NFI_Core_Track">'NFI Tracking'!$X:$X</definedName>
    <definedName name="NFI_Expiration">'NFI Tracking'!$J$1</definedName>
    <definedName name="NFI_Hygiene_Pipeline">'NFI Pipeline'!$G:$G</definedName>
    <definedName name="NFI_Hygiene_Stock">'NFI Pipeline'!$F:$F</definedName>
    <definedName name="NFI_Hygiene_Track">'NFI Tracking'!$W:$W</definedName>
    <definedName name="NFI_JerryCan_Pipeline">'NFI Pipeline'!$AN:$AN</definedName>
    <definedName name="NFI_JerryCan_Stock">'NFI Pipeline'!$AM:$AM</definedName>
    <definedName name="NFI_JerryCan_Track">'NFI Tracking'!$AF:$AF</definedName>
    <definedName name="NFI_Kitchen_Pipeline">'NFI Pipeline'!$AB:$AB</definedName>
    <definedName name="NFI_Kitchen_Stock">'NFI Pipeline'!$AA:$AA</definedName>
    <definedName name="NFI_Kitchen_Track">'NFI Tracking'!$AC:$AC</definedName>
    <definedName name="NFI_Month">'NFI Tracking'!$A:$A</definedName>
    <definedName name="NFI_Mosquito_Pipeline">'NFI Pipeline'!$S:$S</definedName>
    <definedName name="NFI_Mosquito_Stock">'NFI Pipeline'!$R:$R</definedName>
    <definedName name="NFI_Mosquito_Track">'NFI Tracking'!$Z:$Z</definedName>
    <definedName name="NFI_Org">'NFI Tracking'!$D:$D</definedName>
    <definedName name="NFI_Pipeline_State">'NFI Pipeline'!$D:$D</definedName>
    <definedName name="NFI_Pipeline_Township">'NFI Pipeline'!$E:$E</definedName>
    <definedName name="NFI_Plastic_Bucket_Pipeline">'NFI Pipeline'!$AH:$AH</definedName>
    <definedName name="NFI_Plastic_Bucket_Stock">'NFI Pipeline'!$AG:$AG</definedName>
    <definedName name="NFI_Plastic_Bucket_Track">'NFI Tracking'!$AE:$AE</definedName>
    <definedName name="NFI_Plastic_Mat_Pipeline">'NFI Pipeline'!$AK:$AK</definedName>
    <definedName name="NFI_Plastic_Mat_Stock">'NFI Pipeline'!$AJ:$AJ</definedName>
    <definedName name="NFI_Plastic_Mat_Track">'NFI Tracking'!$AG:$AG</definedName>
    <definedName name="NFI_Sanitary_Pipeline">'NFI Pipeline'!$M:$M</definedName>
    <definedName name="NFI_Sanitary_Stock">'NFI Pipeline'!$L:$L</definedName>
    <definedName name="NFI_Sanitary_Track">'NFI Tracking'!$Y:$Y</definedName>
    <definedName name="NFI_Sewing_Kit_Track">'NFI Tracking'!$AJ:$AJ</definedName>
    <definedName name="NFI_State">'NFI Tracking'!$F:$F</definedName>
    <definedName name="NFI_Tarpaulin_Pipeline">'NFI Pipeline'!$V:$V</definedName>
    <definedName name="NFI_Tarpaulin_Stock">'NFI Pipeline'!$U:$U</definedName>
    <definedName name="NFI_Tarpaulin_Track">'NFI Tracking'!$AA:$AA</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Dashboard'!$A$3:$Q$52</definedName>
    <definedName name="_xlnm.Print_Area" localSheetId="15">'Displacement Areas'!$B$3:$O$57</definedName>
    <definedName name="_xlnm.Print_Area" localSheetId="26">'NFI Distribution (by Tship)'!$A$2:$J$47</definedName>
    <definedName name="_xlnm.Print_Area" localSheetId="25">'NFI Pipeline'!$A$5:$AI$9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19" r:id="rId30"/>
    <pivotCache cacheId="21" r:id="rId31"/>
    <pivotCache cacheId="22" r:id="rId32"/>
    <pivotCache cacheId="140" r:id="rId33"/>
    <pivotCache cacheId="146" r:id="rId34"/>
    <pivotCache cacheId="150" r:id="rId35"/>
    <pivotCache cacheId="167"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M34" i="91" l="1"/>
  <c r="M33" i="91"/>
  <c r="M31" i="91"/>
  <c r="M30" i="91"/>
  <c r="M29" i="91"/>
  <c r="M27" i="91"/>
  <c r="M26" i="91"/>
  <c r="M67" i="91"/>
  <c r="M66" i="91"/>
  <c r="M65" i="91"/>
  <c r="M64" i="91"/>
  <c r="M61" i="91"/>
  <c r="M60" i="91"/>
  <c r="M59" i="91"/>
  <c r="M58" i="91"/>
  <c r="M56" i="91"/>
  <c r="M55" i="91"/>
  <c r="M54" i="91"/>
  <c r="M53" i="91"/>
  <c r="M52" i="91"/>
  <c r="M51" i="91"/>
  <c r="M50" i="91"/>
  <c r="M47" i="91"/>
  <c r="M46" i="91"/>
  <c r="M45" i="91"/>
  <c r="M44" i="91"/>
  <c r="M41" i="91"/>
  <c r="M40" i="91"/>
  <c r="M39" i="91"/>
  <c r="M38" i="91"/>
  <c r="M37" i="91"/>
  <c r="M36" i="91"/>
  <c r="M35" i="91"/>
  <c r="M28" i="91"/>
  <c r="L67" i="91"/>
  <c r="L66" i="91"/>
  <c r="L65" i="91"/>
  <c r="L64" i="91"/>
  <c r="K65" i="91"/>
  <c r="K67" i="91"/>
  <c r="K66" i="91"/>
  <c r="K64" i="91"/>
  <c r="K16" i="91"/>
  <c r="K15" i="91"/>
  <c r="K14" i="91"/>
  <c r="K13" i="91"/>
  <c r="K12" i="91"/>
  <c r="K11" i="91"/>
  <c r="K29" i="91"/>
  <c r="K28" i="91"/>
  <c r="K27" i="91"/>
  <c r="K26" i="91"/>
  <c r="J67" i="91"/>
  <c r="J66" i="91"/>
  <c r="J65" i="91"/>
  <c r="J64" i="91"/>
  <c r="J61" i="91"/>
  <c r="J60" i="91"/>
  <c r="J59" i="91"/>
  <c r="J58" i="91"/>
  <c r="J55" i="91"/>
  <c r="J54" i="91"/>
  <c r="J53" i="91"/>
  <c r="J52" i="91"/>
  <c r="J51" i="91"/>
  <c r="J50" i="91"/>
  <c r="J47" i="91"/>
  <c r="J46" i="91"/>
  <c r="J45" i="91"/>
  <c r="J44" i="91"/>
  <c r="J41" i="91"/>
  <c r="J40" i="91"/>
  <c r="J39" i="91"/>
  <c r="J38" i="91"/>
  <c r="J37" i="91"/>
  <c r="J36" i="91"/>
  <c r="J35" i="91"/>
  <c r="J34" i="91"/>
  <c r="J31" i="91"/>
  <c r="J30" i="91"/>
  <c r="J29" i="91"/>
  <c r="J28" i="91"/>
  <c r="J27" i="91"/>
  <c r="J26" i="91"/>
  <c r="I67" i="91"/>
  <c r="I66" i="91"/>
  <c r="I65" i="91"/>
  <c r="I64" i="91"/>
  <c r="I61" i="91"/>
  <c r="I60" i="91"/>
  <c r="I59" i="91"/>
  <c r="I58" i="91"/>
  <c r="I55" i="91"/>
  <c r="I54" i="91"/>
  <c r="I53" i="91"/>
  <c r="I52" i="91"/>
  <c r="I51" i="91"/>
  <c r="I50" i="91"/>
  <c r="I47" i="91"/>
  <c r="I46" i="91"/>
  <c r="I45" i="91"/>
  <c r="I44" i="91"/>
  <c r="I41" i="91"/>
  <c r="I40" i="91"/>
  <c r="I39" i="91"/>
  <c r="I38" i="91"/>
  <c r="I37" i="91"/>
  <c r="I36" i="91"/>
  <c r="I35" i="91"/>
  <c r="I34" i="91"/>
  <c r="I31" i="91"/>
  <c r="I30" i="91"/>
  <c r="I29" i="91"/>
  <c r="I28" i="91"/>
  <c r="I27" i="91"/>
  <c r="I26" i="91"/>
  <c r="H67" i="91"/>
  <c r="H66" i="91"/>
  <c r="H65" i="91"/>
  <c r="H64" i="91"/>
  <c r="G67" i="91"/>
  <c r="G66" i="91"/>
  <c r="G65" i="91"/>
  <c r="G64" i="91"/>
  <c r="F67" i="91"/>
  <c r="F66" i="91"/>
  <c r="F65" i="91"/>
  <c r="F64" i="91"/>
  <c r="E67" i="91"/>
  <c r="D67" i="91"/>
  <c r="E66" i="91"/>
  <c r="E64" i="91"/>
  <c r="E61" i="91"/>
  <c r="E60" i="91"/>
  <c r="E59" i="91"/>
  <c r="E58" i="91"/>
  <c r="E55" i="91"/>
  <c r="E54" i="91"/>
  <c r="E53" i="91"/>
  <c r="E52" i="91"/>
  <c r="E51" i="91"/>
  <c r="E50" i="91"/>
  <c r="E47" i="91"/>
  <c r="E46" i="91"/>
  <c r="E45" i="91"/>
  <c r="E44" i="91"/>
  <c r="E41" i="91"/>
  <c r="E40" i="91"/>
  <c r="E39" i="91"/>
  <c r="E38" i="91"/>
  <c r="E37" i="91"/>
  <c r="E36" i="91"/>
  <c r="E35" i="91"/>
  <c r="E34" i="91"/>
  <c r="E31" i="91"/>
  <c r="E30" i="91"/>
  <c r="E29" i="91"/>
  <c r="E28" i="91"/>
  <c r="E27" i="91"/>
  <c r="E26" i="91"/>
  <c r="D66" i="91"/>
  <c r="D65" i="91"/>
  <c r="D64" i="91"/>
  <c r="D61" i="91"/>
  <c r="D60" i="91"/>
  <c r="D59" i="91"/>
  <c r="D58" i="91"/>
  <c r="D55" i="91"/>
  <c r="D54" i="91"/>
  <c r="D53" i="91"/>
  <c r="D52" i="91"/>
  <c r="D51" i="91"/>
  <c r="D50" i="91"/>
  <c r="D47" i="91"/>
  <c r="D46" i="91"/>
  <c r="D45" i="91"/>
  <c r="D44" i="91"/>
  <c r="D41" i="91"/>
  <c r="D40" i="91"/>
  <c r="D39" i="91"/>
  <c r="D38" i="91"/>
  <c r="D37" i="91"/>
  <c r="D36" i="91"/>
  <c r="D35" i="91"/>
  <c r="D31" i="91"/>
  <c r="D30" i="91"/>
  <c r="D29" i="91"/>
  <c r="D28" i="91"/>
  <c r="D27" i="91"/>
  <c r="D26" i="91"/>
  <c r="C61" i="91"/>
  <c r="C60" i="91"/>
  <c r="C59" i="91"/>
  <c r="C58" i="91"/>
  <c r="C55" i="91"/>
  <c r="C54" i="91"/>
  <c r="C53" i="91"/>
  <c r="C52" i="91"/>
  <c r="C51" i="91"/>
  <c r="C50" i="91"/>
  <c r="C47" i="91"/>
  <c r="C46" i="91"/>
  <c r="C45" i="91"/>
  <c r="C44" i="91"/>
  <c r="C41" i="91"/>
  <c r="C40" i="91"/>
  <c r="C39" i="91"/>
  <c r="C38" i="91"/>
  <c r="C37" i="91"/>
  <c r="C36" i="91"/>
  <c r="C35" i="91"/>
  <c r="C34" i="91"/>
  <c r="C31" i="91"/>
  <c r="C30" i="91"/>
  <c r="C29" i="91"/>
  <c r="C28" i="91"/>
  <c r="C27" i="91"/>
  <c r="C26" i="91"/>
  <c r="C66" i="91"/>
  <c r="C67" i="91"/>
  <c r="B67" i="91"/>
  <c r="B66" i="91"/>
  <c r="B65" i="91"/>
  <c r="B64" i="91"/>
  <c r="B61" i="91"/>
  <c r="B60" i="91"/>
  <c r="B59" i="91"/>
  <c r="B58" i="91"/>
  <c r="B55" i="91"/>
  <c r="B54" i="91"/>
  <c r="B53" i="91"/>
  <c r="B52" i="91"/>
  <c r="B51" i="91"/>
  <c r="B50" i="91"/>
  <c r="B47" i="91"/>
  <c r="B46" i="91"/>
  <c r="B45" i="91"/>
  <c r="B44" i="91"/>
  <c r="B41" i="91"/>
  <c r="B40" i="91"/>
  <c r="B39" i="91"/>
  <c r="B38" i="91"/>
  <c r="B37" i="91"/>
  <c r="B36" i="91"/>
  <c r="B35" i="91"/>
  <c r="B34" i="91"/>
  <c r="B31" i="91"/>
  <c r="B30" i="91"/>
  <c r="B29" i="91"/>
  <c r="B28" i="91"/>
  <c r="B27" i="91"/>
  <c r="B26" i="91"/>
  <c r="J16" i="91"/>
  <c r="J15" i="91"/>
  <c r="J14" i="91"/>
  <c r="J13" i="91"/>
  <c r="J12" i="91"/>
  <c r="J11" i="91"/>
  <c r="I16" i="91"/>
  <c r="I15" i="91"/>
  <c r="I14" i="91"/>
  <c r="I13" i="91"/>
  <c r="I12" i="91"/>
  <c r="I11" i="91"/>
  <c r="B11" i="91"/>
  <c r="B12" i="91"/>
  <c r="B13" i="91"/>
  <c r="B14" i="91"/>
  <c r="B15" i="91"/>
  <c r="B16" i="91"/>
  <c r="C11" i="91"/>
  <c r="C12" i="91"/>
  <c r="C13" i="91"/>
  <c r="C14" i="91"/>
  <c r="C15" i="91"/>
  <c r="C16" i="91"/>
  <c r="D11" i="91"/>
  <c r="D12" i="91"/>
  <c r="D13" i="91"/>
  <c r="D14" i="91"/>
  <c r="D15" i="91"/>
  <c r="D16" i="91"/>
  <c r="E11" i="91"/>
  <c r="E12" i="91"/>
  <c r="E13" i="91"/>
  <c r="E14" i="91"/>
  <c r="E15" i="91"/>
  <c r="E16" i="91"/>
  <c r="M16" i="91"/>
  <c r="M15" i="91"/>
  <c r="M14" i="91"/>
  <c r="M13" i="91"/>
  <c r="M12" i="91"/>
  <c r="M11" i="91"/>
  <c r="M17" i="91" l="1"/>
  <c r="D17" i="91"/>
  <c r="C17" i="91"/>
  <c r="B17" i="91"/>
  <c r="M42" i="91"/>
  <c r="D56" i="91"/>
  <c r="J56" i="91"/>
  <c r="J42" i="91"/>
  <c r="K68" i="91"/>
  <c r="E56" i="91"/>
  <c r="J48" i="91"/>
  <c r="B68" i="91"/>
  <c r="I42" i="91"/>
  <c r="I62" i="91"/>
  <c r="J32" i="91"/>
  <c r="J62" i="91"/>
  <c r="J68" i="91"/>
  <c r="M48" i="91"/>
  <c r="M32" i="91"/>
  <c r="E17" i="91"/>
  <c r="B48" i="91"/>
  <c r="M62" i="91"/>
  <c r="M68" i="91"/>
  <c r="I17" i="91"/>
  <c r="J17" i="91"/>
  <c r="B32" i="91"/>
  <c r="S142" i="19"/>
  <c r="D7" i="36"/>
  <c r="C62" i="37"/>
  <c r="B61" i="37"/>
  <c r="M69" i="91" l="1"/>
  <c r="P37" i="74"/>
  <c r="P39" i="74"/>
  <c r="P38" i="74"/>
  <c r="P42" i="74"/>
  <c r="P43" i="74"/>
  <c r="P36" i="74"/>
  <c r="P41" i="74"/>
  <c r="P40" i="74"/>
  <c r="A68" i="37" l="1"/>
  <c r="A67" i="37"/>
  <c r="A66" i="37"/>
  <c r="A65" i="37"/>
  <c r="A63" i="37"/>
  <c r="A62" i="37"/>
  <c r="A61" i="37"/>
  <c r="A60" i="37"/>
  <c r="A59" i="37"/>
  <c r="A58" i="37"/>
  <c r="B7" i="20"/>
  <c r="A6" i="20"/>
  <c r="B6" i="20"/>
  <c r="AK6" i="20"/>
  <c r="AL6" i="20"/>
  <c r="A8" i="20"/>
  <c r="B8" i="20"/>
  <c r="AK8" i="20"/>
  <c r="AL8" i="20"/>
  <c r="A9" i="20"/>
  <c r="B9" i="20"/>
  <c r="AK9" i="20"/>
  <c r="AL9" i="20"/>
  <c r="B20" i="20"/>
  <c r="B16" i="20"/>
  <c r="B11" i="20"/>
  <c r="B12" i="20"/>
  <c r="B13" i="20"/>
  <c r="B29" i="20"/>
  <c r="A10" i="20"/>
  <c r="A11" i="20"/>
  <c r="B10" i="20"/>
  <c r="AK10" i="20"/>
  <c r="AK11" i="20"/>
  <c r="AL10" i="20"/>
  <c r="AL11" i="20"/>
  <c r="F46" i="37"/>
  <c r="J62" i="37"/>
  <c r="L62" i="37"/>
  <c r="D46" i="37"/>
  <c r="L68" i="37"/>
  <c r="F47" i="37"/>
  <c r="L44" i="37"/>
  <c r="B47" i="37"/>
  <c r="J44" i="37"/>
  <c r="D45" i="37"/>
  <c r="K45" i="37"/>
  <c r="B45" i="37"/>
  <c r="F62" i="37"/>
  <c r="C45" i="37"/>
  <c r="E68" i="37"/>
  <c r="E47" i="37"/>
  <c r="G44" i="37"/>
  <c r="F45" i="37"/>
  <c r="L46" i="37"/>
  <c r="G62" i="37"/>
  <c r="C68" i="37"/>
  <c r="H44" i="37"/>
  <c r="B44" i="37"/>
  <c r="E44" i="37"/>
  <c r="E48" i="37"/>
  <c r="E46" i="37"/>
  <c r="I46" i="37"/>
  <c r="H46" i="37"/>
  <c r="J46" i="37"/>
  <c r="K46" i="37"/>
  <c r="H62" i="37"/>
  <c r="M44" i="37"/>
  <c r="G47" i="37"/>
  <c r="K62" i="37"/>
  <c r="I62" i="37"/>
  <c r="K68" i="37"/>
  <c r="I45" i="37"/>
  <c r="C47" i="37"/>
  <c r="D68" i="37"/>
  <c r="I44" i="37"/>
  <c r="C44" i="37"/>
  <c r="L45" i="37"/>
  <c r="E45" i="37"/>
  <c r="F68" i="37"/>
  <c r="B46" i="37"/>
  <c r="I68" i="37"/>
  <c r="H45" i="37"/>
  <c r="H68" i="37"/>
  <c r="J45" i="37"/>
  <c r="M47" i="37"/>
  <c r="M45" i="37"/>
  <c r="G68" i="37"/>
  <c r="M62" i="37"/>
  <c r="C46" i="37"/>
  <c r="M68" i="37"/>
  <c r="G45" i="37"/>
  <c r="G46" i="37"/>
  <c r="B68" i="37"/>
  <c r="K47" i="37"/>
  <c r="J68" i="37"/>
  <c r="C50" i="37" l="1"/>
  <c r="I50" i="37"/>
  <c r="M50" i="37"/>
  <c r="E50" i="37"/>
  <c r="B50" i="37"/>
  <c r="H50" i="37"/>
  <c r="G50" i="37"/>
  <c r="J50" i="37"/>
  <c r="L50" i="37"/>
  <c r="A13" i="20"/>
  <c r="AK13" i="20"/>
  <c r="AL13" i="20"/>
  <c r="A12" i="20"/>
  <c r="AK12" i="20"/>
  <c r="AL12" i="20"/>
  <c r="A7" i="20"/>
  <c r="AK7" i="20"/>
  <c r="AL7" i="20"/>
  <c r="A57" i="37" l="1"/>
  <c r="A48" i="37"/>
  <c r="M60" i="37"/>
  <c r="H58" i="37"/>
  <c r="B57" i="37"/>
  <c r="D59" i="37"/>
  <c r="B60" i="37"/>
  <c r="E59" i="37"/>
  <c r="E60" i="37"/>
  <c r="C59" i="37"/>
  <c r="B58" i="37"/>
  <c r="G59" i="37"/>
  <c r="E58" i="37"/>
  <c r="G60" i="37"/>
  <c r="C65" i="37"/>
  <c r="E62" i="37"/>
  <c r="D62" i="37"/>
  <c r="I59" i="37"/>
  <c r="L67" i="37"/>
  <c r="F63" i="37"/>
  <c r="H59" i="37"/>
  <c r="K67" i="37"/>
  <c r="K60" i="37"/>
  <c r="I63" i="37"/>
  <c r="J59" i="37"/>
  <c r="B59" i="37"/>
  <c r="D44" i="37"/>
  <c r="G58" i="37"/>
  <c r="F44" i="37"/>
  <c r="D58" i="37"/>
  <c r="K44" i="37"/>
  <c r="J58" i="37"/>
  <c r="M8" i="43"/>
  <c r="K50" i="37" l="1"/>
  <c r="D69" i="37"/>
  <c r="F50" i="37"/>
  <c r="G69" i="37"/>
  <c r="D50" i="37"/>
  <c r="F69" i="37"/>
  <c r="I69" i="37"/>
  <c r="E69" i="37"/>
  <c r="C69" i="37"/>
  <c r="H69" i="37"/>
  <c r="M69" i="37"/>
  <c r="A14" i="20"/>
  <c r="A15" i="20"/>
  <c r="B14" i="20"/>
  <c r="B15" i="20"/>
  <c r="AK14" i="20"/>
  <c r="AK15" i="20"/>
  <c r="AL14" i="20"/>
  <c r="AL15" i="20"/>
  <c r="A16" i="20"/>
  <c r="AK16" i="20"/>
  <c r="AL16" i="20"/>
  <c r="M15" i="43"/>
  <c r="M16" i="43"/>
  <c r="M18" i="43"/>
  <c r="C65" i="91" l="1"/>
  <c r="E65" i="91"/>
  <c r="E68" i="91" s="1"/>
  <c r="C64" i="91"/>
  <c r="A17" i="91"/>
  <c r="F16" i="91"/>
  <c r="G16" i="91"/>
  <c r="H16" i="91"/>
  <c r="L16" i="91"/>
  <c r="A16" i="91"/>
  <c r="G68" i="91" l="1"/>
  <c r="C68" i="91"/>
  <c r="F68" i="91"/>
  <c r="I68" i="91"/>
  <c r="D68" i="91"/>
  <c r="L68" i="91"/>
  <c r="H68" i="91"/>
  <c r="A23" i="20"/>
  <c r="B23" i="20"/>
  <c r="AK23" i="20"/>
  <c r="AL23" i="20"/>
  <c r="A26" i="20"/>
  <c r="B26" i="20"/>
  <c r="AK26" i="20"/>
  <c r="AL26" i="20"/>
  <c r="A21" i="20"/>
  <c r="B21" i="20"/>
  <c r="AK21" i="20"/>
  <c r="AL21" i="20"/>
  <c r="A22" i="20"/>
  <c r="B22" i="20"/>
  <c r="AK22" i="20"/>
  <c r="AL22" i="20"/>
  <c r="A17" i="20"/>
  <c r="B17" i="20"/>
  <c r="AK17" i="20"/>
  <c r="AL17" i="20"/>
  <c r="A18" i="20"/>
  <c r="B18" i="20"/>
  <c r="AK18" i="20"/>
  <c r="AL18" i="20"/>
  <c r="A19" i="20"/>
  <c r="A24" i="20"/>
  <c r="B19" i="20"/>
  <c r="B24" i="20"/>
  <c r="AK19" i="20"/>
  <c r="AK24" i="20"/>
  <c r="AL19" i="20"/>
  <c r="AL24" i="20"/>
  <c r="A25" i="20"/>
  <c r="B25" i="20"/>
  <c r="AK25" i="20"/>
  <c r="AL25" i="20"/>
  <c r="A20" i="20" l="1"/>
  <c r="AK20" i="20"/>
  <c r="AL20" i="20"/>
  <c r="A27" i="20"/>
  <c r="AK27" i="20"/>
  <c r="AL27" i="20"/>
  <c r="H125" i="74"/>
  <c r="H186" i="74"/>
  <c r="H187" i="74"/>
  <c r="A32" i="20" l="1"/>
  <c r="AK32" i="20"/>
  <c r="AL32" i="20"/>
  <c r="A36" i="20"/>
  <c r="AK36" i="20"/>
  <c r="AL36" i="20"/>
  <c r="L27" i="91" l="1"/>
  <c r="L28" i="91"/>
  <c r="L29" i="91"/>
  <c r="L30" i="91"/>
  <c r="L31" i="91"/>
  <c r="L33" i="91"/>
  <c r="L34" i="91"/>
  <c r="L35" i="91"/>
  <c r="L36" i="91"/>
  <c r="L37" i="91"/>
  <c r="L38" i="91"/>
  <c r="L39" i="91"/>
  <c r="L40" i="91"/>
  <c r="L41" i="91"/>
  <c r="L44" i="91"/>
  <c r="L45" i="91"/>
  <c r="L46" i="91"/>
  <c r="L47" i="91"/>
  <c r="L50" i="91"/>
  <c r="L51" i="91"/>
  <c r="L52" i="91"/>
  <c r="L53" i="91"/>
  <c r="L54" i="91"/>
  <c r="L55" i="91"/>
  <c r="L56" i="91"/>
  <c r="L58" i="91"/>
  <c r="L59" i="91"/>
  <c r="L60" i="91"/>
  <c r="L61" i="91"/>
  <c r="L26" i="91"/>
  <c r="K33" i="91"/>
  <c r="K34" i="91"/>
  <c r="K35" i="91"/>
  <c r="K36" i="91"/>
  <c r="K37" i="91"/>
  <c r="K38" i="91"/>
  <c r="K39" i="91"/>
  <c r="K40" i="91"/>
  <c r="K41" i="91"/>
  <c r="K44" i="91"/>
  <c r="K45" i="91"/>
  <c r="K46" i="91"/>
  <c r="K47" i="91"/>
  <c r="K50" i="91"/>
  <c r="K51" i="91"/>
  <c r="K52" i="91"/>
  <c r="K53" i="91"/>
  <c r="K54" i="91"/>
  <c r="K55" i="91"/>
  <c r="K56" i="91"/>
  <c r="K58" i="91"/>
  <c r="K59" i="91"/>
  <c r="K60" i="91"/>
  <c r="K61" i="91"/>
  <c r="K30" i="91"/>
  <c r="K31" i="91"/>
  <c r="L12" i="91"/>
  <c r="L13" i="91"/>
  <c r="L14" i="91"/>
  <c r="L15" i="91"/>
  <c r="L11" i="91"/>
  <c r="K66" i="37"/>
  <c r="K57" i="37"/>
  <c r="K64" i="37"/>
  <c r="J66" i="37"/>
  <c r="L64" i="37"/>
  <c r="L69" i="37" l="1"/>
  <c r="K69" i="37"/>
  <c r="K32" i="91"/>
  <c r="K62" i="91"/>
  <c r="L48" i="91"/>
  <c r="K48" i="91"/>
  <c r="K42" i="91"/>
  <c r="L42" i="91"/>
  <c r="L32" i="91"/>
  <c r="L62" i="91"/>
  <c r="K17" i="91"/>
  <c r="L17" i="91"/>
  <c r="J69" i="91"/>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B580" i="20"/>
  <c r="B581" i="20"/>
  <c r="B582" i="20"/>
  <c r="B583" i="20"/>
  <c r="B584" i="20"/>
  <c r="B585" i="20"/>
  <c r="B586" i="20"/>
  <c r="B587" i="20"/>
  <c r="AK440" i="20"/>
  <c r="AK441" i="20"/>
  <c r="AK442" i="20"/>
  <c r="AK443" i="20"/>
  <c r="AK444" i="20"/>
  <c r="AK445" i="20"/>
  <c r="AK446" i="20"/>
  <c r="AK447" i="20"/>
  <c r="AK448" i="20"/>
  <c r="AK449" i="20"/>
  <c r="AK450" i="20"/>
  <c r="AK451" i="20"/>
  <c r="AK452" i="20"/>
  <c r="AK453" i="20"/>
  <c r="AK454" i="20"/>
  <c r="AK455" i="20"/>
  <c r="AK456" i="20"/>
  <c r="AK457" i="20"/>
  <c r="AK458" i="20"/>
  <c r="AK459" i="20"/>
  <c r="AK460" i="20"/>
  <c r="AK461" i="20"/>
  <c r="AK462" i="20"/>
  <c r="AK463" i="20"/>
  <c r="AK464" i="20"/>
  <c r="AK465" i="20"/>
  <c r="AK466" i="20"/>
  <c r="AK467" i="20"/>
  <c r="AK468" i="20"/>
  <c r="AK469" i="20"/>
  <c r="AK470" i="20"/>
  <c r="AK471" i="20"/>
  <c r="AK472" i="20"/>
  <c r="AK473" i="20"/>
  <c r="AK474" i="20"/>
  <c r="AK475" i="20"/>
  <c r="AK476" i="20"/>
  <c r="AK477" i="20"/>
  <c r="AK478" i="20"/>
  <c r="AK479" i="20"/>
  <c r="AK480" i="20"/>
  <c r="AK481" i="20"/>
  <c r="AK482" i="20"/>
  <c r="AK483" i="20"/>
  <c r="AK484" i="20"/>
  <c r="AK485" i="20"/>
  <c r="AK486" i="20"/>
  <c r="AK487" i="20"/>
  <c r="AK488" i="20"/>
  <c r="AK489" i="20"/>
  <c r="AK490" i="20"/>
  <c r="AK491" i="20"/>
  <c r="AK492" i="20"/>
  <c r="AK493" i="20"/>
  <c r="AK494" i="20"/>
  <c r="AK495" i="20"/>
  <c r="AK496" i="20"/>
  <c r="AK497" i="20"/>
  <c r="AK498" i="20"/>
  <c r="AK499" i="20"/>
  <c r="AK500" i="20"/>
  <c r="AK501" i="20"/>
  <c r="AK502" i="20"/>
  <c r="AK503" i="20"/>
  <c r="AK504" i="20"/>
  <c r="AK505" i="20"/>
  <c r="AK506" i="20"/>
  <c r="AK507" i="20"/>
  <c r="AK508" i="20"/>
  <c r="AK509" i="20"/>
  <c r="AK510" i="20"/>
  <c r="AK511" i="20"/>
  <c r="AK512" i="20"/>
  <c r="AK513" i="20"/>
  <c r="AK514" i="20"/>
  <c r="AK515" i="20"/>
  <c r="AK516" i="20"/>
  <c r="AK517" i="20"/>
  <c r="AK518" i="20"/>
  <c r="AK519" i="20"/>
  <c r="AK520" i="20"/>
  <c r="AK521" i="20"/>
  <c r="AK522" i="20"/>
  <c r="AK523" i="20"/>
  <c r="AK524" i="20"/>
  <c r="AK525" i="20"/>
  <c r="AK526" i="20"/>
  <c r="AK527" i="20"/>
  <c r="AK528" i="20"/>
  <c r="AK529" i="20"/>
  <c r="AK530" i="20"/>
  <c r="AK531" i="20"/>
  <c r="AK532" i="20"/>
  <c r="AK533" i="20"/>
  <c r="AK534" i="20"/>
  <c r="AK535" i="20"/>
  <c r="AK536" i="20"/>
  <c r="AK537" i="20"/>
  <c r="AK538" i="20"/>
  <c r="AK539" i="20"/>
  <c r="AK540" i="20"/>
  <c r="AK541" i="20"/>
  <c r="AK542" i="20"/>
  <c r="AK543" i="20"/>
  <c r="AK544" i="20"/>
  <c r="AK545" i="20"/>
  <c r="AK546" i="20"/>
  <c r="AK547" i="20"/>
  <c r="AK548" i="20"/>
  <c r="AK549" i="20"/>
  <c r="AK550" i="20"/>
  <c r="AK551" i="20"/>
  <c r="AK552" i="20"/>
  <c r="AK553" i="20"/>
  <c r="AK554" i="20"/>
  <c r="AK555" i="20"/>
  <c r="AK556" i="20"/>
  <c r="AK557" i="20"/>
  <c r="AK558" i="20"/>
  <c r="AK559" i="20"/>
  <c r="AK560" i="20"/>
  <c r="AK561" i="20"/>
  <c r="AK562" i="20"/>
  <c r="AK563" i="20"/>
  <c r="AK564" i="20"/>
  <c r="AK565" i="20"/>
  <c r="AK566" i="20"/>
  <c r="AK567" i="20"/>
  <c r="AK568" i="20"/>
  <c r="AK569" i="20"/>
  <c r="AK570" i="20"/>
  <c r="AK571" i="20"/>
  <c r="AK572" i="20"/>
  <c r="AK573" i="20"/>
  <c r="AK574" i="20"/>
  <c r="AK575" i="20"/>
  <c r="AK576" i="20"/>
  <c r="AK577" i="20"/>
  <c r="AK578" i="20"/>
  <c r="AK579" i="20"/>
  <c r="AK580" i="20"/>
  <c r="AK581" i="20"/>
  <c r="AK582" i="20"/>
  <c r="AK583" i="20"/>
  <c r="AK584" i="20"/>
  <c r="AK585" i="20"/>
  <c r="AK586" i="20"/>
  <c r="AK587" i="20"/>
  <c r="AL440" i="20"/>
  <c r="AL441" i="20"/>
  <c r="AL442" i="20"/>
  <c r="AL443" i="20"/>
  <c r="AL444" i="20"/>
  <c r="AL445" i="20"/>
  <c r="AL446" i="20"/>
  <c r="AL447" i="20"/>
  <c r="AL448" i="20"/>
  <c r="AL449" i="20"/>
  <c r="AL450" i="20"/>
  <c r="AL451" i="20"/>
  <c r="AL452" i="20"/>
  <c r="AL453" i="20"/>
  <c r="AL454" i="20"/>
  <c r="AL455" i="20"/>
  <c r="AL456" i="20"/>
  <c r="AL457" i="20"/>
  <c r="AL458" i="20"/>
  <c r="AL459" i="20"/>
  <c r="AL460" i="20"/>
  <c r="AL461" i="20"/>
  <c r="AL462" i="20"/>
  <c r="AL463" i="20"/>
  <c r="AL464" i="20"/>
  <c r="AL465" i="20"/>
  <c r="AL466" i="20"/>
  <c r="AL467" i="20"/>
  <c r="AL468" i="20"/>
  <c r="AL469" i="20"/>
  <c r="AL470" i="20"/>
  <c r="AL471" i="20"/>
  <c r="AL472" i="20"/>
  <c r="AL473" i="20"/>
  <c r="AL474" i="20"/>
  <c r="AL475" i="20"/>
  <c r="AL476" i="20"/>
  <c r="AL477" i="20"/>
  <c r="AL478" i="20"/>
  <c r="AL479" i="20"/>
  <c r="AL480" i="20"/>
  <c r="AL481" i="20"/>
  <c r="AL482" i="20"/>
  <c r="AL483" i="20"/>
  <c r="AL484" i="20"/>
  <c r="AL485" i="20"/>
  <c r="AL486" i="20"/>
  <c r="AL487" i="20"/>
  <c r="AL488" i="20"/>
  <c r="AL489" i="20"/>
  <c r="AL490" i="20"/>
  <c r="AL491" i="20"/>
  <c r="AL492" i="20"/>
  <c r="AL493" i="20"/>
  <c r="AL494" i="20"/>
  <c r="AL495" i="20"/>
  <c r="AL496" i="20"/>
  <c r="AL497" i="20"/>
  <c r="AL498" i="20"/>
  <c r="AL499" i="20"/>
  <c r="AL500" i="20"/>
  <c r="AL501" i="20"/>
  <c r="AL502" i="20"/>
  <c r="AL503" i="20"/>
  <c r="AL504" i="20"/>
  <c r="AL505" i="20"/>
  <c r="AL506" i="20"/>
  <c r="AL507" i="20"/>
  <c r="AL508" i="20"/>
  <c r="AL509" i="20"/>
  <c r="AL510" i="20"/>
  <c r="AL511" i="20"/>
  <c r="AL512" i="20"/>
  <c r="AL513" i="20"/>
  <c r="AL514" i="20"/>
  <c r="AL515" i="20"/>
  <c r="AL516" i="20"/>
  <c r="AL517" i="20"/>
  <c r="AL518" i="20"/>
  <c r="AL519" i="20"/>
  <c r="AL520" i="20"/>
  <c r="AL521" i="20"/>
  <c r="AL522" i="20"/>
  <c r="AL523" i="20"/>
  <c r="AL524" i="20"/>
  <c r="AL525" i="20"/>
  <c r="AL526" i="20"/>
  <c r="AL527" i="20"/>
  <c r="AL528" i="20"/>
  <c r="AL529" i="20"/>
  <c r="AL530" i="20"/>
  <c r="AL531" i="20"/>
  <c r="AL532" i="20"/>
  <c r="AL533" i="20"/>
  <c r="AL534" i="20"/>
  <c r="AL535" i="20"/>
  <c r="AL536" i="20"/>
  <c r="AL537" i="20"/>
  <c r="AL538" i="20"/>
  <c r="AL539" i="20"/>
  <c r="AL540" i="20"/>
  <c r="AL541" i="20"/>
  <c r="AL542" i="20"/>
  <c r="AL543" i="20"/>
  <c r="AL544" i="20"/>
  <c r="AL545" i="20"/>
  <c r="AL546" i="20"/>
  <c r="AL547" i="20"/>
  <c r="AL548" i="20"/>
  <c r="AL549" i="20"/>
  <c r="AL550" i="20"/>
  <c r="AL551" i="20"/>
  <c r="AL552" i="20"/>
  <c r="AL553" i="20"/>
  <c r="AL554" i="20"/>
  <c r="AL555" i="20"/>
  <c r="AL556" i="20"/>
  <c r="AL557" i="20"/>
  <c r="AL558" i="20"/>
  <c r="AL559" i="20"/>
  <c r="AL560" i="20"/>
  <c r="AL561" i="20"/>
  <c r="AL562" i="20"/>
  <c r="AL563" i="20"/>
  <c r="AL564" i="20"/>
  <c r="AL565" i="20"/>
  <c r="AL566" i="20"/>
  <c r="AL567" i="20"/>
  <c r="AL568" i="20"/>
  <c r="AL569" i="20"/>
  <c r="AL570" i="20"/>
  <c r="AL571" i="20"/>
  <c r="AL572" i="20"/>
  <c r="AL573" i="20"/>
  <c r="AL574" i="20"/>
  <c r="AL575" i="20"/>
  <c r="AL576" i="20"/>
  <c r="AL577" i="20"/>
  <c r="AL578" i="20"/>
  <c r="AL579" i="20"/>
  <c r="AL580" i="20"/>
  <c r="AL581" i="20"/>
  <c r="AL582" i="20"/>
  <c r="AL583" i="20"/>
  <c r="AL584" i="20"/>
  <c r="AL585" i="20"/>
  <c r="AL586" i="20"/>
  <c r="AL587" i="20"/>
  <c r="A30" i="20"/>
  <c r="A28" i="20"/>
  <c r="A29" i="20"/>
  <c r="B28" i="20"/>
  <c r="AK28" i="20"/>
  <c r="AK29" i="20"/>
  <c r="AL28" i="20"/>
  <c r="AL29" i="20"/>
  <c r="AK30" i="20"/>
  <c r="AL30" i="20"/>
  <c r="A31" i="20"/>
  <c r="AK31" i="20"/>
  <c r="AL31" i="20"/>
  <c r="J67" i="37"/>
  <c r="K69" i="91" l="1"/>
  <c r="L69" i="91"/>
  <c r="J69" i="37"/>
  <c r="A35" i="20"/>
  <c r="AL37" i="20"/>
  <c r="AK37" i="20"/>
  <c r="AK38" i="20"/>
  <c r="A37" i="20"/>
  <c r="A38" i="20"/>
  <c r="AK35" i="20"/>
  <c r="AL35" i="20"/>
  <c r="A34" i="20" l="1"/>
  <c r="AK34" i="20"/>
  <c r="AL34" i="20"/>
  <c r="B38" i="20"/>
  <c r="AL38" i="20"/>
  <c r="A33" i="20"/>
  <c r="AK33" i="20"/>
  <c r="AL33" i="20"/>
  <c r="A39" i="20"/>
  <c r="B39" i="20"/>
  <c r="AK39" i="20"/>
  <c r="AL39" i="20"/>
  <c r="A40" i="20"/>
  <c r="B40" i="20"/>
  <c r="AK40" i="20"/>
  <c r="AL40" i="20"/>
  <c r="A41" i="20"/>
  <c r="B41" i="20"/>
  <c r="AK41" i="20"/>
  <c r="AL41" i="20"/>
  <c r="D118" i="75" l="1"/>
  <c r="D100" i="75"/>
  <c r="D37" i="75"/>
  <c r="D28" i="75"/>
  <c r="D64" i="75"/>
  <c r="D127" i="75"/>
  <c r="D46" i="75"/>
  <c r="D91" i="75"/>
  <c r="D145" i="75"/>
  <c r="D154" i="75"/>
  <c r="D73" i="75"/>
  <c r="D82" i="75"/>
  <c r="D55" i="75"/>
  <c r="D19" i="75"/>
  <c r="D10" i="75"/>
  <c r="D109" i="75"/>
  <c r="H17" i="74" l="1"/>
  <c r="H18" i="74"/>
  <c r="H19" i="74"/>
  <c r="H20" i="74"/>
  <c r="H21" i="74"/>
  <c r="H22" i="74"/>
  <c r="H23" i="74"/>
  <c r="H24" i="74"/>
  <c r="H25" i="74"/>
  <c r="H26" i="74"/>
  <c r="H27" i="74"/>
  <c r="H28"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H41" i="74"/>
  <c r="H42" i="74"/>
  <c r="A3" i="37" l="1"/>
  <c r="A64" i="37" l="1"/>
  <c r="B65" i="37"/>
  <c r="B69" i="37" l="1"/>
  <c r="A44" i="37"/>
  <c r="A46" i="37"/>
  <c r="A47" i="37"/>
  <c r="A45" i="37"/>
  <c r="A3" i="91" l="1"/>
  <c r="H59" i="91" l="1"/>
  <c r="H60" i="91"/>
  <c r="H61" i="91"/>
  <c r="H58" i="91"/>
  <c r="G59" i="91"/>
  <c r="G60" i="91"/>
  <c r="G61" i="91"/>
  <c r="G58" i="91"/>
  <c r="F59" i="91"/>
  <c r="F60" i="91"/>
  <c r="F61" i="91"/>
  <c r="F58" i="91"/>
  <c r="H51" i="91"/>
  <c r="H52" i="91"/>
  <c r="H53" i="91"/>
  <c r="H54" i="91"/>
  <c r="H55" i="91"/>
  <c r="H50" i="91"/>
  <c r="G51" i="91"/>
  <c r="G52" i="91"/>
  <c r="G53" i="91"/>
  <c r="G54" i="91"/>
  <c r="G55" i="91"/>
  <c r="G50" i="91"/>
  <c r="F51" i="91"/>
  <c r="F52" i="91"/>
  <c r="F53" i="91"/>
  <c r="F54" i="91"/>
  <c r="F55" i="91"/>
  <c r="F50" i="91"/>
  <c r="H45" i="91"/>
  <c r="H46" i="91"/>
  <c r="H47" i="91"/>
  <c r="H44" i="91"/>
  <c r="G45" i="91"/>
  <c r="G46" i="91"/>
  <c r="G47" i="91"/>
  <c r="G44" i="91"/>
  <c r="F45" i="91"/>
  <c r="F46" i="91"/>
  <c r="F47" i="91"/>
  <c r="F44" i="91"/>
  <c r="F35" i="91"/>
  <c r="G35" i="91"/>
  <c r="H35" i="91"/>
  <c r="F36" i="91"/>
  <c r="G36" i="91"/>
  <c r="H36" i="91"/>
  <c r="F37" i="91"/>
  <c r="G37" i="91"/>
  <c r="H37" i="91"/>
  <c r="F38" i="91"/>
  <c r="G38" i="91"/>
  <c r="H38" i="91"/>
  <c r="F39" i="91"/>
  <c r="G39" i="91"/>
  <c r="H39" i="91"/>
  <c r="F40" i="91"/>
  <c r="G40" i="91"/>
  <c r="H40" i="91"/>
  <c r="F41" i="91"/>
  <c r="G41" i="91"/>
  <c r="H41" i="91"/>
  <c r="F34" i="91"/>
  <c r="G34" i="91"/>
  <c r="H34" i="91"/>
  <c r="D34" i="91"/>
  <c r="H27" i="91"/>
  <c r="H28" i="91"/>
  <c r="H29" i="91"/>
  <c r="H30" i="91"/>
  <c r="H31" i="91"/>
  <c r="H26" i="91"/>
  <c r="G27" i="91"/>
  <c r="G28" i="91"/>
  <c r="G29" i="91"/>
  <c r="G30" i="91"/>
  <c r="G31" i="91"/>
  <c r="G26" i="91"/>
  <c r="F27" i="91"/>
  <c r="F28" i="91"/>
  <c r="F29" i="91"/>
  <c r="F30" i="91"/>
  <c r="F31" i="91"/>
  <c r="F26" i="91"/>
  <c r="H11" i="91"/>
  <c r="H12" i="91"/>
  <c r="H13" i="91"/>
  <c r="H14" i="91"/>
  <c r="H15" i="91"/>
  <c r="G11" i="91"/>
  <c r="G12" i="91"/>
  <c r="G13" i="91"/>
  <c r="G14" i="91"/>
  <c r="G15" i="91"/>
  <c r="F11" i="91"/>
  <c r="F12" i="91"/>
  <c r="F13" i="91"/>
  <c r="F14" i="91"/>
  <c r="F15" i="91"/>
  <c r="A11" i="91"/>
  <c r="A12" i="91"/>
  <c r="A13" i="91"/>
  <c r="A14" i="91"/>
  <c r="A15" i="91"/>
  <c r="F17" i="91" l="1"/>
  <c r="H42" i="91"/>
  <c r="H17" i="91"/>
  <c r="G17" i="91"/>
  <c r="C32" i="91"/>
  <c r="G42" i="91"/>
  <c r="E42" i="91"/>
  <c r="F42" i="91"/>
  <c r="C42" i="91"/>
  <c r="C48" i="91"/>
  <c r="G48" i="91"/>
  <c r="F56" i="91"/>
  <c r="C62" i="91"/>
  <c r="G62" i="91"/>
  <c r="B42" i="91"/>
  <c r="D42" i="91"/>
  <c r="D48" i="91"/>
  <c r="H48" i="91"/>
  <c r="C56" i="91"/>
  <c r="G56" i="91"/>
  <c r="I56" i="91"/>
  <c r="D62" i="91"/>
  <c r="H62" i="91"/>
  <c r="E48" i="91"/>
  <c r="F48" i="91"/>
  <c r="I48" i="91"/>
  <c r="B56" i="91"/>
  <c r="H56" i="91"/>
  <c r="B62" i="91"/>
  <c r="E62" i="91"/>
  <c r="F62" i="91"/>
  <c r="E32" i="91"/>
  <c r="G32" i="91"/>
  <c r="H32" i="91"/>
  <c r="I32" i="91"/>
  <c r="F32" i="91"/>
  <c r="D32" i="91"/>
  <c r="E69" i="91" l="1"/>
  <c r="B69" i="91"/>
  <c r="F69" i="91"/>
  <c r="H69" i="91"/>
  <c r="G69" i="91"/>
  <c r="I69" i="91"/>
  <c r="D69" i="91"/>
  <c r="C69" i="91"/>
  <c r="B15" i="36"/>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43" i="20" l="1"/>
  <c r="A43" i="20"/>
  <c r="AK43" i="20"/>
  <c r="AL43" i="20"/>
  <c r="A44" i="20" l="1"/>
  <c r="AK44" i="20"/>
  <c r="AL44"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42" i="20" l="1"/>
  <c r="B42" i="20"/>
  <c r="AK42" i="20"/>
  <c r="AL42"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46" i="20"/>
  <c r="AK46" i="20"/>
  <c r="AL46" i="20"/>
  <c r="A49" i="20"/>
  <c r="AK49" i="20"/>
  <c r="AL49" i="20"/>
  <c r="A45" i="20"/>
  <c r="AK45" i="20"/>
  <c r="AL45" i="20"/>
  <c r="A48" i="20"/>
  <c r="AK48" i="20"/>
  <c r="AL48" i="20"/>
  <c r="A47" i="20"/>
  <c r="AK47" i="20"/>
  <c r="AL47" i="20"/>
  <c r="AK66" i="20" l="1"/>
  <c r="V5" i="19" l="1"/>
  <c r="T5" i="19" s="1"/>
  <c r="W5" i="19"/>
  <c r="X5" i="19"/>
  <c r="Y5" i="19"/>
  <c r="V6" i="19"/>
  <c r="T6" i="19" s="1"/>
  <c r="W6" i="19"/>
  <c r="X6" i="19"/>
  <c r="Y6" i="19"/>
  <c r="V7" i="19"/>
  <c r="T7" i="19" s="1"/>
  <c r="W7" i="19"/>
  <c r="X7" i="19"/>
  <c r="Y7" i="19"/>
  <c r="A65" i="20"/>
  <c r="AK65" i="20"/>
  <c r="AL65" i="20"/>
  <c r="A66" i="20"/>
  <c r="AL66" i="20"/>
  <c r="A59" i="20"/>
  <c r="AK59" i="20"/>
  <c r="AL59" i="20"/>
  <c r="A55" i="20"/>
  <c r="AK55" i="20"/>
  <c r="AL55" i="20"/>
  <c r="A54" i="20"/>
  <c r="AK54" i="20"/>
  <c r="AL54" i="20"/>
  <c r="A3" i="14" l="1"/>
  <c r="A3" i="36" l="1"/>
  <c r="A3" i="62"/>
  <c r="A3" i="20" l="1"/>
  <c r="E21" i="43"/>
  <c r="R142" i="19"/>
  <c r="A3" i="19"/>
  <c r="A3" i="67"/>
  <c r="A104" i="20" l="1"/>
  <c r="A51" i="20"/>
  <c r="A53" i="20"/>
  <c r="A50" i="20"/>
  <c r="A52" i="20"/>
  <c r="A78" i="20"/>
  <c r="AK104" i="20"/>
  <c r="AK51" i="20"/>
  <c r="AK53" i="20"/>
  <c r="AK50" i="20"/>
  <c r="AK52" i="20"/>
  <c r="AK78" i="20"/>
  <c r="AL104" i="20"/>
  <c r="AL51" i="20"/>
  <c r="AL53" i="20"/>
  <c r="AL50" i="20"/>
  <c r="AL52" i="20"/>
  <c r="AL78" i="20"/>
  <c r="A57" i="20" l="1"/>
  <c r="B57" i="20"/>
  <c r="AK57" i="20"/>
  <c r="AL57"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58" i="20"/>
  <c r="B58" i="20"/>
  <c r="AK58" i="20"/>
  <c r="AL58" i="20"/>
  <c r="A56" i="20" l="1"/>
  <c r="B56" i="20"/>
  <c r="AK56" i="20"/>
  <c r="AL56" i="20"/>
  <c r="I142" i="19" l="1"/>
  <c r="H142" i="19"/>
  <c r="V8" i="19" l="1"/>
  <c r="T8" i="19" s="1"/>
  <c r="V53" i="19"/>
  <c r="T53" i="19" s="1"/>
  <c r="X53" i="19"/>
  <c r="Y53" i="19"/>
  <c r="H149" i="74" l="1"/>
  <c r="H150" i="74"/>
  <c r="L142" i="19" l="1"/>
  <c r="K142" i="19"/>
  <c r="J142" i="19"/>
  <c r="H6" i="36"/>
  <c r="A95" i="20" l="1"/>
  <c r="AK95" i="20"/>
  <c r="AL95" i="20"/>
  <c r="A106" i="20" l="1"/>
  <c r="AK106" i="20"/>
  <c r="AL106" i="20"/>
  <c r="A105" i="20"/>
  <c r="AK105" i="20"/>
  <c r="AL105"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N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L62" i="20"/>
  <c r="AK62" i="20"/>
  <c r="B62" i="20"/>
  <c r="A62" i="20"/>
  <c r="AL61" i="20"/>
  <c r="AK61" i="20"/>
  <c r="B61" i="20"/>
  <c r="A61" i="20"/>
  <c r="AL60" i="20"/>
  <c r="AK60" i="20"/>
  <c r="B60" i="20"/>
  <c r="A60" i="20"/>
  <c r="AL63" i="20"/>
  <c r="AK63" i="20"/>
  <c r="B63" i="20"/>
  <c r="A63" i="20"/>
  <c r="AL64" i="20"/>
  <c r="AK64" i="20"/>
  <c r="B64" i="20"/>
  <c r="A64" i="20"/>
  <c r="AL67" i="20"/>
  <c r="AK67" i="20"/>
  <c r="B67" i="20"/>
  <c r="A67" i="20"/>
  <c r="AL69" i="20"/>
  <c r="AK69" i="20"/>
  <c r="B69" i="20"/>
  <c r="A69" i="20"/>
  <c r="AL75" i="20"/>
  <c r="AK75" i="20"/>
  <c r="B75" i="20"/>
  <c r="A75" i="20"/>
  <c r="AL71" i="20"/>
  <c r="AK71" i="20"/>
  <c r="B71" i="20"/>
  <c r="A71" i="20"/>
  <c r="AL70" i="20"/>
  <c r="AK70" i="20"/>
  <c r="B70" i="20"/>
  <c r="A70" i="20"/>
  <c r="AL74" i="20"/>
  <c r="AK74" i="20"/>
  <c r="B74" i="20"/>
  <c r="A74" i="20"/>
  <c r="AL73" i="20"/>
  <c r="AK73" i="20"/>
  <c r="B73" i="20"/>
  <c r="A73" i="20"/>
  <c r="AL72" i="20"/>
  <c r="AK72" i="20"/>
  <c r="B72" i="20"/>
  <c r="A72" i="20"/>
  <c r="AL68" i="20"/>
  <c r="AK68" i="20"/>
  <c r="B68" i="20"/>
  <c r="A68" i="20"/>
  <c r="AL82" i="20"/>
  <c r="AK82" i="20"/>
  <c r="B82" i="20"/>
  <c r="A82" i="20"/>
  <c r="AL81" i="20"/>
  <c r="AK81" i="20"/>
  <c r="B81" i="20"/>
  <c r="A81" i="20"/>
  <c r="AL80" i="20"/>
  <c r="AK80" i="20"/>
  <c r="B80" i="20"/>
  <c r="A80" i="20"/>
  <c r="AL79" i="20"/>
  <c r="AK79" i="20"/>
  <c r="B79" i="20"/>
  <c r="A79" i="20"/>
  <c r="AL85" i="20"/>
  <c r="AK85" i="20"/>
  <c r="B85" i="20"/>
  <c r="A85" i="20"/>
  <c r="AL84" i="20"/>
  <c r="AK84" i="20"/>
  <c r="B84" i="20"/>
  <c r="A84" i="20"/>
  <c r="AL83" i="20"/>
  <c r="AK83" i="20"/>
  <c r="B83" i="20"/>
  <c r="A83" i="20"/>
  <c r="AL89" i="20"/>
  <c r="AK89" i="20"/>
  <c r="B89" i="20"/>
  <c r="A89" i="20"/>
  <c r="AL86" i="20"/>
  <c r="AK86" i="20"/>
  <c r="B86" i="20"/>
  <c r="A86" i="20"/>
  <c r="AL88" i="20"/>
  <c r="AK88" i="20"/>
  <c r="B88" i="20"/>
  <c r="A88" i="20"/>
  <c r="AL93" i="20"/>
  <c r="AK93" i="20"/>
  <c r="B93" i="20"/>
  <c r="A93" i="20"/>
  <c r="AL92" i="20"/>
  <c r="AK92" i="20"/>
  <c r="B92" i="20"/>
  <c r="A92" i="20"/>
  <c r="AL87" i="20"/>
  <c r="AK87" i="20"/>
  <c r="B87" i="20"/>
  <c r="A87" i="20"/>
  <c r="AL91" i="20"/>
  <c r="AK91" i="20"/>
  <c r="B91" i="20"/>
  <c r="A91" i="20"/>
  <c r="AL94" i="20"/>
  <c r="AK94" i="20"/>
  <c r="B94" i="20"/>
  <c r="A94" i="20"/>
  <c r="AL98" i="20"/>
  <c r="AK98" i="20"/>
  <c r="B98" i="20"/>
  <c r="A98" i="20"/>
  <c r="AL102" i="20"/>
  <c r="AK102" i="20"/>
  <c r="A102" i="20"/>
  <c r="AL97" i="20"/>
  <c r="AK97" i="20"/>
  <c r="B97" i="20"/>
  <c r="A97" i="20"/>
  <c r="AL100" i="20"/>
  <c r="AK100" i="20"/>
  <c r="B100" i="20"/>
  <c r="A100" i="20"/>
  <c r="AL108" i="20"/>
  <c r="AK108" i="20"/>
  <c r="B108" i="20"/>
  <c r="A108" i="20"/>
  <c r="AL96" i="20"/>
  <c r="AK96" i="20"/>
  <c r="B96" i="20"/>
  <c r="A96" i="20"/>
  <c r="AL99" i="20"/>
  <c r="AK99" i="20"/>
  <c r="B99" i="20"/>
  <c r="A99" i="20"/>
  <c r="AL107" i="20"/>
  <c r="AK107" i="20"/>
  <c r="B107" i="20"/>
  <c r="A107" i="20"/>
  <c r="AL101" i="20"/>
  <c r="AK101" i="20"/>
  <c r="B101" i="20"/>
  <c r="A101" i="20"/>
  <c r="AL131" i="20"/>
  <c r="AK131" i="20"/>
  <c r="B131" i="20"/>
  <c r="A131" i="20"/>
  <c r="AL130" i="20"/>
  <c r="AK130" i="20"/>
  <c r="B130" i="20"/>
  <c r="A130" i="20"/>
  <c r="AL129" i="20"/>
  <c r="AK129" i="20"/>
  <c r="B129" i="20"/>
  <c r="A129" i="20"/>
  <c r="AL128" i="20"/>
  <c r="AK128" i="20"/>
  <c r="B128" i="20"/>
  <c r="A128" i="20"/>
  <c r="AL127" i="20"/>
  <c r="AK127" i="20"/>
  <c r="B127" i="20"/>
  <c r="A127" i="20"/>
  <c r="AL126" i="20"/>
  <c r="AK126" i="20"/>
  <c r="B126" i="20"/>
  <c r="A126" i="20"/>
  <c r="AL125" i="20"/>
  <c r="AK125" i="20"/>
  <c r="B125" i="20"/>
  <c r="A125" i="20"/>
  <c r="AL124" i="20"/>
  <c r="AK124" i="20"/>
  <c r="B124" i="20"/>
  <c r="A124" i="20"/>
  <c r="AL123" i="20"/>
  <c r="AK123" i="20"/>
  <c r="B123" i="20"/>
  <c r="A123" i="20"/>
  <c r="AL122" i="20"/>
  <c r="AK122" i="20"/>
  <c r="B122" i="20"/>
  <c r="A122" i="20"/>
  <c r="AL121" i="20"/>
  <c r="AK121" i="20"/>
  <c r="B121" i="20"/>
  <c r="A121" i="20"/>
  <c r="AL116" i="20"/>
  <c r="AK116" i="20"/>
  <c r="B116" i="20"/>
  <c r="A116" i="20"/>
  <c r="AL90" i="20"/>
  <c r="AK90" i="20"/>
  <c r="A90" i="20"/>
  <c r="AL103" i="20"/>
  <c r="AK103" i="20"/>
  <c r="A103" i="20"/>
  <c r="AL115" i="20"/>
  <c r="AK115" i="20"/>
  <c r="B115" i="20"/>
  <c r="A115" i="20"/>
  <c r="AL114" i="20"/>
  <c r="AK114" i="20"/>
  <c r="B114" i="20"/>
  <c r="A114" i="20"/>
  <c r="AL77" i="20"/>
  <c r="AK77" i="20"/>
  <c r="A77" i="20"/>
  <c r="AL111" i="20"/>
  <c r="AK111" i="20"/>
  <c r="B111" i="20"/>
  <c r="A111" i="20"/>
  <c r="AL110" i="20"/>
  <c r="AK110" i="20"/>
  <c r="B110" i="20"/>
  <c r="A110" i="20"/>
  <c r="AL76" i="20"/>
  <c r="AK76" i="20"/>
  <c r="A76" i="20"/>
  <c r="AL109" i="20"/>
  <c r="AK109" i="20"/>
  <c r="B109" i="20"/>
  <c r="A109" i="20"/>
  <c r="AL112" i="20"/>
  <c r="AK112" i="20"/>
  <c r="B112" i="20"/>
  <c r="A112" i="20"/>
  <c r="AL113" i="20"/>
  <c r="AK113" i="20"/>
  <c r="B113" i="20"/>
  <c r="A113" i="20"/>
  <c r="AL117" i="20"/>
  <c r="AK117" i="20"/>
  <c r="B117" i="20"/>
  <c r="A117" i="20"/>
  <c r="AL118" i="20"/>
  <c r="AK118" i="20"/>
  <c r="B118" i="20"/>
  <c r="A118" i="20"/>
  <c r="AL120" i="20"/>
  <c r="AK120" i="20"/>
  <c r="B120" i="20"/>
  <c r="A120" i="20"/>
  <c r="AL119" i="20"/>
  <c r="AK119" i="20"/>
  <c r="B119" i="20"/>
  <c r="A119" i="20"/>
  <c r="AL134" i="20"/>
  <c r="AK134" i="20"/>
  <c r="B134" i="20"/>
  <c r="A134" i="20"/>
  <c r="AL133" i="20"/>
  <c r="AK133" i="20"/>
  <c r="B133" i="20"/>
  <c r="A133" i="20"/>
  <c r="AL132" i="20"/>
  <c r="AK132" i="20"/>
  <c r="B132" i="20"/>
  <c r="A132" i="20"/>
  <c r="AL135" i="20"/>
  <c r="AK135" i="20"/>
  <c r="B135" i="20"/>
  <c r="A135" i="20"/>
  <c r="AL136" i="20"/>
  <c r="AK136" i="20"/>
  <c r="B136" i="20"/>
  <c r="A136" i="20"/>
  <c r="AL137" i="20"/>
  <c r="AK137" i="20"/>
  <c r="B137" i="20"/>
  <c r="A137" i="20"/>
  <c r="AL141" i="20"/>
  <c r="AK141" i="20"/>
  <c r="B141" i="20"/>
  <c r="A141" i="20"/>
  <c r="AL140" i="20"/>
  <c r="AK140" i="20"/>
  <c r="B140" i="20"/>
  <c r="A140" i="20"/>
  <c r="AL139" i="20"/>
  <c r="AK139" i="20"/>
  <c r="B139" i="20"/>
  <c r="A139" i="20"/>
  <c r="AL138" i="20"/>
  <c r="AK138" i="20"/>
  <c r="B138" i="20"/>
  <c r="A138" i="20"/>
  <c r="AL142" i="20"/>
  <c r="AK142" i="20"/>
  <c r="B142" i="20"/>
  <c r="A142" i="20"/>
  <c r="AL144" i="20"/>
  <c r="AK144" i="20"/>
  <c r="B144" i="20"/>
  <c r="A144" i="20"/>
  <c r="AL143" i="20"/>
  <c r="AK143" i="20"/>
  <c r="B143" i="20"/>
  <c r="A143" i="20"/>
  <c r="AL146" i="20"/>
  <c r="AK146" i="20"/>
  <c r="B146" i="20"/>
  <c r="A146" i="20"/>
  <c r="AL145" i="20"/>
  <c r="AK145" i="20"/>
  <c r="B145" i="20"/>
  <c r="A145" i="20"/>
  <c r="AL147" i="20"/>
  <c r="AK147" i="20"/>
  <c r="B147" i="20"/>
  <c r="A147" i="20"/>
  <c r="AL149" i="20"/>
  <c r="AK149" i="20"/>
  <c r="B149" i="20"/>
  <c r="A149" i="20"/>
  <c r="AL148" i="20"/>
  <c r="AK148" i="20"/>
  <c r="B148" i="20"/>
  <c r="A148" i="20"/>
  <c r="AL152" i="20"/>
  <c r="AK152" i="20"/>
  <c r="B152" i="20"/>
  <c r="A152" i="20"/>
  <c r="AL151" i="20"/>
  <c r="AK151" i="20"/>
  <c r="B151" i="20"/>
  <c r="A151" i="20"/>
  <c r="AL150" i="20"/>
  <c r="AK150" i="20"/>
  <c r="B150" i="20"/>
  <c r="A150" i="20"/>
  <c r="AL154" i="20"/>
  <c r="AK154" i="20"/>
  <c r="B154" i="20"/>
  <c r="A154" i="20"/>
  <c r="AL153" i="20"/>
  <c r="AK153" i="20"/>
  <c r="B153" i="20"/>
  <c r="A153" i="20"/>
  <c r="AL155" i="20"/>
  <c r="AK155" i="20"/>
  <c r="B155" i="20"/>
  <c r="A155" i="20"/>
  <c r="AL157" i="20"/>
  <c r="AK157" i="20"/>
  <c r="B157" i="20"/>
  <c r="A157" i="20"/>
  <c r="AL156" i="20"/>
  <c r="AK156" i="20"/>
  <c r="B156" i="20"/>
  <c r="A156" i="20"/>
  <c r="AL158" i="20"/>
  <c r="AK158" i="20"/>
  <c r="B158" i="20"/>
  <c r="A158" i="20"/>
  <c r="AL159" i="20"/>
  <c r="AK159" i="20"/>
  <c r="B159" i="20"/>
  <c r="A159" i="20"/>
  <c r="AL164" i="20"/>
  <c r="AK164" i="20"/>
  <c r="B164" i="20"/>
  <c r="A164" i="20"/>
  <c r="AL163" i="20"/>
  <c r="AK163" i="20"/>
  <c r="B163" i="20"/>
  <c r="A163" i="20"/>
  <c r="AL162" i="20"/>
  <c r="AK162" i="20"/>
  <c r="B162" i="20"/>
  <c r="A162" i="20"/>
  <c r="AL161" i="20"/>
  <c r="AK161" i="20"/>
  <c r="B161" i="20"/>
  <c r="A161" i="20"/>
  <c r="AL160" i="20"/>
  <c r="AK160" i="20"/>
  <c r="B160" i="20"/>
  <c r="A160" i="20"/>
  <c r="AL168" i="20"/>
  <c r="AK168" i="20"/>
  <c r="B168" i="20"/>
  <c r="A168" i="20"/>
  <c r="AL167" i="20"/>
  <c r="AK167" i="20"/>
  <c r="B167" i="20"/>
  <c r="A167" i="20"/>
  <c r="AL166" i="20"/>
  <c r="AK166" i="20"/>
  <c r="B166" i="20"/>
  <c r="A166" i="20"/>
  <c r="AL165" i="20"/>
  <c r="AK165" i="20"/>
  <c r="B165" i="20"/>
  <c r="A165" i="20"/>
  <c r="AL170" i="20"/>
  <c r="AK170" i="20"/>
  <c r="B170" i="20"/>
  <c r="A170" i="20"/>
  <c r="AL169" i="20"/>
  <c r="AK169" i="20"/>
  <c r="B169" i="20"/>
  <c r="A169" i="20"/>
  <c r="AL172" i="20"/>
  <c r="AK172" i="20"/>
  <c r="B172" i="20"/>
  <c r="A172" i="20"/>
  <c r="AL171" i="20"/>
  <c r="AK171" i="20"/>
  <c r="B171" i="20"/>
  <c r="A171" i="20"/>
  <c r="AL173" i="20"/>
  <c r="AK173" i="20"/>
  <c r="B173" i="20"/>
  <c r="A173" i="20"/>
  <c r="AL174" i="20"/>
  <c r="AK174" i="20"/>
  <c r="B174" i="20"/>
  <c r="A174" i="20"/>
  <c r="AL175" i="20"/>
  <c r="AK175" i="20"/>
  <c r="B175" i="20"/>
  <c r="A175" i="20"/>
  <c r="AL176" i="20"/>
  <c r="AK176" i="20"/>
  <c r="B176" i="20"/>
  <c r="A176" i="20"/>
  <c r="AL177" i="20"/>
  <c r="AK177" i="20"/>
  <c r="B177" i="20"/>
  <c r="A177" i="20"/>
  <c r="AL178" i="20"/>
  <c r="AK178" i="20"/>
  <c r="B178" i="20"/>
  <c r="A178" i="20"/>
  <c r="AL179" i="20"/>
  <c r="AK179" i="20"/>
  <c r="B179" i="20"/>
  <c r="A179" i="20"/>
  <c r="AL180" i="20"/>
  <c r="AK180" i="20"/>
  <c r="B180" i="20"/>
  <c r="A180" i="20"/>
  <c r="AL182" i="20"/>
  <c r="AK182" i="20"/>
  <c r="B182" i="20"/>
  <c r="A182" i="20"/>
  <c r="AL181" i="20"/>
  <c r="AK181" i="20"/>
  <c r="B181" i="20"/>
  <c r="A181" i="20"/>
  <c r="AL184" i="20"/>
  <c r="AK184" i="20"/>
  <c r="B184" i="20"/>
  <c r="A184" i="20"/>
  <c r="AL183" i="20"/>
  <c r="AK183" i="20"/>
  <c r="B183" i="20"/>
  <c r="A183" i="20"/>
  <c r="AL189" i="20"/>
  <c r="AK189" i="20"/>
  <c r="B189" i="20"/>
  <c r="A189" i="20"/>
  <c r="AL188" i="20"/>
  <c r="AK188" i="20"/>
  <c r="B188" i="20"/>
  <c r="A188" i="20"/>
  <c r="AL187" i="20"/>
  <c r="AK187" i="20"/>
  <c r="B187" i="20"/>
  <c r="A187" i="20"/>
  <c r="AL186" i="20"/>
  <c r="AK186" i="20"/>
  <c r="B186" i="20"/>
  <c r="A186" i="20"/>
  <c r="AL185" i="20"/>
  <c r="AK185" i="20"/>
  <c r="B185" i="20"/>
  <c r="A185" i="20"/>
  <c r="AL192" i="20"/>
  <c r="AK192" i="20"/>
  <c r="B192" i="20"/>
  <c r="A192" i="20"/>
  <c r="AL191" i="20"/>
  <c r="AK191" i="20"/>
  <c r="B191" i="20"/>
  <c r="A191" i="20"/>
  <c r="AL190" i="20"/>
  <c r="AK190" i="20"/>
  <c r="B190" i="20"/>
  <c r="A190" i="20"/>
  <c r="AL203" i="20"/>
  <c r="AK203" i="20"/>
  <c r="B203" i="20"/>
  <c r="A203" i="20"/>
  <c r="AL202" i="20"/>
  <c r="AK202" i="20"/>
  <c r="B202" i="20"/>
  <c r="A202" i="20"/>
  <c r="AL201" i="20"/>
  <c r="AK201" i="20"/>
  <c r="B201" i="20"/>
  <c r="A201" i="20"/>
  <c r="AL200" i="20"/>
  <c r="AK200" i="20"/>
  <c r="B200" i="20"/>
  <c r="A200" i="20"/>
  <c r="AL199" i="20"/>
  <c r="AK199" i="20"/>
  <c r="B199" i="20"/>
  <c r="A199" i="20"/>
  <c r="AL198" i="20"/>
  <c r="AK198" i="20"/>
  <c r="B198" i="20"/>
  <c r="A198" i="20"/>
  <c r="AL197" i="20"/>
  <c r="AK197" i="20"/>
  <c r="B197" i="20"/>
  <c r="A197" i="20"/>
  <c r="AL196" i="20"/>
  <c r="AK196" i="20"/>
  <c r="B196" i="20"/>
  <c r="A196" i="20"/>
  <c r="AL195" i="20"/>
  <c r="AK195" i="20"/>
  <c r="B195" i="20"/>
  <c r="A195" i="20"/>
  <c r="AL194" i="20"/>
  <c r="AK194" i="20"/>
  <c r="B194" i="20"/>
  <c r="A194" i="20"/>
  <c r="AL193" i="20"/>
  <c r="AK193" i="20"/>
  <c r="B193" i="20"/>
  <c r="A193" i="20"/>
  <c r="AL206" i="20"/>
  <c r="AK206" i="20"/>
  <c r="B206" i="20"/>
  <c r="A206" i="20"/>
  <c r="AL205" i="20"/>
  <c r="AK205" i="20"/>
  <c r="B205" i="20"/>
  <c r="A205" i="20"/>
  <c r="AL204" i="20"/>
  <c r="AK204" i="20"/>
  <c r="B204" i="20"/>
  <c r="A204" i="20"/>
  <c r="AL212" i="20"/>
  <c r="AK212" i="20"/>
  <c r="B212" i="20"/>
  <c r="A212" i="20"/>
  <c r="AL211" i="20"/>
  <c r="AK211" i="20"/>
  <c r="B211" i="20"/>
  <c r="A211" i="20"/>
  <c r="AL210" i="20"/>
  <c r="AK210" i="20"/>
  <c r="B210" i="20"/>
  <c r="A210" i="20"/>
  <c r="AL209" i="20"/>
  <c r="AK209" i="20"/>
  <c r="B209" i="20"/>
  <c r="A209" i="20"/>
  <c r="AL208" i="20"/>
  <c r="AK208" i="20"/>
  <c r="B208" i="20"/>
  <c r="A208" i="20"/>
  <c r="AL207" i="20"/>
  <c r="AK207" i="20"/>
  <c r="B207" i="20"/>
  <c r="A207" i="20"/>
  <c r="AL214" i="20"/>
  <c r="AK214" i="20"/>
  <c r="B214" i="20"/>
  <c r="A214" i="20"/>
  <c r="AL213" i="20"/>
  <c r="AK213" i="20"/>
  <c r="B213" i="20"/>
  <c r="A213" i="20"/>
  <c r="AL216" i="20"/>
  <c r="AK216" i="20"/>
  <c r="B216" i="20"/>
  <c r="A216" i="20"/>
  <c r="AL215" i="20"/>
  <c r="AK215" i="20"/>
  <c r="B215" i="20"/>
  <c r="A215" i="20"/>
  <c r="AL217" i="20"/>
  <c r="AK217" i="20"/>
  <c r="B217" i="20"/>
  <c r="A217" i="20"/>
  <c r="AL218" i="20"/>
  <c r="AK218" i="20"/>
  <c r="B218" i="20"/>
  <c r="A218" i="20"/>
  <c r="AL219" i="20"/>
  <c r="AK219" i="20"/>
  <c r="B219" i="20"/>
  <c r="A219" i="20"/>
  <c r="AL221" i="20"/>
  <c r="AK221" i="20"/>
  <c r="B221" i="20"/>
  <c r="A221" i="20"/>
  <c r="AL220" i="20"/>
  <c r="AK220" i="20"/>
  <c r="B220" i="20"/>
  <c r="A220" i="20"/>
  <c r="AL222" i="20"/>
  <c r="AK222" i="20"/>
  <c r="B222" i="20"/>
  <c r="A222" i="20"/>
  <c r="AL223" i="20"/>
  <c r="AK223" i="20"/>
  <c r="B223" i="20"/>
  <c r="A223" i="20"/>
  <c r="AL224" i="20"/>
  <c r="AK224" i="20"/>
  <c r="B224" i="20"/>
  <c r="A224" i="20"/>
  <c r="AL225" i="20"/>
  <c r="AK225" i="20"/>
  <c r="B225" i="20"/>
  <c r="A225" i="20"/>
  <c r="AL227" i="20"/>
  <c r="AK227" i="20"/>
  <c r="B227" i="20"/>
  <c r="A227" i="20"/>
  <c r="AL226" i="20"/>
  <c r="AK226" i="20"/>
  <c r="B226" i="20"/>
  <c r="A226" i="20"/>
  <c r="AL228" i="20"/>
  <c r="AK228" i="20"/>
  <c r="B228" i="20"/>
  <c r="A228" i="20"/>
  <c r="AL229" i="20"/>
  <c r="AK229" i="20"/>
  <c r="B229" i="20"/>
  <c r="A229" i="20"/>
  <c r="AL230" i="20"/>
  <c r="AK230" i="20"/>
  <c r="B230" i="20"/>
  <c r="A230" i="20"/>
  <c r="AL231" i="20"/>
  <c r="AK231" i="20"/>
  <c r="B231" i="20"/>
  <c r="A231" i="20"/>
  <c r="AL236" i="20"/>
  <c r="AK236" i="20"/>
  <c r="B236" i="20"/>
  <c r="A236" i="20"/>
  <c r="AL235" i="20"/>
  <c r="AK235" i="20"/>
  <c r="B235" i="20"/>
  <c r="A235" i="20"/>
  <c r="AL234" i="20"/>
  <c r="AK234" i="20"/>
  <c r="B234" i="20"/>
  <c r="A234" i="20"/>
  <c r="AL233" i="20"/>
  <c r="AK233" i="20"/>
  <c r="B233" i="20"/>
  <c r="A233" i="20"/>
  <c r="AL232" i="20"/>
  <c r="AK232" i="20"/>
  <c r="B232" i="20"/>
  <c r="A232" i="20"/>
  <c r="AL237" i="20"/>
  <c r="AK237" i="20"/>
  <c r="B237" i="20"/>
  <c r="A237" i="20"/>
  <c r="AL238" i="20"/>
  <c r="AK238" i="20"/>
  <c r="B238" i="20"/>
  <c r="A238" i="20"/>
  <c r="AL240" i="20"/>
  <c r="AK240" i="20"/>
  <c r="B240" i="20"/>
  <c r="A240" i="20"/>
  <c r="AL239" i="20"/>
  <c r="AK239" i="20"/>
  <c r="B239" i="20"/>
  <c r="A239" i="20"/>
  <c r="AL246" i="20"/>
  <c r="AK246" i="20"/>
  <c r="B246" i="20"/>
  <c r="A246" i="20"/>
  <c r="AL245" i="20"/>
  <c r="AK245" i="20"/>
  <c r="B245" i="20"/>
  <c r="A245" i="20"/>
  <c r="AL244" i="20"/>
  <c r="AK244" i="20"/>
  <c r="B244" i="20"/>
  <c r="A244" i="20"/>
  <c r="AL243" i="20"/>
  <c r="AK243" i="20"/>
  <c r="B243" i="20"/>
  <c r="A243" i="20"/>
  <c r="AL242" i="20"/>
  <c r="AK242" i="20"/>
  <c r="B242" i="20"/>
  <c r="A242" i="20"/>
  <c r="AL241" i="20"/>
  <c r="AK241" i="20"/>
  <c r="B241" i="20"/>
  <c r="A241" i="20"/>
  <c r="AL250" i="20"/>
  <c r="AK250" i="20"/>
  <c r="B250" i="20"/>
  <c r="A250" i="20"/>
  <c r="AL249" i="20"/>
  <c r="AK249" i="20"/>
  <c r="B249" i="20"/>
  <c r="A249" i="20"/>
  <c r="AL248" i="20"/>
  <c r="AK248" i="20"/>
  <c r="B248" i="20"/>
  <c r="A248" i="20"/>
  <c r="AL247" i="20"/>
  <c r="AK247" i="20"/>
  <c r="B247" i="20"/>
  <c r="A247" i="20"/>
  <c r="AL251" i="20"/>
  <c r="AK251" i="20"/>
  <c r="B251" i="20"/>
  <c r="A251" i="20"/>
  <c r="AL261" i="20"/>
  <c r="AK261" i="20"/>
  <c r="B261" i="20"/>
  <c r="A261" i="20"/>
  <c r="AL260" i="20"/>
  <c r="AK260" i="20"/>
  <c r="B260" i="20"/>
  <c r="A260" i="20"/>
  <c r="AL259" i="20"/>
  <c r="AK259" i="20"/>
  <c r="B259" i="20"/>
  <c r="A259" i="20"/>
  <c r="AL258" i="20"/>
  <c r="AK258" i="20"/>
  <c r="B258" i="20"/>
  <c r="A258" i="20"/>
  <c r="AL257" i="20"/>
  <c r="AK257" i="20"/>
  <c r="B257" i="20"/>
  <c r="A257" i="20"/>
  <c r="AL256" i="20"/>
  <c r="AK256" i="20"/>
  <c r="B256" i="20"/>
  <c r="A256" i="20"/>
  <c r="AL255" i="20"/>
  <c r="AK255" i="20"/>
  <c r="B255" i="20"/>
  <c r="A255" i="20"/>
  <c r="AL254" i="20"/>
  <c r="AK254" i="20"/>
  <c r="B254" i="20"/>
  <c r="A254" i="20"/>
  <c r="AL253" i="20"/>
  <c r="AK253" i="20"/>
  <c r="B253" i="20"/>
  <c r="A253" i="20"/>
  <c r="AL252" i="20"/>
  <c r="AK252" i="20"/>
  <c r="B252" i="20"/>
  <c r="A252" i="20"/>
  <c r="AL263" i="20"/>
  <c r="AK263" i="20"/>
  <c r="B263" i="20"/>
  <c r="A263" i="20"/>
  <c r="AL262" i="20"/>
  <c r="AK262" i="20"/>
  <c r="B262" i="20"/>
  <c r="A262" i="20"/>
  <c r="AL269" i="20"/>
  <c r="AK269" i="20"/>
  <c r="B269" i="20"/>
  <c r="A269" i="20"/>
  <c r="AL268" i="20"/>
  <c r="AK268" i="20"/>
  <c r="B268" i="20"/>
  <c r="A268" i="20"/>
  <c r="AL267" i="20"/>
  <c r="AK267" i="20"/>
  <c r="B267" i="20"/>
  <c r="A267" i="20"/>
  <c r="AL266" i="20"/>
  <c r="AK266" i="20"/>
  <c r="B266" i="20"/>
  <c r="A266" i="20"/>
  <c r="AL265" i="20"/>
  <c r="AK265" i="20"/>
  <c r="B265" i="20"/>
  <c r="A265" i="20"/>
  <c r="AL264" i="20"/>
  <c r="AK264" i="20"/>
  <c r="B264" i="20"/>
  <c r="A264" i="20"/>
  <c r="AL271" i="20"/>
  <c r="AK271" i="20"/>
  <c r="B271" i="20"/>
  <c r="A271" i="20"/>
  <c r="AL270" i="20"/>
  <c r="AK270" i="20"/>
  <c r="B270" i="20"/>
  <c r="A270" i="20"/>
  <c r="AL272" i="20"/>
  <c r="AK272" i="20"/>
  <c r="B272" i="20"/>
  <c r="A272" i="20"/>
  <c r="AL273" i="20"/>
  <c r="AK273" i="20"/>
  <c r="B273" i="20"/>
  <c r="A273" i="20"/>
  <c r="AL274" i="20"/>
  <c r="AK274" i="20"/>
  <c r="B274" i="20"/>
  <c r="A274" i="20"/>
  <c r="AL277" i="20"/>
  <c r="AK277" i="20"/>
  <c r="B277" i="20"/>
  <c r="A277" i="20"/>
  <c r="AL276" i="20"/>
  <c r="AK276" i="20"/>
  <c r="B276" i="20"/>
  <c r="A276" i="20"/>
  <c r="AL275" i="20"/>
  <c r="AK275" i="20"/>
  <c r="B275" i="20"/>
  <c r="A275" i="20"/>
  <c r="AL278" i="20"/>
  <c r="AK278" i="20"/>
  <c r="B278" i="20"/>
  <c r="A278" i="20"/>
  <c r="AL281" i="20"/>
  <c r="AK281" i="20"/>
  <c r="B281" i="20"/>
  <c r="A281" i="20"/>
  <c r="AL280" i="20"/>
  <c r="AK280" i="20"/>
  <c r="B280" i="20"/>
  <c r="A280" i="20"/>
  <c r="AL279" i="20"/>
  <c r="AK279" i="20"/>
  <c r="B279" i="20"/>
  <c r="A279" i="20"/>
  <c r="AL282" i="20"/>
  <c r="AK282" i="20"/>
  <c r="B282" i="20"/>
  <c r="A282" i="20"/>
  <c r="AL286" i="20"/>
  <c r="AK286" i="20"/>
  <c r="B286" i="20"/>
  <c r="A286" i="20"/>
  <c r="AL285" i="20"/>
  <c r="AK285" i="20"/>
  <c r="B285" i="20"/>
  <c r="A285" i="20"/>
  <c r="AL284" i="20"/>
  <c r="AK284" i="20"/>
  <c r="B284" i="20"/>
  <c r="A284" i="20"/>
  <c r="AL283" i="20"/>
  <c r="AK283" i="20"/>
  <c r="B283" i="20"/>
  <c r="A283" i="20"/>
  <c r="AL295" i="20"/>
  <c r="AK295" i="20"/>
  <c r="B295" i="20"/>
  <c r="A295" i="20"/>
  <c r="AL294" i="20"/>
  <c r="AK294" i="20"/>
  <c r="B294" i="20"/>
  <c r="A294" i="20"/>
  <c r="AL293" i="20"/>
  <c r="AK293" i="20"/>
  <c r="B293" i="20"/>
  <c r="A293" i="20"/>
  <c r="AL292" i="20"/>
  <c r="AK292" i="20"/>
  <c r="B292" i="20"/>
  <c r="A292" i="20"/>
  <c r="AL291" i="20"/>
  <c r="AK291" i="20"/>
  <c r="B291" i="20"/>
  <c r="A291" i="20"/>
  <c r="AL290" i="20"/>
  <c r="AK290" i="20"/>
  <c r="B290" i="20"/>
  <c r="A290" i="20"/>
  <c r="AL289" i="20"/>
  <c r="AK289" i="20"/>
  <c r="B289" i="20"/>
  <c r="A289" i="20"/>
  <c r="AL288" i="20"/>
  <c r="AK288" i="20"/>
  <c r="B288" i="20"/>
  <c r="A288" i="20"/>
  <c r="AL287" i="20"/>
  <c r="AK287" i="20"/>
  <c r="B287" i="20"/>
  <c r="A287" i="20"/>
  <c r="AL298" i="20"/>
  <c r="AK298" i="20"/>
  <c r="B298" i="20"/>
  <c r="A298" i="20"/>
  <c r="AL297" i="20"/>
  <c r="AK297" i="20"/>
  <c r="B297" i="20"/>
  <c r="A297" i="20"/>
  <c r="AL296" i="20"/>
  <c r="AK296" i="20"/>
  <c r="B296" i="20"/>
  <c r="A296" i="20"/>
  <c r="AL300" i="20"/>
  <c r="AK300" i="20"/>
  <c r="B300" i="20"/>
  <c r="A300" i="20"/>
  <c r="AL299" i="20"/>
  <c r="AK299" i="20"/>
  <c r="B299" i="20"/>
  <c r="A299" i="20"/>
  <c r="AL302" i="20"/>
  <c r="AK302" i="20"/>
  <c r="B302" i="20"/>
  <c r="A302" i="20"/>
  <c r="AL301" i="20"/>
  <c r="AK301" i="20"/>
  <c r="B301" i="20"/>
  <c r="A301" i="20"/>
  <c r="AL304" i="20"/>
  <c r="AK304" i="20"/>
  <c r="B304" i="20"/>
  <c r="A304" i="20"/>
  <c r="AL303" i="20"/>
  <c r="AK303" i="20"/>
  <c r="B303" i="20"/>
  <c r="A303" i="20"/>
  <c r="AL306" i="20"/>
  <c r="AK306" i="20"/>
  <c r="B306" i="20"/>
  <c r="A306" i="20"/>
  <c r="AL305" i="20"/>
  <c r="AK305" i="20"/>
  <c r="B305" i="20"/>
  <c r="A305" i="20"/>
  <c r="AL312" i="20"/>
  <c r="AK312" i="20"/>
  <c r="B312" i="20"/>
  <c r="A312" i="20"/>
  <c r="AL311" i="20"/>
  <c r="AK311" i="20"/>
  <c r="B311" i="20"/>
  <c r="A311" i="20"/>
  <c r="AL310" i="20"/>
  <c r="AK310" i="20"/>
  <c r="B310" i="20"/>
  <c r="A310" i="20"/>
  <c r="AL309" i="20"/>
  <c r="AK309" i="20"/>
  <c r="B309" i="20"/>
  <c r="A309" i="20"/>
  <c r="AL308" i="20"/>
  <c r="AK308" i="20"/>
  <c r="B308" i="20"/>
  <c r="A308" i="20"/>
  <c r="AL307" i="20"/>
  <c r="AK307" i="20"/>
  <c r="B307" i="20"/>
  <c r="A307" i="20"/>
  <c r="AL313" i="20"/>
  <c r="AK313" i="20"/>
  <c r="B313" i="20"/>
  <c r="A313" i="20"/>
  <c r="AL332" i="20"/>
  <c r="AK332" i="20"/>
  <c r="B332" i="20"/>
  <c r="A332" i="20"/>
  <c r="AL331" i="20"/>
  <c r="AK331" i="20"/>
  <c r="B331" i="20"/>
  <c r="A331" i="20"/>
  <c r="AL330" i="20"/>
  <c r="AK330" i="20"/>
  <c r="B330" i="20"/>
  <c r="A330" i="20"/>
  <c r="AL329" i="20"/>
  <c r="AK329" i="20"/>
  <c r="B329" i="20"/>
  <c r="A329" i="20"/>
  <c r="AL328" i="20"/>
  <c r="AK328" i="20"/>
  <c r="B328" i="20"/>
  <c r="A328" i="20"/>
  <c r="AL327" i="20"/>
  <c r="AK327" i="20"/>
  <c r="B327" i="20"/>
  <c r="A327" i="20"/>
  <c r="AL326" i="20"/>
  <c r="AK326" i="20"/>
  <c r="B326" i="20"/>
  <c r="A326" i="20"/>
  <c r="AL325" i="20"/>
  <c r="AK325" i="20"/>
  <c r="B325" i="20"/>
  <c r="A325" i="20"/>
  <c r="AL324" i="20"/>
  <c r="AK324" i="20"/>
  <c r="B324" i="20"/>
  <c r="A324" i="20"/>
  <c r="AL323" i="20"/>
  <c r="AK323" i="20"/>
  <c r="B323" i="20"/>
  <c r="A323" i="20"/>
  <c r="AL322" i="20"/>
  <c r="AK322" i="20"/>
  <c r="B322" i="20"/>
  <c r="A322" i="20"/>
  <c r="AL321" i="20"/>
  <c r="AK321" i="20"/>
  <c r="B321" i="20"/>
  <c r="A321" i="20"/>
  <c r="AL320" i="20"/>
  <c r="AK320" i="20"/>
  <c r="B320" i="20"/>
  <c r="A320" i="20"/>
  <c r="AL319" i="20"/>
  <c r="AK319" i="20"/>
  <c r="B319" i="20"/>
  <c r="A319" i="20"/>
  <c r="AL318" i="20"/>
  <c r="AK318" i="20"/>
  <c r="B318" i="20"/>
  <c r="A318" i="20"/>
  <c r="AL317" i="20"/>
  <c r="AK317" i="20"/>
  <c r="B317" i="20"/>
  <c r="A317" i="20"/>
  <c r="AL316" i="20"/>
  <c r="AK316" i="20"/>
  <c r="B316" i="20"/>
  <c r="A316" i="20"/>
  <c r="AL315" i="20"/>
  <c r="AK315" i="20"/>
  <c r="B315" i="20"/>
  <c r="A315" i="20"/>
  <c r="AL314" i="20"/>
  <c r="AK314" i="20"/>
  <c r="B314" i="20"/>
  <c r="A314" i="20"/>
  <c r="AL336" i="20"/>
  <c r="AK336" i="20"/>
  <c r="B336" i="20"/>
  <c r="A336" i="20"/>
  <c r="AL335" i="20"/>
  <c r="AK335" i="20"/>
  <c r="B335" i="20"/>
  <c r="A335" i="20"/>
  <c r="AL334" i="20"/>
  <c r="AK334" i="20"/>
  <c r="B334" i="20"/>
  <c r="A334" i="20"/>
  <c r="AL333" i="20"/>
  <c r="AK333" i="20"/>
  <c r="B333" i="20"/>
  <c r="A333" i="20"/>
  <c r="AL338" i="20"/>
  <c r="AK338" i="20"/>
  <c r="B338" i="20"/>
  <c r="A338" i="20"/>
  <c r="AL337" i="20"/>
  <c r="AK337" i="20"/>
  <c r="B337" i="20"/>
  <c r="A337" i="20"/>
  <c r="AL339" i="20"/>
  <c r="AK339" i="20"/>
  <c r="B339" i="20"/>
  <c r="A339" i="20"/>
  <c r="AL340" i="20"/>
  <c r="AK340" i="20"/>
  <c r="B340" i="20"/>
  <c r="A340" i="20"/>
  <c r="AL347" i="20"/>
  <c r="AK347" i="20"/>
  <c r="B347" i="20"/>
  <c r="A347" i="20"/>
  <c r="AL346" i="20"/>
  <c r="AK346" i="20"/>
  <c r="B346" i="20"/>
  <c r="A346" i="20"/>
  <c r="AL345" i="20"/>
  <c r="AK345" i="20"/>
  <c r="B345" i="20"/>
  <c r="A345" i="20"/>
  <c r="AL344" i="20"/>
  <c r="AK344" i="20"/>
  <c r="B344" i="20"/>
  <c r="A344" i="20"/>
  <c r="AL343" i="20"/>
  <c r="AK343" i="20"/>
  <c r="B343" i="20"/>
  <c r="A343" i="20"/>
  <c r="AL342" i="20"/>
  <c r="AK342" i="20"/>
  <c r="B342" i="20"/>
  <c r="A342" i="20"/>
  <c r="AL341" i="20"/>
  <c r="AK341" i="20"/>
  <c r="B341" i="20"/>
  <c r="A341" i="20"/>
  <c r="AL353" i="20"/>
  <c r="AK353" i="20"/>
  <c r="B353" i="20"/>
  <c r="A353" i="20"/>
  <c r="AL352" i="20"/>
  <c r="AK352" i="20"/>
  <c r="B352" i="20"/>
  <c r="A352" i="20"/>
  <c r="AL351" i="20"/>
  <c r="AK351" i="20"/>
  <c r="B351" i="20"/>
  <c r="A351" i="20"/>
  <c r="AL350" i="20"/>
  <c r="AK350" i="20"/>
  <c r="B350" i="20"/>
  <c r="A350" i="20"/>
  <c r="AL349" i="20"/>
  <c r="AK349" i="20"/>
  <c r="B349" i="20"/>
  <c r="A349" i="20"/>
  <c r="AL348" i="20"/>
  <c r="AK348" i="20"/>
  <c r="B348" i="20"/>
  <c r="A348" i="20"/>
  <c r="AL359" i="20"/>
  <c r="AK359" i="20"/>
  <c r="B359" i="20"/>
  <c r="A359" i="20"/>
  <c r="AL358" i="20"/>
  <c r="AK358" i="20"/>
  <c r="B358" i="20"/>
  <c r="A358" i="20"/>
  <c r="AL357" i="20"/>
  <c r="AK357" i="20"/>
  <c r="B357" i="20"/>
  <c r="A357" i="20"/>
  <c r="AL356" i="20"/>
  <c r="AK356" i="20"/>
  <c r="B356" i="20"/>
  <c r="A356" i="20"/>
  <c r="AL355" i="20"/>
  <c r="AK355" i="20"/>
  <c r="B355" i="20"/>
  <c r="A355" i="20"/>
  <c r="AL354" i="20"/>
  <c r="AK354" i="20"/>
  <c r="B354" i="20"/>
  <c r="A354" i="20"/>
  <c r="AL360" i="20"/>
  <c r="AK360" i="20"/>
  <c r="B360" i="20"/>
  <c r="A360" i="20"/>
  <c r="AL361" i="20"/>
  <c r="AK361" i="20"/>
  <c r="B361" i="20"/>
  <c r="A361" i="20"/>
  <c r="AL362" i="20"/>
  <c r="AK362" i="20"/>
  <c r="B362" i="20"/>
  <c r="A362" i="20"/>
  <c r="AL365" i="20"/>
  <c r="AK365" i="20"/>
  <c r="B365" i="20"/>
  <c r="A365" i="20"/>
  <c r="AL364" i="20"/>
  <c r="AK364" i="20"/>
  <c r="B364" i="20"/>
  <c r="A364" i="20"/>
  <c r="AL363" i="20"/>
  <c r="AK363" i="20"/>
  <c r="B363" i="20"/>
  <c r="A363" i="20"/>
  <c r="AL367" i="20"/>
  <c r="AK367" i="20"/>
  <c r="B367" i="20"/>
  <c r="A367" i="20"/>
  <c r="AL366" i="20"/>
  <c r="AK366" i="20"/>
  <c r="B366" i="20"/>
  <c r="A366" i="20"/>
  <c r="AL368" i="20"/>
  <c r="AK368" i="20"/>
  <c r="B368" i="20"/>
  <c r="A368" i="20"/>
  <c r="AL369" i="20"/>
  <c r="AK369" i="20"/>
  <c r="B369" i="20"/>
  <c r="A369" i="20"/>
  <c r="AL370" i="20"/>
  <c r="AK370" i="20"/>
  <c r="B370" i="20"/>
  <c r="A370" i="20"/>
  <c r="AL371" i="20"/>
  <c r="AK371" i="20"/>
  <c r="B371" i="20"/>
  <c r="A371" i="20"/>
  <c r="AL375" i="20"/>
  <c r="AK375" i="20"/>
  <c r="B375" i="20"/>
  <c r="A375" i="20"/>
  <c r="AL374" i="20"/>
  <c r="AK374" i="20"/>
  <c r="B374" i="20"/>
  <c r="A374" i="20"/>
  <c r="AL373" i="20"/>
  <c r="AK373" i="20"/>
  <c r="B373" i="20"/>
  <c r="A373" i="20"/>
  <c r="AL372" i="20"/>
  <c r="AK372" i="20"/>
  <c r="B372" i="20"/>
  <c r="A372" i="20"/>
  <c r="AL376" i="20"/>
  <c r="AK376" i="20"/>
  <c r="B376" i="20"/>
  <c r="A376" i="20"/>
  <c r="AL377" i="20"/>
  <c r="AK377" i="20"/>
  <c r="B377" i="20"/>
  <c r="A377" i="20"/>
  <c r="AL379" i="20"/>
  <c r="AK379" i="20"/>
  <c r="B379" i="20"/>
  <c r="A379" i="20"/>
  <c r="AL378" i="20"/>
  <c r="AK378" i="20"/>
  <c r="B378" i="20"/>
  <c r="A378" i="20"/>
  <c r="AL381" i="20"/>
  <c r="AK381" i="20"/>
  <c r="B381" i="20"/>
  <c r="A381" i="20"/>
  <c r="AL380" i="20"/>
  <c r="AK380" i="20"/>
  <c r="B380" i="20"/>
  <c r="A380" i="20"/>
  <c r="AL382" i="20"/>
  <c r="AK382" i="20"/>
  <c r="B382" i="20"/>
  <c r="A382" i="20"/>
  <c r="AL383" i="20"/>
  <c r="AK383" i="20"/>
  <c r="B383" i="20"/>
  <c r="A383" i="20"/>
  <c r="AL384" i="20"/>
  <c r="AK384" i="20"/>
  <c r="B384" i="20"/>
  <c r="A384" i="20"/>
  <c r="AL386" i="20"/>
  <c r="AK386" i="20"/>
  <c r="B386" i="20"/>
  <c r="A386" i="20"/>
  <c r="AL385" i="20"/>
  <c r="AK385" i="20"/>
  <c r="B385" i="20"/>
  <c r="A385" i="20"/>
  <c r="AL387" i="20"/>
  <c r="AK387" i="20"/>
  <c r="B387" i="20"/>
  <c r="A387" i="20"/>
  <c r="AL388" i="20"/>
  <c r="AK388" i="20"/>
  <c r="B388" i="20"/>
  <c r="A388" i="20"/>
  <c r="AL390" i="20"/>
  <c r="AK390" i="20"/>
  <c r="B390" i="20"/>
  <c r="A390" i="20"/>
  <c r="AL389" i="20"/>
  <c r="AK389" i="20"/>
  <c r="B389" i="20"/>
  <c r="A389" i="20"/>
  <c r="AL391" i="20"/>
  <c r="AK391" i="20"/>
  <c r="B391" i="20"/>
  <c r="A391" i="20"/>
  <c r="AL392" i="20"/>
  <c r="AK392" i="20"/>
  <c r="B392" i="20"/>
  <c r="A392" i="20"/>
  <c r="AL398" i="20"/>
  <c r="AK398" i="20"/>
  <c r="B398" i="20"/>
  <c r="A398" i="20"/>
  <c r="AL397" i="20"/>
  <c r="AK397" i="20"/>
  <c r="B397" i="20"/>
  <c r="A397" i="20"/>
  <c r="AL396" i="20"/>
  <c r="AK396" i="20"/>
  <c r="B396" i="20"/>
  <c r="A396" i="20"/>
  <c r="AL395" i="20"/>
  <c r="AK395" i="20"/>
  <c r="B395" i="20"/>
  <c r="A395" i="20"/>
  <c r="AL394" i="20"/>
  <c r="AK394" i="20"/>
  <c r="B394" i="20"/>
  <c r="A394" i="20"/>
  <c r="AL393" i="20"/>
  <c r="AK393" i="20"/>
  <c r="B393" i="20"/>
  <c r="A393" i="20"/>
  <c r="AL408" i="20"/>
  <c r="AK408" i="20"/>
  <c r="B408" i="20"/>
  <c r="A408" i="20"/>
  <c r="AL407" i="20"/>
  <c r="AK407" i="20"/>
  <c r="B407" i="20"/>
  <c r="A407" i="20"/>
  <c r="AL406" i="20"/>
  <c r="AK406" i="20"/>
  <c r="B406" i="20"/>
  <c r="A406" i="20"/>
  <c r="AL405" i="20"/>
  <c r="AK405" i="20"/>
  <c r="B405" i="20"/>
  <c r="A405" i="20"/>
  <c r="AL404" i="20"/>
  <c r="AK404" i="20"/>
  <c r="B404" i="20"/>
  <c r="A404" i="20"/>
  <c r="AL403" i="20"/>
  <c r="AK403" i="20"/>
  <c r="B403" i="20"/>
  <c r="A403" i="20"/>
  <c r="AL402" i="20"/>
  <c r="AK402" i="20"/>
  <c r="B402" i="20"/>
  <c r="A402" i="20"/>
  <c r="AL401" i="20"/>
  <c r="AK401" i="20"/>
  <c r="B401" i="20"/>
  <c r="A401" i="20"/>
  <c r="AL400" i="20"/>
  <c r="AK400" i="20"/>
  <c r="B400" i="20"/>
  <c r="A400" i="20"/>
  <c r="AL399" i="20"/>
  <c r="AK399" i="20"/>
  <c r="B399" i="20"/>
  <c r="A399" i="20"/>
  <c r="AL412" i="20"/>
  <c r="AK412" i="20"/>
  <c r="B412" i="20"/>
  <c r="A412" i="20"/>
  <c r="AL411" i="20"/>
  <c r="AK411" i="20"/>
  <c r="B411" i="20"/>
  <c r="A411" i="20"/>
  <c r="AL410" i="20"/>
  <c r="AK410" i="20"/>
  <c r="B410" i="20"/>
  <c r="A410" i="20"/>
  <c r="AL409" i="20"/>
  <c r="AK409" i="20"/>
  <c r="B409" i="20"/>
  <c r="A409" i="20"/>
  <c r="AL419" i="20"/>
  <c r="AK419" i="20"/>
  <c r="B419" i="20"/>
  <c r="A419" i="20"/>
  <c r="AL418" i="20"/>
  <c r="AK418" i="20"/>
  <c r="B418" i="20"/>
  <c r="A418" i="20"/>
  <c r="AL417" i="20"/>
  <c r="AK417" i="20"/>
  <c r="B417" i="20"/>
  <c r="A417" i="20"/>
  <c r="AL416" i="20"/>
  <c r="AK416" i="20"/>
  <c r="B416" i="20"/>
  <c r="A416" i="20"/>
  <c r="AL415" i="20"/>
  <c r="AK415" i="20"/>
  <c r="B415" i="20"/>
  <c r="A415" i="20"/>
  <c r="AL414" i="20"/>
  <c r="AK414" i="20"/>
  <c r="B414" i="20"/>
  <c r="A414" i="20"/>
  <c r="AL413" i="20"/>
  <c r="AK413" i="20"/>
  <c r="B413" i="20"/>
  <c r="A413" i="20"/>
  <c r="AL425" i="20"/>
  <c r="AK425" i="20"/>
  <c r="B425" i="20"/>
  <c r="A425" i="20"/>
  <c r="AL424" i="20"/>
  <c r="AK424" i="20"/>
  <c r="B424" i="20"/>
  <c r="A424" i="20"/>
  <c r="AL423" i="20"/>
  <c r="AK423" i="20"/>
  <c r="B423" i="20"/>
  <c r="A423" i="20"/>
  <c r="AL422" i="20"/>
  <c r="AK422" i="20"/>
  <c r="B422" i="20"/>
  <c r="A422" i="20"/>
  <c r="AL421" i="20"/>
  <c r="AK421" i="20"/>
  <c r="B421" i="20"/>
  <c r="A421" i="20"/>
  <c r="AL420" i="20"/>
  <c r="AK420" i="20"/>
  <c r="B420" i="20"/>
  <c r="A420" i="20"/>
  <c r="AL430" i="20"/>
  <c r="AK430" i="20"/>
  <c r="B430" i="20"/>
  <c r="A430" i="20"/>
  <c r="AL429" i="20"/>
  <c r="AK429" i="20"/>
  <c r="B429" i="20"/>
  <c r="A429" i="20"/>
  <c r="AL428" i="20"/>
  <c r="AK428" i="20"/>
  <c r="B428" i="20"/>
  <c r="A428" i="20"/>
  <c r="AL427" i="20"/>
  <c r="AK427" i="20"/>
  <c r="B427" i="20"/>
  <c r="A427" i="20"/>
  <c r="AL426" i="20"/>
  <c r="AK426" i="20"/>
  <c r="B426" i="20"/>
  <c r="A426" i="20"/>
  <c r="AL435" i="20"/>
  <c r="AK435" i="20"/>
  <c r="B435" i="20"/>
  <c r="A435" i="20"/>
  <c r="AL434" i="20"/>
  <c r="AK434" i="20"/>
  <c r="B434" i="20"/>
  <c r="A434" i="20"/>
  <c r="AL433" i="20"/>
  <c r="AK433" i="20"/>
  <c r="B433" i="20"/>
  <c r="A433" i="20"/>
  <c r="AL432" i="20"/>
  <c r="AK432" i="20"/>
  <c r="B432" i="20"/>
  <c r="A432" i="20"/>
  <c r="AL431" i="20"/>
  <c r="AK431" i="20"/>
  <c r="B431" i="20"/>
  <c r="A431" i="20"/>
  <c r="AL438" i="20"/>
  <c r="AK438" i="20"/>
  <c r="B438" i="20"/>
  <c r="A438" i="20"/>
  <c r="AL437" i="20"/>
  <c r="AK437" i="20"/>
  <c r="B437" i="20"/>
  <c r="A437" i="20"/>
  <c r="AL436" i="20"/>
  <c r="AK436" i="20"/>
  <c r="B436" i="20"/>
  <c r="A436"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0" i="74"/>
  <c r="H39" i="74"/>
  <c r="H38" i="74"/>
  <c r="H37" i="74"/>
  <c r="H36" i="74"/>
  <c r="H35" i="74"/>
  <c r="H34" i="74"/>
  <c r="H33" i="74"/>
  <c r="H32" i="74"/>
  <c r="H31" i="74"/>
  <c r="H30" i="74"/>
  <c r="H29" i="74"/>
  <c r="H16" i="74"/>
  <c r="H15" i="74"/>
  <c r="H14" i="74"/>
  <c r="H13" i="74"/>
  <c r="H12" i="74"/>
  <c r="H11" i="74"/>
  <c r="H10" i="74"/>
  <c r="H9" i="74"/>
  <c r="H8" i="74"/>
  <c r="H7" i="74"/>
  <c r="H6" i="74"/>
  <c r="H5" i="74"/>
  <c r="H208" i="74"/>
  <c r="H207" i="74"/>
  <c r="H206" i="74"/>
  <c r="H205" i="74"/>
  <c r="H204" i="74"/>
  <c r="H203" i="74"/>
  <c r="H202" i="74"/>
  <c r="H201" i="74"/>
  <c r="H200" i="74"/>
  <c r="H199" i="74"/>
  <c r="H198" i="74"/>
  <c r="H197" i="74"/>
  <c r="H52" i="74"/>
  <c r="H51" i="74"/>
  <c r="H50" i="74"/>
  <c r="H49" i="74"/>
  <c r="H48" i="74"/>
  <c r="H47" i="74"/>
  <c r="H46" i="74"/>
  <c r="H45" i="74"/>
  <c r="H44" i="74"/>
  <c r="H43" i="74"/>
  <c r="H64" i="74"/>
  <c r="H63" i="74"/>
  <c r="H62" i="74"/>
  <c r="H61" i="74"/>
  <c r="H60" i="74"/>
  <c r="H59" i="74"/>
  <c r="H58" i="74"/>
  <c r="H57" i="74"/>
  <c r="H56" i="74"/>
  <c r="H55" i="74"/>
  <c r="H54" i="74"/>
  <c r="H53" i="74"/>
  <c r="H76" i="74"/>
  <c r="H75" i="74"/>
  <c r="H74" i="74"/>
  <c r="H73" i="74"/>
  <c r="H72" i="74"/>
  <c r="H71" i="74"/>
  <c r="H70" i="74"/>
  <c r="H69" i="74"/>
  <c r="H68" i="74"/>
  <c r="H67" i="74"/>
  <c r="H66" i="74"/>
  <c r="H65" i="74"/>
  <c r="H88" i="74"/>
  <c r="H87" i="74"/>
  <c r="H86" i="74"/>
  <c r="H85" i="74"/>
  <c r="H84" i="74"/>
  <c r="H83" i="74"/>
  <c r="H82" i="74"/>
  <c r="H81" i="74"/>
  <c r="H80" i="74"/>
  <c r="H79" i="74"/>
  <c r="H78" i="74"/>
  <c r="H77" i="74"/>
  <c r="H100" i="74"/>
  <c r="H99" i="74"/>
  <c r="H98" i="74"/>
  <c r="H97" i="74"/>
  <c r="H96" i="74"/>
  <c r="H95" i="74"/>
  <c r="H94" i="74"/>
  <c r="H93" i="74"/>
  <c r="H92" i="74"/>
  <c r="H91" i="74"/>
  <c r="H90" i="74"/>
  <c r="H89" i="74"/>
  <c r="H112" i="74"/>
  <c r="H111" i="74"/>
  <c r="H110" i="74"/>
  <c r="H109" i="74"/>
  <c r="H108" i="74"/>
  <c r="H107" i="74"/>
  <c r="H106" i="74"/>
  <c r="H105" i="74"/>
  <c r="H104" i="74"/>
  <c r="H103" i="74"/>
  <c r="H102" i="74"/>
  <c r="H101" i="74"/>
  <c r="H124" i="74"/>
  <c r="H123" i="74"/>
  <c r="H122" i="74"/>
  <c r="H121" i="74"/>
  <c r="H120" i="74"/>
  <c r="H119" i="74"/>
  <c r="H118" i="74"/>
  <c r="H117" i="74"/>
  <c r="H116" i="74"/>
  <c r="H115" i="74"/>
  <c r="H114" i="74"/>
  <c r="H113" i="74"/>
  <c r="H136" i="74"/>
  <c r="H135" i="74"/>
  <c r="H134" i="74"/>
  <c r="H133" i="74"/>
  <c r="H132" i="74"/>
  <c r="H131" i="74"/>
  <c r="H130" i="74"/>
  <c r="H129" i="74"/>
  <c r="H128" i="74"/>
  <c r="H127" i="74"/>
  <c r="H126" i="74"/>
  <c r="H148" i="74"/>
  <c r="H147" i="74"/>
  <c r="H146" i="74"/>
  <c r="H145" i="74"/>
  <c r="H144" i="74"/>
  <c r="H143" i="74"/>
  <c r="H142" i="74"/>
  <c r="H141" i="74"/>
  <c r="H140" i="74"/>
  <c r="H139" i="74"/>
  <c r="H138" i="74"/>
  <c r="H137" i="74"/>
  <c r="H160" i="74"/>
  <c r="H159" i="74"/>
  <c r="H158" i="74"/>
  <c r="H157" i="74"/>
  <c r="H156" i="74"/>
  <c r="H155" i="74"/>
  <c r="H154" i="74"/>
  <c r="H153" i="74"/>
  <c r="H152" i="74"/>
  <c r="H151" i="74"/>
  <c r="H172" i="74"/>
  <c r="H171" i="74"/>
  <c r="H170" i="74"/>
  <c r="H169" i="74"/>
  <c r="H168" i="74"/>
  <c r="H167" i="74"/>
  <c r="H166" i="74"/>
  <c r="H165" i="74"/>
  <c r="H164" i="74"/>
  <c r="H163" i="74"/>
  <c r="H161" i="74"/>
  <c r="H184" i="74"/>
  <c r="H183" i="74"/>
  <c r="H182" i="74"/>
  <c r="H181" i="74"/>
  <c r="H180" i="74"/>
  <c r="H179" i="74"/>
  <c r="H178" i="74"/>
  <c r="H177" i="74"/>
  <c r="H176" i="74"/>
  <c r="H175" i="74"/>
  <c r="H174" i="74"/>
  <c r="H173" i="74"/>
  <c r="H196" i="74"/>
  <c r="H195" i="74"/>
  <c r="H194" i="74"/>
  <c r="H193" i="74"/>
  <c r="H192" i="74"/>
  <c r="H191" i="74"/>
  <c r="H190" i="74"/>
  <c r="H189" i="74"/>
  <c r="H188" i="74"/>
  <c r="H185"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I8" i="43"/>
  <c r="N8" i="36" l="1"/>
  <c r="Q8" i="36" s="1"/>
  <c r="Y6" i="20"/>
  <c r="AC6" i="20"/>
  <c r="AG6" i="20"/>
  <c r="Z6" i="20"/>
  <c r="AD6" i="20"/>
  <c r="AH6" i="20"/>
  <c r="W6" i="20"/>
  <c r="AA6" i="20"/>
  <c r="AE6" i="20"/>
  <c r="AI6" i="20"/>
  <c r="X6" i="20"/>
  <c r="AB6" i="20"/>
  <c r="AF6" i="20"/>
  <c r="AJ6" i="20"/>
  <c r="Y8" i="20"/>
  <c r="AC8" i="20"/>
  <c r="AG8" i="20"/>
  <c r="Z8" i="20"/>
  <c r="AD8" i="20"/>
  <c r="AH8" i="20"/>
  <c r="W8" i="20"/>
  <c r="AA8" i="20"/>
  <c r="AE8" i="20"/>
  <c r="AI8" i="20"/>
  <c r="X8" i="20"/>
  <c r="AB8" i="20"/>
  <c r="AF8" i="20"/>
  <c r="AJ8" i="20"/>
  <c r="X9" i="20"/>
  <c r="AB9" i="20"/>
  <c r="AF9" i="20"/>
  <c r="AJ9" i="20"/>
  <c r="Y9" i="20"/>
  <c r="AC9" i="20"/>
  <c r="AG9" i="20"/>
  <c r="Z9" i="20"/>
  <c r="AD9" i="20"/>
  <c r="AH9" i="20"/>
  <c r="W9" i="20"/>
  <c r="AA9" i="20"/>
  <c r="AE9" i="20"/>
  <c r="AI9" i="20"/>
  <c r="W10" i="20"/>
  <c r="Y10" i="20"/>
  <c r="AA10" i="20"/>
  <c r="AC10" i="20"/>
  <c r="AE10" i="20"/>
  <c r="AG10" i="20"/>
  <c r="AI10" i="20"/>
  <c r="X10" i="20"/>
  <c r="AB10" i="20"/>
  <c r="AD10" i="20"/>
  <c r="AF10" i="20"/>
  <c r="AJ10" i="20"/>
  <c r="W11" i="20"/>
  <c r="Y11" i="20"/>
  <c r="AA11" i="20"/>
  <c r="AC11" i="20"/>
  <c r="AE11" i="20"/>
  <c r="AG11" i="20"/>
  <c r="AI11" i="20"/>
  <c r="Z10" i="20"/>
  <c r="AH10" i="20"/>
  <c r="X11" i="20"/>
  <c r="Z11" i="20"/>
  <c r="AB11" i="20"/>
  <c r="AD11" i="20"/>
  <c r="AF11" i="20"/>
  <c r="AH11" i="20"/>
  <c r="AJ11" i="20"/>
  <c r="W13" i="20"/>
  <c r="AA13" i="20"/>
  <c r="AE13" i="20"/>
  <c r="AI13" i="20"/>
  <c r="X13" i="20"/>
  <c r="AB13" i="20"/>
  <c r="AF13" i="20"/>
  <c r="AJ13" i="20"/>
  <c r="Y13" i="20"/>
  <c r="AC13" i="20"/>
  <c r="AG13" i="20"/>
  <c r="Z13" i="20"/>
  <c r="AD13" i="20"/>
  <c r="AH13" i="20"/>
  <c r="Y12" i="20"/>
  <c r="AC12" i="20"/>
  <c r="AG12" i="20"/>
  <c r="Z12" i="20"/>
  <c r="AD12" i="20"/>
  <c r="AH12" i="20"/>
  <c r="W12" i="20"/>
  <c r="AA12" i="20"/>
  <c r="AE12" i="20"/>
  <c r="AI12" i="20"/>
  <c r="X12" i="20"/>
  <c r="AB12" i="20"/>
  <c r="AF12" i="20"/>
  <c r="AJ12" i="20"/>
  <c r="X7" i="20"/>
  <c r="AB7" i="20"/>
  <c r="AF7" i="20"/>
  <c r="AJ7" i="20"/>
  <c r="Y7" i="20"/>
  <c r="AC7" i="20"/>
  <c r="AG7" i="20"/>
  <c r="Z7" i="20"/>
  <c r="AD7" i="20"/>
  <c r="H11" i="37" s="1"/>
  <c r="AH7" i="20"/>
  <c r="W7" i="20"/>
  <c r="AA7" i="20"/>
  <c r="AE7" i="20"/>
  <c r="AI7" i="20"/>
  <c r="AI14" i="20"/>
  <c r="AC18" i="20"/>
  <c r="W14" i="20"/>
  <c r="Y14" i="20"/>
  <c r="AA14" i="20"/>
  <c r="AC14" i="20"/>
  <c r="AE14" i="20"/>
  <c r="AG14" i="20"/>
  <c r="X14" i="20"/>
  <c r="Z14" i="20"/>
  <c r="AB14" i="20"/>
  <c r="AD14" i="20"/>
  <c r="AH14" i="20"/>
  <c r="X15" i="20"/>
  <c r="Z15" i="20"/>
  <c r="AB15" i="20"/>
  <c r="AD15" i="20"/>
  <c r="AF15" i="20"/>
  <c r="AJ15" i="20"/>
  <c r="W15" i="20"/>
  <c r="Y15" i="20"/>
  <c r="AA15" i="20"/>
  <c r="AC15" i="20"/>
  <c r="AE15" i="20"/>
  <c r="AG15" i="20"/>
  <c r="AI15" i="20"/>
  <c r="AF14" i="20"/>
  <c r="AJ14" i="20"/>
  <c r="AH15" i="20"/>
  <c r="Y16" i="20"/>
  <c r="AC16" i="20"/>
  <c r="AG16" i="20"/>
  <c r="Z16" i="20"/>
  <c r="AD16" i="20"/>
  <c r="AH16" i="20"/>
  <c r="W16" i="20"/>
  <c r="AA16" i="20"/>
  <c r="AE16" i="20"/>
  <c r="AI16" i="20"/>
  <c r="X16" i="20"/>
  <c r="AB16" i="20"/>
  <c r="AF16" i="20"/>
  <c r="AJ16" i="20"/>
  <c r="Y23" i="20"/>
  <c r="AC23" i="20"/>
  <c r="AG23" i="20"/>
  <c r="W23" i="20"/>
  <c r="AE23" i="20"/>
  <c r="AI23" i="20"/>
  <c r="Z23" i="20"/>
  <c r="AD23" i="20"/>
  <c r="AH23" i="20"/>
  <c r="AA23" i="20"/>
  <c r="X23" i="20"/>
  <c r="AB23" i="20"/>
  <c r="AF23" i="20"/>
  <c r="AJ23" i="20"/>
  <c r="Y26" i="20"/>
  <c r="AC26" i="20"/>
  <c r="AG26" i="20"/>
  <c r="X26" i="20"/>
  <c r="Z26" i="20"/>
  <c r="AD26" i="20"/>
  <c r="AH26" i="20"/>
  <c r="W26" i="20"/>
  <c r="AA26" i="20"/>
  <c r="AE26" i="20"/>
  <c r="AI26" i="20"/>
  <c r="AB26" i="20"/>
  <c r="AF26" i="20"/>
  <c r="AJ26" i="20"/>
  <c r="Z21" i="20"/>
  <c r="AD21" i="20"/>
  <c r="AH21" i="20"/>
  <c r="W21" i="20"/>
  <c r="AA21" i="20"/>
  <c r="AE21" i="20"/>
  <c r="AI21" i="20"/>
  <c r="X21" i="20"/>
  <c r="AB21" i="20"/>
  <c r="AF21" i="20"/>
  <c r="AJ21" i="20"/>
  <c r="Y21" i="20"/>
  <c r="AC21" i="20"/>
  <c r="AG21" i="20"/>
  <c r="Y22" i="20"/>
  <c r="AC22" i="20"/>
  <c r="AG22" i="20"/>
  <c r="Z22" i="20"/>
  <c r="AD22" i="20"/>
  <c r="AH22" i="20"/>
  <c r="X22" i="20"/>
  <c r="AB22" i="20"/>
  <c r="AF22" i="20"/>
  <c r="AJ22" i="20"/>
  <c r="W22" i="20"/>
  <c r="AA22" i="20"/>
  <c r="AE22" i="20"/>
  <c r="AI22" i="20"/>
  <c r="Z17" i="20"/>
  <c r="AD17" i="20"/>
  <c r="AH17" i="20"/>
  <c r="W17" i="20"/>
  <c r="AA17" i="20"/>
  <c r="AE17" i="20"/>
  <c r="AI17" i="20"/>
  <c r="X17" i="20"/>
  <c r="AB17" i="20"/>
  <c r="AF17" i="20"/>
  <c r="AJ17" i="20"/>
  <c r="Y17" i="20"/>
  <c r="AC17" i="20"/>
  <c r="AG17" i="20"/>
  <c r="Y18" i="20"/>
  <c r="AG18" i="20"/>
  <c r="X18" i="20"/>
  <c r="AB18" i="20"/>
  <c r="AF18" i="20"/>
  <c r="AJ18" i="20"/>
  <c r="Z18" i="20"/>
  <c r="AD18" i="20"/>
  <c r="AH18" i="20"/>
  <c r="W18" i="20"/>
  <c r="AA18" i="20"/>
  <c r="AE18" i="20"/>
  <c r="AI18" i="20"/>
  <c r="W19" i="20"/>
  <c r="Y19" i="20"/>
  <c r="AA19" i="20"/>
  <c r="AC19" i="20"/>
  <c r="AE19" i="20"/>
  <c r="AG19" i="20"/>
  <c r="AI19" i="20"/>
  <c r="W24" i="20"/>
  <c r="Y24" i="20"/>
  <c r="AA24" i="20"/>
  <c r="AC24" i="20"/>
  <c r="AG24" i="20"/>
  <c r="X24" i="20"/>
  <c r="Z24" i="20"/>
  <c r="AB24" i="20"/>
  <c r="AD24" i="20"/>
  <c r="AF24" i="20"/>
  <c r="AH24" i="20"/>
  <c r="AJ24" i="20"/>
  <c r="AE24" i="20"/>
  <c r="AI24" i="20"/>
  <c r="X19" i="20"/>
  <c r="Z19" i="20"/>
  <c r="AB19" i="20"/>
  <c r="AD19" i="20"/>
  <c r="AF19" i="20"/>
  <c r="AH19" i="20"/>
  <c r="AJ19" i="20"/>
  <c r="Y25" i="20"/>
  <c r="AC25" i="20"/>
  <c r="AG25" i="20"/>
  <c r="Z25" i="20"/>
  <c r="AD25" i="20"/>
  <c r="AH25" i="20"/>
  <c r="W25" i="20"/>
  <c r="AA25" i="20"/>
  <c r="AE25" i="20"/>
  <c r="AI25" i="20"/>
  <c r="X25" i="20"/>
  <c r="AB25" i="20"/>
  <c r="AF25" i="20"/>
  <c r="AJ25" i="20"/>
  <c r="Y20" i="20"/>
  <c r="AC20" i="20"/>
  <c r="AG20" i="20"/>
  <c r="Z20" i="20"/>
  <c r="AD20" i="20"/>
  <c r="AH20" i="20"/>
  <c r="W20" i="20"/>
  <c r="AA20" i="20"/>
  <c r="AE20" i="20"/>
  <c r="AI20" i="20"/>
  <c r="X20" i="20"/>
  <c r="AB20" i="20"/>
  <c r="AF20" i="20"/>
  <c r="AJ20" i="20"/>
  <c r="Y27" i="20"/>
  <c r="AC27" i="20"/>
  <c r="AG27" i="20"/>
  <c r="Z27" i="20"/>
  <c r="AD27" i="20"/>
  <c r="AH27" i="20"/>
  <c r="W27" i="20"/>
  <c r="AA27" i="20"/>
  <c r="AE27" i="20"/>
  <c r="AI27" i="20"/>
  <c r="X27" i="20"/>
  <c r="AB27" i="20"/>
  <c r="AF27" i="20"/>
  <c r="AJ27" i="20"/>
  <c r="X51" i="20"/>
  <c r="AG28" i="20"/>
  <c r="X28" i="20"/>
  <c r="Y28" i="20"/>
  <c r="X31" i="20"/>
  <c r="Y32" i="20"/>
  <c r="AC32" i="20"/>
  <c r="AG32" i="20"/>
  <c r="Z32" i="20"/>
  <c r="AD32" i="20"/>
  <c r="AH32" i="20"/>
  <c r="W32" i="20"/>
  <c r="AA32" i="20"/>
  <c r="AE32" i="20"/>
  <c r="AI32" i="20"/>
  <c r="X32" i="20"/>
  <c r="AB32" i="20"/>
  <c r="AF32" i="20"/>
  <c r="AJ32" i="20"/>
  <c r="AI114" i="20"/>
  <c r="AI115" i="20"/>
  <c r="AI103" i="20"/>
  <c r="AI90" i="20"/>
  <c r="Y36" i="20"/>
  <c r="AC36" i="20"/>
  <c r="AG36" i="20"/>
  <c r="X36" i="20"/>
  <c r="AB36" i="20"/>
  <c r="AF36" i="20"/>
  <c r="AJ36" i="20"/>
  <c r="Z36" i="20"/>
  <c r="AD36" i="20"/>
  <c r="AH36" i="20"/>
  <c r="W36" i="20"/>
  <c r="AA36" i="20"/>
  <c r="AE36" i="20"/>
  <c r="AI36" i="20"/>
  <c r="AH30" i="20"/>
  <c r="AH35" i="20"/>
  <c r="AH40" i="20"/>
  <c r="AH44" i="20"/>
  <c r="AH48" i="20"/>
  <c r="AH52" i="20"/>
  <c r="AH56" i="20"/>
  <c r="AH60" i="20"/>
  <c r="AH64" i="20"/>
  <c r="AH68" i="20"/>
  <c r="AH72" i="20"/>
  <c r="AH76" i="20"/>
  <c r="AH80" i="20"/>
  <c r="AH84" i="20"/>
  <c r="AH88" i="20"/>
  <c r="AH92" i="20"/>
  <c r="AH96" i="20"/>
  <c r="AH100" i="20"/>
  <c r="AH104" i="20"/>
  <c r="AH108" i="20"/>
  <c r="AH112" i="20"/>
  <c r="AH116" i="20"/>
  <c r="AH120" i="20"/>
  <c r="AH124" i="20"/>
  <c r="AH128" i="20"/>
  <c r="AH132" i="20"/>
  <c r="AH136" i="20"/>
  <c r="AH140" i="20"/>
  <c r="AH144" i="20"/>
  <c r="AH148" i="20"/>
  <c r="AH152" i="20"/>
  <c r="AH156" i="20"/>
  <c r="AH160" i="20"/>
  <c r="AH164" i="20"/>
  <c r="AH168" i="20"/>
  <c r="AH172" i="20"/>
  <c r="AH176" i="20"/>
  <c r="AH180" i="20"/>
  <c r="AH184" i="20"/>
  <c r="AH188" i="20"/>
  <c r="AH192" i="20"/>
  <c r="AH196" i="20"/>
  <c r="AH200" i="20"/>
  <c r="AH204" i="20"/>
  <c r="AH208" i="20"/>
  <c r="AH212" i="20"/>
  <c r="AH216" i="20"/>
  <c r="AH220" i="20"/>
  <c r="AH224" i="20"/>
  <c r="AH228" i="20"/>
  <c r="AH232" i="20"/>
  <c r="AH236" i="20"/>
  <c r="AH240" i="20"/>
  <c r="AH244" i="20"/>
  <c r="AH248" i="20"/>
  <c r="AH252" i="20"/>
  <c r="AH256" i="20"/>
  <c r="AH260" i="20"/>
  <c r="AH264" i="20"/>
  <c r="AH268" i="20"/>
  <c r="AH272" i="20"/>
  <c r="AH276" i="20"/>
  <c r="AH280" i="20"/>
  <c r="AH284" i="20"/>
  <c r="AH288" i="20"/>
  <c r="AH292" i="20"/>
  <c r="AH296" i="20"/>
  <c r="AH300" i="20"/>
  <c r="AH304" i="20"/>
  <c r="AH308" i="20"/>
  <c r="AH312" i="20"/>
  <c r="AH316" i="20"/>
  <c r="AH320" i="20"/>
  <c r="AH324" i="20"/>
  <c r="AH328" i="20"/>
  <c r="AH332" i="20"/>
  <c r="AH336" i="20"/>
  <c r="AH340" i="20"/>
  <c r="AH344" i="20"/>
  <c r="AH348" i="20"/>
  <c r="AH352" i="20"/>
  <c r="AH356" i="20"/>
  <c r="AH360" i="20"/>
  <c r="AH364" i="20"/>
  <c r="AH368" i="20"/>
  <c r="AH33" i="20"/>
  <c r="AH66" i="20"/>
  <c r="AH87" i="20"/>
  <c r="AH103" i="20"/>
  <c r="AH119" i="20"/>
  <c r="AH135" i="20"/>
  <c r="AH146" i="20"/>
  <c r="AH167" i="20"/>
  <c r="AH183" i="20"/>
  <c r="AH199" i="20"/>
  <c r="AH210" i="20"/>
  <c r="AH226" i="20"/>
  <c r="AH237" i="20"/>
  <c r="AH253" i="20"/>
  <c r="AH269" i="20"/>
  <c r="AH285" i="20"/>
  <c r="AH295" i="20"/>
  <c r="AH311" i="20"/>
  <c r="AH322" i="20"/>
  <c r="AH333" i="20"/>
  <c r="AH349" i="20"/>
  <c r="AH365" i="20"/>
  <c r="AH374" i="20"/>
  <c r="AH386" i="20"/>
  <c r="AH398" i="20"/>
  <c r="AH410" i="20"/>
  <c r="AH422" i="20"/>
  <c r="AH434" i="20"/>
  <c r="AH31" i="20"/>
  <c r="AH38" i="20"/>
  <c r="AH43" i="20"/>
  <c r="AH49" i="20"/>
  <c r="AH54" i="20"/>
  <c r="AH59" i="20"/>
  <c r="AH65" i="20"/>
  <c r="AH70" i="20"/>
  <c r="AH75" i="20"/>
  <c r="AH81" i="20"/>
  <c r="AH86" i="20"/>
  <c r="AH91" i="20"/>
  <c r="AH97" i="20"/>
  <c r="AH102" i="20"/>
  <c r="AH107" i="20"/>
  <c r="AH113" i="20"/>
  <c r="AH118" i="20"/>
  <c r="AH123" i="20"/>
  <c r="AH129" i="20"/>
  <c r="AH134" i="20"/>
  <c r="AH139" i="20"/>
  <c r="AH145" i="20"/>
  <c r="AH150" i="20"/>
  <c r="AH155" i="20"/>
  <c r="AH161" i="20"/>
  <c r="AH166" i="20"/>
  <c r="AH171" i="20"/>
  <c r="AH177" i="20"/>
  <c r="AH182" i="20"/>
  <c r="AH187" i="20"/>
  <c r="AH193" i="20"/>
  <c r="AH198" i="20"/>
  <c r="AH203" i="20"/>
  <c r="AH209" i="20"/>
  <c r="AH214" i="20"/>
  <c r="AH219" i="20"/>
  <c r="AH225" i="20"/>
  <c r="AH230" i="20"/>
  <c r="AH235" i="20"/>
  <c r="AH241" i="20"/>
  <c r="AH246" i="20"/>
  <c r="AH251" i="20"/>
  <c r="AH257" i="20"/>
  <c r="AH262" i="20"/>
  <c r="AH267" i="20"/>
  <c r="AH273" i="20"/>
  <c r="AH278" i="20"/>
  <c r="AH283" i="20"/>
  <c r="AH289" i="20"/>
  <c r="AH294" i="20"/>
  <c r="AH299" i="20"/>
  <c r="AH305" i="20"/>
  <c r="AH310" i="20"/>
  <c r="AH315" i="20"/>
  <c r="AH321" i="20"/>
  <c r="AH326" i="20"/>
  <c r="AH331" i="20"/>
  <c r="AH337" i="20"/>
  <c r="AH342" i="20"/>
  <c r="AH347" i="20"/>
  <c r="AH353" i="20"/>
  <c r="AH358" i="20"/>
  <c r="AH363" i="20"/>
  <c r="AH369" i="20"/>
  <c r="AH373" i="20"/>
  <c r="AH377" i="20"/>
  <c r="AH381" i="20"/>
  <c r="AH385" i="20"/>
  <c r="AH389" i="20"/>
  <c r="AH393" i="20"/>
  <c r="AH397" i="20"/>
  <c r="AH401" i="20"/>
  <c r="AH405" i="20"/>
  <c r="AH409" i="20"/>
  <c r="AH413" i="20"/>
  <c r="AH417" i="20"/>
  <c r="AH421" i="20"/>
  <c r="AH425" i="20"/>
  <c r="AH429" i="20"/>
  <c r="AH433" i="20"/>
  <c r="AH437" i="20"/>
  <c r="AH441" i="20"/>
  <c r="AH445" i="20"/>
  <c r="AH449" i="20"/>
  <c r="AH453" i="20"/>
  <c r="AH457" i="20"/>
  <c r="AH461" i="20"/>
  <c r="AH465" i="20"/>
  <c r="AH469" i="20"/>
  <c r="AH473" i="20"/>
  <c r="AH477" i="20"/>
  <c r="AH481" i="20"/>
  <c r="AH485" i="20"/>
  <c r="AH489" i="20"/>
  <c r="AH493" i="20"/>
  <c r="AH497" i="20"/>
  <c r="AH501" i="20"/>
  <c r="AH505" i="20"/>
  <c r="AH509" i="20"/>
  <c r="AH513" i="20"/>
  <c r="AH517" i="20"/>
  <c r="AH521" i="20"/>
  <c r="AH525" i="20"/>
  <c r="AH529" i="20"/>
  <c r="AH533" i="20"/>
  <c r="AH537" i="20"/>
  <c r="AH541" i="20"/>
  <c r="AH545" i="20"/>
  <c r="AH549" i="20"/>
  <c r="AH553" i="20"/>
  <c r="AH557" i="20"/>
  <c r="AH561" i="20"/>
  <c r="AH565" i="20"/>
  <c r="AH569" i="20"/>
  <c r="AH573" i="20"/>
  <c r="AH577" i="20"/>
  <c r="AH581" i="20"/>
  <c r="AH585" i="20"/>
  <c r="AH39" i="20"/>
  <c r="AH45" i="20"/>
  <c r="AH50" i="20"/>
  <c r="AH55" i="20"/>
  <c r="AH61" i="20"/>
  <c r="AH71" i="20"/>
  <c r="AH77" i="20"/>
  <c r="AH82" i="20"/>
  <c r="AH93" i="20"/>
  <c r="AH98" i="20"/>
  <c r="AH109" i="20"/>
  <c r="AH114" i="20"/>
  <c r="AH125" i="20"/>
  <c r="AH130" i="20"/>
  <c r="AH141" i="20"/>
  <c r="AH151" i="20"/>
  <c r="AH157" i="20"/>
  <c r="AH162" i="20"/>
  <c r="AH173" i="20"/>
  <c r="AH178" i="20"/>
  <c r="AH189" i="20"/>
  <c r="AH194" i="20"/>
  <c r="AH205" i="20"/>
  <c r="AH215" i="20"/>
  <c r="AH221" i="20"/>
  <c r="AH231" i="20"/>
  <c r="AH242" i="20"/>
  <c r="AH247" i="20"/>
  <c r="AH258" i="20"/>
  <c r="AH263" i="20"/>
  <c r="AH274" i="20"/>
  <c r="AH279" i="20"/>
  <c r="AH290" i="20"/>
  <c r="AH301" i="20"/>
  <c r="AH306" i="20"/>
  <c r="AH317" i="20"/>
  <c r="AH327" i="20"/>
  <c r="AH338" i="20"/>
  <c r="AH343" i="20"/>
  <c r="AH354" i="20"/>
  <c r="AH359" i="20"/>
  <c r="AH370" i="20"/>
  <c r="AH378" i="20"/>
  <c r="AH382" i="20"/>
  <c r="AH390" i="20"/>
  <c r="AH394" i="20"/>
  <c r="AH402" i="20"/>
  <c r="AH406" i="20"/>
  <c r="AH414" i="20"/>
  <c r="AH418" i="20"/>
  <c r="AH426" i="20"/>
  <c r="AH430" i="20"/>
  <c r="AH37" i="20"/>
  <c r="AH47" i="20"/>
  <c r="AH58" i="20"/>
  <c r="AH69" i="20"/>
  <c r="AH79" i="20"/>
  <c r="AH90" i="20"/>
  <c r="AH101" i="20"/>
  <c r="AH111" i="20"/>
  <c r="AH122" i="20"/>
  <c r="AH133" i="20"/>
  <c r="AH143" i="20"/>
  <c r="AH154" i="20"/>
  <c r="AH165" i="20"/>
  <c r="AH175" i="20"/>
  <c r="AH186" i="20"/>
  <c r="AH197" i="20"/>
  <c r="AH207" i="20"/>
  <c r="AH218" i="20"/>
  <c r="AH229" i="20"/>
  <c r="AH239" i="20"/>
  <c r="AH250" i="20"/>
  <c r="AH261" i="20"/>
  <c r="AH271" i="20"/>
  <c r="AH282" i="20"/>
  <c r="AH293" i="20"/>
  <c r="AH303" i="20"/>
  <c r="AH314" i="20"/>
  <c r="AH325" i="20"/>
  <c r="AH335" i="20"/>
  <c r="AH346" i="20"/>
  <c r="AH357" i="20"/>
  <c r="AH367" i="20"/>
  <c r="AH376" i="20"/>
  <c r="AH384" i="20"/>
  <c r="AH392" i="20"/>
  <c r="AH400" i="20"/>
  <c r="AH408" i="20"/>
  <c r="AH416" i="20"/>
  <c r="AH424" i="20"/>
  <c r="AH432" i="20"/>
  <c r="AH439" i="20"/>
  <c r="AH444" i="20"/>
  <c r="AH450" i="20"/>
  <c r="AH455" i="20"/>
  <c r="AH460" i="20"/>
  <c r="AH466" i="20"/>
  <c r="AH471" i="20"/>
  <c r="AH476" i="20"/>
  <c r="AH482" i="20"/>
  <c r="AH487" i="20"/>
  <c r="AH492" i="20"/>
  <c r="AH498" i="20"/>
  <c r="AH503" i="20"/>
  <c r="AH508" i="20"/>
  <c r="AH514" i="20"/>
  <c r="AH519" i="20"/>
  <c r="AH524" i="20"/>
  <c r="AH530" i="20"/>
  <c r="AH535" i="20"/>
  <c r="AH540" i="20"/>
  <c r="AH546" i="20"/>
  <c r="AH551" i="20"/>
  <c r="AH556" i="20"/>
  <c r="AH562" i="20"/>
  <c r="AH567" i="20"/>
  <c r="AH572" i="20"/>
  <c r="AH578" i="20"/>
  <c r="AH583" i="20"/>
  <c r="W28" i="20"/>
  <c r="AH28" i="20"/>
  <c r="AH41" i="20"/>
  <c r="AH51" i="20"/>
  <c r="AH62" i="20"/>
  <c r="AH73" i="20"/>
  <c r="AH83" i="20"/>
  <c r="AH94" i="20"/>
  <c r="AH105" i="20"/>
  <c r="AH115" i="20"/>
  <c r="AH126" i="20"/>
  <c r="AH137" i="20"/>
  <c r="AH147" i="20"/>
  <c r="AH158" i="20"/>
  <c r="AH169" i="20"/>
  <c r="AH179" i="20"/>
  <c r="AH190" i="20"/>
  <c r="AH34" i="20"/>
  <c r="AH46" i="20"/>
  <c r="AH57" i="20"/>
  <c r="AH67" i="20"/>
  <c r="AH78" i="20"/>
  <c r="AH89" i="20"/>
  <c r="AH99" i="20"/>
  <c r="AH110" i="20"/>
  <c r="AH121" i="20"/>
  <c r="AH131" i="20"/>
  <c r="AH142" i="20"/>
  <c r="AH153" i="20"/>
  <c r="AH163" i="20"/>
  <c r="AH174" i="20"/>
  <c r="AH185" i="20"/>
  <c r="AH195" i="20"/>
  <c r="AH206" i="20"/>
  <c r="AH217" i="20"/>
  <c r="AH227" i="20"/>
  <c r="AH238" i="20"/>
  <c r="AH249" i="20"/>
  <c r="AH259" i="20"/>
  <c r="AH270" i="20"/>
  <c r="AH281" i="20"/>
  <c r="AH291" i="20"/>
  <c r="AH302" i="20"/>
  <c r="AH313" i="20"/>
  <c r="AH323" i="20"/>
  <c r="AH334" i="20"/>
  <c r="AH345" i="20"/>
  <c r="AH355" i="20"/>
  <c r="AH366" i="20"/>
  <c r="AH375" i="20"/>
  <c r="AH383" i="20"/>
  <c r="AH391" i="20"/>
  <c r="AH399" i="20"/>
  <c r="AH407" i="20"/>
  <c r="AH415" i="20"/>
  <c r="AH423" i="20"/>
  <c r="AH431" i="20"/>
  <c r="AH438" i="20"/>
  <c r="AH443" i="20"/>
  <c r="AH448" i="20"/>
  <c r="AH454" i="20"/>
  <c r="AH459" i="20"/>
  <c r="AH464" i="20"/>
  <c r="AH470" i="20"/>
  <c r="AH475" i="20"/>
  <c r="AH480" i="20"/>
  <c r="AH486" i="20"/>
  <c r="AH491" i="20"/>
  <c r="AH496" i="20"/>
  <c r="AH502" i="20"/>
  <c r="AH507" i="20"/>
  <c r="AH512" i="20"/>
  <c r="AH518" i="20"/>
  <c r="AH523" i="20"/>
  <c r="AH528" i="20"/>
  <c r="AH534" i="20"/>
  <c r="AH539" i="20"/>
  <c r="AH544" i="20"/>
  <c r="AH63" i="20"/>
  <c r="AH106" i="20"/>
  <c r="AH149" i="20"/>
  <c r="AH191" i="20"/>
  <c r="AH213" i="20"/>
  <c r="AH234" i="20"/>
  <c r="AH255" i="20"/>
  <c r="AH277" i="20"/>
  <c r="AH298" i="20"/>
  <c r="AH319" i="20"/>
  <c r="AH341" i="20"/>
  <c r="AH362" i="20"/>
  <c r="AH380" i="20"/>
  <c r="AH396" i="20"/>
  <c r="AH412" i="20"/>
  <c r="AH428" i="20"/>
  <c r="AH442" i="20"/>
  <c r="AH452" i="20"/>
  <c r="AH463" i="20"/>
  <c r="AH474" i="20"/>
  <c r="AH506" i="20"/>
  <c r="AH538" i="20"/>
  <c r="AH563" i="20"/>
  <c r="AH584" i="20"/>
  <c r="AH74" i="20"/>
  <c r="AH222" i="20"/>
  <c r="AH286" i="20"/>
  <c r="AH350" i="20"/>
  <c r="AH387" i="20"/>
  <c r="AH419" i="20"/>
  <c r="AH456" i="20"/>
  <c r="AH478" i="20"/>
  <c r="AH499" i="20"/>
  <c r="AH531" i="20"/>
  <c r="AH550" i="20"/>
  <c r="AH571" i="20"/>
  <c r="AH586" i="20"/>
  <c r="AH85" i="20"/>
  <c r="AH202" i="20"/>
  <c r="AH266" i="20"/>
  <c r="AH309" i="20"/>
  <c r="AH351" i="20"/>
  <c r="AH404" i="20"/>
  <c r="AH447" i="20"/>
  <c r="AH468" i="20"/>
  <c r="AH490" i="20"/>
  <c r="AH522" i="20"/>
  <c r="AH543" i="20"/>
  <c r="AH559" i="20"/>
  <c r="AH580" i="20"/>
  <c r="AH53" i="20"/>
  <c r="AH95" i="20"/>
  <c r="AH138" i="20"/>
  <c r="AH181" i="20"/>
  <c r="AH211" i="20"/>
  <c r="AH233" i="20"/>
  <c r="AH254" i="20"/>
  <c r="AH275" i="20"/>
  <c r="AH297" i="20"/>
  <c r="AH318" i="20"/>
  <c r="AH339" i="20"/>
  <c r="AH361" i="20"/>
  <c r="AH379" i="20"/>
  <c r="AH395" i="20"/>
  <c r="AH411" i="20"/>
  <c r="AH427" i="20"/>
  <c r="AH440" i="20"/>
  <c r="AH451" i="20"/>
  <c r="AH462" i="20"/>
  <c r="AH472" i="20"/>
  <c r="AH483" i="20"/>
  <c r="AH494" i="20"/>
  <c r="AH504" i="20"/>
  <c r="AH515" i="20"/>
  <c r="AH526" i="20"/>
  <c r="AH536" i="20"/>
  <c r="AH547" i="20"/>
  <c r="AH554" i="20"/>
  <c r="AH560" i="20"/>
  <c r="AH568" i="20"/>
  <c r="AH575" i="20"/>
  <c r="AH582" i="20"/>
  <c r="AH484" i="20"/>
  <c r="AH495" i="20"/>
  <c r="AH516" i="20"/>
  <c r="AH527" i="20"/>
  <c r="AH548" i="20"/>
  <c r="AH555" i="20"/>
  <c r="AH570" i="20"/>
  <c r="AH576" i="20"/>
  <c r="AH29" i="20"/>
  <c r="AH117" i="20"/>
  <c r="AH159" i="20"/>
  <c r="AH201" i="20"/>
  <c r="AH243" i="20"/>
  <c r="AH265" i="20"/>
  <c r="AH307" i="20"/>
  <c r="AH329" i="20"/>
  <c r="AH371" i="20"/>
  <c r="AH403" i="20"/>
  <c r="AH435" i="20"/>
  <c r="AH446" i="20"/>
  <c r="AH467" i="20"/>
  <c r="AH488" i="20"/>
  <c r="AH510" i="20"/>
  <c r="AH520" i="20"/>
  <c r="AH542" i="20"/>
  <c r="AH558" i="20"/>
  <c r="AH564" i="20"/>
  <c r="AH579" i="20"/>
  <c r="AH42" i="20"/>
  <c r="AH127" i="20"/>
  <c r="AH170" i="20"/>
  <c r="AH223" i="20"/>
  <c r="AH245" i="20"/>
  <c r="AH287" i="20"/>
  <c r="AH330" i="20"/>
  <c r="AH372" i="20"/>
  <c r="AH388" i="20"/>
  <c r="AH420" i="20"/>
  <c r="AH436" i="20"/>
  <c r="AH458" i="20"/>
  <c r="AH479" i="20"/>
  <c r="AH500" i="20"/>
  <c r="AH511" i="20"/>
  <c r="AH532" i="20"/>
  <c r="AH552" i="20"/>
  <c r="AH566" i="20"/>
  <c r="AH574" i="20"/>
  <c r="AH587" i="20"/>
  <c r="AJ28" i="20"/>
  <c r="AJ33" i="20"/>
  <c r="AJ38" i="20"/>
  <c r="AJ42" i="20"/>
  <c r="AJ46" i="20"/>
  <c r="AJ50" i="20"/>
  <c r="AJ54" i="20"/>
  <c r="AJ58" i="20"/>
  <c r="AJ62" i="20"/>
  <c r="AJ66" i="20"/>
  <c r="AJ70" i="20"/>
  <c r="AJ74" i="20"/>
  <c r="AJ78" i="20"/>
  <c r="AJ82" i="20"/>
  <c r="AJ86" i="20"/>
  <c r="AJ90" i="20"/>
  <c r="AJ94" i="20"/>
  <c r="AJ98" i="20"/>
  <c r="AJ102" i="20"/>
  <c r="AJ106" i="20"/>
  <c r="AJ110" i="20"/>
  <c r="AJ114" i="20"/>
  <c r="AJ118" i="20"/>
  <c r="AJ122" i="20"/>
  <c r="AJ126" i="20"/>
  <c r="AJ130" i="20"/>
  <c r="AJ134" i="20"/>
  <c r="AJ138" i="20"/>
  <c r="AJ142" i="20"/>
  <c r="AJ146" i="20"/>
  <c r="AJ150" i="20"/>
  <c r="AJ154" i="20"/>
  <c r="AJ158" i="20"/>
  <c r="AJ162" i="20"/>
  <c r="AJ166" i="20"/>
  <c r="AJ170" i="20"/>
  <c r="AJ174" i="20"/>
  <c r="AJ178" i="20"/>
  <c r="AJ182" i="20"/>
  <c r="AJ186" i="20"/>
  <c r="AJ190" i="20"/>
  <c r="AJ194" i="20"/>
  <c r="AJ198" i="20"/>
  <c r="AJ202" i="20"/>
  <c r="AJ206" i="20"/>
  <c r="AJ210" i="20"/>
  <c r="AJ214" i="20"/>
  <c r="AJ218" i="20"/>
  <c r="AJ222" i="20"/>
  <c r="AJ226" i="20"/>
  <c r="AJ230" i="20"/>
  <c r="AJ234" i="20"/>
  <c r="AJ238" i="20"/>
  <c r="AJ242" i="20"/>
  <c r="AJ246" i="20"/>
  <c r="AJ250" i="20"/>
  <c r="AJ254" i="20"/>
  <c r="AJ258" i="20"/>
  <c r="AJ262" i="20"/>
  <c r="AJ266" i="20"/>
  <c r="AJ270" i="20"/>
  <c r="AJ274" i="20"/>
  <c r="AJ278" i="20"/>
  <c r="AJ282" i="20"/>
  <c r="AJ286" i="20"/>
  <c r="AJ290" i="20"/>
  <c r="AJ294" i="20"/>
  <c r="AJ298" i="20"/>
  <c r="AJ302" i="20"/>
  <c r="AJ306" i="20"/>
  <c r="AJ310" i="20"/>
  <c r="AJ314" i="20"/>
  <c r="AJ318" i="20"/>
  <c r="AJ322" i="20"/>
  <c r="AJ326" i="20"/>
  <c r="AJ330" i="20"/>
  <c r="AJ334" i="20"/>
  <c r="AJ338" i="20"/>
  <c r="AJ342" i="20"/>
  <c r="AJ346" i="20"/>
  <c r="AJ350" i="20"/>
  <c r="AJ354" i="20"/>
  <c r="AJ358" i="20"/>
  <c r="AJ362" i="20"/>
  <c r="AJ366" i="20"/>
  <c r="AJ370" i="20"/>
  <c r="AJ374" i="20"/>
  <c r="AJ378" i="20"/>
  <c r="AJ382" i="20"/>
  <c r="AJ386" i="20"/>
  <c r="AJ390" i="20"/>
  <c r="AJ394" i="20"/>
  <c r="AJ398" i="20"/>
  <c r="AJ402" i="20"/>
  <c r="AJ406" i="20"/>
  <c r="AJ410" i="20"/>
  <c r="AJ414" i="20"/>
  <c r="AJ418" i="20"/>
  <c r="AJ422" i="20"/>
  <c r="AJ426" i="20"/>
  <c r="AJ430" i="20"/>
  <c r="AJ434" i="20"/>
  <c r="AJ438" i="20"/>
  <c r="AJ442" i="20"/>
  <c r="AJ446" i="20"/>
  <c r="AJ450" i="20"/>
  <c r="AJ454" i="20"/>
  <c r="AJ458" i="20"/>
  <c r="AJ462" i="20"/>
  <c r="AJ466" i="20"/>
  <c r="AJ470" i="20"/>
  <c r="AJ474" i="20"/>
  <c r="AJ478" i="20"/>
  <c r="AJ482" i="20"/>
  <c r="AJ486" i="20"/>
  <c r="AJ490" i="20"/>
  <c r="AJ494" i="20"/>
  <c r="AJ498" i="20"/>
  <c r="AJ502" i="20"/>
  <c r="AJ506" i="20"/>
  <c r="AJ510" i="20"/>
  <c r="AJ514" i="20"/>
  <c r="AJ518" i="20"/>
  <c r="AJ522" i="20"/>
  <c r="AJ526" i="20"/>
  <c r="AJ530" i="20"/>
  <c r="AJ534" i="20"/>
  <c r="AJ538" i="20"/>
  <c r="AJ542" i="20"/>
  <c r="AJ546" i="20"/>
  <c r="AJ550" i="20"/>
  <c r="AJ554" i="20"/>
  <c r="AJ558" i="20"/>
  <c r="AJ562" i="20"/>
  <c r="AJ566" i="20"/>
  <c r="AJ570" i="20"/>
  <c r="AJ574" i="20"/>
  <c r="AJ578" i="20"/>
  <c r="AJ582" i="20"/>
  <c r="AJ586" i="20"/>
  <c r="AI474" i="20"/>
  <c r="AI569" i="20"/>
  <c r="AJ31" i="20"/>
  <c r="AJ37" i="20"/>
  <c r="AJ41" i="20"/>
  <c r="AJ45" i="20"/>
  <c r="AJ49" i="20"/>
  <c r="AJ53" i="20"/>
  <c r="AJ57" i="20"/>
  <c r="AJ61" i="20"/>
  <c r="AJ65" i="20"/>
  <c r="AJ69" i="20"/>
  <c r="AJ73" i="20"/>
  <c r="AJ77" i="20"/>
  <c r="AJ81" i="20"/>
  <c r="AJ85" i="20"/>
  <c r="AJ89" i="20"/>
  <c r="AJ93" i="20"/>
  <c r="AJ97" i="20"/>
  <c r="AJ101" i="20"/>
  <c r="AJ105" i="20"/>
  <c r="AJ109" i="20"/>
  <c r="AJ113" i="20"/>
  <c r="AJ117" i="20"/>
  <c r="AJ121" i="20"/>
  <c r="AJ125" i="20"/>
  <c r="AJ129" i="20"/>
  <c r="AJ133" i="20"/>
  <c r="AJ137" i="20"/>
  <c r="AJ141" i="20"/>
  <c r="AJ145" i="20"/>
  <c r="AJ149" i="20"/>
  <c r="AJ153" i="20"/>
  <c r="AJ157" i="20"/>
  <c r="AJ161" i="20"/>
  <c r="AJ165" i="20"/>
  <c r="AJ169" i="20"/>
  <c r="AJ173" i="20"/>
  <c r="AJ177" i="20"/>
  <c r="AJ181" i="20"/>
  <c r="AJ185" i="20"/>
  <c r="AJ189" i="20"/>
  <c r="AJ193" i="20"/>
  <c r="AJ197" i="20"/>
  <c r="AJ201" i="20"/>
  <c r="AJ205" i="20"/>
  <c r="AJ209" i="20"/>
  <c r="AJ213" i="20"/>
  <c r="AJ217" i="20"/>
  <c r="AJ221" i="20"/>
  <c r="AJ225" i="20"/>
  <c r="AJ229" i="20"/>
  <c r="AJ233" i="20"/>
  <c r="AJ237" i="20"/>
  <c r="AJ241" i="20"/>
  <c r="AJ245" i="20"/>
  <c r="AJ249" i="20"/>
  <c r="AJ253" i="20"/>
  <c r="AJ257" i="20"/>
  <c r="AJ261" i="20"/>
  <c r="AJ265" i="20"/>
  <c r="AJ269" i="20"/>
  <c r="AJ273" i="20"/>
  <c r="AJ277" i="20"/>
  <c r="AJ281" i="20"/>
  <c r="AJ285" i="20"/>
  <c r="AJ289" i="20"/>
  <c r="AJ293" i="20"/>
  <c r="AJ297" i="20"/>
  <c r="AJ301" i="20"/>
  <c r="AJ305" i="20"/>
  <c r="AJ309" i="20"/>
  <c r="AJ313" i="20"/>
  <c r="AJ317" i="20"/>
  <c r="AJ321" i="20"/>
  <c r="AJ325" i="20"/>
  <c r="AJ329" i="20"/>
  <c r="AJ333" i="20"/>
  <c r="AJ337" i="20"/>
  <c r="AJ341" i="20"/>
  <c r="AJ345" i="20"/>
  <c r="AJ349" i="20"/>
  <c r="AJ353" i="20"/>
  <c r="AJ357" i="20"/>
  <c r="AJ361" i="20"/>
  <c r="AJ365" i="20"/>
  <c r="AJ369" i="20"/>
  <c r="AJ373" i="20"/>
  <c r="AJ377" i="20"/>
  <c r="AJ381" i="20"/>
  <c r="AJ385" i="20"/>
  <c r="AJ389" i="20"/>
  <c r="AJ393" i="20"/>
  <c r="AJ397" i="20"/>
  <c r="AJ401" i="20"/>
  <c r="AJ405" i="20"/>
  <c r="AJ409" i="20"/>
  <c r="AJ413" i="20"/>
  <c r="AJ417" i="20"/>
  <c r="AJ421" i="20"/>
  <c r="AJ425" i="20"/>
  <c r="AJ429" i="20"/>
  <c r="AJ433" i="20"/>
  <c r="AJ437" i="20"/>
  <c r="AJ441" i="20"/>
  <c r="AJ445" i="20"/>
  <c r="AJ449" i="20"/>
  <c r="AJ453" i="20"/>
  <c r="AJ457" i="20"/>
  <c r="AJ461" i="20"/>
  <c r="AJ465" i="20"/>
  <c r="AJ469" i="20"/>
  <c r="AJ473" i="20"/>
  <c r="AJ477" i="20"/>
  <c r="AJ481" i="20"/>
  <c r="AJ485" i="20"/>
  <c r="AJ489" i="20"/>
  <c r="AJ493" i="20"/>
  <c r="AJ497" i="20"/>
  <c r="AJ501" i="20"/>
  <c r="AJ505" i="20"/>
  <c r="AJ509" i="20"/>
  <c r="AJ513" i="20"/>
  <c r="AJ517" i="20"/>
  <c r="AJ521" i="20"/>
  <c r="AJ525" i="20"/>
  <c r="AJ529" i="20"/>
  <c r="AJ533" i="20"/>
  <c r="AJ537" i="20"/>
  <c r="AJ541" i="20"/>
  <c r="AJ545" i="20"/>
  <c r="AJ549" i="20"/>
  <c r="AJ553" i="20"/>
  <c r="AJ557" i="20"/>
  <c r="AJ561" i="20"/>
  <c r="AJ565" i="20"/>
  <c r="AJ569" i="20"/>
  <c r="AJ573" i="20"/>
  <c r="AJ577" i="20"/>
  <c r="AJ581" i="20"/>
  <c r="AJ585" i="20"/>
  <c r="AI439" i="20"/>
  <c r="AI554" i="20"/>
  <c r="AI586" i="20"/>
  <c r="AJ29" i="20"/>
  <c r="AJ39" i="20"/>
  <c r="AJ47" i="20"/>
  <c r="AJ55" i="20"/>
  <c r="AJ63" i="20"/>
  <c r="AJ71" i="20"/>
  <c r="AJ79" i="20"/>
  <c r="AJ87" i="20"/>
  <c r="AJ95" i="20"/>
  <c r="AJ103" i="20"/>
  <c r="AJ111" i="20"/>
  <c r="AJ119" i="20"/>
  <c r="AJ127" i="20"/>
  <c r="AJ135" i="20"/>
  <c r="AJ143" i="20"/>
  <c r="AJ151" i="20"/>
  <c r="AJ159" i="20"/>
  <c r="AJ167" i="20"/>
  <c r="AJ175" i="20"/>
  <c r="AJ183" i="20"/>
  <c r="AJ191" i="20"/>
  <c r="AJ199" i="20"/>
  <c r="AJ207" i="20"/>
  <c r="AJ215" i="20"/>
  <c r="AJ223" i="20"/>
  <c r="AJ231" i="20"/>
  <c r="AJ239" i="20"/>
  <c r="AJ247" i="20"/>
  <c r="AJ255" i="20"/>
  <c r="AJ263" i="20"/>
  <c r="AJ271" i="20"/>
  <c r="AJ279" i="20"/>
  <c r="AJ287" i="20"/>
  <c r="AJ295" i="20"/>
  <c r="AJ303" i="20"/>
  <c r="AJ311" i="20"/>
  <c r="AJ319" i="20"/>
  <c r="AJ327" i="20"/>
  <c r="AJ335" i="20"/>
  <c r="AJ343" i="20"/>
  <c r="AJ351" i="20"/>
  <c r="AJ359" i="20"/>
  <c r="AJ367" i="20"/>
  <c r="AJ375" i="20"/>
  <c r="AJ383" i="20"/>
  <c r="AJ391" i="20"/>
  <c r="AJ399" i="20"/>
  <c r="AJ407" i="20"/>
  <c r="AJ415" i="20"/>
  <c r="AJ423" i="20"/>
  <c r="AJ431" i="20"/>
  <c r="AJ439" i="20"/>
  <c r="AJ447" i="20"/>
  <c r="AJ455" i="20"/>
  <c r="AJ463" i="20"/>
  <c r="AJ471" i="20"/>
  <c r="AJ479" i="20"/>
  <c r="AJ487" i="20"/>
  <c r="AJ495" i="20"/>
  <c r="AJ503" i="20"/>
  <c r="AJ511" i="20"/>
  <c r="AJ519" i="20"/>
  <c r="AJ527" i="20"/>
  <c r="AJ535" i="20"/>
  <c r="AJ543" i="20"/>
  <c r="AJ551" i="20"/>
  <c r="AJ559" i="20"/>
  <c r="AJ567" i="20"/>
  <c r="AJ575" i="20"/>
  <c r="AJ583" i="20"/>
  <c r="AI538" i="20"/>
  <c r="W440" i="20"/>
  <c r="W445" i="20"/>
  <c r="W449" i="20"/>
  <c r="W453" i="20"/>
  <c r="W457" i="20"/>
  <c r="W461" i="20"/>
  <c r="W465" i="20"/>
  <c r="W469" i="20"/>
  <c r="W473" i="20"/>
  <c r="W477" i="20"/>
  <c r="W481" i="20"/>
  <c r="W485" i="20"/>
  <c r="W489" i="20"/>
  <c r="W493" i="20"/>
  <c r="W497" i="20"/>
  <c r="W501" i="20"/>
  <c r="W505" i="20"/>
  <c r="W509" i="20"/>
  <c r="W513" i="20"/>
  <c r="W517" i="20"/>
  <c r="W521" i="20"/>
  <c r="W525" i="20"/>
  <c r="W529" i="20"/>
  <c r="W533" i="20"/>
  <c r="W537" i="20"/>
  <c r="W541" i="20"/>
  <c r="W545" i="20"/>
  <c r="W549" i="20"/>
  <c r="W553" i="20"/>
  <c r="W557" i="20"/>
  <c r="W561" i="20"/>
  <c r="W565" i="20"/>
  <c r="W569" i="20"/>
  <c r="W573" i="20"/>
  <c r="W577" i="20"/>
  <c r="W581" i="20"/>
  <c r="W585" i="20"/>
  <c r="X441" i="20"/>
  <c r="X446" i="20"/>
  <c r="X450" i="20"/>
  <c r="X454" i="20"/>
  <c r="X458" i="20"/>
  <c r="X462" i="20"/>
  <c r="X466" i="20"/>
  <c r="X470" i="20"/>
  <c r="X474" i="20"/>
  <c r="X478" i="20"/>
  <c r="X482" i="20"/>
  <c r="X486" i="20"/>
  <c r="X490" i="20"/>
  <c r="X494" i="20"/>
  <c r="X498" i="20"/>
  <c r="X502" i="20"/>
  <c r="X506" i="20"/>
  <c r="X510" i="20"/>
  <c r="X514" i="20"/>
  <c r="X518" i="20"/>
  <c r="X522" i="20"/>
  <c r="X526" i="20"/>
  <c r="X530" i="20"/>
  <c r="X534" i="20"/>
  <c r="X538" i="20"/>
  <c r="X542" i="20"/>
  <c r="X546" i="20"/>
  <c r="X550" i="20"/>
  <c r="X554" i="20"/>
  <c r="X558" i="20"/>
  <c r="X562" i="20"/>
  <c r="X566" i="20"/>
  <c r="X570" i="20"/>
  <c r="X574" i="20"/>
  <c r="X578" i="20"/>
  <c r="X582" i="20"/>
  <c r="X586" i="20"/>
  <c r="Y443" i="20"/>
  <c r="Y447" i="20"/>
  <c r="Y451" i="20"/>
  <c r="Y455" i="20"/>
  <c r="Y459" i="20"/>
  <c r="Y463" i="20"/>
  <c r="Y467" i="20"/>
  <c r="Y471" i="20"/>
  <c r="Y475" i="20"/>
  <c r="Y479" i="20"/>
  <c r="Y483" i="20"/>
  <c r="Y487" i="20"/>
  <c r="Y491" i="20"/>
  <c r="Y495" i="20"/>
  <c r="Y499" i="20"/>
  <c r="Y503" i="20"/>
  <c r="Y507" i="20"/>
  <c r="Y511" i="20"/>
  <c r="Y515" i="20"/>
  <c r="Y519" i="20"/>
  <c r="Y523" i="20"/>
  <c r="Y527" i="20"/>
  <c r="Y531" i="20"/>
  <c r="Y535" i="20"/>
  <c r="Y539" i="20"/>
  <c r="Y543" i="20"/>
  <c r="Y547" i="20"/>
  <c r="Y551" i="20"/>
  <c r="Y555" i="20"/>
  <c r="Y559" i="20"/>
  <c r="Y563" i="20"/>
  <c r="Y567" i="20"/>
  <c r="Y571" i="20"/>
  <c r="Y575" i="20"/>
  <c r="Y579" i="20"/>
  <c r="Y583" i="20"/>
  <c r="Y587" i="20"/>
  <c r="Z444" i="20"/>
  <c r="Z448" i="20"/>
  <c r="Z452" i="20"/>
  <c r="Z456" i="20"/>
  <c r="Z460" i="20"/>
  <c r="Z464" i="20"/>
  <c r="Z468" i="20"/>
  <c r="Z472" i="20"/>
  <c r="Z476" i="20"/>
  <c r="Z480" i="20"/>
  <c r="Z484" i="20"/>
  <c r="Z488" i="20"/>
  <c r="Z492" i="20"/>
  <c r="Z496" i="20"/>
  <c r="Z500" i="20"/>
  <c r="Z504" i="20"/>
  <c r="Z508" i="20"/>
  <c r="Z512" i="20"/>
  <c r="Z516" i="20"/>
  <c r="Z520" i="20"/>
  <c r="Z524" i="20"/>
  <c r="Z528" i="20"/>
  <c r="Z532" i="20"/>
  <c r="Z536" i="20"/>
  <c r="Z540" i="20"/>
  <c r="Z544" i="20"/>
  <c r="Z548" i="20"/>
  <c r="Z552" i="20"/>
  <c r="Z556" i="20"/>
  <c r="Z560" i="20"/>
  <c r="Z564" i="20"/>
  <c r="Z568" i="20"/>
  <c r="Z572" i="20"/>
  <c r="Z576" i="20"/>
  <c r="Z580" i="20"/>
  <c r="Z584" i="20"/>
  <c r="AA440" i="20"/>
  <c r="AA445" i="20"/>
  <c r="AA449" i="20"/>
  <c r="AA453" i="20"/>
  <c r="AA457" i="20"/>
  <c r="AA461" i="20"/>
  <c r="AA465" i="20"/>
  <c r="AA469" i="20"/>
  <c r="AA473" i="20"/>
  <c r="AA477" i="20"/>
  <c r="AA481" i="20"/>
  <c r="AA485" i="20"/>
  <c r="AA489" i="20"/>
  <c r="AA493" i="20"/>
  <c r="AA497" i="20"/>
  <c r="AA501" i="20"/>
  <c r="AA505" i="20"/>
  <c r="AA509" i="20"/>
  <c r="AA513" i="20"/>
  <c r="AA517" i="20"/>
  <c r="AA521" i="20"/>
  <c r="AA525" i="20"/>
  <c r="AA529" i="20"/>
  <c r="AA533" i="20"/>
  <c r="AA537" i="20"/>
  <c r="AA541" i="20"/>
  <c r="AA545" i="20"/>
  <c r="AA549" i="20"/>
  <c r="AA553" i="20"/>
  <c r="AA557" i="20"/>
  <c r="AA561" i="20"/>
  <c r="AA565" i="20"/>
  <c r="AA569" i="20"/>
  <c r="AA573" i="20"/>
  <c r="AA577" i="20"/>
  <c r="AA581" i="20"/>
  <c r="AA585" i="20"/>
  <c r="AB441" i="20"/>
  <c r="AB446" i="20"/>
  <c r="AB450" i="20"/>
  <c r="AB454" i="20"/>
  <c r="AB458" i="20"/>
  <c r="AB462" i="20"/>
  <c r="AB466" i="20"/>
  <c r="AB470" i="20"/>
  <c r="AB474" i="20"/>
  <c r="AB478" i="20"/>
  <c r="AB482" i="20"/>
  <c r="AB486" i="20"/>
  <c r="AB490" i="20"/>
  <c r="AB494" i="20"/>
  <c r="AB498" i="20"/>
  <c r="AB502" i="20"/>
  <c r="AB506" i="20"/>
  <c r="AB510" i="20"/>
  <c r="AB514" i="20"/>
  <c r="AB518" i="20"/>
  <c r="AB522" i="20"/>
  <c r="AB526" i="20"/>
  <c r="AB530" i="20"/>
  <c r="AB534" i="20"/>
  <c r="AB538" i="20"/>
  <c r="AB542" i="20"/>
  <c r="AB546" i="20"/>
  <c r="AB550" i="20"/>
  <c r="AB554" i="20"/>
  <c r="AB558" i="20"/>
  <c r="AB562" i="20"/>
  <c r="AB566" i="20"/>
  <c r="AB570" i="20"/>
  <c r="AB574" i="20"/>
  <c r="AB578" i="20"/>
  <c r="AB582" i="20"/>
  <c r="AB586" i="20"/>
  <c r="AC442" i="20"/>
  <c r="AC446" i="20"/>
  <c r="AC450" i="20"/>
  <c r="AC454" i="20"/>
  <c r="AC458" i="20"/>
  <c r="AC462" i="20"/>
  <c r="AC466" i="20"/>
  <c r="AC470" i="20"/>
  <c r="AC474" i="20"/>
  <c r="AC478" i="20"/>
  <c r="AC482" i="20"/>
  <c r="AC486" i="20"/>
  <c r="AC490" i="20"/>
  <c r="AC494" i="20"/>
  <c r="AC498" i="20"/>
  <c r="AC502" i="20"/>
  <c r="AC506" i="20"/>
  <c r="AC510" i="20"/>
  <c r="AC514" i="20"/>
  <c r="AC518" i="20"/>
  <c r="AC522" i="20"/>
  <c r="AC526" i="20"/>
  <c r="AC530" i="20"/>
  <c r="AC534" i="20"/>
  <c r="AC538" i="20"/>
  <c r="AC542" i="20"/>
  <c r="AC546" i="20"/>
  <c r="AC550" i="20"/>
  <c r="AC554" i="20"/>
  <c r="AC558" i="20"/>
  <c r="AC562" i="20"/>
  <c r="AC566" i="20"/>
  <c r="AC570" i="20"/>
  <c r="AC574" i="20"/>
  <c r="AC578" i="20"/>
  <c r="AC582" i="20"/>
  <c r="AC586" i="20"/>
  <c r="AD442" i="20"/>
  <c r="AD446" i="20"/>
  <c r="AD450" i="20"/>
  <c r="AJ35" i="20"/>
  <c r="AJ44" i="20"/>
  <c r="AJ52" i="20"/>
  <c r="AJ60" i="20"/>
  <c r="AJ68" i="20"/>
  <c r="AJ76" i="20"/>
  <c r="AJ84" i="20"/>
  <c r="AJ92" i="20"/>
  <c r="AJ100" i="20"/>
  <c r="AJ108" i="20"/>
  <c r="AJ116" i="20"/>
  <c r="AJ124" i="20"/>
  <c r="AJ132" i="20"/>
  <c r="AJ140" i="20"/>
  <c r="AJ148" i="20"/>
  <c r="AJ156" i="20"/>
  <c r="AJ164" i="20"/>
  <c r="AJ172" i="20"/>
  <c r="AJ180" i="20"/>
  <c r="AJ188" i="20"/>
  <c r="AJ196" i="20"/>
  <c r="AJ204" i="20"/>
  <c r="AJ212" i="20"/>
  <c r="AJ220" i="20"/>
  <c r="AJ228" i="20"/>
  <c r="AJ236" i="20"/>
  <c r="AJ244" i="20"/>
  <c r="AJ252" i="20"/>
  <c r="AJ260" i="20"/>
  <c r="AJ268" i="20"/>
  <c r="AJ276" i="20"/>
  <c r="AJ284" i="20"/>
  <c r="AJ292" i="20"/>
  <c r="AJ300" i="20"/>
  <c r="AJ308" i="20"/>
  <c r="AJ316" i="20"/>
  <c r="AJ324" i="20"/>
  <c r="AJ332" i="20"/>
  <c r="AJ340" i="20"/>
  <c r="AJ348" i="20"/>
  <c r="AJ356" i="20"/>
  <c r="AJ364" i="20"/>
  <c r="AJ372" i="20"/>
  <c r="AJ380" i="20"/>
  <c r="AJ388" i="20"/>
  <c r="AJ396" i="20"/>
  <c r="AJ404" i="20"/>
  <c r="AJ412" i="20"/>
  <c r="AJ420" i="20"/>
  <c r="AJ428" i="20"/>
  <c r="AJ436" i="20"/>
  <c r="AJ444" i="20"/>
  <c r="AJ452" i="20"/>
  <c r="AJ460" i="20"/>
  <c r="AJ468" i="20"/>
  <c r="AJ476" i="20"/>
  <c r="AJ484" i="20"/>
  <c r="AJ492" i="20"/>
  <c r="AJ500" i="20"/>
  <c r="AJ508" i="20"/>
  <c r="AJ516" i="20"/>
  <c r="AJ524" i="20"/>
  <c r="AJ532" i="20"/>
  <c r="AJ540" i="20"/>
  <c r="AJ548" i="20"/>
  <c r="AJ556" i="20"/>
  <c r="AJ564" i="20"/>
  <c r="AJ572" i="20"/>
  <c r="AJ580" i="20"/>
  <c r="AI28" i="20"/>
  <c r="AI585" i="20"/>
  <c r="W444" i="20"/>
  <c r="W448" i="20"/>
  <c r="W452" i="20"/>
  <c r="W456" i="20"/>
  <c r="W460" i="20"/>
  <c r="W464" i="20"/>
  <c r="W468" i="20"/>
  <c r="W472" i="20"/>
  <c r="W476" i="20"/>
  <c r="W480" i="20"/>
  <c r="W484" i="20"/>
  <c r="W488" i="20"/>
  <c r="W492" i="20"/>
  <c r="W496" i="20"/>
  <c r="W500" i="20"/>
  <c r="W504" i="20"/>
  <c r="W508" i="20"/>
  <c r="W512" i="20"/>
  <c r="W516" i="20"/>
  <c r="W520" i="20"/>
  <c r="W524" i="20"/>
  <c r="W528" i="20"/>
  <c r="W532" i="20"/>
  <c r="W536" i="20"/>
  <c r="W540" i="20"/>
  <c r="W544" i="20"/>
  <c r="W548" i="20"/>
  <c r="W552" i="20"/>
  <c r="W556" i="20"/>
  <c r="W560" i="20"/>
  <c r="W564" i="20"/>
  <c r="W568" i="20"/>
  <c r="W572" i="20"/>
  <c r="W576" i="20"/>
  <c r="W580" i="20"/>
  <c r="W584" i="20"/>
  <c r="X440" i="20"/>
  <c r="X445" i="20"/>
  <c r="X449" i="20"/>
  <c r="X453" i="20"/>
  <c r="X457" i="20"/>
  <c r="X461" i="20"/>
  <c r="X465" i="20"/>
  <c r="X469" i="20"/>
  <c r="X473" i="20"/>
  <c r="X477" i="20"/>
  <c r="X481" i="20"/>
  <c r="X485" i="20"/>
  <c r="X489" i="20"/>
  <c r="X493" i="20"/>
  <c r="X497" i="20"/>
  <c r="X501" i="20"/>
  <c r="X505" i="20"/>
  <c r="X509" i="20"/>
  <c r="X513" i="20"/>
  <c r="X517" i="20"/>
  <c r="X521" i="20"/>
  <c r="X525" i="20"/>
  <c r="X529" i="20"/>
  <c r="X533" i="20"/>
  <c r="X537" i="20"/>
  <c r="X541" i="20"/>
  <c r="X545" i="20"/>
  <c r="X549" i="20"/>
  <c r="X553" i="20"/>
  <c r="X557" i="20"/>
  <c r="X561" i="20"/>
  <c r="X565" i="20"/>
  <c r="X569" i="20"/>
  <c r="X573" i="20"/>
  <c r="X577" i="20"/>
  <c r="X581" i="20"/>
  <c r="X585" i="20"/>
  <c r="Y441" i="20"/>
  <c r="Y446" i="20"/>
  <c r="Y450" i="20"/>
  <c r="Y454" i="20"/>
  <c r="Y458" i="20"/>
  <c r="Y462" i="20"/>
  <c r="Y466" i="20"/>
  <c r="Y470" i="20"/>
  <c r="Y474" i="20"/>
  <c r="Y478" i="20"/>
  <c r="Y482" i="20"/>
  <c r="Y486" i="20"/>
  <c r="Y490" i="20"/>
  <c r="Y494" i="20"/>
  <c r="Y498" i="20"/>
  <c r="Y502" i="20"/>
  <c r="Y506" i="20"/>
  <c r="Y510" i="20"/>
  <c r="Y514" i="20"/>
  <c r="Y518" i="20"/>
  <c r="Y522" i="20"/>
  <c r="Y526" i="20"/>
  <c r="Y530" i="20"/>
  <c r="Y534" i="20"/>
  <c r="Y538" i="20"/>
  <c r="Y542" i="20"/>
  <c r="Y546" i="20"/>
  <c r="Y550" i="20"/>
  <c r="Y554" i="20"/>
  <c r="Y558" i="20"/>
  <c r="Y562" i="20"/>
  <c r="Y566" i="20"/>
  <c r="Y570" i="20"/>
  <c r="Y574" i="20"/>
  <c r="Y578" i="20"/>
  <c r="Y582" i="20"/>
  <c r="Y586" i="20"/>
  <c r="Z443" i="20"/>
  <c r="Z447" i="20"/>
  <c r="Z451" i="20"/>
  <c r="Z455" i="20"/>
  <c r="Z459" i="20"/>
  <c r="Z463" i="20"/>
  <c r="Z467" i="20"/>
  <c r="Z471" i="20"/>
  <c r="Z475" i="20"/>
  <c r="Z479" i="20"/>
  <c r="Z483" i="20"/>
  <c r="Z487" i="20"/>
  <c r="Z491" i="20"/>
  <c r="Z495" i="20"/>
  <c r="Z499" i="20"/>
  <c r="Z503" i="20"/>
  <c r="Z507" i="20"/>
  <c r="Z511" i="20"/>
  <c r="Z515" i="20"/>
  <c r="Z519" i="20"/>
  <c r="Z523" i="20"/>
  <c r="Z527" i="20"/>
  <c r="Z531" i="20"/>
  <c r="Z535" i="20"/>
  <c r="Z539" i="20"/>
  <c r="Z543" i="20"/>
  <c r="Z547" i="20"/>
  <c r="Z551" i="20"/>
  <c r="Z555" i="20"/>
  <c r="Z559" i="20"/>
  <c r="Z563" i="20"/>
  <c r="Z567" i="20"/>
  <c r="Z571" i="20"/>
  <c r="Z575" i="20"/>
  <c r="Z579" i="20"/>
  <c r="Z583" i="20"/>
  <c r="Z587" i="20"/>
  <c r="AA444" i="20"/>
  <c r="AA448" i="20"/>
  <c r="AA452" i="20"/>
  <c r="AA456" i="20"/>
  <c r="AA460" i="20"/>
  <c r="AA464" i="20"/>
  <c r="AA468" i="20"/>
  <c r="AA472" i="20"/>
  <c r="AA476" i="20"/>
  <c r="AA480" i="20"/>
  <c r="AA484" i="20"/>
  <c r="AA488" i="20"/>
  <c r="AA492" i="20"/>
  <c r="AA496" i="20"/>
  <c r="AA500" i="20"/>
  <c r="AA504" i="20"/>
  <c r="AA508" i="20"/>
  <c r="AA512" i="20"/>
  <c r="AA516" i="20"/>
  <c r="AA520" i="20"/>
  <c r="AA524" i="20"/>
  <c r="AA528" i="20"/>
  <c r="AA532" i="20"/>
  <c r="AA536" i="20"/>
  <c r="AA540" i="20"/>
  <c r="AA544" i="20"/>
  <c r="AA548" i="20"/>
  <c r="AA552" i="20"/>
  <c r="AA556" i="20"/>
  <c r="AA560" i="20"/>
  <c r="AA564" i="20"/>
  <c r="AA568" i="20"/>
  <c r="AA572" i="20"/>
  <c r="AA576" i="20"/>
  <c r="AA580" i="20"/>
  <c r="AA584" i="20"/>
  <c r="AB440" i="20"/>
  <c r="AB445" i="20"/>
  <c r="AB449" i="20"/>
  <c r="AB453" i="20"/>
  <c r="AB457" i="20"/>
  <c r="AB461" i="20"/>
  <c r="AB465" i="20"/>
  <c r="AB469" i="20"/>
  <c r="AB473" i="20"/>
  <c r="AB477" i="20"/>
  <c r="AB481" i="20"/>
  <c r="AB485" i="20"/>
  <c r="AB489" i="20"/>
  <c r="AB493" i="20"/>
  <c r="AB497" i="20"/>
  <c r="AB501" i="20"/>
  <c r="AB505" i="20"/>
  <c r="AB509" i="20"/>
  <c r="AB513" i="20"/>
  <c r="AB517" i="20"/>
  <c r="AB521" i="20"/>
  <c r="AB525" i="20"/>
  <c r="AB529" i="20"/>
  <c r="AB533" i="20"/>
  <c r="AB537" i="20"/>
  <c r="AB541" i="20"/>
  <c r="AB545" i="20"/>
  <c r="AB549" i="20"/>
  <c r="AB553" i="20"/>
  <c r="AB557" i="20"/>
  <c r="AB561" i="20"/>
  <c r="AB565" i="20"/>
  <c r="AB569" i="20"/>
  <c r="AB573" i="20"/>
  <c r="AB577" i="20"/>
  <c r="AB581" i="20"/>
  <c r="AB585" i="20"/>
  <c r="AC441" i="20"/>
  <c r="AC445" i="20"/>
  <c r="AC449" i="20"/>
  <c r="AC453" i="20"/>
  <c r="AJ30" i="20"/>
  <c r="AJ48" i="20"/>
  <c r="AJ64" i="20"/>
  <c r="AJ80" i="20"/>
  <c r="AJ96" i="20"/>
  <c r="AJ112" i="20"/>
  <c r="AJ128" i="20"/>
  <c r="AJ144" i="20"/>
  <c r="AJ160" i="20"/>
  <c r="AJ176" i="20"/>
  <c r="AJ192" i="20"/>
  <c r="AJ208" i="20"/>
  <c r="AJ224" i="20"/>
  <c r="AJ240" i="20"/>
  <c r="AJ256" i="20"/>
  <c r="AJ272" i="20"/>
  <c r="AJ288" i="20"/>
  <c r="AJ304" i="20"/>
  <c r="AJ320" i="20"/>
  <c r="AJ336" i="20"/>
  <c r="AJ352" i="20"/>
  <c r="AJ368" i="20"/>
  <c r="AJ384" i="20"/>
  <c r="AJ400" i="20"/>
  <c r="AJ416" i="20"/>
  <c r="AJ432" i="20"/>
  <c r="AJ448" i="20"/>
  <c r="AJ464" i="20"/>
  <c r="AJ480" i="20"/>
  <c r="AJ496" i="20"/>
  <c r="AJ512" i="20"/>
  <c r="AJ528" i="20"/>
  <c r="AJ544" i="20"/>
  <c r="AJ560" i="20"/>
  <c r="AJ576" i="20"/>
  <c r="AI553" i="20"/>
  <c r="W446" i="20"/>
  <c r="W454" i="20"/>
  <c r="W462" i="20"/>
  <c r="W470" i="20"/>
  <c r="W478" i="20"/>
  <c r="W486" i="20"/>
  <c r="W494" i="20"/>
  <c r="W502" i="20"/>
  <c r="W510" i="20"/>
  <c r="W518" i="20"/>
  <c r="W526" i="20"/>
  <c r="W534" i="20"/>
  <c r="W542" i="20"/>
  <c r="W550" i="20"/>
  <c r="W558" i="20"/>
  <c r="W566" i="20"/>
  <c r="W574" i="20"/>
  <c r="W582" i="20"/>
  <c r="X443" i="20"/>
  <c r="X451" i="20"/>
  <c r="X459" i="20"/>
  <c r="X467" i="20"/>
  <c r="X475" i="20"/>
  <c r="X483" i="20"/>
  <c r="X491" i="20"/>
  <c r="X499" i="20"/>
  <c r="X507" i="20"/>
  <c r="X515" i="20"/>
  <c r="X523" i="20"/>
  <c r="X531" i="20"/>
  <c r="X539" i="20"/>
  <c r="X547" i="20"/>
  <c r="X555" i="20"/>
  <c r="X563" i="20"/>
  <c r="X571" i="20"/>
  <c r="X579" i="20"/>
  <c r="X587" i="20"/>
  <c r="Y448" i="20"/>
  <c r="Y456" i="20"/>
  <c r="Y464" i="20"/>
  <c r="Y472" i="20"/>
  <c r="Y480" i="20"/>
  <c r="Y488" i="20"/>
  <c r="Y496" i="20"/>
  <c r="Y504" i="20"/>
  <c r="Y512" i="20"/>
  <c r="Y520" i="20"/>
  <c r="Y528" i="20"/>
  <c r="Y536" i="20"/>
  <c r="Y544" i="20"/>
  <c r="Y552" i="20"/>
  <c r="Y560" i="20"/>
  <c r="Y568" i="20"/>
  <c r="Y576" i="20"/>
  <c r="Y584" i="20"/>
  <c r="Z445" i="20"/>
  <c r="Z453" i="20"/>
  <c r="Z461" i="20"/>
  <c r="Z469" i="20"/>
  <c r="Z477" i="20"/>
  <c r="Z485" i="20"/>
  <c r="Z493" i="20"/>
  <c r="Z501" i="20"/>
  <c r="Z509" i="20"/>
  <c r="Z517" i="20"/>
  <c r="Z525" i="20"/>
  <c r="Z533" i="20"/>
  <c r="Z541" i="20"/>
  <c r="Z549" i="20"/>
  <c r="Z557" i="20"/>
  <c r="Z565" i="20"/>
  <c r="Z573" i="20"/>
  <c r="Z581" i="20"/>
  <c r="AA441" i="20"/>
  <c r="AA450" i="20"/>
  <c r="AA458" i="20"/>
  <c r="AA466" i="20"/>
  <c r="AA474" i="20"/>
  <c r="AA482" i="20"/>
  <c r="AA490" i="20"/>
  <c r="AA498" i="20"/>
  <c r="AA506" i="20"/>
  <c r="AA514" i="20"/>
  <c r="AA522" i="20"/>
  <c r="AA530" i="20"/>
  <c r="AA538" i="20"/>
  <c r="AA546" i="20"/>
  <c r="AA554" i="20"/>
  <c r="AA562" i="20"/>
  <c r="AA570" i="20"/>
  <c r="AA578" i="20"/>
  <c r="AA586" i="20"/>
  <c r="AB447" i="20"/>
  <c r="AB455" i="20"/>
  <c r="AB463" i="20"/>
  <c r="AB471" i="20"/>
  <c r="AB479" i="20"/>
  <c r="AB487" i="20"/>
  <c r="AB495" i="20"/>
  <c r="AB503" i="20"/>
  <c r="AB511" i="20"/>
  <c r="AB519" i="20"/>
  <c r="AB527" i="20"/>
  <c r="AB535" i="20"/>
  <c r="AB543" i="20"/>
  <c r="AB551" i="20"/>
  <c r="AB559" i="20"/>
  <c r="AB567" i="20"/>
  <c r="AB575" i="20"/>
  <c r="AB583" i="20"/>
  <c r="AC443" i="20"/>
  <c r="AC451" i="20"/>
  <c r="AC457" i="20"/>
  <c r="AC463" i="20"/>
  <c r="AC468" i="20"/>
  <c r="AC473" i="20"/>
  <c r="AC479" i="20"/>
  <c r="AC484" i="20"/>
  <c r="AC489" i="20"/>
  <c r="AC495" i="20"/>
  <c r="AC500" i="20"/>
  <c r="AC505" i="20"/>
  <c r="AC511" i="20"/>
  <c r="AC516" i="20"/>
  <c r="AC521" i="20"/>
  <c r="AC527" i="20"/>
  <c r="AC532" i="20"/>
  <c r="AC537" i="20"/>
  <c r="AC543" i="20"/>
  <c r="AC548" i="20"/>
  <c r="AC553" i="20"/>
  <c r="AC559" i="20"/>
  <c r="AC564" i="20"/>
  <c r="AC569" i="20"/>
  <c r="AC575" i="20"/>
  <c r="AC580" i="20"/>
  <c r="AC585" i="20"/>
  <c r="AD443" i="20"/>
  <c r="AD448" i="20"/>
  <c r="AD453" i="20"/>
  <c r="AD457" i="20"/>
  <c r="AD461" i="20"/>
  <c r="AD465" i="20"/>
  <c r="AD469" i="20"/>
  <c r="AD473" i="20"/>
  <c r="AD477" i="20"/>
  <c r="AD481" i="20"/>
  <c r="AD485" i="20"/>
  <c r="AD489" i="20"/>
  <c r="AD493" i="20"/>
  <c r="AD497" i="20"/>
  <c r="AD501" i="20"/>
  <c r="AD505" i="20"/>
  <c r="AD509" i="20"/>
  <c r="AD513" i="20"/>
  <c r="AD517" i="20"/>
  <c r="AD521" i="20"/>
  <c r="AD525" i="20"/>
  <c r="AD529" i="20"/>
  <c r="AD533" i="20"/>
  <c r="AD537" i="20"/>
  <c r="AD541" i="20"/>
  <c r="AD545" i="20"/>
  <c r="AD549" i="20"/>
  <c r="AD553" i="20"/>
  <c r="AD557" i="20"/>
  <c r="AD561" i="20"/>
  <c r="AD565" i="20"/>
  <c r="AD569" i="20"/>
  <c r="AD573" i="20"/>
  <c r="AD577" i="20"/>
  <c r="AD581" i="20"/>
  <c r="AD585" i="20"/>
  <c r="AE441" i="20"/>
  <c r="AE445" i="20"/>
  <c r="AE449" i="20"/>
  <c r="AE453" i="20"/>
  <c r="AE457" i="20"/>
  <c r="AE461" i="20"/>
  <c r="AE465" i="20"/>
  <c r="AE469" i="20"/>
  <c r="AE473" i="20"/>
  <c r="AE477" i="20"/>
  <c r="AE481" i="20"/>
  <c r="AE485" i="20"/>
  <c r="AE489" i="20"/>
  <c r="AE493" i="20"/>
  <c r="AE497" i="20"/>
  <c r="AE501" i="20"/>
  <c r="AE505" i="20"/>
  <c r="AE509" i="20"/>
  <c r="AE513" i="20"/>
  <c r="AE517" i="20"/>
  <c r="AE521" i="20"/>
  <c r="AE525" i="20"/>
  <c r="AE529" i="20"/>
  <c r="AE533" i="20"/>
  <c r="AE537" i="20"/>
  <c r="AE541" i="20"/>
  <c r="AE545" i="20"/>
  <c r="AE549" i="20"/>
  <c r="AE553" i="20"/>
  <c r="AE557" i="20"/>
  <c r="AE561" i="20"/>
  <c r="AE565" i="20"/>
  <c r="AE569" i="20"/>
  <c r="AE573" i="20"/>
  <c r="AE577" i="20"/>
  <c r="AE581" i="20"/>
  <c r="AE585" i="20"/>
  <c r="AF441" i="20"/>
  <c r="AF445" i="20"/>
  <c r="AF449" i="20"/>
  <c r="AF453" i="20"/>
  <c r="AF457" i="20"/>
  <c r="AF461" i="20"/>
  <c r="AF465" i="20"/>
  <c r="AF469" i="20"/>
  <c r="AF473" i="20"/>
  <c r="AF477" i="20"/>
  <c r="AF481" i="20"/>
  <c r="AF485" i="20"/>
  <c r="AF489" i="20"/>
  <c r="AF493" i="20"/>
  <c r="AF497" i="20"/>
  <c r="AF501" i="20"/>
  <c r="AF505" i="20"/>
  <c r="AF509" i="20"/>
  <c r="AF513" i="20"/>
  <c r="AF517" i="20"/>
  <c r="AF521" i="20"/>
  <c r="AF525" i="20"/>
  <c r="AF529" i="20"/>
  <c r="AF533" i="20"/>
  <c r="AF537" i="20"/>
  <c r="AF541" i="20"/>
  <c r="AF545" i="20"/>
  <c r="AF549" i="20"/>
  <c r="AF553" i="20"/>
  <c r="AF557" i="20"/>
  <c r="AF561" i="20"/>
  <c r="AF565" i="20"/>
  <c r="AF569" i="20"/>
  <c r="AF573" i="20"/>
  <c r="AF577" i="20"/>
  <c r="AF581" i="20"/>
  <c r="AF585" i="20"/>
  <c r="AG441" i="20"/>
  <c r="AG445" i="20"/>
  <c r="AJ43" i="20"/>
  <c r="AJ59" i="20"/>
  <c r="AJ75" i="20"/>
  <c r="AJ91" i="20"/>
  <c r="AJ107" i="20"/>
  <c r="AJ123" i="20"/>
  <c r="AJ139" i="20"/>
  <c r="AJ155" i="20"/>
  <c r="AJ171" i="20"/>
  <c r="AJ187" i="20"/>
  <c r="AJ203" i="20"/>
  <c r="AJ219" i="20"/>
  <c r="AJ235" i="20"/>
  <c r="AJ251" i="20"/>
  <c r="AJ267" i="20"/>
  <c r="AJ283" i="20"/>
  <c r="AJ299" i="20"/>
  <c r="AJ315" i="20"/>
  <c r="AJ331" i="20"/>
  <c r="AJ347" i="20"/>
  <c r="AJ363" i="20"/>
  <c r="AJ379" i="20"/>
  <c r="AJ395" i="20"/>
  <c r="AJ411" i="20"/>
  <c r="AJ427" i="20"/>
  <c r="AJ443" i="20"/>
  <c r="AJ459" i="20"/>
  <c r="AJ475" i="20"/>
  <c r="AJ491" i="20"/>
  <c r="AJ507" i="20"/>
  <c r="AJ523" i="20"/>
  <c r="AJ539" i="20"/>
  <c r="AJ555" i="20"/>
  <c r="AJ571" i="20"/>
  <c r="AJ587" i="20"/>
  <c r="W443" i="20"/>
  <c r="W451" i="20"/>
  <c r="W459" i="20"/>
  <c r="W467" i="20"/>
  <c r="W475" i="20"/>
  <c r="W483" i="20"/>
  <c r="W491" i="20"/>
  <c r="W499" i="20"/>
  <c r="W507" i="20"/>
  <c r="W515" i="20"/>
  <c r="W523" i="20"/>
  <c r="W531" i="20"/>
  <c r="W539" i="20"/>
  <c r="W547" i="20"/>
  <c r="W555" i="20"/>
  <c r="W563" i="20"/>
  <c r="W571" i="20"/>
  <c r="W579" i="20"/>
  <c r="W587" i="20"/>
  <c r="X448" i="20"/>
  <c r="X456" i="20"/>
  <c r="X464" i="20"/>
  <c r="X472" i="20"/>
  <c r="X480" i="20"/>
  <c r="X488" i="20"/>
  <c r="X496" i="20"/>
  <c r="X504" i="20"/>
  <c r="X512" i="20"/>
  <c r="X520" i="20"/>
  <c r="X528" i="20"/>
  <c r="X536" i="20"/>
  <c r="X544" i="20"/>
  <c r="X552" i="20"/>
  <c r="X560" i="20"/>
  <c r="X568" i="20"/>
  <c r="X576" i="20"/>
  <c r="X584" i="20"/>
  <c r="Y445" i="20"/>
  <c r="Y453" i="20"/>
  <c r="Y461" i="20"/>
  <c r="Y469" i="20"/>
  <c r="Y477" i="20"/>
  <c r="Y485" i="20"/>
  <c r="Y493" i="20"/>
  <c r="Y501" i="20"/>
  <c r="Y509" i="20"/>
  <c r="Y517" i="20"/>
  <c r="Y525" i="20"/>
  <c r="Y533" i="20"/>
  <c r="Y541" i="20"/>
  <c r="Y549" i="20"/>
  <c r="Y557" i="20"/>
  <c r="Y565" i="20"/>
  <c r="Y573" i="20"/>
  <c r="Y581" i="20"/>
  <c r="Z441" i="20"/>
  <c r="Z450" i="20"/>
  <c r="Z458" i="20"/>
  <c r="Z466" i="20"/>
  <c r="Z474" i="20"/>
  <c r="Z482" i="20"/>
  <c r="Z490" i="20"/>
  <c r="Z498" i="20"/>
  <c r="Z506" i="20"/>
  <c r="Z514" i="20"/>
  <c r="Z522" i="20"/>
  <c r="Z530" i="20"/>
  <c r="Z538" i="20"/>
  <c r="Z546" i="20"/>
  <c r="Z554" i="20"/>
  <c r="Z562" i="20"/>
  <c r="Z570" i="20"/>
  <c r="Z578" i="20"/>
  <c r="Z586" i="20"/>
  <c r="AA447" i="20"/>
  <c r="AA455" i="20"/>
  <c r="AA463" i="20"/>
  <c r="AA471" i="20"/>
  <c r="AA479" i="20"/>
  <c r="AA487" i="20"/>
  <c r="AA495" i="20"/>
  <c r="AA503" i="20"/>
  <c r="AA511" i="20"/>
  <c r="AA519" i="20"/>
  <c r="AA527" i="20"/>
  <c r="AA535" i="20"/>
  <c r="AA543" i="20"/>
  <c r="AA551" i="20"/>
  <c r="AA559" i="20"/>
  <c r="AA567" i="20"/>
  <c r="AA575" i="20"/>
  <c r="AA583" i="20"/>
  <c r="AB444" i="20"/>
  <c r="AB452" i="20"/>
  <c r="AB460" i="20"/>
  <c r="AB468" i="20"/>
  <c r="AB476" i="20"/>
  <c r="AB484" i="20"/>
  <c r="AB492" i="20"/>
  <c r="AB500" i="20"/>
  <c r="AB508" i="20"/>
  <c r="AB516" i="20"/>
  <c r="AB524" i="20"/>
  <c r="AB532" i="20"/>
  <c r="AB540" i="20"/>
  <c r="AB548" i="20"/>
  <c r="AB556" i="20"/>
  <c r="AB564" i="20"/>
  <c r="AB572" i="20"/>
  <c r="AB580" i="20"/>
  <c r="AC440" i="20"/>
  <c r="AC448" i="20"/>
  <c r="AC456" i="20"/>
  <c r="AC461" i="20"/>
  <c r="AC467" i="20"/>
  <c r="AC472" i="20"/>
  <c r="AC477" i="20"/>
  <c r="AC483" i="20"/>
  <c r="AC488" i="20"/>
  <c r="AC493" i="20"/>
  <c r="AC499" i="20"/>
  <c r="AC504" i="20"/>
  <c r="AC509" i="20"/>
  <c r="AC515" i="20"/>
  <c r="AC520" i="20"/>
  <c r="AC525" i="20"/>
  <c r="AC531" i="20"/>
  <c r="AC536" i="20"/>
  <c r="AC541" i="20"/>
  <c r="AC547" i="20"/>
  <c r="AC552" i="20"/>
  <c r="AC557" i="20"/>
  <c r="AC563" i="20"/>
  <c r="AC568" i="20"/>
  <c r="AC573" i="20"/>
  <c r="AC579" i="20"/>
  <c r="AC584" i="20"/>
  <c r="AD441" i="20"/>
  <c r="AD447" i="20"/>
  <c r="AD452" i="20"/>
  <c r="AD456" i="20"/>
  <c r="AD460" i="20"/>
  <c r="AD464" i="20"/>
  <c r="AD468" i="20"/>
  <c r="AD472" i="20"/>
  <c r="AD476" i="20"/>
  <c r="AD480" i="20"/>
  <c r="AD484" i="20"/>
  <c r="AD488" i="20"/>
  <c r="AD492" i="20"/>
  <c r="AD496" i="20"/>
  <c r="AD500" i="20"/>
  <c r="AD504" i="20"/>
  <c r="AD508" i="20"/>
  <c r="AD512" i="20"/>
  <c r="AD516" i="20"/>
  <c r="AD520" i="20"/>
  <c r="AD524" i="20"/>
  <c r="AD528" i="20"/>
  <c r="AD532" i="20"/>
  <c r="AD536" i="20"/>
  <c r="AD540" i="20"/>
  <c r="AD544" i="20"/>
  <c r="AD548" i="20"/>
  <c r="AD552" i="20"/>
  <c r="AD556" i="20"/>
  <c r="AD560" i="20"/>
  <c r="AD564" i="20"/>
  <c r="AD568" i="20"/>
  <c r="AD572" i="20"/>
  <c r="AD576" i="20"/>
  <c r="AD580" i="20"/>
  <c r="AD584" i="20"/>
  <c r="AE440" i="20"/>
  <c r="AE444" i="20"/>
  <c r="AE448" i="20"/>
  <c r="AE452" i="20"/>
  <c r="AE456" i="20"/>
  <c r="AE460" i="20"/>
  <c r="AE464" i="20"/>
  <c r="AE468" i="20"/>
  <c r="AE472" i="20"/>
  <c r="AE476" i="20"/>
  <c r="AE480" i="20"/>
  <c r="AE484" i="20"/>
  <c r="AE488" i="20"/>
  <c r="AE492" i="20"/>
  <c r="AE496" i="20"/>
  <c r="AE500" i="20"/>
  <c r="AE504" i="20"/>
  <c r="AE508" i="20"/>
  <c r="AE512" i="20"/>
  <c r="AE516" i="20"/>
  <c r="AE520" i="20"/>
  <c r="AE524" i="20"/>
  <c r="AE528" i="20"/>
  <c r="AE532" i="20"/>
  <c r="AE536" i="20"/>
  <c r="AE540" i="20"/>
  <c r="AE544" i="20"/>
  <c r="AE548" i="20"/>
  <c r="AE552" i="20"/>
  <c r="AE556" i="20"/>
  <c r="AE560" i="20"/>
  <c r="AE564" i="20"/>
  <c r="AE568" i="20"/>
  <c r="AE572" i="20"/>
  <c r="AE576" i="20"/>
  <c r="AE580" i="20"/>
  <c r="AE584" i="20"/>
  <c r="AF440" i="20"/>
  <c r="AF444" i="20"/>
  <c r="AF448" i="20"/>
  <c r="AF452" i="20"/>
  <c r="AF456" i="20"/>
  <c r="AF460" i="20"/>
  <c r="AF464" i="20"/>
  <c r="AF468" i="20"/>
  <c r="AF472" i="20"/>
  <c r="AF476" i="20"/>
  <c r="AF480" i="20"/>
  <c r="AF484" i="20"/>
  <c r="AF488" i="20"/>
  <c r="AF492" i="20"/>
  <c r="AF496" i="20"/>
  <c r="AF500" i="20"/>
  <c r="AF504" i="20"/>
  <c r="AF508" i="20"/>
  <c r="AF512" i="20"/>
  <c r="AF516" i="20"/>
  <c r="AF520" i="20"/>
  <c r="AF524" i="20"/>
  <c r="AF528" i="20"/>
  <c r="AF532" i="20"/>
  <c r="AF536" i="20"/>
  <c r="AF540" i="20"/>
  <c r="AF544" i="20"/>
  <c r="AF548" i="20"/>
  <c r="AF552" i="20"/>
  <c r="AF556" i="20"/>
  <c r="AF560" i="20"/>
  <c r="AF564" i="20"/>
  <c r="AF568" i="20"/>
  <c r="AF572" i="20"/>
  <c r="AF576" i="20"/>
  <c r="AF580" i="20"/>
  <c r="AF584"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G532" i="20"/>
  <c r="AG536" i="20"/>
  <c r="AJ34" i="20"/>
  <c r="AJ67" i="20"/>
  <c r="AJ99" i="20"/>
  <c r="AJ131" i="20"/>
  <c r="AJ163" i="20"/>
  <c r="AJ195" i="20"/>
  <c r="AJ227" i="20"/>
  <c r="AJ259" i="20"/>
  <c r="AJ291" i="20"/>
  <c r="AJ323" i="20"/>
  <c r="AJ355" i="20"/>
  <c r="AJ387" i="20"/>
  <c r="AJ419" i="20"/>
  <c r="AJ451" i="20"/>
  <c r="AJ483" i="20"/>
  <c r="AJ515" i="20"/>
  <c r="AJ547" i="20"/>
  <c r="AJ579" i="20"/>
  <c r="W447" i="20"/>
  <c r="W463" i="20"/>
  <c r="W479" i="20"/>
  <c r="W495" i="20"/>
  <c r="W511" i="20"/>
  <c r="W527" i="20"/>
  <c r="W543" i="20"/>
  <c r="W559" i="20"/>
  <c r="W575" i="20"/>
  <c r="X444" i="20"/>
  <c r="X460" i="20"/>
  <c r="X476" i="20"/>
  <c r="X492" i="20"/>
  <c r="X508" i="20"/>
  <c r="X524" i="20"/>
  <c r="X540" i="20"/>
  <c r="X556" i="20"/>
  <c r="X572" i="20"/>
  <c r="Y440" i="20"/>
  <c r="Y457" i="20"/>
  <c r="Y473" i="20"/>
  <c r="Y489" i="20"/>
  <c r="Y505" i="20"/>
  <c r="Y521" i="20"/>
  <c r="Y537" i="20"/>
  <c r="Y553" i="20"/>
  <c r="Y569" i="20"/>
  <c r="Y585" i="20"/>
  <c r="Z454" i="20"/>
  <c r="Z470" i="20"/>
  <c r="Z486" i="20"/>
  <c r="Z502" i="20"/>
  <c r="Z518" i="20"/>
  <c r="Z534" i="20"/>
  <c r="Z550" i="20"/>
  <c r="Z566" i="20"/>
  <c r="Z582" i="20"/>
  <c r="AA451" i="20"/>
  <c r="AA467" i="20"/>
  <c r="AA483" i="20"/>
  <c r="AA499" i="20"/>
  <c r="AA515" i="20"/>
  <c r="AA531" i="20"/>
  <c r="AA547" i="20"/>
  <c r="AA563" i="20"/>
  <c r="AA579" i="20"/>
  <c r="AB448" i="20"/>
  <c r="AB464" i="20"/>
  <c r="AB480" i="20"/>
  <c r="AB496" i="20"/>
  <c r="AB512" i="20"/>
  <c r="AB528" i="20"/>
  <c r="AB544" i="20"/>
  <c r="AB560" i="20"/>
  <c r="AB576" i="20"/>
  <c r="AC444" i="20"/>
  <c r="AC459" i="20"/>
  <c r="AC469" i="20"/>
  <c r="AC480" i="20"/>
  <c r="AC491" i="20"/>
  <c r="AC501" i="20"/>
  <c r="AC512" i="20"/>
  <c r="AC523" i="20"/>
  <c r="AC533" i="20"/>
  <c r="AC544" i="20"/>
  <c r="AC555" i="20"/>
  <c r="AC565" i="20"/>
  <c r="AC576" i="20"/>
  <c r="AC587" i="20"/>
  <c r="AD449" i="20"/>
  <c r="AD458" i="20"/>
  <c r="AD466" i="20"/>
  <c r="AD474" i="20"/>
  <c r="AD482" i="20"/>
  <c r="AD490" i="20"/>
  <c r="AD498" i="20"/>
  <c r="AD506" i="20"/>
  <c r="AD514" i="20"/>
  <c r="AD522" i="20"/>
  <c r="AD530" i="20"/>
  <c r="AD538" i="20"/>
  <c r="AD546" i="20"/>
  <c r="AD554" i="20"/>
  <c r="AD562" i="20"/>
  <c r="AD570" i="20"/>
  <c r="AD578" i="20"/>
  <c r="AD586" i="20"/>
  <c r="AE446" i="20"/>
  <c r="AE454" i="20"/>
  <c r="AE462" i="20"/>
  <c r="AE470" i="20"/>
  <c r="AE478" i="20"/>
  <c r="AE486" i="20"/>
  <c r="AE494" i="20"/>
  <c r="AE502" i="20"/>
  <c r="AE510" i="20"/>
  <c r="AE518" i="20"/>
  <c r="AE526" i="20"/>
  <c r="AE534" i="20"/>
  <c r="AE542" i="20"/>
  <c r="AE550" i="20"/>
  <c r="AE558" i="20"/>
  <c r="AE566" i="20"/>
  <c r="AE574" i="20"/>
  <c r="AE582" i="20"/>
  <c r="AF442" i="20"/>
  <c r="AF450" i="20"/>
  <c r="AF458" i="20"/>
  <c r="AF466" i="20"/>
  <c r="AF474" i="20"/>
  <c r="AF482" i="20"/>
  <c r="AF490" i="20"/>
  <c r="AF498" i="20"/>
  <c r="AF506" i="20"/>
  <c r="AF514" i="20"/>
  <c r="AF522" i="20"/>
  <c r="AF530" i="20"/>
  <c r="AF538" i="20"/>
  <c r="AF546" i="20"/>
  <c r="AF554" i="20"/>
  <c r="AF562" i="20"/>
  <c r="AF570" i="20"/>
  <c r="AF578" i="20"/>
  <c r="AF586" i="20"/>
  <c r="AG446" i="20"/>
  <c r="AG451" i="20"/>
  <c r="AG457" i="20"/>
  <c r="AG462" i="20"/>
  <c r="AG467" i="20"/>
  <c r="AG473" i="20"/>
  <c r="AG478" i="20"/>
  <c r="AG483" i="20"/>
  <c r="AG489" i="20"/>
  <c r="AG494" i="20"/>
  <c r="AG499" i="20"/>
  <c r="AG505" i="20"/>
  <c r="AG510" i="20"/>
  <c r="AG515" i="20"/>
  <c r="AG521" i="20"/>
  <c r="AG526" i="20"/>
  <c r="AG531" i="20"/>
  <c r="AG537" i="20"/>
  <c r="AG541" i="20"/>
  <c r="AG545" i="20"/>
  <c r="AG549" i="20"/>
  <c r="AG553" i="20"/>
  <c r="AG557" i="20"/>
  <c r="AG561" i="20"/>
  <c r="AG565" i="20"/>
  <c r="AG569" i="20"/>
  <c r="AG573" i="20"/>
  <c r="AG577" i="20"/>
  <c r="AG581" i="20"/>
  <c r="AG585" i="20"/>
  <c r="AJ72" i="20"/>
  <c r="AJ424" i="20"/>
  <c r="AJ520" i="20"/>
  <c r="W450" i="20"/>
  <c r="W498" i="20"/>
  <c r="W530" i="20"/>
  <c r="W578" i="20"/>
  <c r="X479" i="20"/>
  <c r="X511" i="20"/>
  <c r="X559" i="20"/>
  <c r="Y444" i="20"/>
  <c r="Y492" i="20"/>
  <c r="Y524" i="20"/>
  <c r="Y556" i="20"/>
  <c r="Z457" i="20"/>
  <c r="Z489" i="20"/>
  <c r="Z521" i="20"/>
  <c r="Z569" i="20"/>
  <c r="AA454" i="20"/>
  <c r="AA486" i="20"/>
  <c r="AA518" i="20"/>
  <c r="AA566" i="20"/>
  <c r="AB451" i="20"/>
  <c r="AB483" i="20"/>
  <c r="AB515" i="20"/>
  <c r="AB547" i="20"/>
  <c r="AC447" i="20"/>
  <c r="AC471" i="20"/>
  <c r="AC492" i="20"/>
  <c r="AC524" i="20"/>
  <c r="AC545" i="20"/>
  <c r="AC577" i="20"/>
  <c r="AD451" i="20"/>
  <c r="AD475" i="20"/>
  <c r="AD491" i="20"/>
  <c r="AD515" i="20"/>
  <c r="AD539" i="20"/>
  <c r="AD563" i="20"/>
  <c r="AD579" i="20"/>
  <c r="AE455" i="20"/>
  <c r="AE471" i="20"/>
  <c r="AE495" i="20"/>
  <c r="AE519" i="20"/>
  <c r="AE543" i="20"/>
  <c r="AE559" i="20"/>
  <c r="AE583" i="20"/>
  <c r="AF451" i="20"/>
  <c r="AF467" i="20"/>
  <c r="AF491" i="20"/>
  <c r="AF507" i="20"/>
  <c r="AF531" i="20"/>
  <c r="AF555" i="20"/>
  <c r="AF571" i="20"/>
  <c r="AG447" i="20"/>
  <c r="AG463" i="20"/>
  <c r="AG474" i="20"/>
  <c r="AG490" i="20"/>
  <c r="AG501" i="20"/>
  <c r="AG517" i="20"/>
  <c r="AG527" i="20"/>
  <c r="AG538" i="20"/>
  <c r="AG550" i="20"/>
  <c r="AG558" i="20"/>
  <c r="AG570" i="20"/>
  <c r="AG578" i="20"/>
  <c r="AG586" i="20"/>
  <c r="AJ115" i="20"/>
  <c r="X452" i="20"/>
  <c r="X580" i="20"/>
  <c r="Y481" i="20"/>
  <c r="Y513" i="20"/>
  <c r="Y561" i="20"/>
  <c r="Z446" i="20"/>
  <c r="Z478" i="20"/>
  <c r="Z526" i="20"/>
  <c r="Z558" i="20"/>
  <c r="AA443" i="20"/>
  <c r="AA491" i="20"/>
  <c r="AA523" i="20"/>
  <c r="AA571" i="20"/>
  <c r="AB456" i="20"/>
  <c r="AB488" i="20"/>
  <c r="AB536" i="20"/>
  <c r="AB568" i="20"/>
  <c r="AC452" i="20"/>
  <c r="AC475" i="20"/>
  <c r="AC496" i="20"/>
  <c r="AC517" i="20"/>
  <c r="AD444" i="20"/>
  <c r="AD462" i="20"/>
  <c r="AD486" i="20"/>
  <c r="AD502" i="20"/>
  <c r="AD526" i="20"/>
  <c r="AD542" i="20"/>
  <c r="AD566" i="20"/>
  <c r="AD582" i="20"/>
  <c r="AE458" i="20"/>
  <c r="AE474" i="20"/>
  <c r="AE490" i="20"/>
  <c r="AE506" i="20"/>
  <c r="AE530" i="20"/>
  <c r="AE546" i="20"/>
  <c r="AE562" i="20"/>
  <c r="AE578" i="20"/>
  <c r="AF446" i="20"/>
  <c r="AF462" i="20"/>
  <c r="AF486" i="20"/>
  <c r="AF502" i="20"/>
  <c r="AF526" i="20"/>
  <c r="AF542" i="20"/>
  <c r="AF558" i="20"/>
  <c r="AF582" i="20"/>
  <c r="AG449" i="20"/>
  <c r="AG459" i="20"/>
  <c r="AG475" i="20"/>
  <c r="AG486" i="20"/>
  <c r="AG497" i="20"/>
  <c r="AG513" i="20"/>
  <c r="AG523" i="20"/>
  <c r="AG534" i="20"/>
  <c r="AG547" i="20"/>
  <c r="AG555" i="20"/>
  <c r="AG563" i="20"/>
  <c r="AG571" i="20"/>
  <c r="AG583" i="20"/>
  <c r="AJ56" i="20"/>
  <c r="AJ88" i="20"/>
  <c r="AJ120" i="20"/>
  <c r="AJ152" i="20"/>
  <c r="AJ184" i="20"/>
  <c r="AJ216" i="20"/>
  <c r="AJ248" i="20"/>
  <c r="AJ280" i="20"/>
  <c r="AJ312" i="20"/>
  <c r="AJ344" i="20"/>
  <c r="AJ376" i="20"/>
  <c r="AJ408" i="20"/>
  <c r="AJ440" i="20"/>
  <c r="AJ472" i="20"/>
  <c r="AJ504" i="20"/>
  <c r="AJ536" i="20"/>
  <c r="AJ568" i="20"/>
  <c r="W441" i="20"/>
  <c r="W458" i="20"/>
  <c r="W474" i="20"/>
  <c r="W490" i="20"/>
  <c r="W506" i="20"/>
  <c r="W522" i="20"/>
  <c r="W538" i="20"/>
  <c r="W554" i="20"/>
  <c r="W570" i="20"/>
  <c r="W586" i="20"/>
  <c r="X455" i="20"/>
  <c r="X471" i="20"/>
  <c r="X487" i="20"/>
  <c r="X503" i="20"/>
  <c r="X519" i="20"/>
  <c r="X535" i="20"/>
  <c r="X551" i="20"/>
  <c r="X567" i="20"/>
  <c r="X583" i="20"/>
  <c r="Y452" i="20"/>
  <c r="Y468" i="20"/>
  <c r="Y484" i="20"/>
  <c r="Y500" i="20"/>
  <c r="Y516" i="20"/>
  <c r="Y532" i="20"/>
  <c r="Y548" i="20"/>
  <c r="Y564" i="20"/>
  <c r="Y580" i="20"/>
  <c r="Z449" i="20"/>
  <c r="Z465" i="20"/>
  <c r="Z481" i="20"/>
  <c r="Z497" i="20"/>
  <c r="Z513" i="20"/>
  <c r="Z529" i="20"/>
  <c r="Z545" i="20"/>
  <c r="Z561" i="20"/>
  <c r="Z577" i="20"/>
  <c r="AA446" i="20"/>
  <c r="AA462" i="20"/>
  <c r="AA478" i="20"/>
  <c r="AA494" i="20"/>
  <c r="AA510" i="20"/>
  <c r="AA526" i="20"/>
  <c r="AA542" i="20"/>
  <c r="AA558" i="20"/>
  <c r="AA574" i="20"/>
  <c r="AB443" i="20"/>
  <c r="AB459" i="20"/>
  <c r="AB475" i="20"/>
  <c r="AB491" i="20"/>
  <c r="AB507" i="20"/>
  <c r="AB523" i="20"/>
  <c r="AB539" i="20"/>
  <c r="AB555" i="20"/>
  <c r="AB571" i="20"/>
  <c r="AB587" i="20"/>
  <c r="AC455" i="20"/>
  <c r="AC465" i="20"/>
  <c r="AC476" i="20"/>
  <c r="AC487" i="20"/>
  <c r="AC497" i="20"/>
  <c r="AC508" i="20"/>
  <c r="AC519" i="20"/>
  <c r="AC529" i="20"/>
  <c r="AC540" i="20"/>
  <c r="AC551" i="20"/>
  <c r="AC561" i="20"/>
  <c r="AC572" i="20"/>
  <c r="AC583" i="20"/>
  <c r="AD445" i="20"/>
  <c r="AD455" i="20"/>
  <c r="AD463" i="20"/>
  <c r="AD471" i="20"/>
  <c r="AD479" i="20"/>
  <c r="AD487" i="20"/>
  <c r="AD495" i="20"/>
  <c r="AD503" i="20"/>
  <c r="AD511" i="20"/>
  <c r="AD519" i="20"/>
  <c r="AD527" i="20"/>
  <c r="AD535" i="20"/>
  <c r="AD543" i="20"/>
  <c r="AD551" i="20"/>
  <c r="AD559" i="20"/>
  <c r="AD567" i="20"/>
  <c r="AD575" i="20"/>
  <c r="AD583" i="20"/>
  <c r="AE443" i="20"/>
  <c r="AE451" i="20"/>
  <c r="AE459" i="20"/>
  <c r="AE467" i="20"/>
  <c r="AE475" i="20"/>
  <c r="AE483" i="20"/>
  <c r="AE491" i="20"/>
  <c r="AE499" i="20"/>
  <c r="AE507" i="20"/>
  <c r="AE515" i="20"/>
  <c r="AE523" i="20"/>
  <c r="AE531" i="20"/>
  <c r="AE539" i="20"/>
  <c r="AE547" i="20"/>
  <c r="AE555" i="20"/>
  <c r="AE563" i="20"/>
  <c r="AE571" i="20"/>
  <c r="AE579" i="20"/>
  <c r="AE587" i="20"/>
  <c r="AF447" i="20"/>
  <c r="AF455" i="20"/>
  <c r="AF463" i="20"/>
  <c r="AF471" i="20"/>
  <c r="AF479" i="20"/>
  <c r="AF487" i="20"/>
  <c r="AF495" i="20"/>
  <c r="AF503" i="20"/>
  <c r="AF511" i="20"/>
  <c r="AF519" i="20"/>
  <c r="AF527" i="20"/>
  <c r="AF535" i="20"/>
  <c r="AF543" i="20"/>
  <c r="AF551" i="20"/>
  <c r="AF559" i="20"/>
  <c r="AF567" i="20"/>
  <c r="AF575" i="20"/>
  <c r="AF583" i="20"/>
  <c r="AG443" i="20"/>
  <c r="AG450" i="20"/>
  <c r="AG455" i="20"/>
  <c r="AG461" i="20"/>
  <c r="AG466" i="20"/>
  <c r="AG471" i="20"/>
  <c r="AG477" i="20"/>
  <c r="AG482" i="20"/>
  <c r="AG487" i="20"/>
  <c r="AG493" i="20"/>
  <c r="AG498" i="20"/>
  <c r="AG503" i="20"/>
  <c r="AG509" i="20"/>
  <c r="AG514" i="20"/>
  <c r="AG519" i="20"/>
  <c r="AG525" i="20"/>
  <c r="AG530" i="20"/>
  <c r="AG535" i="20"/>
  <c r="AG540" i="20"/>
  <c r="AG544" i="20"/>
  <c r="AG548" i="20"/>
  <c r="AG552" i="20"/>
  <c r="AG556" i="20"/>
  <c r="AG560" i="20"/>
  <c r="AG564" i="20"/>
  <c r="AG568" i="20"/>
  <c r="AG572" i="20"/>
  <c r="AG576" i="20"/>
  <c r="AG580" i="20"/>
  <c r="AG584" i="20"/>
  <c r="AJ40" i="20"/>
  <c r="AJ104" i="20"/>
  <c r="AJ136" i="20"/>
  <c r="AJ168" i="20"/>
  <c r="AJ200" i="20"/>
  <c r="AJ232" i="20"/>
  <c r="AJ264" i="20"/>
  <c r="AJ296" i="20"/>
  <c r="AJ328" i="20"/>
  <c r="AJ360" i="20"/>
  <c r="AJ392" i="20"/>
  <c r="AJ456" i="20"/>
  <c r="AJ488" i="20"/>
  <c r="AJ552" i="20"/>
  <c r="AJ584" i="20"/>
  <c r="W466" i="20"/>
  <c r="W482" i="20"/>
  <c r="W514" i="20"/>
  <c r="W546" i="20"/>
  <c r="W562" i="20"/>
  <c r="X447" i="20"/>
  <c r="X463" i="20"/>
  <c r="X495" i="20"/>
  <c r="X527" i="20"/>
  <c r="X543" i="20"/>
  <c r="X575" i="20"/>
  <c r="Y460" i="20"/>
  <c r="Y476" i="20"/>
  <c r="Y508" i="20"/>
  <c r="Y540" i="20"/>
  <c r="Y572" i="20"/>
  <c r="Z440" i="20"/>
  <c r="Z473" i="20"/>
  <c r="Z505" i="20"/>
  <c r="Z537" i="20"/>
  <c r="Z553" i="20"/>
  <c r="Z585" i="20"/>
  <c r="AA470" i="20"/>
  <c r="AA502" i="20"/>
  <c r="AA534" i="20"/>
  <c r="AA550" i="20"/>
  <c r="AA582" i="20"/>
  <c r="AB467" i="20"/>
  <c r="AB499" i="20"/>
  <c r="AB531" i="20"/>
  <c r="AB563" i="20"/>
  <c r="AB579" i="20"/>
  <c r="AC460" i="20"/>
  <c r="AC481" i="20"/>
  <c r="AC503" i="20"/>
  <c r="AC513" i="20"/>
  <c r="AC535" i="20"/>
  <c r="AC556" i="20"/>
  <c r="AC567" i="20"/>
  <c r="AD440" i="20"/>
  <c r="AD459" i="20"/>
  <c r="AD467" i="20"/>
  <c r="AD483" i="20"/>
  <c r="AD499" i="20"/>
  <c r="AD507" i="20"/>
  <c r="AD523" i="20"/>
  <c r="AD531" i="20"/>
  <c r="AD547" i="20"/>
  <c r="AD555" i="20"/>
  <c r="AD571" i="20"/>
  <c r="AD587" i="20"/>
  <c r="AE447" i="20"/>
  <c r="AE463" i="20"/>
  <c r="AE479" i="20"/>
  <c r="AE487" i="20"/>
  <c r="AE503" i="20"/>
  <c r="AE511" i="20"/>
  <c r="AE527" i="20"/>
  <c r="AE535" i="20"/>
  <c r="AE551" i="20"/>
  <c r="AE567" i="20"/>
  <c r="AE575" i="20"/>
  <c r="AF443" i="20"/>
  <c r="AF459" i="20"/>
  <c r="AF475" i="20"/>
  <c r="AF483" i="20"/>
  <c r="AF499" i="20"/>
  <c r="AF515" i="20"/>
  <c r="AF523" i="20"/>
  <c r="AF539" i="20"/>
  <c r="AF547" i="20"/>
  <c r="AF563" i="20"/>
  <c r="AF579" i="20"/>
  <c r="AF587" i="20"/>
  <c r="AG453" i="20"/>
  <c r="AG458" i="20"/>
  <c r="AG469" i="20"/>
  <c r="AG479" i="20"/>
  <c r="AG485" i="20"/>
  <c r="AG495" i="20"/>
  <c r="AG506" i="20"/>
  <c r="AG511" i="20"/>
  <c r="AG522" i="20"/>
  <c r="AG533" i="20"/>
  <c r="AG542" i="20"/>
  <c r="AG546" i="20"/>
  <c r="AG554" i="20"/>
  <c r="AG562" i="20"/>
  <c r="AG566" i="20"/>
  <c r="AG574" i="20"/>
  <c r="AG582" i="20"/>
  <c r="AJ51" i="20"/>
  <c r="AJ83" i="20"/>
  <c r="AJ147" i="20"/>
  <c r="AJ179" i="20"/>
  <c r="AJ211" i="20"/>
  <c r="AJ243" i="20"/>
  <c r="AJ275" i="20"/>
  <c r="AJ307" i="20"/>
  <c r="AJ339" i="20"/>
  <c r="AJ371" i="20"/>
  <c r="AJ403" i="20"/>
  <c r="AJ435" i="20"/>
  <c r="AJ467" i="20"/>
  <c r="AJ499" i="20"/>
  <c r="AJ531" i="20"/>
  <c r="AJ563" i="20"/>
  <c r="AI570" i="20"/>
  <c r="W455" i="20"/>
  <c r="W471" i="20"/>
  <c r="W487" i="20"/>
  <c r="W503" i="20"/>
  <c r="W519" i="20"/>
  <c r="W535" i="20"/>
  <c r="W551" i="20"/>
  <c r="W567" i="20"/>
  <c r="W583" i="20"/>
  <c r="X468" i="20"/>
  <c r="X484" i="20"/>
  <c r="X500" i="20"/>
  <c r="X516" i="20"/>
  <c r="X532" i="20"/>
  <c r="X548" i="20"/>
  <c r="X564" i="20"/>
  <c r="Y449" i="20"/>
  <c r="Y465" i="20"/>
  <c r="Y497" i="20"/>
  <c r="Y529" i="20"/>
  <c r="Y545" i="20"/>
  <c r="Y577" i="20"/>
  <c r="Z462" i="20"/>
  <c r="Z494" i="20"/>
  <c r="Z510" i="20"/>
  <c r="Z542" i="20"/>
  <c r="Z574" i="20"/>
  <c r="AA459" i="20"/>
  <c r="AA475" i="20"/>
  <c r="AA507" i="20"/>
  <c r="AA539" i="20"/>
  <c r="AA555" i="20"/>
  <c r="AA587" i="20"/>
  <c r="AB472" i="20"/>
  <c r="AB504" i="20"/>
  <c r="AB520" i="20"/>
  <c r="AB552" i="20"/>
  <c r="AB584" i="20"/>
  <c r="AC464" i="20"/>
  <c r="AC485" i="20"/>
  <c r="AC507" i="20"/>
  <c r="AC528" i="20"/>
  <c r="AC539" i="20"/>
  <c r="AC549" i="20"/>
  <c r="AC560" i="20"/>
  <c r="AC571" i="20"/>
  <c r="AC581" i="20"/>
  <c r="AD454" i="20"/>
  <c r="AD470" i="20"/>
  <c r="AD478" i="20"/>
  <c r="AD494" i="20"/>
  <c r="AD510" i="20"/>
  <c r="AD518" i="20"/>
  <c r="AD534" i="20"/>
  <c r="AD550" i="20"/>
  <c r="AD558" i="20"/>
  <c r="AD574" i="20"/>
  <c r="AE442" i="20"/>
  <c r="AE450" i="20"/>
  <c r="AE466" i="20"/>
  <c r="AE482" i="20"/>
  <c r="AE498" i="20"/>
  <c r="AE514" i="20"/>
  <c r="AE522" i="20"/>
  <c r="AE538" i="20"/>
  <c r="AE554" i="20"/>
  <c r="AE570" i="20"/>
  <c r="AE586" i="20"/>
  <c r="AF454" i="20"/>
  <c r="AF470" i="20"/>
  <c r="AF478" i="20"/>
  <c r="AF494" i="20"/>
  <c r="AF510" i="20"/>
  <c r="AF518" i="20"/>
  <c r="AF534" i="20"/>
  <c r="AF550" i="20"/>
  <c r="AF566" i="20"/>
  <c r="AF574" i="20"/>
  <c r="AG442" i="20"/>
  <c r="AG454" i="20"/>
  <c r="AG465" i="20"/>
  <c r="AG470" i="20"/>
  <c r="AG481" i="20"/>
  <c r="AG491" i="20"/>
  <c r="AG502" i="20"/>
  <c r="AG507" i="20"/>
  <c r="AG518" i="20"/>
  <c r="AG529" i="20"/>
  <c r="AG539" i="20"/>
  <c r="AG543" i="20"/>
  <c r="AG551" i="20"/>
  <c r="AG559" i="20"/>
  <c r="AG567" i="20"/>
  <c r="AG575" i="20"/>
  <c r="AG579" i="20"/>
  <c r="AG587" i="20"/>
  <c r="AI30" i="20"/>
  <c r="AI577" i="20"/>
  <c r="AI557" i="20"/>
  <c r="AI537" i="20"/>
  <c r="AI521" i="20"/>
  <c r="AI505" i="20"/>
  <c r="AI489" i="20"/>
  <c r="AI473" i="20"/>
  <c r="AI457" i="20"/>
  <c r="AI441" i="20"/>
  <c r="AI566" i="20"/>
  <c r="AI546" i="20"/>
  <c r="AI526" i="20"/>
  <c r="AI510" i="20"/>
  <c r="AI494" i="20"/>
  <c r="AI478" i="20"/>
  <c r="AI458" i="20"/>
  <c r="AI442" i="20"/>
  <c r="AI572" i="20"/>
  <c r="AI556" i="20"/>
  <c r="AI579" i="20"/>
  <c r="AI563" i="20"/>
  <c r="AI547" i="20"/>
  <c r="AI531" i="20"/>
  <c r="AI515" i="20"/>
  <c r="AI499" i="20"/>
  <c r="AI483" i="20"/>
  <c r="AI467" i="20"/>
  <c r="AI451" i="20"/>
  <c r="AI544" i="20"/>
  <c r="AI528" i="20"/>
  <c r="AI512" i="20"/>
  <c r="AI496" i="20"/>
  <c r="AI480" i="20"/>
  <c r="AI464" i="20"/>
  <c r="AI448" i="20"/>
  <c r="AA442" i="20"/>
  <c r="W442" i="20"/>
  <c r="AI31" i="20"/>
  <c r="AI573" i="20"/>
  <c r="AI549" i="20"/>
  <c r="AI533" i="20"/>
  <c r="AI517" i="20"/>
  <c r="AI501" i="20"/>
  <c r="AI485" i="20"/>
  <c r="AI469" i="20"/>
  <c r="AI453" i="20"/>
  <c r="AI582" i="20"/>
  <c r="AI562" i="20"/>
  <c r="AI542" i="20"/>
  <c r="AI522" i="20"/>
  <c r="AI506" i="20"/>
  <c r="AI490" i="20"/>
  <c r="AI470" i="20"/>
  <c r="AI454" i="20"/>
  <c r="AI584" i="20"/>
  <c r="AI568" i="20"/>
  <c r="AI552" i="20"/>
  <c r="AI575" i="20"/>
  <c r="AI559" i="20"/>
  <c r="AI543" i="20"/>
  <c r="AI527" i="20"/>
  <c r="AI511" i="20"/>
  <c r="AI495" i="20"/>
  <c r="AI479" i="20"/>
  <c r="AI463" i="20"/>
  <c r="AI447" i="20"/>
  <c r="AI540" i="20"/>
  <c r="AI524" i="20"/>
  <c r="AI508" i="20"/>
  <c r="AI492" i="20"/>
  <c r="AI476" i="20"/>
  <c r="AI460" i="20"/>
  <c r="AI444" i="20"/>
  <c r="Z442" i="20"/>
  <c r="AI29" i="20"/>
  <c r="AI565" i="20"/>
  <c r="AI545" i="20"/>
  <c r="AI529" i="20"/>
  <c r="AI513" i="20"/>
  <c r="AI497" i="20"/>
  <c r="AI481" i="20"/>
  <c r="AI465" i="20"/>
  <c r="AI578" i="20"/>
  <c r="AI558" i="20"/>
  <c r="AI534" i="20"/>
  <c r="AI518" i="20"/>
  <c r="AI502" i="20"/>
  <c r="AI466" i="20"/>
  <c r="AI450" i="20"/>
  <c r="AI564" i="20"/>
  <c r="AI587" i="20"/>
  <c r="AI555" i="20"/>
  <c r="AI523" i="20"/>
  <c r="AI507" i="20"/>
  <c r="AI475" i="20"/>
  <c r="AI459" i="20"/>
  <c r="AI536" i="20"/>
  <c r="AI504" i="20"/>
  <c r="AI488" i="20"/>
  <c r="AI456" i="20"/>
  <c r="Y442" i="20"/>
  <c r="AI581" i="20"/>
  <c r="AI561" i="20"/>
  <c r="AI541" i="20"/>
  <c r="AI525" i="20"/>
  <c r="AI509" i="20"/>
  <c r="AI493" i="20"/>
  <c r="AI477" i="20"/>
  <c r="AI461" i="20"/>
  <c r="AI445" i="20"/>
  <c r="AI574" i="20"/>
  <c r="AI550" i="20"/>
  <c r="AI530" i="20"/>
  <c r="AI514" i="20"/>
  <c r="AI498" i="20"/>
  <c r="AI482" i="20"/>
  <c r="AI462" i="20"/>
  <c r="AI446" i="20"/>
  <c r="AI576" i="20"/>
  <c r="AI560" i="20"/>
  <c r="AI583" i="20"/>
  <c r="AI567" i="20"/>
  <c r="AI551" i="20"/>
  <c r="AI535" i="20"/>
  <c r="AI519" i="20"/>
  <c r="AI503" i="20"/>
  <c r="AI487" i="20"/>
  <c r="AI471" i="20"/>
  <c r="AI455" i="20"/>
  <c r="AI548" i="20"/>
  <c r="AI532" i="20"/>
  <c r="AI516" i="20"/>
  <c r="AI500" i="20"/>
  <c r="AI484" i="20"/>
  <c r="AI468" i="20"/>
  <c r="AI452" i="20"/>
  <c r="AB442" i="20"/>
  <c r="X442" i="20"/>
  <c r="AI449" i="20"/>
  <c r="AI486" i="20"/>
  <c r="AI580" i="20"/>
  <c r="AI571" i="20"/>
  <c r="AI539" i="20"/>
  <c r="AI491" i="20"/>
  <c r="AI443" i="20"/>
  <c r="AI520" i="20"/>
  <c r="AI472" i="20"/>
  <c r="AI440" i="20"/>
  <c r="AI38" i="20"/>
  <c r="AI37" i="20"/>
  <c r="AI35" i="20"/>
  <c r="AI41" i="20"/>
  <c r="AI33" i="20"/>
  <c r="AI40" i="20"/>
  <c r="AI39" i="20"/>
  <c r="AI34" i="20"/>
  <c r="AI43" i="20"/>
  <c r="AI44" i="20"/>
  <c r="AI42" i="20"/>
  <c r="AI46" i="20"/>
  <c r="AI48" i="20"/>
  <c r="AI47" i="20"/>
  <c r="AI49" i="20"/>
  <c r="AI45" i="20"/>
  <c r="AI59" i="20"/>
  <c r="AI65" i="20"/>
  <c r="AI55" i="20"/>
  <c r="AI54" i="20"/>
  <c r="AI66" i="20"/>
  <c r="AI53" i="20"/>
  <c r="AI52" i="20"/>
  <c r="AI50" i="20"/>
  <c r="AI51" i="20"/>
  <c r="AI104" i="20"/>
  <c r="AI78" i="20"/>
  <c r="AI57" i="20"/>
  <c r="AI58" i="20"/>
  <c r="AI56" i="20"/>
  <c r="AI95" i="20"/>
  <c r="AI110" i="20"/>
  <c r="AI111" i="20"/>
  <c r="AI77" i="20"/>
  <c r="AI98" i="20"/>
  <c r="AI94" i="20"/>
  <c r="AI91" i="20"/>
  <c r="AI87" i="20"/>
  <c r="AI92" i="20"/>
  <c r="AI93" i="20"/>
  <c r="AI88" i="20"/>
  <c r="AI86" i="20"/>
  <c r="AI89" i="20"/>
  <c r="AI83" i="20"/>
  <c r="AI84" i="20"/>
  <c r="AI85" i="20"/>
  <c r="AI79" i="20"/>
  <c r="AI80" i="20"/>
  <c r="AI81" i="20"/>
  <c r="AI82" i="20"/>
  <c r="AI68" i="20"/>
  <c r="AI72" i="20"/>
  <c r="AI73" i="20"/>
  <c r="AI74" i="20"/>
  <c r="AI70" i="20"/>
  <c r="AI71" i="20"/>
  <c r="AI75" i="20"/>
  <c r="AI69" i="20"/>
  <c r="AI67" i="20"/>
  <c r="AI64" i="20"/>
  <c r="AI63" i="20"/>
  <c r="AI60" i="20"/>
  <c r="AI61" i="20"/>
  <c r="AI62" i="20"/>
  <c r="AI105" i="20"/>
  <c r="AI436" i="20"/>
  <c r="AI437" i="20"/>
  <c r="AI438" i="20"/>
  <c r="AI431" i="20"/>
  <c r="AI432" i="20"/>
  <c r="AI433" i="20"/>
  <c r="AI434" i="20"/>
  <c r="AI435" i="20"/>
  <c r="AI426" i="20"/>
  <c r="AI427" i="20"/>
  <c r="AI428" i="20"/>
  <c r="AI429" i="20"/>
  <c r="AI430" i="20"/>
  <c r="AI420" i="20"/>
  <c r="AI421" i="20"/>
  <c r="AI422" i="20"/>
  <c r="AI423" i="20"/>
  <c r="AI424" i="20"/>
  <c r="AI425" i="20"/>
  <c r="AI413" i="20"/>
  <c r="AI414" i="20"/>
  <c r="AI415" i="20"/>
  <c r="AI416" i="20"/>
  <c r="AI417" i="20"/>
  <c r="AI418" i="20"/>
  <c r="AI419" i="20"/>
  <c r="AI409" i="20"/>
  <c r="AI410" i="20"/>
  <c r="AI411" i="20"/>
  <c r="AI412" i="20"/>
  <c r="AI399" i="20"/>
  <c r="AI400" i="20"/>
  <c r="AI401" i="20"/>
  <c r="AI402" i="20"/>
  <c r="AI403" i="20"/>
  <c r="AI404" i="20"/>
  <c r="AI405" i="20"/>
  <c r="AI406" i="20"/>
  <c r="AI407" i="20"/>
  <c r="AI408" i="20"/>
  <c r="AI393" i="20"/>
  <c r="AI394" i="20"/>
  <c r="AI395" i="20"/>
  <c r="AI396" i="20"/>
  <c r="AI397" i="20"/>
  <c r="AI398" i="20"/>
  <c r="AI392" i="20"/>
  <c r="AI391" i="20"/>
  <c r="AI389" i="20"/>
  <c r="AI390" i="20"/>
  <c r="AI388" i="20"/>
  <c r="AI387" i="20"/>
  <c r="AI385" i="20"/>
  <c r="AI386" i="20"/>
  <c r="AI384" i="20"/>
  <c r="AI383" i="20"/>
  <c r="AI382" i="20"/>
  <c r="AI380" i="20"/>
  <c r="AI381" i="20"/>
  <c r="AI378" i="20"/>
  <c r="AI379" i="20"/>
  <c r="AI377" i="20"/>
  <c r="AI376" i="20"/>
  <c r="AI372" i="20"/>
  <c r="AI373" i="20"/>
  <c r="AI374" i="20"/>
  <c r="AI375" i="20"/>
  <c r="AI371" i="20"/>
  <c r="AI370" i="20"/>
  <c r="AI369" i="20"/>
  <c r="AI368" i="20"/>
  <c r="AI366" i="20"/>
  <c r="AI367" i="20"/>
  <c r="AI363" i="20"/>
  <c r="AI364" i="20"/>
  <c r="AI365" i="20"/>
  <c r="AI362" i="20"/>
  <c r="AI361" i="20"/>
  <c r="AI360" i="20"/>
  <c r="AI354" i="20"/>
  <c r="AI355" i="20"/>
  <c r="AI356" i="20"/>
  <c r="AI357" i="20"/>
  <c r="AI358" i="20"/>
  <c r="AI359" i="20"/>
  <c r="AI348" i="20"/>
  <c r="AI349" i="20"/>
  <c r="AI350" i="20"/>
  <c r="AI351" i="20"/>
  <c r="AI352" i="20"/>
  <c r="AI353" i="20"/>
  <c r="AI341" i="20"/>
  <c r="AI342" i="20"/>
  <c r="AI343" i="20"/>
  <c r="AI344" i="20"/>
  <c r="AI345" i="20"/>
  <c r="AI346" i="20"/>
  <c r="AI347" i="20"/>
  <c r="AI340" i="20"/>
  <c r="AI339" i="20"/>
  <c r="AI337" i="20"/>
  <c r="AI338" i="20"/>
  <c r="AI333" i="20"/>
  <c r="AI334" i="20"/>
  <c r="AI335" i="20"/>
  <c r="AI336" i="20"/>
  <c r="AI314" i="20"/>
  <c r="AI315" i="20"/>
  <c r="AI316" i="20"/>
  <c r="AI317" i="20"/>
  <c r="AI318" i="20"/>
  <c r="AI319" i="20"/>
  <c r="AI320" i="20"/>
  <c r="AI321" i="20"/>
  <c r="AI322" i="20"/>
  <c r="AI323" i="20"/>
  <c r="AI324" i="20"/>
  <c r="AI325" i="20"/>
  <c r="AI326" i="20"/>
  <c r="AI327" i="20"/>
  <c r="AI328" i="20"/>
  <c r="AI329" i="20"/>
  <c r="AI330" i="20"/>
  <c r="AI331" i="20"/>
  <c r="AI332" i="20"/>
  <c r="AI313" i="20"/>
  <c r="AI307" i="20"/>
  <c r="AI308" i="20"/>
  <c r="AI309" i="20"/>
  <c r="AI310" i="20"/>
  <c r="AI311" i="20"/>
  <c r="AI312" i="20"/>
  <c r="AI305" i="20"/>
  <c r="AI306" i="20"/>
  <c r="AI303" i="20"/>
  <c r="AI304" i="20"/>
  <c r="AI301" i="20"/>
  <c r="AI302" i="20"/>
  <c r="AI299" i="20"/>
  <c r="AI300" i="20"/>
  <c r="AI296" i="20"/>
  <c r="AI297" i="20"/>
  <c r="AI298" i="20"/>
  <c r="AI287" i="20"/>
  <c r="AI288" i="20"/>
  <c r="AI289" i="20"/>
  <c r="AI290" i="20"/>
  <c r="AI291" i="20"/>
  <c r="AI292" i="20"/>
  <c r="AI293" i="20"/>
  <c r="AI294" i="20"/>
  <c r="AI295" i="20"/>
  <c r="AI283" i="20"/>
  <c r="AI284" i="20"/>
  <c r="AI285" i="20"/>
  <c r="AI286" i="20"/>
  <c r="AI282" i="20"/>
  <c r="AI279" i="20"/>
  <c r="AI280" i="20"/>
  <c r="AI281" i="20"/>
  <c r="AI278" i="20"/>
  <c r="AI275" i="20"/>
  <c r="AI276" i="20"/>
  <c r="AI277" i="20"/>
  <c r="AI274" i="20"/>
  <c r="AI273" i="20"/>
  <c r="AI272" i="20"/>
  <c r="AI270" i="20"/>
  <c r="AI271" i="20"/>
  <c r="AI264" i="20"/>
  <c r="AI265" i="20"/>
  <c r="AI266" i="20"/>
  <c r="AI267" i="20"/>
  <c r="AI268" i="20"/>
  <c r="AI269" i="20"/>
  <c r="AI262" i="20"/>
  <c r="AI263" i="20"/>
  <c r="AI252" i="20"/>
  <c r="AI253" i="20"/>
  <c r="AI254" i="20"/>
  <c r="AI255" i="20"/>
  <c r="AI256" i="20"/>
  <c r="AI257" i="20"/>
  <c r="AI258" i="20"/>
  <c r="AI259" i="20"/>
  <c r="AI260" i="20"/>
  <c r="AI261" i="20"/>
  <c r="AI251" i="20"/>
  <c r="AI247" i="20"/>
  <c r="AI248" i="20"/>
  <c r="AI249" i="20"/>
  <c r="AI250" i="20"/>
  <c r="AI241" i="20"/>
  <c r="AI242" i="20"/>
  <c r="AI243" i="20"/>
  <c r="AI244" i="20"/>
  <c r="AI245" i="20"/>
  <c r="AI246" i="20"/>
  <c r="AI239" i="20"/>
  <c r="AI240" i="20"/>
  <c r="AI238" i="20"/>
  <c r="AI237" i="20"/>
  <c r="AI232" i="20"/>
  <c r="AI233" i="20"/>
  <c r="AI234" i="20"/>
  <c r="AI235" i="20"/>
  <c r="AI236" i="20"/>
  <c r="AI231" i="20"/>
  <c r="AI230" i="20"/>
  <c r="AI229" i="20"/>
  <c r="AI228" i="20"/>
  <c r="AI226" i="20"/>
  <c r="AI227" i="20"/>
  <c r="AI225" i="20"/>
  <c r="AI224" i="20"/>
  <c r="AI223" i="20"/>
  <c r="AI222" i="20"/>
  <c r="AI220" i="20"/>
  <c r="AI221" i="20"/>
  <c r="AI219" i="20"/>
  <c r="AI218" i="20"/>
  <c r="AI217" i="20"/>
  <c r="AI215" i="20"/>
  <c r="AI216" i="20"/>
  <c r="AI213" i="20"/>
  <c r="AI214" i="20"/>
  <c r="AI207" i="20"/>
  <c r="AI208" i="20"/>
  <c r="AI209" i="20"/>
  <c r="AI210" i="20"/>
  <c r="AI211" i="20"/>
  <c r="AI212" i="20"/>
  <c r="AI204" i="20"/>
  <c r="AI205" i="20"/>
  <c r="AI206" i="20"/>
  <c r="AI193" i="20"/>
  <c r="AI194" i="20"/>
  <c r="AI195" i="20"/>
  <c r="AI196" i="20"/>
  <c r="AI197" i="20"/>
  <c r="AI198" i="20"/>
  <c r="AI199" i="20"/>
  <c r="AI200" i="20"/>
  <c r="AI201" i="20"/>
  <c r="AI202" i="20"/>
  <c r="AI203" i="20"/>
  <c r="AI190" i="20"/>
  <c r="AI191" i="20"/>
  <c r="AI192" i="20"/>
  <c r="AI185" i="20"/>
  <c r="AI186" i="20"/>
  <c r="AI187" i="20"/>
  <c r="AI188" i="20"/>
  <c r="AI189" i="20"/>
  <c r="AI183" i="20"/>
  <c r="AI184" i="20"/>
  <c r="AI181" i="20"/>
  <c r="AI182" i="20"/>
  <c r="AI180" i="20"/>
  <c r="AI179" i="20"/>
  <c r="AI178" i="20"/>
  <c r="AI177" i="20"/>
  <c r="AI176" i="20"/>
  <c r="AI175" i="20"/>
  <c r="AI174" i="20"/>
  <c r="AI173" i="20"/>
  <c r="AI171" i="20"/>
  <c r="AI172" i="20"/>
  <c r="AI169" i="20"/>
  <c r="AI170" i="20"/>
  <c r="AI165" i="20"/>
  <c r="AI166" i="20"/>
  <c r="AI167" i="20"/>
  <c r="AI168" i="20"/>
  <c r="AI160" i="20"/>
  <c r="AI161" i="20"/>
  <c r="AI162" i="20"/>
  <c r="AI163" i="20"/>
  <c r="AI164" i="20"/>
  <c r="AI159" i="20"/>
  <c r="AI158" i="20"/>
  <c r="AI156" i="20"/>
  <c r="AI157" i="20"/>
  <c r="AI155" i="20"/>
  <c r="AI153" i="20"/>
  <c r="AI154" i="20"/>
  <c r="AI150" i="20"/>
  <c r="AI151" i="20"/>
  <c r="AI152" i="20"/>
  <c r="AI148" i="20"/>
  <c r="AI149" i="20"/>
  <c r="AI147" i="20"/>
  <c r="AI145" i="20"/>
  <c r="AI146" i="20"/>
  <c r="AI143" i="20"/>
  <c r="AI144" i="20"/>
  <c r="AI142" i="20"/>
  <c r="AI138" i="20"/>
  <c r="AI139" i="20"/>
  <c r="AI140" i="20"/>
  <c r="AI141" i="20"/>
  <c r="AI137" i="20"/>
  <c r="AI136" i="20"/>
  <c r="AI135" i="20"/>
  <c r="AI132" i="20"/>
  <c r="AI133" i="20"/>
  <c r="AI134" i="20"/>
  <c r="AI119" i="20"/>
  <c r="AI120" i="20"/>
  <c r="AI118" i="20"/>
  <c r="AI117" i="20"/>
  <c r="AI113" i="20"/>
  <c r="AI112" i="20"/>
  <c r="AI109" i="20"/>
  <c r="AI76" i="20"/>
  <c r="AI116" i="20"/>
  <c r="AI121" i="20"/>
  <c r="AI122" i="20"/>
  <c r="AI123" i="20"/>
  <c r="AI124" i="20"/>
  <c r="AI125" i="20"/>
  <c r="AI126" i="20"/>
  <c r="AI127" i="20"/>
  <c r="AI128" i="20"/>
  <c r="AI129" i="20"/>
  <c r="AI130" i="20"/>
  <c r="AI131" i="20"/>
  <c r="AI101" i="20"/>
  <c r="AI107" i="20"/>
  <c r="AI99" i="20"/>
  <c r="AI96" i="20"/>
  <c r="AI108" i="20"/>
  <c r="AI100" i="20"/>
  <c r="AI97" i="20"/>
  <c r="AI102" i="20"/>
  <c r="AI106" i="20"/>
  <c r="M13" i="37"/>
  <c r="M12" i="37"/>
  <c r="L13" i="37"/>
  <c r="L12" i="37"/>
  <c r="AF33" i="20"/>
  <c r="AF28" i="20"/>
  <c r="AB30" i="20"/>
  <c r="AA28" i="20"/>
  <c r="AC28" i="20"/>
  <c r="AE28" i="20"/>
  <c r="W29" i="20"/>
  <c r="Y29" i="20"/>
  <c r="AA29" i="20"/>
  <c r="AE29" i="20"/>
  <c r="X29" i="20"/>
  <c r="Z29" i="20"/>
  <c r="AB29" i="20"/>
  <c r="AD29" i="20"/>
  <c r="AF29" i="20"/>
  <c r="AC29" i="20"/>
  <c r="AG29" i="20"/>
  <c r="Z28" i="20"/>
  <c r="AB28" i="20"/>
  <c r="AD28" i="20"/>
  <c r="Y30" i="20"/>
  <c r="AC30" i="20"/>
  <c r="AG30" i="20"/>
  <c r="Z30" i="20"/>
  <c r="AD30" i="20"/>
  <c r="W30" i="20"/>
  <c r="AA30" i="20"/>
  <c r="AE30" i="20"/>
  <c r="X30" i="20"/>
  <c r="AF30" i="20"/>
  <c r="AB31" i="20"/>
  <c r="AF31" i="20"/>
  <c r="Y31" i="20"/>
  <c r="AC31" i="20"/>
  <c r="AG31" i="20"/>
  <c r="Z31" i="20"/>
  <c r="AD31" i="20"/>
  <c r="W31" i="20"/>
  <c r="AA31" i="20"/>
  <c r="AE31" i="20"/>
  <c r="Y35" i="20"/>
  <c r="AC35" i="20"/>
  <c r="AG35" i="20"/>
  <c r="Z35" i="20"/>
  <c r="AD35" i="20"/>
  <c r="W35" i="20"/>
  <c r="AA35" i="20"/>
  <c r="AE35" i="20"/>
  <c r="X35" i="20"/>
  <c r="AB35" i="20"/>
  <c r="AF35" i="20"/>
  <c r="X34" i="20"/>
  <c r="Z34" i="20"/>
  <c r="AB34" i="20"/>
  <c r="AD34" i="20"/>
  <c r="AF34" i="20"/>
  <c r="W34" i="20"/>
  <c r="Y34" i="20"/>
  <c r="AA34" i="20"/>
  <c r="AC34" i="20"/>
  <c r="AE34" i="20"/>
  <c r="AG34" i="20"/>
  <c r="Y38" i="20"/>
  <c r="AC38" i="20"/>
  <c r="AG38" i="20"/>
  <c r="Z38" i="20"/>
  <c r="AD38" i="20"/>
  <c r="W38" i="20"/>
  <c r="AA38" i="20"/>
  <c r="AE38" i="20"/>
  <c r="X38" i="20"/>
  <c r="AB38" i="20"/>
  <c r="AF38" i="20"/>
  <c r="Y33" i="20"/>
  <c r="AC33" i="20"/>
  <c r="AG33" i="20"/>
  <c r="Z33" i="20"/>
  <c r="AD33" i="20"/>
  <c r="W33" i="20"/>
  <c r="AA33" i="20"/>
  <c r="AE33" i="20"/>
  <c r="X33" i="20"/>
  <c r="AB33" i="20"/>
  <c r="W39" i="20"/>
  <c r="AA39" i="20"/>
  <c r="AE39" i="20"/>
  <c r="X39" i="20"/>
  <c r="AB39" i="20"/>
  <c r="AF39" i="20"/>
  <c r="Y39" i="20"/>
  <c r="AC39" i="20"/>
  <c r="AG39" i="20"/>
  <c r="Z39" i="20"/>
  <c r="AD39" i="20"/>
  <c r="AC40" i="20"/>
  <c r="X41" i="20"/>
  <c r="AB41" i="20"/>
  <c r="AF41" i="20"/>
  <c r="AA40" i="20"/>
  <c r="Y41" i="20"/>
  <c r="AD41" i="20"/>
  <c r="Y40" i="20"/>
  <c r="W41" i="20"/>
  <c r="AC41" i="20"/>
  <c r="AG40" i="20"/>
  <c r="AG41" i="20"/>
  <c r="AA41" i="20"/>
  <c r="Z41" i="20"/>
  <c r="W40" i="20"/>
  <c r="AE40" i="20"/>
  <c r="AE41" i="20"/>
  <c r="X40" i="20"/>
  <c r="AF40" i="20"/>
  <c r="Z40" i="20"/>
  <c r="AD40" i="20"/>
  <c r="AB40" i="20"/>
  <c r="K13" i="37"/>
  <c r="K12" i="37"/>
  <c r="F13" i="37"/>
  <c r="F12" i="37"/>
  <c r="D13" i="37"/>
  <c r="D12" i="37"/>
  <c r="Y43" i="20"/>
  <c r="AC43" i="20"/>
  <c r="AG43" i="20"/>
  <c r="Z43" i="20"/>
  <c r="AD43" i="20"/>
  <c r="W43" i="20"/>
  <c r="AA43" i="20"/>
  <c r="AE43" i="20"/>
  <c r="X43" i="20"/>
  <c r="AB43" i="20"/>
  <c r="AF43" i="20"/>
  <c r="Y44" i="20"/>
  <c r="AC44" i="20"/>
  <c r="AG44" i="20"/>
  <c r="Z44" i="20"/>
  <c r="AD44" i="20"/>
  <c r="W44" i="20"/>
  <c r="AA44" i="20"/>
  <c r="AE44" i="20"/>
  <c r="X44" i="20"/>
  <c r="AB44" i="20"/>
  <c r="AF44" i="20"/>
  <c r="AG42"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332" i="20"/>
  <c r="AG336" i="20"/>
  <c r="AG340" i="20"/>
  <c r="AG344" i="20"/>
  <c r="AG348" i="20"/>
  <c r="AG352" i="20"/>
  <c r="AG356" i="20"/>
  <c r="AG360" i="20"/>
  <c r="AG364" i="20"/>
  <c r="AG368" i="20"/>
  <c r="AG372" i="20"/>
  <c r="AG376" i="20"/>
  <c r="AG380" i="20"/>
  <c r="AG49" i="20"/>
  <c r="AG54" i="20"/>
  <c r="AG59" i="20"/>
  <c r="AG65" i="20"/>
  <c r="AG70" i="20"/>
  <c r="AG75" i="20"/>
  <c r="AG81" i="20"/>
  <c r="AG86" i="20"/>
  <c r="AG91" i="20"/>
  <c r="AG97" i="20"/>
  <c r="AG102" i="20"/>
  <c r="AG107" i="20"/>
  <c r="AG113" i="20"/>
  <c r="AG118" i="20"/>
  <c r="AG123" i="20"/>
  <c r="AG129" i="20"/>
  <c r="AG134" i="20"/>
  <c r="AG139" i="20"/>
  <c r="AG145" i="20"/>
  <c r="AG150" i="20"/>
  <c r="AG155" i="20"/>
  <c r="AG161" i="20"/>
  <c r="AG166" i="20"/>
  <c r="AG171" i="20"/>
  <c r="AG177" i="20"/>
  <c r="AG182" i="20"/>
  <c r="AG187" i="20"/>
  <c r="AG193" i="20"/>
  <c r="AG198" i="20"/>
  <c r="AG203" i="20"/>
  <c r="AG209" i="20"/>
  <c r="AG214" i="20"/>
  <c r="AG219" i="20"/>
  <c r="AG225" i="20"/>
  <c r="AG230" i="20"/>
  <c r="AG235" i="20"/>
  <c r="AG241" i="20"/>
  <c r="AG246" i="20"/>
  <c r="AG251" i="20"/>
  <c r="AG257" i="20"/>
  <c r="AG262" i="20"/>
  <c r="AG267" i="20"/>
  <c r="AG273" i="20"/>
  <c r="AG278" i="20"/>
  <c r="AG283" i="20"/>
  <c r="AG289" i="20"/>
  <c r="AG294" i="20"/>
  <c r="AG299" i="20"/>
  <c r="AG305" i="20"/>
  <c r="AG310" i="20"/>
  <c r="AG315" i="20"/>
  <c r="AG321" i="20"/>
  <c r="AG326" i="20"/>
  <c r="AG331" i="20"/>
  <c r="AG337" i="20"/>
  <c r="AG342" i="20"/>
  <c r="AG347" i="20"/>
  <c r="AG353" i="20"/>
  <c r="AG358" i="20"/>
  <c r="AG363" i="20"/>
  <c r="AG369" i="20"/>
  <c r="AG374" i="20"/>
  <c r="AG379" i="20"/>
  <c r="AG384" i="20"/>
  <c r="AG388" i="20"/>
  <c r="AG392" i="20"/>
  <c r="AG396" i="20"/>
  <c r="AG400" i="20"/>
  <c r="AG404" i="20"/>
  <c r="AG408" i="20"/>
  <c r="AG412" i="20"/>
  <c r="AG416" i="20"/>
  <c r="AG420" i="20"/>
  <c r="AG424" i="20"/>
  <c r="AG428" i="20"/>
  <c r="AG432" i="20"/>
  <c r="AG436" i="20"/>
  <c r="AG46" i="20"/>
  <c r="AG51" i="20"/>
  <c r="AG57" i="20"/>
  <c r="AG62" i="20"/>
  <c r="AG67" i="20"/>
  <c r="AG73" i="20"/>
  <c r="AG78" i="20"/>
  <c r="AG45" i="20"/>
  <c r="AG50" i="20"/>
  <c r="AG55" i="20"/>
  <c r="AG61" i="20"/>
  <c r="AG66" i="20"/>
  <c r="AG71" i="20"/>
  <c r="AG77" i="20"/>
  <c r="AG82" i="20"/>
  <c r="AG87" i="20"/>
  <c r="AG93" i="20"/>
  <c r="AG98" i="20"/>
  <c r="AG103" i="20"/>
  <c r="AG109" i="20"/>
  <c r="AG114" i="20"/>
  <c r="AG119" i="20"/>
  <c r="AG125" i="20"/>
  <c r="AG130" i="20"/>
  <c r="AG135" i="20"/>
  <c r="AG141" i="20"/>
  <c r="AG146" i="20"/>
  <c r="AG151" i="20"/>
  <c r="AG157" i="20"/>
  <c r="AG162" i="20"/>
  <c r="AG167" i="20"/>
  <c r="AG173" i="20"/>
  <c r="AG178" i="20"/>
  <c r="AG183" i="20"/>
  <c r="AG189" i="20"/>
  <c r="AG194" i="20"/>
  <c r="AG199" i="20"/>
  <c r="AG205" i="20"/>
  <c r="AG210" i="20"/>
  <c r="AG215" i="20"/>
  <c r="AG221" i="20"/>
  <c r="AG226" i="20"/>
  <c r="AG231" i="20"/>
  <c r="AG237" i="20"/>
  <c r="AG242" i="20"/>
  <c r="AG247" i="20"/>
  <c r="AG253" i="20"/>
  <c r="AG258" i="20"/>
  <c r="AG263" i="20"/>
  <c r="AG269" i="20"/>
  <c r="AG274" i="20"/>
  <c r="AG279" i="20"/>
  <c r="AG285" i="20"/>
  <c r="AG290" i="20"/>
  <c r="AG295" i="20"/>
  <c r="AG301" i="20"/>
  <c r="AG306" i="20"/>
  <c r="AG311" i="20"/>
  <c r="AG317" i="20"/>
  <c r="AG322" i="20"/>
  <c r="AG327" i="20"/>
  <c r="AG333" i="20"/>
  <c r="AG338" i="20"/>
  <c r="AG343" i="20"/>
  <c r="AG349" i="20"/>
  <c r="AG354" i="20"/>
  <c r="AG359" i="20"/>
  <c r="AG365" i="20"/>
  <c r="AG370" i="20"/>
  <c r="AG375" i="20"/>
  <c r="AG381" i="20"/>
  <c r="AG385" i="20"/>
  <c r="AG389" i="20"/>
  <c r="AG393" i="20"/>
  <c r="AG397" i="20"/>
  <c r="AG401" i="20"/>
  <c r="AG405" i="20"/>
  <c r="AG409" i="20"/>
  <c r="AG413" i="20"/>
  <c r="AG417" i="20"/>
  <c r="AG421" i="20"/>
  <c r="AG425" i="20"/>
  <c r="AG429" i="20"/>
  <c r="AG433" i="20"/>
  <c r="AG437" i="20"/>
  <c r="AG47" i="20"/>
  <c r="AG53" i="20"/>
  <c r="AG58" i="20"/>
  <c r="AG63" i="20"/>
  <c r="AG69" i="20"/>
  <c r="AG74" i="20"/>
  <c r="AG79" i="20"/>
  <c r="AG85" i="20"/>
  <c r="AG90" i="20"/>
  <c r="AG95" i="20"/>
  <c r="AG101" i="20"/>
  <c r="AG106" i="20"/>
  <c r="AG111" i="20"/>
  <c r="AG117" i="20"/>
  <c r="AG122" i="20"/>
  <c r="AG127" i="20"/>
  <c r="AG133" i="20"/>
  <c r="AG138" i="20"/>
  <c r="AG143" i="20"/>
  <c r="AG149" i="20"/>
  <c r="AG154" i="20"/>
  <c r="AG159" i="20"/>
  <c r="AG165" i="20"/>
  <c r="AG170" i="20"/>
  <c r="AG175" i="20"/>
  <c r="AG181" i="20"/>
  <c r="AG186" i="20"/>
  <c r="AG191" i="20"/>
  <c r="AG197" i="20"/>
  <c r="AG202" i="20"/>
  <c r="AG207" i="20"/>
  <c r="AG213" i="20"/>
  <c r="AG218" i="20"/>
  <c r="AG223" i="20"/>
  <c r="AG229" i="20"/>
  <c r="AG234" i="20"/>
  <c r="AG239" i="20"/>
  <c r="AG245" i="20"/>
  <c r="AG250" i="20"/>
  <c r="AG255" i="20"/>
  <c r="AG261" i="20"/>
  <c r="AG266" i="20"/>
  <c r="AG271" i="20"/>
  <c r="AG277" i="20"/>
  <c r="AG282" i="20"/>
  <c r="AG287" i="20"/>
  <c r="AG293" i="20"/>
  <c r="AG298" i="20"/>
  <c r="AG303" i="20"/>
  <c r="AG309" i="20"/>
  <c r="AG314" i="20"/>
  <c r="AG319" i="20"/>
  <c r="AG325" i="20"/>
  <c r="AG330" i="20"/>
  <c r="AG335" i="20"/>
  <c r="AG341" i="20"/>
  <c r="AG346" i="20"/>
  <c r="AG351" i="20"/>
  <c r="AG357" i="20"/>
  <c r="AG362" i="20"/>
  <c r="AG367" i="20"/>
  <c r="AG373" i="20"/>
  <c r="AG378" i="20"/>
  <c r="AG383" i="20"/>
  <c r="AG387" i="20"/>
  <c r="AG391" i="20"/>
  <c r="AG395" i="20"/>
  <c r="AG399" i="20"/>
  <c r="AG403" i="20"/>
  <c r="AG407" i="20"/>
  <c r="AG411" i="20"/>
  <c r="AG415" i="20"/>
  <c r="AG419" i="20"/>
  <c r="AG423" i="20"/>
  <c r="AG427" i="20"/>
  <c r="AG431" i="20"/>
  <c r="AG435" i="20"/>
  <c r="AG83" i="20"/>
  <c r="AG105" i="20"/>
  <c r="AG126" i="20"/>
  <c r="AG147" i="20"/>
  <c r="AG169" i="20"/>
  <c r="AG190" i="20"/>
  <c r="AG211" i="20"/>
  <c r="AG233" i="20"/>
  <c r="AG254" i="20"/>
  <c r="AG275" i="20"/>
  <c r="AG297" i="20"/>
  <c r="AG318" i="20"/>
  <c r="AG339" i="20"/>
  <c r="AG361" i="20"/>
  <c r="AG382" i="20"/>
  <c r="AG398" i="20"/>
  <c r="AG414" i="20"/>
  <c r="AG430" i="20"/>
  <c r="AG89" i="20"/>
  <c r="AG131" i="20"/>
  <c r="AG153" i="20"/>
  <c r="AG195" i="20"/>
  <c r="AG281" i="20"/>
  <c r="AG323" i="20"/>
  <c r="AG345" i="20"/>
  <c r="AG402" i="20"/>
  <c r="AG94" i="20"/>
  <c r="AG158" i="20"/>
  <c r="AG201" i="20"/>
  <c r="AG243" i="20"/>
  <c r="AG286" i="20"/>
  <c r="AG350" i="20"/>
  <c r="AG371" i="20"/>
  <c r="AG406" i="20"/>
  <c r="AG99" i="20"/>
  <c r="AG121" i="20"/>
  <c r="AG142" i="20"/>
  <c r="AG163" i="20"/>
  <c r="AG185" i="20"/>
  <c r="AG206" i="20"/>
  <c r="AG227" i="20"/>
  <c r="AG249" i="20"/>
  <c r="AG270" i="20"/>
  <c r="AG291" i="20"/>
  <c r="AG313" i="20"/>
  <c r="AG334" i="20"/>
  <c r="AG355" i="20"/>
  <c r="AG377" i="20"/>
  <c r="AG394" i="20"/>
  <c r="AG410" i="20"/>
  <c r="AG426" i="20"/>
  <c r="AG110" i="20"/>
  <c r="AG174" i="20"/>
  <c r="AG217" i="20"/>
  <c r="AG238" i="20"/>
  <c r="AG259" i="20"/>
  <c r="AG302" i="20"/>
  <c r="AG366" i="20"/>
  <c r="AG386" i="20"/>
  <c r="AG418" i="20"/>
  <c r="AG434" i="20"/>
  <c r="AG115" i="20"/>
  <c r="AG137" i="20"/>
  <c r="AG179" i="20"/>
  <c r="AG222" i="20"/>
  <c r="AG265" i="20"/>
  <c r="AG307" i="20"/>
  <c r="AG329" i="20"/>
  <c r="AG390" i="20"/>
  <c r="AG422" i="20"/>
  <c r="AG438" i="20"/>
  <c r="H13" i="37"/>
  <c r="J13" i="37"/>
  <c r="J12" i="37"/>
  <c r="H12" i="37"/>
  <c r="I13" i="37"/>
  <c r="I12" i="37"/>
  <c r="E13" i="37"/>
  <c r="G13" i="37"/>
  <c r="G12" i="37"/>
  <c r="E12" i="37"/>
  <c r="Z42" i="20"/>
  <c r="AD42" i="20"/>
  <c r="W42" i="20"/>
  <c r="AA42" i="20"/>
  <c r="AE42" i="20"/>
  <c r="X42" i="20"/>
  <c r="AB42" i="20"/>
  <c r="AF42" i="20"/>
  <c r="Y42" i="20"/>
  <c r="AC42" i="20"/>
  <c r="W46" i="20"/>
  <c r="AA46" i="20"/>
  <c r="AE46" i="20"/>
  <c r="X46" i="20"/>
  <c r="AB46" i="20"/>
  <c r="AF46" i="20"/>
  <c r="Y46" i="20"/>
  <c r="AC46" i="20"/>
  <c r="Z46" i="20"/>
  <c r="AD46" i="20"/>
  <c r="W49" i="20"/>
  <c r="AA49" i="20"/>
  <c r="AE49" i="20"/>
  <c r="X49" i="20"/>
  <c r="AB49" i="20"/>
  <c r="AF49" i="20"/>
  <c r="Y49" i="20"/>
  <c r="AC49" i="20"/>
  <c r="Z49" i="20"/>
  <c r="AD49" i="20"/>
  <c r="W45" i="20"/>
  <c r="AA45" i="20"/>
  <c r="AE45" i="20"/>
  <c r="X45" i="20"/>
  <c r="AB45" i="20"/>
  <c r="AF45" i="20"/>
  <c r="Y45" i="20"/>
  <c r="AC45" i="20"/>
  <c r="Z45" i="20"/>
  <c r="AD45" i="20"/>
  <c r="W48" i="20"/>
  <c r="AA48" i="20"/>
  <c r="AE48" i="20"/>
  <c r="X48" i="20"/>
  <c r="AB48" i="20"/>
  <c r="AF48" i="20"/>
  <c r="Y48" i="20"/>
  <c r="AC48" i="20"/>
  <c r="Z48" i="20"/>
  <c r="AD48" i="20"/>
  <c r="W47" i="20"/>
  <c r="AA47" i="20"/>
  <c r="AE47" i="20"/>
  <c r="X47" i="20"/>
  <c r="AB47" i="20"/>
  <c r="AF47" i="20"/>
  <c r="Y47" i="20"/>
  <c r="AC47" i="20"/>
  <c r="Z47" i="20"/>
  <c r="AD47" i="20"/>
  <c r="Z55" i="20"/>
  <c r="AA55" i="20"/>
  <c r="AE66" i="20"/>
  <c r="W66" i="20"/>
  <c r="W59" i="20"/>
  <c r="Z59" i="20"/>
  <c r="X65" i="20"/>
  <c r="AF54" i="20"/>
  <c r="AE54" i="20"/>
  <c r="AD54" i="20"/>
  <c r="AB55" i="20"/>
  <c r="AF59" i="20"/>
  <c r="X66" i="20"/>
  <c r="W55" i="20"/>
  <c r="AF66" i="20"/>
  <c r="Y66" i="20"/>
  <c r="Y59" i="20"/>
  <c r="AA59" i="20"/>
  <c r="W65" i="20"/>
  <c r="AB65" i="20"/>
  <c r="Z65" i="20"/>
  <c r="AD59" i="20"/>
  <c r="Y54" i="20"/>
  <c r="AB59" i="20"/>
  <c r="X55" i="20"/>
  <c r="X54" i="20"/>
  <c r="AC66" i="20"/>
  <c r="AE55" i="20"/>
  <c r="AA66" i="20"/>
  <c r="AC59" i="20"/>
  <c r="AE59" i="20"/>
  <c r="AA65" i="20"/>
  <c r="Y65" i="20"/>
  <c r="AD65" i="20"/>
  <c r="W54" i="20"/>
  <c r="AC54" i="20"/>
  <c r="AF65" i="20"/>
  <c r="AD66" i="20"/>
  <c r="Z66" i="20"/>
  <c r="Y55" i="20"/>
  <c r="X59" i="20"/>
  <c r="AC55" i="20"/>
  <c r="AB66" i="20"/>
  <c r="AB54" i="20"/>
  <c r="AE65" i="20"/>
  <c r="AC65" i="20"/>
  <c r="Z54" i="20"/>
  <c r="AA54" i="20"/>
  <c r="AF55" i="20"/>
  <c r="AD55" i="20"/>
  <c r="Y52" i="20"/>
  <c r="AD52" i="20"/>
  <c r="Y53" i="20"/>
  <c r="AD53" i="20"/>
  <c r="X53" i="20"/>
  <c r="AD78" i="20"/>
  <c r="X78" i="20"/>
  <c r="AC78" i="20"/>
  <c r="AE51" i="20"/>
  <c r="Y51" i="20"/>
  <c r="AD51" i="20"/>
  <c r="AA104" i="20"/>
  <c r="AF104" i="20"/>
  <c r="X52" i="20"/>
  <c r="AC52" i="20"/>
  <c r="W52" i="20"/>
  <c r="AC53" i="20"/>
  <c r="W53" i="20"/>
  <c r="AB53" i="20"/>
  <c r="W78" i="20"/>
  <c r="AB78" i="20"/>
  <c r="AC51" i="20"/>
  <c r="Z104" i="20"/>
  <c r="AE104" i="20"/>
  <c r="Y104" i="20"/>
  <c r="AB52" i="20"/>
  <c r="AA52" i="20"/>
  <c r="AA53" i="20"/>
  <c r="AF53" i="20"/>
  <c r="AA78" i="20"/>
  <c r="AF78" i="20"/>
  <c r="W51" i="20"/>
  <c r="AB51" i="20"/>
  <c r="AD104" i="20"/>
  <c r="X104" i="20"/>
  <c r="AC104" i="20"/>
  <c r="AF52" i="20"/>
  <c r="Z52" i="20"/>
  <c r="AE52" i="20"/>
  <c r="Z53" i="20"/>
  <c r="AE53" i="20"/>
  <c r="Z78" i="20"/>
  <c r="AE78" i="20"/>
  <c r="Y78" i="20"/>
  <c r="AA51" i="20"/>
  <c r="AF51" i="20"/>
  <c r="Z51" i="20"/>
  <c r="W104" i="20"/>
  <c r="AB104" i="20"/>
  <c r="X57" i="20"/>
  <c r="AC57" i="20"/>
  <c r="W57" i="20"/>
  <c r="AA57" i="20"/>
  <c r="AB57" i="20"/>
  <c r="AF57" i="20"/>
  <c r="Z57" i="20"/>
  <c r="AE57" i="20"/>
  <c r="Y57" i="20"/>
  <c r="AD57" i="20"/>
  <c r="Y58" i="20"/>
  <c r="AD58" i="20"/>
  <c r="X58" i="20"/>
  <c r="Z58" i="20"/>
  <c r="AE58" i="20"/>
  <c r="AC58" i="20"/>
  <c r="W58" i="20"/>
  <c r="AB58" i="20"/>
  <c r="AA58" i="20"/>
  <c r="AF58" i="20"/>
  <c r="W56" i="20"/>
  <c r="AB56" i="20"/>
  <c r="AF56" i="20"/>
  <c r="Y56" i="20"/>
  <c r="X56" i="20"/>
  <c r="AA56" i="20"/>
  <c r="Z56" i="20"/>
  <c r="AC56" i="20"/>
  <c r="AE56" i="20"/>
  <c r="AD56" i="20"/>
  <c r="Y95" i="20"/>
  <c r="AD95" i="20"/>
  <c r="X95" i="20"/>
  <c r="AC95" i="20"/>
  <c r="W95" i="20"/>
  <c r="AB95" i="20"/>
  <c r="AA95" i="20"/>
  <c r="AF95" i="20"/>
  <c r="Z95" i="20"/>
  <c r="AE95" i="20"/>
  <c r="Y105" i="20"/>
  <c r="AE105" i="20"/>
  <c r="Z105" i="20"/>
  <c r="AD106" i="20"/>
  <c r="Y106" i="20"/>
  <c r="AF105" i="20"/>
  <c r="AA105" i="20"/>
  <c r="AE106" i="20"/>
  <c r="Z106" i="20"/>
  <c r="AF106" i="20"/>
  <c r="AB105" i="20"/>
  <c r="W105" i="20"/>
  <c r="AA106" i="20"/>
  <c r="AB106" i="20"/>
  <c r="AC105" i="20"/>
  <c r="X105" i="20"/>
  <c r="AD105" i="20"/>
  <c r="W106" i="20"/>
  <c r="AC106" i="20"/>
  <c r="X106" i="20"/>
  <c r="Y110" i="20"/>
  <c r="AC110" i="20"/>
  <c r="X110" i="20"/>
  <c r="AD110" i="20"/>
  <c r="Z110" i="20"/>
  <c r="AE110" i="20"/>
  <c r="AA110" i="20"/>
  <c r="AF110" i="20"/>
  <c r="AB110" i="20"/>
  <c r="W110" i="20"/>
  <c r="Z111" i="20"/>
  <c r="AD111" i="20"/>
  <c r="X111" i="20"/>
  <c r="AC111" i="20"/>
  <c r="Y111" i="20"/>
  <c r="AE111" i="20"/>
  <c r="AA111" i="20"/>
  <c r="AF111" i="20"/>
  <c r="W111" i="20"/>
  <c r="AB111" i="20"/>
  <c r="Y77" i="20"/>
  <c r="AC77" i="20"/>
  <c r="Z77" i="20"/>
  <c r="AE77" i="20"/>
  <c r="AA77" i="20"/>
  <c r="AF77" i="20"/>
  <c r="W77" i="20"/>
  <c r="AB77" i="20"/>
  <c r="AD77" i="20"/>
  <c r="X77" i="20"/>
  <c r="Y98" i="20"/>
  <c r="AC98" i="20"/>
  <c r="Z98" i="20"/>
  <c r="AD98" i="20"/>
  <c r="W98" i="20"/>
  <c r="AE98" i="20"/>
  <c r="X98" i="20"/>
  <c r="AF98" i="20"/>
  <c r="AA98" i="20"/>
  <c r="AB98" i="20"/>
  <c r="Y94" i="20"/>
  <c r="AC94" i="20"/>
  <c r="Z94" i="20"/>
  <c r="AD94" i="20"/>
  <c r="AA94" i="20"/>
  <c r="AB94" i="20"/>
  <c r="W94" i="20"/>
  <c r="AE94" i="20"/>
  <c r="X94" i="20"/>
  <c r="AF94" i="20"/>
  <c r="Z91" i="20"/>
  <c r="AD91" i="20"/>
  <c r="W91" i="20"/>
  <c r="AA91" i="20"/>
  <c r="AE91" i="20"/>
  <c r="AB91" i="20"/>
  <c r="AC91" i="20"/>
  <c r="X91" i="20"/>
  <c r="AF91" i="20"/>
  <c r="Y91" i="20"/>
  <c r="W87" i="20"/>
  <c r="AA87" i="20"/>
  <c r="AE87" i="20"/>
  <c r="X87" i="20"/>
  <c r="AB87" i="20"/>
  <c r="AF87" i="20"/>
  <c r="AC87" i="20"/>
  <c r="AD87" i="20"/>
  <c r="Y87" i="20"/>
  <c r="Z87" i="20"/>
  <c r="W92" i="20"/>
  <c r="AA92" i="20"/>
  <c r="AE92" i="20"/>
  <c r="X92" i="20"/>
  <c r="AB92" i="20"/>
  <c r="AF92" i="20"/>
  <c r="Y92" i="20"/>
  <c r="Z92" i="20"/>
  <c r="AC92" i="20"/>
  <c r="AD92" i="20"/>
  <c r="X93" i="20"/>
  <c r="AB93" i="20"/>
  <c r="AF93" i="20"/>
  <c r="Y93" i="20"/>
  <c r="AC93" i="20"/>
  <c r="AD93" i="20"/>
  <c r="W93" i="20"/>
  <c r="AE93" i="20"/>
  <c r="Z93" i="20"/>
  <c r="AA93" i="20"/>
  <c r="X88" i="20"/>
  <c r="AB88" i="20"/>
  <c r="AF88" i="20"/>
  <c r="Y88" i="20"/>
  <c r="AC88" i="20"/>
  <c r="Z88" i="20"/>
  <c r="AA88" i="20"/>
  <c r="AD88" i="20"/>
  <c r="AE88" i="20"/>
  <c r="W88" i="20"/>
  <c r="Z86" i="20"/>
  <c r="AD86" i="20"/>
  <c r="W86" i="20"/>
  <c r="AA86" i="20"/>
  <c r="AE86" i="20"/>
  <c r="X86" i="20"/>
  <c r="AF86" i="20"/>
  <c r="Y86" i="20"/>
  <c r="AB86" i="20"/>
  <c r="AC86" i="20"/>
  <c r="Y89" i="20"/>
  <c r="AC89" i="20"/>
  <c r="Z89" i="20"/>
  <c r="AD89" i="20"/>
  <c r="W89" i="20"/>
  <c r="AE89" i="20"/>
  <c r="X89" i="20"/>
  <c r="AF89" i="20"/>
  <c r="AA89" i="20"/>
  <c r="AB89" i="20"/>
  <c r="W83" i="20"/>
  <c r="AA83" i="20"/>
  <c r="AE83" i="20"/>
  <c r="Y83" i="20"/>
  <c r="AC83" i="20"/>
  <c r="Z83" i="20"/>
  <c r="AD83" i="20"/>
  <c r="X83" i="20"/>
  <c r="AB83" i="20"/>
  <c r="AF83" i="20"/>
  <c r="X84" i="20"/>
  <c r="AB84" i="20"/>
  <c r="AF84" i="20"/>
  <c r="Z84" i="20"/>
  <c r="AD84" i="20"/>
  <c r="W84" i="20"/>
  <c r="AA84" i="20"/>
  <c r="AE84" i="20"/>
  <c r="AC84" i="20"/>
  <c r="Y84" i="20"/>
  <c r="Y85" i="20"/>
  <c r="AC85" i="20"/>
  <c r="W85" i="20"/>
  <c r="AA85" i="20"/>
  <c r="AE85" i="20"/>
  <c r="X85" i="20"/>
  <c r="AB85" i="20"/>
  <c r="AF85" i="20"/>
  <c r="Z85" i="20"/>
  <c r="AD85" i="20"/>
  <c r="W79" i="20"/>
  <c r="AA79" i="20"/>
  <c r="AE79" i="20"/>
  <c r="Y79" i="20"/>
  <c r="AC79" i="20"/>
  <c r="Z79" i="20"/>
  <c r="AD79" i="20"/>
  <c r="X79" i="20"/>
  <c r="AB79" i="20"/>
  <c r="AF79" i="20"/>
  <c r="X80" i="20"/>
  <c r="AB80" i="20"/>
  <c r="AF80" i="20"/>
  <c r="Z80" i="20"/>
  <c r="AD80" i="20"/>
  <c r="W80" i="20"/>
  <c r="AA80" i="20"/>
  <c r="AE80" i="20"/>
  <c r="Y80" i="20"/>
  <c r="AC80" i="20"/>
  <c r="Y81" i="20"/>
  <c r="AC81" i="20"/>
  <c r="W81" i="20"/>
  <c r="AA81" i="20"/>
  <c r="AE81" i="20"/>
  <c r="X81" i="20"/>
  <c r="AB81" i="20"/>
  <c r="AF81" i="20"/>
  <c r="AD81" i="20"/>
  <c r="Z81" i="20"/>
  <c r="Z82" i="20"/>
  <c r="AD82" i="20"/>
  <c r="X82" i="20"/>
  <c r="AB82" i="20"/>
  <c r="AF82" i="20"/>
  <c r="Y82" i="20"/>
  <c r="AC82" i="20"/>
  <c r="W82" i="20"/>
  <c r="AA82" i="20"/>
  <c r="AE82" i="20"/>
  <c r="W68" i="20"/>
  <c r="AA68" i="20"/>
  <c r="AE68" i="20"/>
  <c r="X68" i="20"/>
  <c r="AB68" i="20"/>
  <c r="AF68" i="20"/>
  <c r="Y68" i="20"/>
  <c r="AC68" i="20"/>
  <c r="Z68" i="20"/>
  <c r="AD68" i="20"/>
  <c r="W72" i="20"/>
  <c r="AA72" i="20"/>
  <c r="AE72" i="20"/>
  <c r="Y72" i="20"/>
  <c r="AC72" i="20"/>
  <c r="Z72" i="20"/>
  <c r="AD72" i="20"/>
  <c r="AF72" i="20"/>
  <c r="X72" i="20"/>
  <c r="AB72" i="20"/>
  <c r="X73" i="20"/>
  <c r="AB73" i="20"/>
  <c r="AF73" i="20"/>
  <c r="Z73" i="20"/>
  <c r="AD73" i="20"/>
  <c r="W73" i="20"/>
  <c r="AA73" i="20"/>
  <c r="AE73" i="20"/>
  <c r="Y73" i="20"/>
  <c r="AC73" i="20"/>
  <c r="Y74" i="20"/>
  <c r="AC74" i="20"/>
  <c r="W74" i="20"/>
  <c r="AA74" i="20"/>
  <c r="AE74" i="20"/>
  <c r="X74" i="20"/>
  <c r="AB74" i="20"/>
  <c r="AF74" i="20"/>
  <c r="Z74" i="20"/>
  <c r="AD74" i="20"/>
  <c r="Y70" i="20"/>
  <c r="AC70" i="20"/>
  <c r="Z70" i="20"/>
  <c r="AD70" i="20"/>
  <c r="W70" i="20"/>
  <c r="AA70" i="20"/>
  <c r="AE70" i="20"/>
  <c r="X70" i="20"/>
  <c r="AB70" i="20"/>
  <c r="AF70" i="20"/>
  <c r="Z71" i="20"/>
  <c r="AD71" i="20"/>
  <c r="W71" i="20"/>
  <c r="X71" i="20"/>
  <c r="AB71" i="20"/>
  <c r="AF71" i="20"/>
  <c r="Y71" i="20"/>
  <c r="AC71" i="20"/>
  <c r="AA71" i="20"/>
  <c r="AE71" i="20"/>
  <c r="Z75" i="20"/>
  <c r="AD75" i="20"/>
  <c r="X75" i="20"/>
  <c r="AB75" i="20"/>
  <c r="AF75" i="20"/>
  <c r="Y75" i="20"/>
  <c r="AC75" i="20"/>
  <c r="AE75" i="20"/>
  <c r="W75" i="20"/>
  <c r="AA75" i="20"/>
  <c r="X69" i="20"/>
  <c r="AB69" i="20"/>
  <c r="AF69" i="20"/>
  <c r="Y69" i="20"/>
  <c r="AC69" i="20"/>
  <c r="Z69" i="20"/>
  <c r="AD69" i="20"/>
  <c r="W69" i="20"/>
  <c r="AA69" i="20"/>
  <c r="AE69" i="20"/>
  <c r="Z67" i="20"/>
  <c r="AD67" i="20"/>
  <c r="W67" i="20"/>
  <c r="AA67" i="20"/>
  <c r="AE67" i="20"/>
  <c r="X67" i="20"/>
  <c r="AB67" i="20"/>
  <c r="AF67" i="20"/>
  <c r="Y67" i="20"/>
  <c r="AC67" i="20"/>
  <c r="W64" i="20"/>
  <c r="AA64" i="20"/>
  <c r="AE64" i="20"/>
  <c r="X64" i="20"/>
  <c r="AB64" i="20"/>
  <c r="AF64" i="20"/>
  <c r="Y64" i="20"/>
  <c r="AC64" i="20"/>
  <c r="Z64" i="20"/>
  <c r="AD64" i="20"/>
  <c r="Y63" i="20"/>
  <c r="AC63" i="20"/>
  <c r="Z63" i="20"/>
  <c r="AD63" i="20"/>
  <c r="W63" i="20"/>
  <c r="AA63" i="20"/>
  <c r="AE63" i="20"/>
  <c r="X63" i="20"/>
  <c r="AB63" i="20"/>
  <c r="AF63" i="20"/>
  <c r="Z60" i="20"/>
  <c r="AD60" i="20"/>
  <c r="W60" i="20"/>
  <c r="AA60" i="20"/>
  <c r="AE60" i="20"/>
  <c r="X60" i="20"/>
  <c r="AB60" i="20"/>
  <c r="AF60" i="20"/>
  <c r="Y60" i="20"/>
  <c r="AC60" i="20"/>
  <c r="W61" i="20"/>
  <c r="AA61" i="20"/>
  <c r="AE61" i="20"/>
  <c r="X61" i="20"/>
  <c r="AB61" i="20"/>
  <c r="AF61" i="20"/>
  <c r="Y61" i="20"/>
  <c r="AC61" i="20"/>
  <c r="Z61" i="20"/>
  <c r="AD61" i="20"/>
  <c r="X62" i="20"/>
  <c r="AB62" i="20"/>
  <c r="AF62" i="20"/>
  <c r="Y62" i="20"/>
  <c r="AC62" i="20"/>
  <c r="Z62" i="20"/>
  <c r="AD62" i="20"/>
  <c r="W62" i="20"/>
  <c r="AA62" i="20"/>
  <c r="AE62" i="20"/>
  <c r="W436" i="20"/>
  <c r="AA436" i="20"/>
  <c r="AE436" i="20"/>
  <c r="X436" i="20"/>
  <c r="AB436" i="20"/>
  <c r="AF436" i="20"/>
  <c r="Y436" i="20"/>
  <c r="AC436" i="20"/>
  <c r="Z436" i="20"/>
  <c r="AD436" i="20"/>
  <c r="X437" i="20"/>
  <c r="AB437" i="20"/>
  <c r="AF437" i="20"/>
  <c r="Y437" i="20"/>
  <c r="AC437" i="20"/>
  <c r="Z437" i="20"/>
  <c r="AD437" i="20"/>
  <c r="W437" i="20"/>
  <c r="AA437" i="20"/>
  <c r="AE437" i="20"/>
  <c r="Y438" i="20"/>
  <c r="AC438" i="20"/>
  <c r="Z438" i="20"/>
  <c r="AD438" i="20"/>
  <c r="W438" i="20"/>
  <c r="AA438" i="20"/>
  <c r="AE438" i="20"/>
  <c r="X438" i="20"/>
  <c r="AB438" i="20"/>
  <c r="AF438" i="20"/>
  <c r="Z431" i="20"/>
  <c r="AD431" i="20"/>
  <c r="W431" i="20"/>
  <c r="AA431" i="20"/>
  <c r="AE431" i="20"/>
  <c r="X431" i="20"/>
  <c r="AB431" i="20"/>
  <c r="AF431" i="20"/>
  <c r="Y431" i="20"/>
  <c r="AC431" i="20"/>
  <c r="W432" i="20"/>
  <c r="AA432" i="20"/>
  <c r="AE432" i="20"/>
  <c r="X432" i="20"/>
  <c r="AB432" i="20"/>
  <c r="AF432" i="20"/>
  <c r="Y432" i="20"/>
  <c r="AC432" i="20"/>
  <c r="Z432" i="20"/>
  <c r="AD432" i="20"/>
  <c r="X433" i="20"/>
  <c r="AB433" i="20"/>
  <c r="AF433" i="20"/>
  <c r="Y433" i="20"/>
  <c r="AC433" i="20"/>
  <c r="Z433" i="20"/>
  <c r="AD433" i="20"/>
  <c r="W433" i="20"/>
  <c r="AA433" i="20"/>
  <c r="AE433" i="20"/>
  <c r="Y434" i="20"/>
  <c r="AC434" i="20"/>
  <c r="Z434" i="20"/>
  <c r="AD434" i="20"/>
  <c r="W434" i="20"/>
  <c r="AA434" i="20"/>
  <c r="AE434" i="20"/>
  <c r="X434" i="20"/>
  <c r="AB434" i="20"/>
  <c r="AF434" i="20"/>
  <c r="Z435" i="20"/>
  <c r="AD435" i="20"/>
  <c r="W435" i="20"/>
  <c r="AA435" i="20"/>
  <c r="AE435" i="20"/>
  <c r="X435" i="20"/>
  <c r="AB435" i="20"/>
  <c r="AF435" i="20"/>
  <c r="Y435" i="20"/>
  <c r="AC435" i="20"/>
  <c r="Y426" i="20"/>
  <c r="AC426" i="20"/>
  <c r="Z426" i="20"/>
  <c r="AD426" i="20"/>
  <c r="W426" i="20"/>
  <c r="AA426" i="20"/>
  <c r="AE426" i="20"/>
  <c r="X426" i="20"/>
  <c r="AB426" i="20"/>
  <c r="AF426" i="20"/>
  <c r="Z427" i="20"/>
  <c r="AD427" i="20"/>
  <c r="W427" i="20"/>
  <c r="AA427" i="20"/>
  <c r="AE427" i="20"/>
  <c r="X427" i="20"/>
  <c r="AB427" i="20"/>
  <c r="AF427" i="20"/>
  <c r="Y427" i="20"/>
  <c r="AC427" i="20"/>
  <c r="W428" i="20"/>
  <c r="AA428" i="20"/>
  <c r="AE428" i="20"/>
  <c r="X428" i="20"/>
  <c r="AB428" i="20"/>
  <c r="AF428" i="20"/>
  <c r="Y428" i="20"/>
  <c r="AC428" i="20"/>
  <c r="Z428" i="20"/>
  <c r="AD428" i="20"/>
  <c r="X429" i="20"/>
  <c r="AB429" i="20"/>
  <c r="AF429" i="20"/>
  <c r="Y429" i="20"/>
  <c r="AC429" i="20"/>
  <c r="Z429" i="20"/>
  <c r="AD429" i="20"/>
  <c r="W429" i="20"/>
  <c r="AA429" i="20"/>
  <c r="AE429" i="20"/>
  <c r="Y430" i="20"/>
  <c r="AC430" i="20"/>
  <c r="Z430" i="20"/>
  <c r="AD430" i="20"/>
  <c r="W430" i="20"/>
  <c r="AA430" i="20"/>
  <c r="AE430" i="20"/>
  <c r="X430" i="20"/>
  <c r="AB430" i="20"/>
  <c r="AF430" i="20"/>
  <c r="W420" i="20"/>
  <c r="AA420" i="20"/>
  <c r="AE420" i="20"/>
  <c r="X420" i="20"/>
  <c r="AB420" i="20"/>
  <c r="AF420" i="20"/>
  <c r="Y420" i="20"/>
  <c r="AC420" i="20"/>
  <c r="Z420" i="20"/>
  <c r="AD420" i="20"/>
  <c r="X421" i="20"/>
  <c r="AB421" i="20"/>
  <c r="AF421" i="20"/>
  <c r="Y421" i="20"/>
  <c r="AC421" i="20"/>
  <c r="Z421" i="20"/>
  <c r="AD421" i="20"/>
  <c r="W421" i="20"/>
  <c r="AA421" i="20"/>
  <c r="AE421" i="20"/>
  <c r="Y422" i="20"/>
  <c r="AC422" i="20"/>
  <c r="Z422" i="20"/>
  <c r="AD422" i="20"/>
  <c r="W422" i="20"/>
  <c r="AA422" i="20"/>
  <c r="AE422" i="20"/>
  <c r="X422" i="20"/>
  <c r="AB422" i="20"/>
  <c r="AF422" i="20"/>
  <c r="Z423" i="20"/>
  <c r="AD423" i="20"/>
  <c r="W423" i="20"/>
  <c r="AA423" i="20"/>
  <c r="AE423" i="20"/>
  <c r="X423" i="20"/>
  <c r="AB423" i="20"/>
  <c r="AF423" i="20"/>
  <c r="Y423" i="20"/>
  <c r="AC423" i="20"/>
  <c r="W424" i="20"/>
  <c r="AA424" i="20"/>
  <c r="AE424" i="20"/>
  <c r="X424" i="20"/>
  <c r="AB424" i="20"/>
  <c r="AF424" i="20"/>
  <c r="Y424" i="20"/>
  <c r="AC424" i="20"/>
  <c r="Z424" i="20"/>
  <c r="AD424" i="20"/>
  <c r="X425" i="20"/>
  <c r="AB425" i="20"/>
  <c r="AF425" i="20"/>
  <c r="Y425" i="20"/>
  <c r="AC425" i="20"/>
  <c r="Z425" i="20"/>
  <c r="AD425" i="20"/>
  <c r="W425" i="20"/>
  <c r="AA425" i="20"/>
  <c r="AE425" i="20"/>
  <c r="W413" i="20"/>
  <c r="AA413" i="20"/>
  <c r="AE413" i="20"/>
  <c r="AB413" i="20"/>
  <c r="X413" i="20"/>
  <c r="AC413" i="20"/>
  <c r="Y413" i="20"/>
  <c r="AD413" i="20"/>
  <c r="Z413" i="20"/>
  <c r="AF413" i="20"/>
  <c r="X414" i="20"/>
  <c r="AB414" i="20"/>
  <c r="AF414" i="20"/>
  <c r="AA414" i="20"/>
  <c r="W414" i="20"/>
  <c r="AC414" i="20"/>
  <c r="Y414" i="20"/>
  <c r="AD414" i="20"/>
  <c r="Z414" i="20"/>
  <c r="AE414" i="20"/>
  <c r="Z415" i="20"/>
  <c r="AD415" i="20"/>
  <c r="W415" i="20"/>
  <c r="AA415" i="20"/>
  <c r="AE415" i="20"/>
  <c r="X415" i="20"/>
  <c r="AB415" i="20"/>
  <c r="AF415" i="20"/>
  <c r="Y415" i="20"/>
  <c r="AC415" i="20"/>
  <c r="W416" i="20"/>
  <c r="AA416" i="20"/>
  <c r="AE416" i="20"/>
  <c r="X416" i="20"/>
  <c r="AB416" i="20"/>
  <c r="AF416" i="20"/>
  <c r="Y416" i="20"/>
  <c r="AC416" i="20"/>
  <c r="Z416" i="20"/>
  <c r="AD416" i="20"/>
  <c r="X417" i="20"/>
  <c r="AB417" i="20"/>
  <c r="AF417" i="20"/>
  <c r="Y417" i="20"/>
  <c r="AC417" i="20"/>
  <c r="Z417" i="20"/>
  <c r="AD417" i="20"/>
  <c r="W417" i="20"/>
  <c r="AA417" i="20"/>
  <c r="AE417" i="20"/>
  <c r="Y418" i="20"/>
  <c r="AC418" i="20"/>
  <c r="Z418" i="20"/>
  <c r="AD418" i="20"/>
  <c r="W418" i="20"/>
  <c r="AA418" i="20"/>
  <c r="AE418" i="20"/>
  <c r="X418" i="20"/>
  <c r="AB418" i="20"/>
  <c r="AF418" i="20"/>
  <c r="Z419" i="20"/>
  <c r="AD419" i="20"/>
  <c r="W419" i="20"/>
  <c r="AA419" i="20"/>
  <c r="AE419" i="20"/>
  <c r="X419" i="20"/>
  <c r="AB419" i="20"/>
  <c r="AF419" i="20"/>
  <c r="Y419" i="20"/>
  <c r="AC419" i="20"/>
  <c r="W409" i="20"/>
  <c r="AA409" i="20"/>
  <c r="AE409" i="20"/>
  <c r="X409" i="20"/>
  <c r="AC409" i="20"/>
  <c r="Y409" i="20"/>
  <c r="AD409" i="20"/>
  <c r="Z409" i="20"/>
  <c r="AF409" i="20"/>
  <c r="AB409" i="20"/>
  <c r="X410" i="20"/>
  <c r="AB410" i="20"/>
  <c r="AF410" i="20"/>
  <c r="W410" i="20"/>
  <c r="AC410" i="20"/>
  <c r="Y410" i="20"/>
  <c r="AD410" i="20"/>
  <c r="Z410" i="20"/>
  <c r="AE410" i="20"/>
  <c r="AA410" i="20"/>
  <c r="Y411" i="20"/>
  <c r="AC411" i="20"/>
  <c r="W411" i="20"/>
  <c r="AB411" i="20"/>
  <c r="X411" i="20"/>
  <c r="AD411" i="20"/>
  <c r="Z411" i="20"/>
  <c r="AE411" i="20"/>
  <c r="AA411" i="20"/>
  <c r="AF411" i="20"/>
  <c r="Z412" i="20"/>
  <c r="AD412" i="20"/>
  <c r="W412" i="20"/>
  <c r="AB412" i="20"/>
  <c r="X412" i="20"/>
  <c r="AC412" i="20"/>
  <c r="Y412" i="20"/>
  <c r="AE412" i="20"/>
  <c r="AA412" i="20"/>
  <c r="AF412" i="20"/>
  <c r="Y399" i="20"/>
  <c r="AC399" i="20"/>
  <c r="AA399" i="20"/>
  <c r="AF399" i="20"/>
  <c r="W399" i="20"/>
  <c r="AB399" i="20"/>
  <c r="X399" i="20"/>
  <c r="AD399" i="20"/>
  <c r="Z399" i="20"/>
  <c r="AE399" i="20"/>
  <c r="Z400" i="20"/>
  <c r="AD400" i="20"/>
  <c r="AA400" i="20"/>
  <c r="AF400" i="20"/>
  <c r="W400" i="20"/>
  <c r="AB400" i="20"/>
  <c r="X400" i="20"/>
  <c r="AC400" i="20"/>
  <c r="Y400" i="20"/>
  <c r="AE400" i="20"/>
  <c r="W401" i="20"/>
  <c r="AA401" i="20"/>
  <c r="AE401" i="20"/>
  <c r="Z401" i="20"/>
  <c r="AF401" i="20"/>
  <c r="AB401" i="20"/>
  <c r="X401" i="20"/>
  <c r="AC401" i="20"/>
  <c r="Y401" i="20"/>
  <c r="AD401" i="20"/>
  <c r="X402" i="20"/>
  <c r="AB402" i="20"/>
  <c r="AF402" i="20"/>
  <c r="Z402" i="20"/>
  <c r="AE402" i="20"/>
  <c r="AA402" i="20"/>
  <c r="W402" i="20"/>
  <c r="AC402" i="20"/>
  <c r="Y402" i="20"/>
  <c r="AD402" i="20"/>
  <c r="Y403" i="20"/>
  <c r="AC403" i="20"/>
  <c r="Z403" i="20"/>
  <c r="AE403" i="20"/>
  <c r="AA403" i="20"/>
  <c r="AF403" i="20"/>
  <c r="W403" i="20"/>
  <c r="AB403" i="20"/>
  <c r="X403" i="20"/>
  <c r="AD403" i="20"/>
  <c r="Z404" i="20"/>
  <c r="AD404" i="20"/>
  <c r="Y404" i="20"/>
  <c r="AE404" i="20"/>
  <c r="AA404" i="20"/>
  <c r="AF404" i="20"/>
  <c r="W404" i="20"/>
  <c r="AB404" i="20"/>
  <c r="X404" i="20"/>
  <c r="AC404" i="20"/>
  <c r="W405" i="20"/>
  <c r="AA405" i="20"/>
  <c r="AE405" i="20"/>
  <c r="Y405" i="20"/>
  <c r="AD405" i="20"/>
  <c r="Z405" i="20"/>
  <c r="AF405" i="20"/>
  <c r="AB405" i="20"/>
  <c r="X405" i="20"/>
  <c r="AC405" i="20"/>
  <c r="X406" i="20"/>
  <c r="AB406" i="20"/>
  <c r="AF406" i="20"/>
  <c r="Y406" i="20"/>
  <c r="AD406" i="20"/>
  <c r="Z406" i="20"/>
  <c r="AE406" i="20"/>
  <c r="AA406" i="20"/>
  <c r="W406" i="20"/>
  <c r="AC406" i="20"/>
  <c r="Y407" i="20"/>
  <c r="AC407" i="20"/>
  <c r="X407" i="20"/>
  <c r="AD407" i="20"/>
  <c r="Z407" i="20"/>
  <c r="AE407" i="20"/>
  <c r="AA407" i="20"/>
  <c r="AF407" i="20"/>
  <c r="W407" i="20"/>
  <c r="AB407" i="20"/>
  <c r="Z408" i="20"/>
  <c r="AD408" i="20"/>
  <c r="X408" i="20"/>
  <c r="AC408" i="20"/>
  <c r="Y408" i="20"/>
  <c r="AE408" i="20"/>
  <c r="AA408" i="20"/>
  <c r="AF408" i="20"/>
  <c r="W408" i="20"/>
  <c r="AB408" i="20"/>
  <c r="W393" i="20"/>
  <c r="AA393" i="20"/>
  <c r="AE393" i="20"/>
  <c r="X393" i="20"/>
  <c r="AC393" i="20"/>
  <c r="Y393" i="20"/>
  <c r="AD393" i="20"/>
  <c r="Z393" i="20"/>
  <c r="AF393" i="20"/>
  <c r="AB393" i="20"/>
  <c r="X394" i="20"/>
  <c r="AB394" i="20"/>
  <c r="AF394" i="20"/>
  <c r="W394" i="20"/>
  <c r="AC394" i="20"/>
  <c r="Y394" i="20"/>
  <c r="AD394" i="20"/>
  <c r="Z394" i="20"/>
  <c r="AE394" i="20"/>
  <c r="AA394" i="20"/>
  <c r="Y395" i="20"/>
  <c r="AC395" i="20"/>
  <c r="W395" i="20"/>
  <c r="AB395" i="20"/>
  <c r="X395" i="20"/>
  <c r="AD395" i="20"/>
  <c r="Z395" i="20"/>
  <c r="AE395" i="20"/>
  <c r="AA395" i="20"/>
  <c r="AF395" i="20"/>
  <c r="Z396" i="20"/>
  <c r="AD396" i="20"/>
  <c r="W396" i="20"/>
  <c r="AB396" i="20"/>
  <c r="X396" i="20"/>
  <c r="AC396" i="20"/>
  <c r="Y396" i="20"/>
  <c r="AE396" i="20"/>
  <c r="AA396" i="20"/>
  <c r="AF396" i="20"/>
  <c r="W397" i="20"/>
  <c r="AA397" i="20"/>
  <c r="AE397" i="20"/>
  <c r="AB397" i="20"/>
  <c r="X397" i="20"/>
  <c r="AC397" i="20"/>
  <c r="Y397" i="20"/>
  <c r="AD397" i="20"/>
  <c r="Z397" i="20"/>
  <c r="AF397" i="20"/>
  <c r="X398" i="20"/>
  <c r="AB398" i="20"/>
  <c r="AF398" i="20"/>
  <c r="AA398" i="20"/>
  <c r="W398" i="20"/>
  <c r="AC398" i="20"/>
  <c r="Y398" i="20"/>
  <c r="AD398" i="20"/>
  <c r="Z398" i="20"/>
  <c r="AE398" i="20"/>
  <c r="Z392" i="20"/>
  <c r="AD392" i="20"/>
  <c r="X392" i="20"/>
  <c r="AC392" i="20"/>
  <c r="Y392" i="20"/>
  <c r="AE392" i="20"/>
  <c r="AA392" i="20"/>
  <c r="AF392" i="20"/>
  <c r="W392" i="20"/>
  <c r="AB392" i="20"/>
  <c r="Y391" i="20"/>
  <c r="AC391" i="20"/>
  <c r="X391" i="20"/>
  <c r="AD391" i="20"/>
  <c r="Z391" i="20"/>
  <c r="AE391" i="20"/>
  <c r="AA391" i="20"/>
  <c r="AF391" i="20"/>
  <c r="W391" i="20"/>
  <c r="AB391" i="20"/>
  <c r="W389" i="20"/>
  <c r="AA389" i="20"/>
  <c r="AE389" i="20"/>
  <c r="Y389" i="20"/>
  <c r="AD389" i="20"/>
  <c r="Z389" i="20"/>
  <c r="AF389" i="20"/>
  <c r="AB389" i="20"/>
  <c r="X389" i="20"/>
  <c r="AC389" i="20"/>
  <c r="X390" i="20"/>
  <c r="AB390" i="20"/>
  <c r="AF390" i="20"/>
  <c r="Y390" i="20"/>
  <c r="AD390" i="20"/>
  <c r="AE390" i="20"/>
  <c r="Z390" i="20"/>
  <c r="AA390" i="20"/>
  <c r="W390" i="20"/>
  <c r="AC390" i="20"/>
  <c r="Z388" i="20"/>
  <c r="AD388" i="20"/>
  <c r="Y388" i="20"/>
  <c r="AE388" i="20"/>
  <c r="AA388" i="20"/>
  <c r="AF388" i="20"/>
  <c r="W388" i="20"/>
  <c r="AB388" i="20"/>
  <c r="X388" i="20"/>
  <c r="AC388" i="20"/>
  <c r="Y387" i="20"/>
  <c r="AC387" i="20"/>
  <c r="Z387" i="20"/>
  <c r="AE387" i="20"/>
  <c r="AA387" i="20"/>
  <c r="AF387" i="20"/>
  <c r="W387" i="20"/>
  <c r="AB387" i="20"/>
  <c r="X387" i="20"/>
  <c r="AD387" i="20"/>
  <c r="W385" i="20"/>
  <c r="AA385" i="20"/>
  <c r="AE385" i="20"/>
  <c r="Z385" i="20"/>
  <c r="AF385" i="20"/>
  <c r="AB385" i="20"/>
  <c r="X385" i="20"/>
  <c r="AC385" i="20"/>
  <c r="Y385" i="20"/>
  <c r="AD385" i="20"/>
  <c r="X386" i="20"/>
  <c r="AB386" i="20"/>
  <c r="AF386" i="20"/>
  <c r="Z386" i="20"/>
  <c r="AE386" i="20"/>
  <c r="AA386" i="20"/>
  <c r="W386" i="20"/>
  <c r="AC386" i="20"/>
  <c r="Y386" i="20"/>
  <c r="AD386" i="20"/>
  <c r="Z384" i="20"/>
  <c r="AD384" i="20"/>
  <c r="AA384" i="20"/>
  <c r="AF384" i="20"/>
  <c r="W384" i="20"/>
  <c r="AB384" i="20"/>
  <c r="X384" i="20"/>
  <c r="AC384" i="20"/>
  <c r="Y384" i="20"/>
  <c r="AE384" i="20"/>
  <c r="Y383" i="20"/>
  <c r="AC383" i="20"/>
  <c r="AA383" i="20"/>
  <c r="AF383" i="20"/>
  <c r="W383" i="20"/>
  <c r="AB383" i="20"/>
  <c r="X383" i="20"/>
  <c r="AD383" i="20"/>
  <c r="Z383" i="20"/>
  <c r="AE383" i="20"/>
  <c r="X382" i="20"/>
  <c r="AB382" i="20"/>
  <c r="AF382" i="20"/>
  <c r="AA382" i="20"/>
  <c r="W382" i="20"/>
  <c r="AC382" i="20"/>
  <c r="Y382" i="20"/>
  <c r="AD382" i="20"/>
  <c r="Z382" i="20"/>
  <c r="AE382" i="20"/>
  <c r="Z380" i="20"/>
  <c r="AD380" i="20"/>
  <c r="W380" i="20"/>
  <c r="AB380" i="20"/>
  <c r="X380" i="20"/>
  <c r="AC380" i="20"/>
  <c r="Y380" i="20"/>
  <c r="AE380" i="20"/>
  <c r="AA380" i="20"/>
  <c r="AF380" i="20"/>
  <c r="W381" i="20"/>
  <c r="AA381" i="20"/>
  <c r="AE381" i="20"/>
  <c r="AB381" i="20"/>
  <c r="X381" i="20"/>
  <c r="AC381" i="20"/>
  <c r="Y381" i="20"/>
  <c r="AD381" i="20"/>
  <c r="Z381" i="20"/>
  <c r="AF381" i="20"/>
  <c r="X378" i="20"/>
  <c r="AB378" i="20"/>
  <c r="AF378" i="20"/>
  <c r="W378" i="20"/>
  <c r="AC378" i="20"/>
  <c r="Y378" i="20"/>
  <c r="AD378" i="20"/>
  <c r="Z378" i="20"/>
  <c r="AE378" i="20"/>
  <c r="AA378" i="20"/>
  <c r="Y379" i="20"/>
  <c r="AC379" i="20"/>
  <c r="W379" i="20"/>
  <c r="AB379" i="20"/>
  <c r="X379" i="20"/>
  <c r="AD379" i="20"/>
  <c r="Z379" i="20"/>
  <c r="AE379" i="20"/>
  <c r="AA379" i="20"/>
  <c r="AF379" i="20"/>
  <c r="Z377" i="20"/>
  <c r="W377" i="20"/>
  <c r="AA377" i="20"/>
  <c r="AE377" i="20"/>
  <c r="AC377" i="20"/>
  <c r="X377" i="20"/>
  <c r="AD377" i="20"/>
  <c r="Y377" i="20"/>
  <c r="AF377" i="20"/>
  <c r="AB377" i="20"/>
  <c r="Y376" i="20"/>
  <c r="AC376" i="20"/>
  <c r="Z376" i="20"/>
  <c r="AD376" i="20"/>
  <c r="X376" i="20"/>
  <c r="AF376" i="20"/>
  <c r="AA376" i="20"/>
  <c r="AB376" i="20"/>
  <c r="W376" i="20"/>
  <c r="AE376" i="20"/>
  <c r="X372" i="20"/>
  <c r="Y372" i="20"/>
  <c r="AC372" i="20"/>
  <c r="Z372" i="20"/>
  <c r="AD372" i="20"/>
  <c r="AB372" i="20"/>
  <c r="AE372" i="20"/>
  <c r="W372" i="20"/>
  <c r="AF372" i="20"/>
  <c r="AA372" i="20"/>
  <c r="Z373" i="20"/>
  <c r="AD373" i="20"/>
  <c r="W373" i="20"/>
  <c r="AA373" i="20"/>
  <c r="AE373" i="20"/>
  <c r="Y373" i="20"/>
  <c r="AB373" i="20"/>
  <c r="AC373" i="20"/>
  <c r="X373" i="20"/>
  <c r="AF373" i="20"/>
  <c r="W374" i="20"/>
  <c r="AA374" i="20"/>
  <c r="AE374" i="20"/>
  <c r="X374" i="20"/>
  <c r="AB374" i="20"/>
  <c r="AF374" i="20"/>
  <c r="AD374" i="20"/>
  <c r="Y374" i="20"/>
  <c r="Z374" i="20"/>
  <c r="AC374" i="20"/>
  <c r="X375" i="20"/>
  <c r="AB375" i="20"/>
  <c r="AF375" i="20"/>
  <c r="Y375" i="20"/>
  <c r="AC375" i="20"/>
  <c r="AA375" i="20"/>
  <c r="AD375" i="20"/>
  <c r="W375" i="20"/>
  <c r="AE375" i="20"/>
  <c r="Z375" i="20"/>
  <c r="W371" i="20"/>
  <c r="AA371" i="20"/>
  <c r="AE371" i="20"/>
  <c r="X371" i="20"/>
  <c r="AB371" i="20"/>
  <c r="AF371" i="20"/>
  <c r="Y371" i="20"/>
  <c r="AC371" i="20"/>
  <c r="Z371" i="20"/>
  <c r="AD371" i="20"/>
  <c r="Z370" i="20"/>
  <c r="AD370" i="20"/>
  <c r="W370" i="20"/>
  <c r="AA370" i="20"/>
  <c r="AE370" i="20"/>
  <c r="X370" i="20"/>
  <c r="AB370" i="20"/>
  <c r="AF370" i="20"/>
  <c r="Y370" i="20"/>
  <c r="AC370" i="20"/>
  <c r="Y369" i="20"/>
  <c r="AC369" i="20"/>
  <c r="Z369" i="20"/>
  <c r="AD369" i="20"/>
  <c r="W369" i="20"/>
  <c r="AA369" i="20"/>
  <c r="AE369" i="20"/>
  <c r="AF369" i="20"/>
  <c r="X369" i="20"/>
  <c r="AB369" i="20"/>
  <c r="X368" i="20"/>
  <c r="AB368" i="20"/>
  <c r="AF368" i="20"/>
  <c r="Y368" i="20"/>
  <c r="AC368" i="20"/>
  <c r="Z368" i="20"/>
  <c r="AD368" i="20"/>
  <c r="AA368" i="20"/>
  <c r="AE368" i="20"/>
  <c r="W368" i="20"/>
  <c r="Z366" i="20"/>
  <c r="AD366" i="20"/>
  <c r="W366" i="20"/>
  <c r="AA366" i="20"/>
  <c r="AE366" i="20"/>
  <c r="X366" i="20"/>
  <c r="AB366" i="20"/>
  <c r="AF366" i="20"/>
  <c r="Y366" i="20"/>
  <c r="AC366" i="20"/>
  <c r="W367" i="20"/>
  <c r="AA367" i="20"/>
  <c r="AE367" i="20"/>
  <c r="X367" i="20"/>
  <c r="AB367" i="20"/>
  <c r="AF367" i="20"/>
  <c r="Y367" i="20"/>
  <c r="AC367" i="20"/>
  <c r="Z367" i="20"/>
  <c r="AD367" i="20"/>
  <c r="W363" i="20"/>
  <c r="AA363" i="20"/>
  <c r="AE363" i="20"/>
  <c r="X363" i="20"/>
  <c r="AB363" i="20"/>
  <c r="AF363" i="20"/>
  <c r="Y363" i="20"/>
  <c r="AC363" i="20"/>
  <c r="Z363" i="20"/>
  <c r="AD363" i="20"/>
  <c r="X364" i="20"/>
  <c r="AB364" i="20"/>
  <c r="AF364" i="20"/>
  <c r="Y364" i="20"/>
  <c r="AC364" i="20"/>
  <c r="Z364" i="20"/>
  <c r="AD364" i="20"/>
  <c r="W364" i="20"/>
  <c r="AA364" i="20"/>
  <c r="AE364" i="20"/>
  <c r="Y365" i="20"/>
  <c r="AC365" i="20"/>
  <c r="Z365" i="20"/>
  <c r="AD365" i="20"/>
  <c r="W365" i="20"/>
  <c r="AA365" i="20"/>
  <c r="AE365" i="20"/>
  <c r="AB365" i="20"/>
  <c r="AF365" i="20"/>
  <c r="X365" i="20"/>
  <c r="Z362" i="20"/>
  <c r="AD362" i="20"/>
  <c r="W362" i="20"/>
  <c r="AA362" i="20"/>
  <c r="AE362" i="20"/>
  <c r="X362" i="20"/>
  <c r="AB362" i="20"/>
  <c r="AF362" i="20"/>
  <c r="AC362" i="20"/>
  <c r="Y362" i="20"/>
  <c r="Y361" i="20"/>
  <c r="AC361" i="20"/>
  <c r="Z361" i="20"/>
  <c r="AD361" i="20"/>
  <c r="W361" i="20"/>
  <c r="AA361" i="20"/>
  <c r="AE361" i="20"/>
  <c r="X361" i="20"/>
  <c r="AB361" i="20"/>
  <c r="AF361" i="20"/>
  <c r="X360" i="20"/>
  <c r="AB360" i="20"/>
  <c r="AF360" i="20"/>
  <c r="Y360" i="20"/>
  <c r="AC360" i="20"/>
  <c r="Z360" i="20"/>
  <c r="AD360" i="20"/>
  <c r="W360" i="20"/>
  <c r="AA360" i="20"/>
  <c r="AE360" i="20"/>
  <c r="Z354" i="20"/>
  <c r="AD354" i="20"/>
  <c r="W354" i="20"/>
  <c r="AA354" i="20"/>
  <c r="AE354" i="20"/>
  <c r="X354" i="20"/>
  <c r="AB354" i="20"/>
  <c r="AF354" i="20"/>
  <c r="Y354" i="20"/>
  <c r="AC354" i="20"/>
  <c r="W355" i="20"/>
  <c r="AA355" i="20"/>
  <c r="AE355" i="20"/>
  <c r="X355" i="20"/>
  <c r="AB355" i="20"/>
  <c r="AF355" i="20"/>
  <c r="Y355" i="20"/>
  <c r="AC355" i="20"/>
  <c r="Z355" i="20"/>
  <c r="AD355" i="20"/>
  <c r="X356" i="20"/>
  <c r="AB356" i="20"/>
  <c r="AF356" i="20"/>
  <c r="Y356" i="20"/>
  <c r="AC356" i="20"/>
  <c r="Z356" i="20"/>
  <c r="AD356" i="20"/>
  <c r="AE356" i="20"/>
  <c r="W356" i="20"/>
  <c r="AA356" i="20"/>
  <c r="Y357" i="20"/>
  <c r="AC357" i="20"/>
  <c r="Z357" i="20"/>
  <c r="AD357" i="20"/>
  <c r="W357" i="20"/>
  <c r="AA357" i="20"/>
  <c r="AE357" i="20"/>
  <c r="X357" i="20"/>
  <c r="AB357" i="20"/>
  <c r="AF357" i="20"/>
  <c r="Z358" i="20"/>
  <c r="AD358" i="20"/>
  <c r="W358" i="20"/>
  <c r="AA358" i="20"/>
  <c r="AE358" i="20"/>
  <c r="X358" i="20"/>
  <c r="AB358" i="20"/>
  <c r="AF358" i="20"/>
  <c r="Y358" i="20"/>
  <c r="AC358" i="20"/>
  <c r="W359" i="20"/>
  <c r="AA359" i="20"/>
  <c r="AE359" i="20"/>
  <c r="X359" i="20"/>
  <c r="AB359" i="20"/>
  <c r="AF359" i="20"/>
  <c r="Y359" i="20"/>
  <c r="AC359" i="20"/>
  <c r="AD359" i="20"/>
  <c r="Z359" i="20"/>
  <c r="X348" i="20"/>
  <c r="AB348" i="20"/>
  <c r="AF348" i="20"/>
  <c r="Y348" i="20"/>
  <c r="AC348" i="20"/>
  <c r="Z348" i="20"/>
  <c r="AD348" i="20"/>
  <c r="W348" i="20"/>
  <c r="AA348" i="20"/>
  <c r="AE348" i="20"/>
  <c r="Y349" i="20"/>
  <c r="AC349" i="20"/>
  <c r="Z349" i="20"/>
  <c r="AD349" i="20"/>
  <c r="W349" i="20"/>
  <c r="AA349" i="20"/>
  <c r="AE349" i="20"/>
  <c r="AB349" i="20"/>
  <c r="AF349" i="20"/>
  <c r="X349" i="20"/>
  <c r="Z350" i="20"/>
  <c r="AD350" i="20"/>
  <c r="W350" i="20"/>
  <c r="AA350" i="20"/>
  <c r="AE350" i="20"/>
  <c r="X350" i="20"/>
  <c r="AB350" i="20"/>
  <c r="AF350" i="20"/>
  <c r="Y350" i="20"/>
  <c r="AC350" i="20"/>
  <c r="W351" i="20"/>
  <c r="AA351" i="20"/>
  <c r="AE351" i="20"/>
  <c r="X351" i="20"/>
  <c r="AB351" i="20"/>
  <c r="AF351" i="20"/>
  <c r="Y351" i="20"/>
  <c r="AC351" i="20"/>
  <c r="Z351" i="20"/>
  <c r="AD351" i="20"/>
  <c r="X352" i="20"/>
  <c r="AB352" i="20"/>
  <c r="AF352" i="20"/>
  <c r="Y352" i="20"/>
  <c r="AC352" i="20"/>
  <c r="Z352" i="20"/>
  <c r="AD352" i="20"/>
  <c r="AA352" i="20"/>
  <c r="AE352" i="20"/>
  <c r="W352" i="20"/>
  <c r="Y353" i="20"/>
  <c r="AC353" i="20"/>
  <c r="Z353" i="20"/>
  <c r="AD353" i="20"/>
  <c r="W353" i="20"/>
  <c r="AA353" i="20"/>
  <c r="AE353" i="20"/>
  <c r="AF353" i="20"/>
  <c r="X353" i="20"/>
  <c r="AB353" i="20"/>
  <c r="Y341" i="20"/>
  <c r="AC341" i="20"/>
  <c r="Z341" i="20"/>
  <c r="AD341" i="20"/>
  <c r="W341" i="20"/>
  <c r="AA341" i="20"/>
  <c r="AE341" i="20"/>
  <c r="X341" i="20"/>
  <c r="AB341" i="20"/>
  <c r="AF341" i="20"/>
  <c r="Z342" i="20"/>
  <c r="AD342" i="20"/>
  <c r="W342" i="20"/>
  <c r="AA342" i="20"/>
  <c r="AE342" i="20"/>
  <c r="X342" i="20"/>
  <c r="AB342" i="20"/>
  <c r="AF342" i="20"/>
  <c r="Y342" i="20"/>
  <c r="AC342" i="20"/>
  <c r="W343" i="20"/>
  <c r="AA343" i="20"/>
  <c r="AE343" i="20"/>
  <c r="X343" i="20"/>
  <c r="AB343" i="20"/>
  <c r="AF343" i="20"/>
  <c r="Y343" i="20"/>
  <c r="AC343" i="20"/>
  <c r="AD343" i="20"/>
  <c r="Z343" i="20"/>
  <c r="X344" i="20"/>
  <c r="AB344" i="20"/>
  <c r="AF344" i="20"/>
  <c r="Y344" i="20"/>
  <c r="AC344" i="20"/>
  <c r="Z344" i="20"/>
  <c r="AD344" i="20"/>
  <c r="W344" i="20"/>
  <c r="AA344" i="20"/>
  <c r="AE344" i="20"/>
  <c r="Y345" i="20"/>
  <c r="AC345" i="20"/>
  <c r="Z345" i="20"/>
  <c r="AD345" i="20"/>
  <c r="W345" i="20"/>
  <c r="AA345" i="20"/>
  <c r="AE345" i="20"/>
  <c r="X345" i="20"/>
  <c r="AB345" i="20"/>
  <c r="AF345" i="20"/>
  <c r="Z346" i="20"/>
  <c r="AD346" i="20"/>
  <c r="W346" i="20"/>
  <c r="AA346" i="20"/>
  <c r="AE346" i="20"/>
  <c r="X346" i="20"/>
  <c r="AB346" i="20"/>
  <c r="AF346" i="20"/>
  <c r="AC346" i="20"/>
  <c r="Y346" i="20"/>
  <c r="W347" i="20"/>
  <c r="AA347" i="20"/>
  <c r="AE347" i="20"/>
  <c r="X347" i="20"/>
  <c r="AB347" i="20"/>
  <c r="AF347" i="20"/>
  <c r="Y347" i="20"/>
  <c r="AC347" i="20"/>
  <c r="Z347" i="20"/>
  <c r="AD347" i="20"/>
  <c r="X340" i="20"/>
  <c r="AB340" i="20"/>
  <c r="AF340" i="20"/>
  <c r="Y340" i="20"/>
  <c r="AC340" i="20"/>
  <c r="Z340" i="20"/>
  <c r="AD340" i="20"/>
  <c r="AE340" i="20"/>
  <c r="W340" i="20"/>
  <c r="AA340" i="20"/>
  <c r="W339" i="20"/>
  <c r="AA339" i="20"/>
  <c r="AE339" i="20"/>
  <c r="X339" i="20"/>
  <c r="AB339" i="20"/>
  <c r="AF339" i="20"/>
  <c r="Y339" i="20"/>
  <c r="AC339" i="20"/>
  <c r="Z339" i="20"/>
  <c r="AD339" i="20"/>
  <c r="Y337" i="20"/>
  <c r="AC337" i="20"/>
  <c r="Z337" i="20"/>
  <c r="AD337" i="20"/>
  <c r="W337" i="20"/>
  <c r="AA337" i="20"/>
  <c r="AE337" i="20"/>
  <c r="AF337" i="20"/>
  <c r="X337" i="20"/>
  <c r="AB337" i="20"/>
  <c r="Z338" i="20"/>
  <c r="AD338" i="20"/>
  <c r="W338" i="20"/>
  <c r="AA338" i="20"/>
  <c r="AE338" i="20"/>
  <c r="X338" i="20"/>
  <c r="AB338" i="20"/>
  <c r="AF338" i="20"/>
  <c r="Y338" i="20"/>
  <c r="AC338" i="20"/>
  <c r="Y333" i="20"/>
  <c r="AC333" i="20"/>
  <c r="Z333" i="20"/>
  <c r="AD333" i="20"/>
  <c r="W333" i="20"/>
  <c r="AA333" i="20"/>
  <c r="AE333" i="20"/>
  <c r="AB333" i="20"/>
  <c r="AF333" i="20"/>
  <c r="X333" i="20"/>
  <c r="Z334" i="20"/>
  <c r="AD334" i="20"/>
  <c r="W334" i="20"/>
  <c r="AA334" i="20"/>
  <c r="AE334" i="20"/>
  <c r="X334" i="20"/>
  <c r="AB334" i="20"/>
  <c r="AF334" i="20"/>
  <c r="Y334" i="20"/>
  <c r="AC334" i="20"/>
  <c r="W335" i="20"/>
  <c r="AA335" i="20"/>
  <c r="AE335" i="20"/>
  <c r="X335" i="20"/>
  <c r="AB335" i="20"/>
  <c r="AF335" i="20"/>
  <c r="Y335" i="20"/>
  <c r="AC335" i="20"/>
  <c r="Z335" i="20"/>
  <c r="AD335" i="20"/>
  <c r="X336" i="20"/>
  <c r="AB336" i="20"/>
  <c r="AF336" i="20"/>
  <c r="Y336" i="20"/>
  <c r="AC336" i="20"/>
  <c r="Z336" i="20"/>
  <c r="AD336" i="20"/>
  <c r="AA336" i="20"/>
  <c r="AE336" i="20"/>
  <c r="W336" i="20"/>
  <c r="Z314" i="20"/>
  <c r="AD314" i="20"/>
  <c r="W314" i="20"/>
  <c r="AA314" i="20"/>
  <c r="AE314" i="20"/>
  <c r="X314" i="20"/>
  <c r="AB314" i="20"/>
  <c r="AF314" i="20"/>
  <c r="AC314" i="20"/>
  <c r="Y314" i="20"/>
  <c r="W315" i="20"/>
  <c r="AA315" i="20"/>
  <c r="AE315" i="20"/>
  <c r="X315" i="20"/>
  <c r="AB315" i="20"/>
  <c r="AF315" i="20"/>
  <c r="Y315" i="20"/>
  <c r="AC315" i="20"/>
  <c r="Z315" i="20"/>
  <c r="AD315" i="20"/>
  <c r="X316" i="20"/>
  <c r="AB316" i="20"/>
  <c r="AF316" i="20"/>
  <c r="Y316" i="20"/>
  <c r="AC316" i="20"/>
  <c r="Z316" i="20"/>
  <c r="AD316" i="20"/>
  <c r="W316" i="20"/>
  <c r="AA316" i="20"/>
  <c r="AE316" i="20"/>
  <c r="Y317" i="20"/>
  <c r="AC317" i="20"/>
  <c r="Z317" i="20"/>
  <c r="AD317" i="20"/>
  <c r="W317" i="20"/>
  <c r="AA317" i="20"/>
  <c r="AE317" i="20"/>
  <c r="AB317" i="20"/>
  <c r="AF317" i="20"/>
  <c r="X317" i="20"/>
  <c r="Z318" i="20"/>
  <c r="AD318" i="20"/>
  <c r="W318" i="20"/>
  <c r="AA318" i="20"/>
  <c r="AE318" i="20"/>
  <c r="X318" i="20"/>
  <c r="AB318" i="20"/>
  <c r="AF318" i="20"/>
  <c r="Y318" i="20"/>
  <c r="AC318" i="20"/>
  <c r="W319" i="20"/>
  <c r="AA319" i="20"/>
  <c r="AE319" i="20"/>
  <c r="X319" i="20"/>
  <c r="AB319" i="20"/>
  <c r="AF319" i="20"/>
  <c r="Y319" i="20"/>
  <c r="AC319" i="20"/>
  <c r="Z319" i="20"/>
  <c r="AD319" i="20"/>
  <c r="X320" i="20"/>
  <c r="AB320" i="20"/>
  <c r="AF320" i="20"/>
  <c r="Y320" i="20"/>
  <c r="AC320" i="20"/>
  <c r="Z320" i="20"/>
  <c r="AD320" i="20"/>
  <c r="AA320" i="20"/>
  <c r="AE320" i="20"/>
  <c r="W320" i="20"/>
  <c r="Y321" i="20"/>
  <c r="AC321" i="20"/>
  <c r="Z321" i="20"/>
  <c r="AD321" i="20"/>
  <c r="W321" i="20"/>
  <c r="AA321" i="20"/>
  <c r="AE321" i="20"/>
  <c r="AF321" i="20"/>
  <c r="X321" i="20"/>
  <c r="AB321" i="20"/>
  <c r="Z322" i="20"/>
  <c r="AD322" i="20"/>
  <c r="W322" i="20"/>
  <c r="AA322" i="20"/>
  <c r="AE322" i="20"/>
  <c r="X322" i="20"/>
  <c r="AB322" i="20"/>
  <c r="AF322" i="20"/>
  <c r="Y322" i="20"/>
  <c r="AC322" i="20"/>
  <c r="W323" i="20"/>
  <c r="AA323" i="20"/>
  <c r="AE323" i="20"/>
  <c r="X323" i="20"/>
  <c r="AB323" i="20"/>
  <c r="AF323" i="20"/>
  <c r="Y323" i="20"/>
  <c r="AC323" i="20"/>
  <c r="Z323" i="20"/>
  <c r="AD323" i="20"/>
  <c r="X324" i="20"/>
  <c r="AB324" i="20"/>
  <c r="AF324" i="20"/>
  <c r="Y324" i="20"/>
  <c r="AC324" i="20"/>
  <c r="Z324" i="20"/>
  <c r="AD324" i="20"/>
  <c r="AE324" i="20"/>
  <c r="W324" i="20"/>
  <c r="AA324" i="20"/>
  <c r="Y325" i="20"/>
  <c r="AC325" i="20"/>
  <c r="Z325" i="20"/>
  <c r="AD325" i="20"/>
  <c r="W325" i="20"/>
  <c r="AA325" i="20"/>
  <c r="AE325" i="20"/>
  <c r="X325" i="20"/>
  <c r="AB325" i="20"/>
  <c r="AF325" i="20"/>
  <c r="Z326" i="20"/>
  <c r="AD326" i="20"/>
  <c r="W326" i="20"/>
  <c r="AA326" i="20"/>
  <c r="AE326" i="20"/>
  <c r="X326" i="20"/>
  <c r="AB326" i="20"/>
  <c r="AF326" i="20"/>
  <c r="Y326" i="20"/>
  <c r="AC326" i="20"/>
  <c r="W327" i="20"/>
  <c r="AA327" i="20"/>
  <c r="AE327" i="20"/>
  <c r="X327" i="20"/>
  <c r="AB327" i="20"/>
  <c r="AF327" i="20"/>
  <c r="Y327" i="20"/>
  <c r="AC327" i="20"/>
  <c r="AD327" i="20"/>
  <c r="Z327" i="20"/>
  <c r="X328" i="20"/>
  <c r="AB328" i="20"/>
  <c r="AF328" i="20"/>
  <c r="Y328" i="20"/>
  <c r="AC328" i="20"/>
  <c r="Z328" i="20"/>
  <c r="AD328" i="20"/>
  <c r="W328" i="20"/>
  <c r="AA328" i="20"/>
  <c r="AE328" i="20"/>
  <c r="Y329" i="20"/>
  <c r="AC329" i="20"/>
  <c r="Z329" i="20"/>
  <c r="AD329" i="20"/>
  <c r="W329" i="20"/>
  <c r="AA329" i="20"/>
  <c r="AE329" i="20"/>
  <c r="X329" i="20"/>
  <c r="AB329" i="20"/>
  <c r="AF329" i="20"/>
  <c r="Z330" i="20"/>
  <c r="AD330" i="20"/>
  <c r="W330" i="20"/>
  <c r="AA330" i="20"/>
  <c r="AE330" i="20"/>
  <c r="X330" i="20"/>
  <c r="AB330" i="20"/>
  <c r="AF330" i="20"/>
  <c r="AC330" i="20"/>
  <c r="Y330" i="20"/>
  <c r="W331" i="20"/>
  <c r="AA331" i="20"/>
  <c r="AE331" i="20"/>
  <c r="X331" i="20"/>
  <c r="AB331" i="20"/>
  <c r="AF331" i="20"/>
  <c r="Y331" i="20"/>
  <c r="AC331" i="20"/>
  <c r="Z331" i="20"/>
  <c r="AD331" i="20"/>
  <c r="X332" i="20"/>
  <c r="AB332" i="20"/>
  <c r="AF332" i="20"/>
  <c r="Y332" i="20"/>
  <c r="AC332" i="20"/>
  <c r="Z332" i="20"/>
  <c r="AD332" i="20"/>
  <c r="W332" i="20"/>
  <c r="AA332" i="20"/>
  <c r="AE332" i="20"/>
  <c r="Y313" i="20"/>
  <c r="AC313" i="20"/>
  <c r="Z313" i="20"/>
  <c r="AD313" i="20"/>
  <c r="W313" i="20"/>
  <c r="AA313" i="20"/>
  <c r="AE313" i="20"/>
  <c r="X313" i="20"/>
  <c r="AB313" i="20"/>
  <c r="AF313" i="20"/>
  <c r="W307" i="20"/>
  <c r="AA307" i="20"/>
  <c r="AE307" i="20"/>
  <c r="X307" i="20"/>
  <c r="AB307" i="20"/>
  <c r="AF307" i="20"/>
  <c r="Y307" i="20"/>
  <c r="AC307" i="20"/>
  <c r="Z307" i="20"/>
  <c r="AD307" i="20"/>
  <c r="X308" i="20"/>
  <c r="AB308" i="20"/>
  <c r="AF308" i="20"/>
  <c r="Y308" i="20"/>
  <c r="AC308" i="20"/>
  <c r="Z308" i="20"/>
  <c r="AD308" i="20"/>
  <c r="AE308" i="20"/>
  <c r="W308" i="20"/>
  <c r="AA308" i="20"/>
  <c r="Y309" i="20"/>
  <c r="AC309" i="20"/>
  <c r="Z309" i="20"/>
  <c r="AD309" i="20"/>
  <c r="W309" i="20"/>
  <c r="AA309" i="20"/>
  <c r="AE309" i="20"/>
  <c r="X309" i="20"/>
  <c r="AB309" i="20"/>
  <c r="AF309" i="20"/>
  <c r="Z310" i="20"/>
  <c r="AD310" i="20"/>
  <c r="W310" i="20"/>
  <c r="AA310" i="20"/>
  <c r="AE310" i="20"/>
  <c r="X310" i="20"/>
  <c r="AB310" i="20"/>
  <c r="AF310" i="20"/>
  <c r="Y310" i="20"/>
  <c r="AC310" i="20"/>
  <c r="W311" i="20"/>
  <c r="AA311" i="20"/>
  <c r="AE311" i="20"/>
  <c r="X311" i="20"/>
  <c r="AB311" i="20"/>
  <c r="AF311" i="20"/>
  <c r="Y311" i="20"/>
  <c r="AC311" i="20"/>
  <c r="AD311" i="20"/>
  <c r="Z311" i="20"/>
  <c r="X312" i="20"/>
  <c r="AB312" i="20"/>
  <c r="AF312" i="20"/>
  <c r="Y312" i="20"/>
  <c r="AC312" i="20"/>
  <c r="Z312" i="20"/>
  <c r="AD312" i="20"/>
  <c r="W312" i="20"/>
  <c r="AA312" i="20"/>
  <c r="AE312" i="20"/>
  <c r="Y305" i="20"/>
  <c r="AC305" i="20"/>
  <c r="Z305" i="20"/>
  <c r="AD305" i="20"/>
  <c r="W305" i="20"/>
  <c r="AA305" i="20"/>
  <c r="AE305" i="20"/>
  <c r="AF305" i="20"/>
  <c r="X305" i="20"/>
  <c r="AB305" i="20"/>
  <c r="Z306" i="20"/>
  <c r="AD306" i="20"/>
  <c r="W306" i="20"/>
  <c r="AA306" i="20"/>
  <c r="AE306" i="20"/>
  <c r="X306" i="20"/>
  <c r="AB306" i="20"/>
  <c r="AF306" i="20"/>
  <c r="Y306" i="20"/>
  <c r="AC306" i="20"/>
  <c r="W303" i="20"/>
  <c r="AA303" i="20"/>
  <c r="AE303" i="20"/>
  <c r="X303" i="20"/>
  <c r="AB303" i="20"/>
  <c r="AF303" i="20"/>
  <c r="Y303" i="20"/>
  <c r="AC303" i="20"/>
  <c r="Z303" i="20"/>
  <c r="AD303" i="20"/>
  <c r="X304" i="20"/>
  <c r="AB304" i="20"/>
  <c r="AF304" i="20"/>
  <c r="Y304" i="20"/>
  <c r="AC304" i="20"/>
  <c r="Z304" i="20"/>
  <c r="AD304" i="20"/>
  <c r="AA304" i="20"/>
  <c r="AE304" i="20"/>
  <c r="W304" i="20"/>
  <c r="Y301" i="20"/>
  <c r="AC301" i="20"/>
  <c r="Z301" i="20"/>
  <c r="AD301" i="20"/>
  <c r="W301" i="20"/>
  <c r="AA301" i="20"/>
  <c r="AE301" i="20"/>
  <c r="AB301" i="20"/>
  <c r="AF301" i="20"/>
  <c r="X301" i="20"/>
  <c r="Z302" i="20"/>
  <c r="AD302" i="20"/>
  <c r="W302" i="20"/>
  <c r="AA302" i="20"/>
  <c r="AE302" i="20"/>
  <c r="X302" i="20"/>
  <c r="AB302" i="20"/>
  <c r="AF302" i="20"/>
  <c r="Y302" i="20"/>
  <c r="AC302" i="20"/>
  <c r="W299" i="20"/>
  <c r="AA299" i="20"/>
  <c r="AE299" i="20"/>
  <c r="X299" i="20"/>
  <c r="AB299" i="20"/>
  <c r="AF299" i="20"/>
  <c r="Y299" i="20"/>
  <c r="AC299" i="20"/>
  <c r="Z299" i="20"/>
  <c r="AD299" i="20"/>
  <c r="X300" i="20"/>
  <c r="AB300" i="20"/>
  <c r="AF300" i="20"/>
  <c r="Y300" i="20"/>
  <c r="AC300" i="20"/>
  <c r="Z300" i="20"/>
  <c r="AD300" i="20"/>
  <c r="W300" i="20"/>
  <c r="AA300" i="20"/>
  <c r="AE300" i="20"/>
  <c r="X296" i="20"/>
  <c r="AB296" i="20"/>
  <c r="AF296" i="20"/>
  <c r="Y296" i="20"/>
  <c r="AC296" i="20"/>
  <c r="AD296" i="20"/>
  <c r="W296" i="20"/>
  <c r="AE296" i="20"/>
  <c r="Z296" i="20"/>
  <c r="AA296" i="20"/>
  <c r="Y297" i="20"/>
  <c r="AC297" i="20"/>
  <c r="Z297" i="20"/>
  <c r="AD297" i="20"/>
  <c r="W297" i="20"/>
  <c r="AA297" i="20"/>
  <c r="AE297" i="20"/>
  <c r="X297" i="20"/>
  <c r="AB297" i="20"/>
  <c r="AF297" i="20"/>
  <c r="Z298" i="20"/>
  <c r="AD298" i="20"/>
  <c r="W298" i="20"/>
  <c r="AA298" i="20"/>
  <c r="AE298" i="20"/>
  <c r="X298" i="20"/>
  <c r="AB298" i="20"/>
  <c r="AF298" i="20"/>
  <c r="AC298" i="20"/>
  <c r="Y298" i="20"/>
  <c r="Z287" i="20"/>
  <c r="AD287" i="20"/>
  <c r="W287" i="20"/>
  <c r="AA287" i="20"/>
  <c r="AE287" i="20"/>
  <c r="X287" i="20"/>
  <c r="AB287" i="20"/>
  <c r="AF287" i="20"/>
  <c r="Y287" i="20"/>
  <c r="AC287" i="20"/>
  <c r="W288" i="20"/>
  <c r="AA288" i="20"/>
  <c r="AE288" i="20"/>
  <c r="X288" i="20"/>
  <c r="AB288" i="20"/>
  <c r="AF288" i="20"/>
  <c r="Y288" i="20"/>
  <c r="AC288" i="20"/>
  <c r="Z288" i="20"/>
  <c r="AD288" i="20"/>
  <c r="X289" i="20"/>
  <c r="AB289" i="20"/>
  <c r="AF289" i="20"/>
  <c r="Y289" i="20"/>
  <c r="AC289" i="20"/>
  <c r="Z289" i="20"/>
  <c r="AD289" i="20"/>
  <c r="AA289" i="20"/>
  <c r="AE289" i="20"/>
  <c r="W289" i="20"/>
  <c r="Y290" i="20"/>
  <c r="AC290" i="20"/>
  <c r="Z290" i="20"/>
  <c r="AD290" i="20"/>
  <c r="W290" i="20"/>
  <c r="AA290" i="20"/>
  <c r="AE290" i="20"/>
  <c r="AF290" i="20"/>
  <c r="X290" i="20"/>
  <c r="AB290" i="20"/>
  <c r="Z291" i="20"/>
  <c r="AD291" i="20"/>
  <c r="W291" i="20"/>
  <c r="AA291" i="20"/>
  <c r="AE291" i="20"/>
  <c r="X291" i="20"/>
  <c r="AB291" i="20"/>
  <c r="AF291" i="20"/>
  <c r="Y291" i="20"/>
  <c r="AC291" i="20"/>
  <c r="W292" i="20"/>
  <c r="AA292" i="20"/>
  <c r="AE292" i="20"/>
  <c r="X292" i="20"/>
  <c r="AB292" i="20"/>
  <c r="AF292" i="20"/>
  <c r="Y292" i="20"/>
  <c r="AC292" i="20"/>
  <c r="Z292" i="20"/>
  <c r="AD292" i="20"/>
  <c r="X293" i="20"/>
  <c r="AB293" i="20"/>
  <c r="AF293" i="20"/>
  <c r="Y293" i="20"/>
  <c r="AC293" i="20"/>
  <c r="Z293" i="20"/>
  <c r="AD293" i="20"/>
  <c r="AE293" i="20"/>
  <c r="W293" i="20"/>
  <c r="AA293" i="20"/>
  <c r="Y294" i="20"/>
  <c r="AC294" i="20"/>
  <c r="Z294" i="20"/>
  <c r="AD294" i="20"/>
  <c r="W294" i="20"/>
  <c r="AA294" i="20"/>
  <c r="AE294" i="20"/>
  <c r="X294" i="20"/>
  <c r="AB294" i="20"/>
  <c r="AF294" i="20"/>
  <c r="W295" i="20"/>
  <c r="AA295" i="20"/>
  <c r="AE295" i="20"/>
  <c r="X295" i="20"/>
  <c r="AB295" i="20"/>
  <c r="AF295" i="20"/>
  <c r="Y295" i="20"/>
  <c r="Z295" i="20"/>
  <c r="AC295" i="20"/>
  <c r="AD295" i="20"/>
  <c r="Z283" i="20"/>
  <c r="AD283" i="20"/>
  <c r="W283" i="20"/>
  <c r="AA283" i="20"/>
  <c r="AE283" i="20"/>
  <c r="X283" i="20"/>
  <c r="AB283" i="20"/>
  <c r="AF283" i="20"/>
  <c r="AC283" i="20"/>
  <c r="Y283" i="20"/>
  <c r="W284" i="20"/>
  <c r="AA284" i="20"/>
  <c r="AE284" i="20"/>
  <c r="X284" i="20"/>
  <c r="AB284" i="20"/>
  <c r="AF284" i="20"/>
  <c r="Y284" i="20"/>
  <c r="AC284" i="20"/>
  <c r="Z284" i="20"/>
  <c r="AD284" i="20"/>
  <c r="X285" i="20"/>
  <c r="AB285" i="20"/>
  <c r="AF285" i="20"/>
  <c r="Y285" i="20"/>
  <c r="AC285" i="20"/>
  <c r="Z285" i="20"/>
  <c r="AD285" i="20"/>
  <c r="W285" i="20"/>
  <c r="AA285" i="20"/>
  <c r="AE285" i="20"/>
  <c r="Y286" i="20"/>
  <c r="AC286" i="20"/>
  <c r="Z286" i="20"/>
  <c r="AD286" i="20"/>
  <c r="W286" i="20"/>
  <c r="AA286" i="20"/>
  <c r="AE286" i="20"/>
  <c r="AB286" i="20"/>
  <c r="AF286" i="20"/>
  <c r="X286" i="20"/>
  <c r="Y282" i="20"/>
  <c r="AC282" i="20"/>
  <c r="Z282" i="20"/>
  <c r="AD282" i="20"/>
  <c r="W282" i="20"/>
  <c r="AA282" i="20"/>
  <c r="AE282" i="20"/>
  <c r="X282" i="20"/>
  <c r="AB282" i="20"/>
  <c r="AF282" i="20"/>
  <c r="Z279" i="20"/>
  <c r="AD279" i="20"/>
  <c r="W279" i="20"/>
  <c r="AA279" i="20"/>
  <c r="AE279" i="20"/>
  <c r="X279" i="20"/>
  <c r="AB279" i="20"/>
  <c r="AF279" i="20"/>
  <c r="Y279" i="20"/>
  <c r="AC279" i="20"/>
  <c r="W280" i="20"/>
  <c r="AA280" i="20"/>
  <c r="AE280" i="20"/>
  <c r="X280" i="20"/>
  <c r="AB280" i="20"/>
  <c r="AF280" i="20"/>
  <c r="Y280" i="20"/>
  <c r="AC280" i="20"/>
  <c r="AD280" i="20"/>
  <c r="Z280" i="20"/>
  <c r="X281" i="20"/>
  <c r="AB281" i="20"/>
  <c r="AF281" i="20"/>
  <c r="Y281" i="20"/>
  <c r="AC281" i="20"/>
  <c r="Z281" i="20"/>
  <c r="AD281" i="20"/>
  <c r="W281" i="20"/>
  <c r="AA281" i="20"/>
  <c r="AE281" i="20"/>
  <c r="Y278" i="20"/>
  <c r="AC278" i="20"/>
  <c r="Z278" i="20"/>
  <c r="AD278" i="20"/>
  <c r="W278" i="20"/>
  <c r="AA278" i="20"/>
  <c r="AE278" i="20"/>
  <c r="X278" i="20"/>
  <c r="AB278" i="20"/>
  <c r="AF278" i="20"/>
  <c r="Z275" i="20"/>
  <c r="AD275" i="20"/>
  <c r="W275" i="20"/>
  <c r="AA275" i="20"/>
  <c r="AE275" i="20"/>
  <c r="X275" i="20"/>
  <c r="AB275" i="20"/>
  <c r="AF275" i="20"/>
  <c r="Y275" i="20"/>
  <c r="AC275" i="20"/>
  <c r="W276" i="20"/>
  <c r="AA276" i="20"/>
  <c r="AE276" i="20"/>
  <c r="X276" i="20"/>
  <c r="AB276" i="20"/>
  <c r="AF276" i="20"/>
  <c r="Y276" i="20"/>
  <c r="AC276" i="20"/>
  <c r="Z276" i="20"/>
  <c r="AD276" i="20"/>
  <c r="X277" i="20"/>
  <c r="AB277" i="20"/>
  <c r="AF277" i="20"/>
  <c r="Y277" i="20"/>
  <c r="AC277" i="20"/>
  <c r="Z277" i="20"/>
  <c r="AD277" i="20"/>
  <c r="AE277" i="20"/>
  <c r="W277" i="20"/>
  <c r="AA277" i="20"/>
  <c r="Y274" i="20"/>
  <c r="AC274" i="20"/>
  <c r="Z274" i="20"/>
  <c r="AD274" i="20"/>
  <c r="W274" i="20"/>
  <c r="AA274" i="20"/>
  <c r="AE274" i="20"/>
  <c r="X274" i="20"/>
  <c r="AB274" i="20"/>
  <c r="AF274" i="20"/>
  <c r="X273" i="20"/>
  <c r="AB273" i="20"/>
  <c r="AF273" i="20"/>
  <c r="Y273" i="20"/>
  <c r="AC273" i="20"/>
  <c r="Z273" i="20"/>
  <c r="AD273" i="20"/>
  <c r="W273" i="20"/>
  <c r="AA273" i="20"/>
  <c r="AE273" i="20"/>
  <c r="W272" i="20"/>
  <c r="AA272" i="20"/>
  <c r="AE272" i="20"/>
  <c r="X272" i="20"/>
  <c r="AB272" i="20"/>
  <c r="AF272" i="20"/>
  <c r="Y272" i="20"/>
  <c r="AC272" i="20"/>
  <c r="Z272" i="20"/>
  <c r="AD272" i="20"/>
  <c r="Y270" i="20"/>
  <c r="AC270" i="20"/>
  <c r="Z270" i="20"/>
  <c r="AD270" i="20"/>
  <c r="W270" i="20"/>
  <c r="AA270" i="20"/>
  <c r="AE270" i="20"/>
  <c r="X270" i="20"/>
  <c r="AB270" i="20"/>
  <c r="AF270" i="20"/>
  <c r="Z271" i="20"/>
  <c r="AD271" i="20"/>
  <c r="W271" i="20"/>
  <c r="AA271" i="20"/>
  <c r="AE271" i="20"/>
  <c r="X271" i="20"/>
  <c r="AB271" i="20"/>
  <c r="AF271" i="20"/>
  <c r="Y271" i="20"/>
  <c r="AC271" i="20"/>
  <c r="W264" i="20"/>
  <c r="AA264" i="20"/>
  <c r="AE264" i="20"/>
  <c r="X264" i="20"/>
  <c r="AB264" i="20"/>
  <c r="AF264" i="20"/>
  <c r="Y264" i="20"/>
  <c r="AC264" i="20"/>
  <c r="Z264" i="20"/>
  <c r="AD264" i="20"/>
  <c r="X265" i="20"/>
  <c r="AB265" i="20"/>
  <c r="AF265" i="20"/>
  <c r="Y265" i="20"/>
  <c r="AC265" i="20"/>
  <c r="Z265" i="20"/>
  <c r="AD265" i="20"/>
  <c r="W265" i="20"/>
  <c r="AA265" i="20"/>
  <c r="AE265" i="20"/>
  <c r="Y266" i="20"/>
  <c r="AC266" i="20"/>
  <c r="Z266" i="20"/>
  <c r="AD266" i="20"/>
  <c r="W266" i="20"/>
  <c r="AA266" i="20"/>
  <c r="AE266" i="20"/>
  <c r="X266" i="20"/>
  <c r="AB266" i="20"/>
  <c r="AF266" i="20"/>
  <c r="Z267" i="20"/>
  <c r="AD267" i="20"/>
  <c r="W267" i="20"/>
  <c r="AA267" i="20"/>
  <c r="AE267" i="20"/>
  <c r="X267" i="20"/>
  <c r="AB267" i="20"/>
  <c r="AF267" i="20"/>
  <c r="Y267" i="20"/>
  <c r="AC267" i="20"/>
  <c r="W268" i="20"/>
  <c r="AA268" i="20"/>
  <c r="AE268" i="20"/>
  <c r="X268" i="20"/>
  <c r="AB268" i="20"/>
  <c r="AF268" i="20"/>
  <c r="Y268" i="20"/>
  <c r="AC268" i="20"/>
  <c r="Z268" i="20"/>
  <c r="AD268" i="20"/>
  <c r="X269" i="20"/>
  <c r="AB269" i="20"/>
  <c r="AF269" i="20"/>
  <c r="Y269" i="20"/>
  <c r="AC269" i="20"/>
  <c r="Z269" i="20"/>
  <c r="AD269" i="20"/>
  <c r="W269" i="20"/>
  <c r="AA269" i="20"/>
  <c r="AE269" i="20"/>
  <c r="Y262" i="20"/>
  <c r="AC262" i="20"/>
  <c r="Z262" i="20"/>
  <c r="AD262" i="20"/>
  <c r="W262" i="20"/>
  <c r="AA262" i="20"/>
  <c r="AE262" i="20"/>
  <c r="X262" i="20"/>
  <c r="AB262" i="20"/>
  <c r="AF262" i="20"/>
  <c r="Z263" i="20"/>
  <c r="AD263" i="20"/>
  <c r="W263" i="20"/>
  <c r="AA263" i="20"/>
  <c r="AE263" i="20"/>
  <c r="X263" i="20"/>
  <c r="AB263" i="20"/>
  <c r="AF263" i="20"/>
  <c r="Y263" i="20"/>
  <c r="AC263" i="20"/>
  <c r="W252" i="20"/>
  <c r="AA252" i="20"/>
  <c r="AE252" i="20"/>
  <c r="X252" i="20"/>
  <c r="AB252" i="20"/>
  <c r="AF252" i="20"/>
  <c r="Y252" i="20"/>
  <c r="AC252" i="20"/>
  <c r="Z252" i="20"/>
  <c r="AD252" i="20"/>
  <c r="X253" i="20"/>
  <c r="AB253" i="20"/>
  <c r="AF253" i="20"/>
  <c r="Y253" i="20"/>
  <c r="AC253" i="20"/>
  <c r="Z253" i="20"/>
  <c r="AD253" i="20"/>
  <c r="W253" i="20"/>
  <c r="AA253" i="20"/>
  <c r="AE253" i="20"/>
  <c r="Y254" i="20"/>
  <c r="AC254" i="20"/>
  <c r="Z254" i="20"/>
  <c r="AD254" i="20"/>
  <c r="W254" i="20"/>
  <c r="AA254" i="20"/>
  <c r="AE254" i="20"/>
  <c r="X254" i="20"/>
  <c r="AB254" i="20"/>
  <c r="AF254" i="20"/>
  <c r="Z255" i="20"/>
  <c r="AD255" i="20"/>
  <c r="W255" i="20"/>
  <c r="AA255" i="20"/>
  <c r="AE255" i="20"/>
  <c r="X255" i="20"/>
  <c r="AB255" i="20"/>
  <c r="AF255" i="20"/>
  <c r="Y255" i="20"/>
  <c r="AC255" i="20"/>
  <c r="W256" i="20"/>
  <c r="AA256" i="20"/>
  <c r="AE256" i="20"/>
  <c r="X256" i="20"/>
  <c r="AB256" i="20"/>
  <c r="AF256" i="20"/>
  <c r="Y256" i="20"/>
  <c r="AC256" i="20"/>
  <c r="Z256" i="20"/>
  <c r="AD256" i="20"/>
  <c r="X257" i="20"/>
  <c r="AB257" i="20"/>
  <c r="AF257" i="20"/>
  <c r="Y257" i="20"/>
  <c r="AC257" i="20"/>
  <c r="Z257" i="20"/>
  <c r="AD257" i="20"/>
  <c r="W257" i="20"/>
  <c r="AA257" i="20"/>
  <c r="AE257" i="20"/>
  <c r="Y258" i="20"/>
  <c r="AC258" i="20"/>
  <c r="Z258" i="20"/>
  <c r="AD258" i="20"/>
  <c r="W258" i="20"/>
  <c r="AA258" i="20"/>
  <c r="AE258" i="20"/>
  <c r="X258" i="20"/>
  <c r="AB258" i="20"/>
  <c r="AF258" i="20"/>
  <c r="Z259" i="20"/>
  <c r="AD259" i="20"/>
  <c r="W259" i="20"/>
  <c r="AA259" i="20"/>
  <c r="AE259" i="20"/>
  <c r="X259" i="20"/>
  <c r="AB259" i="20"/>
  <c r="AF259" i="20"/>
  <c r="Y259" i="20"/>
  <c r="AC259" i="20"/>
  <c r="W260" i="20"/>
  <c r="AA260" i="20"/>
  <c r="AE260" i="20"/>
  <c r="X260" i="20"/>
  <c r="AB260" i="20"/>
  <c r="AF260" i="20"/>
  <c r="Y260" i="20"/>
  <c r="AC260" i="20"/>
  <c r="Z260" i="20"/>
  <c r="AD260" i="20"/>
  <c r="X261" i="20"/>
  <c r="AB261" i="20"/>
  <c r="AF261" i="20"/>
  <c r="Y261" i="20"/>
  <c r="AC261" i="20"/>
  <c r="Z261" i="20"/>
  <c r="AD261" i="20"/>
  <c r="W261" i="20"/>
  <c r="AA261" i="20"/>
  <c r="AE261" i="20"/>
  <c r="Z251" i="20"/>
  <c r="AD251" i="20"/>
  <c r="W251" i="20"/>
  <c r="AA251" i="20"/>
  <c r="AE251" i="20"/>
  <c r="X251" i="20"/>
  <c r="AB251" i="20"/>
  <c r="AF251" i="20"/>
  <c r="Y251" i="20"/>
  <c r="AC251" i="20"/>
  <c r="X247" i="20"/>
  <c r="AB247" i="20"/>
  <c r="AF247" i="20"/>
  <c r="Y247" i="20"/>
  <c r="AC247" i="20"/>
  <c r="Z247" i="20"/>
  <c r="AD247" i="20"/>
  <c r="AA247" i="20"/>
  <c r="AE247" i="20"/>
  <c r="W247" i="20"/>
  <c r="Y248" i="20"/>
  <c r="AC248" i="20"/>
  <c r="Z248" i="20"/>
  <c r="AD248" i="20"/>
  <c r="W248" i="20"/>
  <c r="AA248" i="20"/>
  <c r="AE248" i="20"/>
  <c r="AF248" i="20"/>
  <c r="X248" i="20"/>
  <c r="AB248" i="20"/>
  <c r="Z249" i="20"/>
  <c r="AD249" i="20"/>
  <c r="W249" i="20"/>
  <c r="AA249" i="20"/>
  <c r="AE249" i="20"/>
  <c r="X249" i="20"/>
  <c r="AB249" i="20"/>
  <c r="AF249" i="20"/>
  <c r="Y249" i="20"/>
  <c r="AC249" i="20"/>
  <c r="W250" i="20"/>
  <c r="AA250" i="20"/>
  <c r="X250" i="20"/>
  <c r="AB250" i="20"/>
  <c r="Y250" i="20"/>
  <c r="AC250" i="20"/>
  <c r="Z250" i="20"/>
  <c r="AD250" i="20"/>
  <c r="AE250" i="20"/>
  <c r="AF250" i="20"/>
  <c r="Z241" i="20"/>
  <c r="AD241" i="20"/>
  <c r="W241" i="20"/>
  <c r="AA241" i="20"/>
  <c r="AE241" i="20"/>
  <c r="X241" i="20"/>
  <c r="AB241" i="20"/>
  <c r="AF241" i="20"/>
  <c r="AC241" i="20"/>
  <c r="Y241" i="20"/>
  <c r="W242" i="20"/>
  <c r="AA242" i="20"/>
  <c r="AE242" i="20"/>
  <c r="X242" i="20"/>
  <c r="AB242" i="20"/>
  <c r="AF242" i="20"/>
  <c r="Y242" i="20"/>
  <c r="AC242" i="20"/>
  <c r="Z242" i="20"/>
  <c r="AD242" i="20"/>
  <c r="X243" i="20"/>
  <c r="AB243" i="20"/>
  <c r="AF243" i="20"/>
  <c r="Y243" i="20"/>
  <c r="AC243" i="20"/>
  <c r="Z243" i="20"/>
  <c r="AD243" i="20"/>
  <c r="W243" i="20"/>
  <c r="AA243" i="20"/>
  <c r="AE243" i="20"/>
  <c r="Y244" i="20"/>
  <c r="AC244" i="20"/>
  <c r="Z244" i="20"/>
  <c r="AD244" i="20"/>
  <c r="W244" i="20"/>
  <c r="AA244" i="20"/>
  <c r="AE244" i="20"/>
  <c r="AB244" i="20"/>
  <c r="AF244" i="20"/>
  <c r="X244" i="20"/>
  <c r="Z245" i="20"/>
  <c r="AD245" i="20"/>
  <c r="W245" i="20"/>
  <c r="AA245" i="20"/>
  <c r="AE245" i="20"/>
  <c r="X245" i="20"/>
  <c r="AB245" i="20"/>
  <c r="AF245" i="20"/>
  <c r="Y245" i="20"/>
  <c r="AC245" i="20"/>
  <c r="W246" i="20"/>
  <c r="AA246" i="20"/>
  <c r="AE246" i="20"/>
  <c r="X246" i="20"/>
  <c r="AB246" i="20"/>
  <c r="AF246" i="20"/>
  <c r="Y246" i="20"/>
  <c r="AC246" i="20"/>
  <c r="Z246" i="20"/>
  <c r="AD246" i="20"/>
  <c r="X239" i="20"/>
  <c r="AB239" i="20"/>
  <c r="AF239" i="20"/>
  <c r="Y239" i="20"/>
  <c r="AC239" i="20"/>
  <c r="Z239" i="20"/>
  <c r="AD239" i="20"/>
  <c r="W239" i="20"/>
  <c r="AA239" i="20"/>
  <c r="AE239" i="20"/>
  <c r="Y240" i="20"/>
  <c r="AC240" i="20"/>
  <c r="Z240" i="20"/>
  <c r="AD240" i="20"/>
  <c r="W240" i="20"/>
  <c r="AA240" i="20"/>
  <c r="AE240" i="20"/>
  <c r="X240" i="20"/>
  <c r="AB240" i="20"/>
  <c r="AF240" i="20"/>
  <c r="W238" i="20"/>
  <c r="AA238" i="20"/>
  <c r="AE238" i="20"/>
  <c r="X238" i="20"/>
  <c r="AB238" i="20"/>
  <c r="AF238" i="20"/>
  <c r="Y238" i="20"/>
  <c r="AC238" i="20"/>
  <c r="AD238" i="20"/>
  <c r="Z238" i="20"/>
  <c r="Z237" i="20"/>
  <c r="AD237" i="20"/>
  <c r="W237" i="20"/>
  <c r="AA237" i="20"/>
  <c r="AE237" i="20"/>
  <c r="X237" i="20"/>
  <c r="AB237" i="20"/>
  <c r="AF237" i="20"/>
  <c r="Y237" i="20"/>
  <c r="AC237" i="20"/>
  <c r="Y232" i="20"/>
  <c r="AC232" i="20"/>
  <c r="Z232" i="20"/>
  <c r="AD232" i="20"/>
  <c r="W232" i="20"/>
  <c r="AA232" i="20"/>
  <c r="AE232" i="20"/>
  <c r="AF232" i="20"/>
  <c r="X232" i="20"/>
  <c r="AB232" i="20"/>
  <c r="Z233" i="20"/>
  <c r="AD233" i="20"/>
  <c r="W233" i="20"/>
  <c r="AA233" i="20"/>
  <c r="AE233" i="20"/>
  <c r="X233" i="20"/>
  <c r="AB233" i="20"/>
  <c r="AF233" i="20"/>
  <c r="Y233" i="20"/>
  <c r="AC233" i="20"/>
  <c r="W234" i="20"/>
  <c r="AA234" i="20"/>
  <c r="AE234" i="20"/>
  <c r="X234" i="20"/>
  <c r="AB234" i="20"/>
  <c r="AF234" i="20"/>
  <c r="Y234" i="20"/>
  <c r="AC234" i="20"/>
  <c r="Z234" i="20"/>
  <c r="AD234" i="20"/>
  <c r="X235" i="20"/>
  <c r="AB235" i="20"/>
  <c r="AF235" i="20"/>
  <c r="Y235" i="20"/>
  <c r="AC235" i="20"/>
  <c r="Z235" i="20"/>
  <c r="AD235" i="20"/>
  <c r="AE235" i="20"/>
  <c r="W235" i="20"/>
  <c r="AA235" i="20"/>
  <c r="Y236" i="20"/>
  <c r="AC236" i="20"/>
  <c r="Z236" i="20"/>
  <c r="AD236" i="20"/>
  <c r="W236" i="20"/>
  <c r="AA236" i="20"/>
  <c r="AE236" i="20"/>
  <c r="X236" i="20"/>
  <c r="AB236" i="20"/>
  <c r="AF236" i="20"/>
  <c r="X231" i="20"/>
  <c r="AB231" i="20"/>
  <c r="AF231" i="20"/>
  <c r="Y231" i="20"/>
  <c r="AC231" i="20"/>
  <c r="Z231" i="20"/>
  <c r="AD231" i="20"/>
  <c r="AA231" i="20"/>
  <c r="AE231" i="20"/>
  <c r="W231" i="20"/>
  <c r="W230" i="20"/>
  <c r="AA230" i="20"/>
  <c r="AE230" i="20"/>
  <c r="X230" i="20"/>
  <c r="AB230" i="20"/>
  <c r="AF230" i="20"/>
  <c r="Y230" i="20"/>
  <c r="AC230" i="20"/>
  <c r="Z230" i="20"/>
  <c r="AD230" i="20"/>
  <c r="Z229" i="20"/>
  <c r="AD229" i="20"/>
  <c r="W229" i="20"/>
  <c r="AA229" i="20"/>
  <c r="AE229" i="20"/>
  <c r="X229" i="20"/>
  <c r="AB229" i="20"/>
  <c r="AF229" i="20"/>
  <c r="Y229" i="20"/>
  <c r="AC229" i="20"/>
  <c r="Y228" i="20"/>
  <c r="AC228" i="20"/>
  <c r="Z228" i="20"/>
  <c r="AD228" i="20"/>
  <c r="W228" i="20"/>
  <c r="AA228" i="20"/>
  <c r="AE228" i="20"/>
  <c r="AB228" i="20"/>
  <c r="AF228" i="20"/>
  <c r="X228" i="20"/>
  <c r="W226" i="20"/>
  <c r="AA226" i="20"/>
  <c r="AE226" i="20"/>
  <c r="X226" i="20"/>
  <c r="AB226" i="20"/>
  <c r="AF226" i="20"/>
  <c r="Y226" i="20"/>
  <c r="AC226" i="20"/>
  <c r="Z226" i="20"/>
  <c r="AD226" i="20"/>
  <c r="X227" i="20"/>
  <c r="AB227" i="20"/>
  <c r="AF227" i="20"/>
  <c r="Y227" i="20"/>
  <c r="AC227" i="20"/>
  <c r="Z227" i="20"/>
  <c r="AD227" i="20"/>
  <c r="W227" i="20"/>
  <c r="AA227" i="20"/>
  <c r="AE227" i="20"/>
  <c r="Z225" i="20"/>
  <c r="AD225" i="20"/>
  <c r="W225" i="20"/>
  <c r="AA225" i="20"/>
  <c r="AE225" i="20"/>
  <c r="X225" i="20"/>
  <c r="AB225" i="20"/>
  <c r="AF225" i="20"/>
  <c r="AC225" i="20"/>
  <c r="Y225" i="20"/>
  <c r="Y224" i="20"/>
  <c r="AC224" i="20"/>
  <c r="Z224" i="20"/>
  <c r="AD224" i="20"/>
  <c r="W224" i="20"/>
  <c r="AA224" i="20"/>
  <c r="AE224" i="20"/>
  <c r="X224" i="20"/>
  <c r="AB224" i="20"/>
  <c r="AF224" i="20"/>
  <c r="X223" i="20"/>
  <c r="AB223" i="20"/>
  <c r="AF223" i="20"/>
  <c r="Y223" i="20"/>
  <c r="AC223" i="20"/>
  <c r="Z223" i="20"/>
  <c r="AD223" i="20"/>
  <c r="W223" i="20"/>
  <c r="AA223" i="20"/>
  <c r="AE223" i="20"/>
  <c r="W222" i="20"/>
  <c r="AA222" i="20"/>
  <c r="AE222" i="20"/>
  <c r="X222" i="20"/>
  <c r="AB222" i="20"/>
  <c r="AF222" i="20"/>
  <c r="Y222" i="20"/>
  <c r="AC222" i="20"/>
  <c r="AD222" i="20"/>
  <c r="Z222" i="20"/>
  <c r="Y220" i="20"/>
  <c r="AC220" i="20"/>
  <c r="Z220" i="20"/>
  <c r="AD220" i="20"/>
  <c r="W220" i="20"/>
  <c r="AA220" i="20"/>
  <c r="AE220" i="20"/>
  <c r="X220" i="20"/>
  <c r="AB220" i="20"/>
  <c r="AF220" i="20"/>
  <c r="Z221" i="20"/>
  <c r="AD221" i="20"/>
  <c r="W221" i="20"/>
  <c r="AA221" i="20"/>
  <c r="AE221" i="20"/>
  <c r="X221" i="20"/>
  <c r="AB221" i="20"/>
  <c r="AF221" i="20"/>
  <c r="Y221" i="20"/>
  <c r="AC221" i="20"/>
  <c r="X219" i="20"/>
  <c r="AB219" i="20"/>
  <c r="AF219" i="20"/>
  <c r="Y219" i="20"/>
  <c r="AC219" i="20"/>
  <c r="Z219" i="20"/>
  <c r="AD219" i="20"/>
  <c r="AE219" i="20"/>
  <c r="W219" i="20"/>
  <c r="AA219" i="20"/>
  <c r="W218" i="20"/>
  <c r="AA218" i="20"/>
  <c r="AE218" i="20"/>
  <c r="X218" i="20"/>
  <c r="AB218" i="20"/>
  <c r="AF218" i="20"/>
  <c r="Y218" i="20"/>
  <c r="AC218" i="20"/>
  <c r="Z218" i="20"/>
  <c r="AD218" i="20"/>
  <c r="Z217" i="20"/>
  <c r="AD217" i="20"/>
  <c r="W217" i="20"/>
  <c r="AA217" i="20"/>
  <c r="AE217" i="20"/>
  <c r="X217" i="20"/>
  <c r="AB217" i="20"/>
  <c r="AF217" i="20"/>
  <c r="Y217" i="20"/>
  <c r="AC217" i="20"/>
  <c r="X215" i="20"/>
  <c r="AB215" i="20"/>
  <c r="AF215" i="20"/>
  <c r="Y215" i="20"/>
  <c r="AC215" i="20"/>
  <c r="Z215" i="20"/>
  <c r="AD215" i="20"/>
  <c r="AA215" i="20"/>
  <c r="AE215" i="20"/>
  <c r="W215" i="20"/>
  <c r="Y216" i="20"/>
  <c r="AC216" i="20"/>
  <c r="Z216" i="20"/>
  <c r="AD216" i="20"/>
  <c r="W216" i="20"/>
  <c r="AA216" i="20"/>
  <c r="AE216" i="20"/>
  <c r="AF216" i="20"/>
  <c r="X216" i="20"/>
  <c r="AB216" i="20"/>
  <c r="Z213" i="20"/>
  <c r="AD213" i="20"/>
  <c r="W213" i="20"/>
  <c r="AA213" i="20"/>
  <c r="AE213" i="20"/>
  <c r="X213" i="20"/>
  <c r="AB213" i="20"/>
  <c r="AF213" i="20"/>
  <c r="Y213" i="20"/>
  <c r="AC213" i="20"/>
  <c r="W214" i="20"/>
  <c r="AA214" i="20"/>
  <c r="AE214" i="20"/>
  <c r="X214" i="20"/>
  <c r="AB214" i="20"/>
  <c r="AF214" i="20"/>
  <c r="Y214" i="20"/>
  <c r="AC214" i="20"/>
  <c r="Z214" i="20"/>
  <c r="AD214" i="20"/>
  <c r="X207" i="20"/>
  <c r="AB207" i="20"/>
  <c r="AF207" i="20"/>
  <c r="Y207" i="20"/>
  <c r="AC207" i="20"/>
  <c r="Z207" i="20"/>
  <c r="AD207" i="20"/>
  <c r="W207" i="20"/>
  <c r="AA207" i="20"/>
  <c r="AE207" i="20"/>
  <c r="Y208" i="20"/>
  <c r="AC208" i="20"/>
  <c r="Z208" i="20"/>
  <c r="AD208" i="20"/>
  <c r="W208" i="20"/>
  <c r="AA208" i="20"/>
  <c r="AE208" i="20"/>
  <c r="X208" i="20"/>
  <c r="AB208" i="20"/>
  <c r="AF208" i="20"/>
  <c r="Z209" i="20"/>
  <c r="AD209" i="20"/>
  <c r="W209" i="20"/>
  <c r="AA209" i="20"/>
  <c r="AE209" i="20"/>
  <c r="X209" i="20"/>
  <c r="AB209" i="20"/>
  <c r="AF209" i="20"/>
  <c r="AC209" i="20"/>
  <c r="Y209" i="20"/>
  <c r="W210" i="20"/>
  <c r="AA210" i="20"/>
  <c r="AE210" i="20"/>
  <c r="X210" i="20"/>
  <c r="AB210" i="20"/>
  <c r="AF210" i="20"/>
  <c r="Y210" i="20"/>
  <c r="AC210" i="20"/>
  <c r="Z210" i="20"/>
  <c r="AD210" i="20"/>
  <c r="X211" i="20"/>
  <c r="AB211" i="20"/>
  <c r="AF211" i="20"/>
  <c r="Y211" i="20"/>
  <c r="AC211" i="20"/>
  <c r="Z211" i="20"/>
  <c r="AD211" i="20"/>
  <c r="W211" i="20"/>
  <c r="AA211" i="20"/>
  <c r="AE211" i="20"/>
  <c r="Y212" i="20"/>
  <c r="AC212" i="20"/>
  <c r="Z212" i="20"/>
  <c r="AD212" i="20"/>
  <c r="W212" i="20"/>
  <c r="AA212" i="20"/>
  <c r="AE212" i="20"/>
  <c r="AB212" i="20"/>
  <c r="AF212" i="20"/>
  <c r="X212" i="20"/>
  <c r="W204" i="20"/>
  <c r="X204" i="20"/>
  <c r="Y204" i="20"/>
  <c r="AC204" i="20"/>
  <c r="Z204" i="20"/>
  <c r="AD204" i="20"/>
  <c r="AA204" i="20"/>
  <c r="AE204" i="20"/>
  <c r="AB204" i="20"/>
  <c r="AF204" i="20"/>
  <c r="Z205" i="20"/>
  <c r="AD205" i="20"/>
  <c r="W205" i="20"/>
  <c r="AA205" i="20"/>
  <c r="AE205" i="20"/>
  <c r="X205" i="20"/>
  <c r="AB205" i="20"/>
  <c r="AF205" i="20"/>
  <c r="Y205" i="20"/>
  <c r="AC205" i="20"/>
  <c r="W206" i="20"/>
  <c r="AA206" i="20"/>
  <c r="AE206" i="20"/>
  <c r="X206" i="20"/>
  <c r="AB206" i="20"/>
  <c r="AF206" i="20"/>
  <c r="Y206" i="20"/>
  <c r="AC206" i="20"/>
  <c r="AD206" i="20"/>
  <c r="Z206" i="20"/>
  <c r="X193" i="20"/>
  <c r="AB193" i="20"/>
  <c r="AF193" i="20"/>
  <c r="Y193" i="20"/>
  <c r="AC193" i="20"/>
  <c r="Z193" i="20"/>
  <c r="AD193" i="20"/>
  <c r="AE193" i="20"/>
  <c r="W193" i="20"/>
  <c r="AA193" i="20"/>
  <c r="Y194" i="20"/>
  <c r="AC194" i="20"/>
  <c r="Z194" i="20"/>
  <c r="AD194" i="20"/>
  <c r="W194" i="20"/>
  <c r="AA194" i="20"/>
  <c r="AE194" i="20"/>
  <c r="X194" i="20"/>
  <c r="AB194" i="20"/>
  <c r="AF194" i="20"/>
  <c r="Z195" i="20"/>
  <c r="AD195" i="20"/>
  <c r="W195" i="20"/>
  <c r="AA195" i="20"/>
  <c r="AE195" i="20"/>
  <c r="X195" i="20"/>
  <c r="AB195" i="20"/>
  <c r="AF195" i="20"/>
  <c r="Y195" i="20"/>
  <c r="AC195" i="20"/>
  <c r="W196" i="20"/>
  <c r="AA196" i="20"/>
  <c r="AE196" i="20"/>
  <c r="X196" i="20"/>
  <c r="AB196" i="20"/>
  <c r="AF196" i="20"/>
  <c r="Y196" i="20"/>
  <c r="AC196" i="20"/>
  <c r="AD196" i="20"/>
  <c r="Z196" i="20"/>
  <c r="X197" i="20"/>
  <c r="AB197" i="20"/>
  <c r="AF197" i="20"/>
  <c r="Y197" i="20"/>
  <c r="AC197" i="20"/>
  <c r="Z197" i="20"/>
  <c r="AD197" i="20"/>
  <c r="W197" i="20"/>
  <c r="AA197" i="20"/>
  <c r="AE197" i="20"/>
  <c r="Y198" i="20"/>
  <c r="AC198" i="20"/>
  <c r="Z198" i="20"/>
  <c r="AD198" i="20"/>
  <c r="W198" i="20"/>
  <c r="AA198" i="20"/>
  <c r="AE198" i="20"/>
  <c r="X198" i="20"/>
  <c r="AB198" i="20"/>
  <c r="AF198" i="20"/>
  <c r="Z199" i="20"/>
  <c r="AD199" i="20"/>
  <c r="W199" i="20"/>
  <c r="AA199" i="20"/>
  <c r="AE199" i="20"/>
  <c r="X199" i="20"/>
  <c r="AB199" i="20"/>
  <c r="AF199" i="20"/>
  <c r="AC199" i="20"/>
  <c r="Y199" i="20"/>
  <c r="W200" i="20"/>
  <c r="AA200" i="20"/>
  <c r="AE200" i="20"/>
  <c r="X200" i="20"/>
  <c r="AB200" i="20"/>
  <c r="AF200" i="20"/>
  <c r="Y200" i="20"/>
  <c r="AC200" i="20"/>
  <c r="Z200" i="20"/>
  <c r="AD200" i="20"/>
  <c r="X201" i="20"/>
  <c r="AB201" i="20"/>
  <c r="AF201" i="20"/>
  <c r="Y201" i="20"/>
  <c r="AC201" i="20"/>
  <c r="Z201" i="20"/>
  <c r="AD201" i="20"/>
  <c r="W201" i="20"/>
  <c r="AA201" i="20"/>
  <c r="AE201" i="20"/>
  <c r="Y202" i="20"/>
  <c r="AC202" i="20"/>
  <c r="Z202" i="20"/>
  <c r="AD202" i="20"/>
  <c r="W202" i="20"/>
  <c r="AA202" i="20"/>
  <c r="AE202" i="20"/>
  <c r="AB202" i="20"/>
  <c r="AF202" i="20"/>
  <c r="X202" i="20"/>
  <c r="Z203" i="20"/>
  <c r="AD203" i="20"/>
  <c r="W203" i="20"/>
  <c r="AA203" i="20"/>
  <c r="AE203" i="20"/>
  <c r="X203" i="20"/>
  <c r="AB203" i="20"/>
  <c r="AF203" i="20"/>
  <c r="Y203" i="20"/>
  <c r="AC203" i="20"/>
  <c r="Y190" i="20"/>
  <c r="AC190" i="20"/>
  <c r="Z190" i="20"/>
  <c r="AD190" i="20"/>
  <c r="W190" i="20"/>
  <c r="AA190" i="20"/>
  <c r="AE190" i="20"/>
  <c r="AF190" i="20"/>
  <c r="X190" i="20"/>
  <c r="AB190" i="20"/>
  <c r="Z191" i="20"/>
  <c r="AD191" i="20"/>
  <c r="W191" i="20"/>
  <c r="AA191" i="20"/>
  <c r="AE191" i="20"/>
  <c r="X191" i="20"/>
  <c r="AB191" i="20"/>
  <c r="AF191" i="20"/>
  <c r="Y191" i="20"/>
  <c r="AC191" i="20"/>
  <c r="W192" i="20"/>
  <c r="AA192" i="20"/>
  <c r="AE192" i="20"/>
  <c r="X192" i="20"/>
  <c r="AB192" i="20"/>
  <c r="AF192" i="20"/>
  <c r="Y192" i="20"/>
  <c r="AC192" i="20"/>
  <c r="Z192" i="20"/>
  <c r="AD192" i="20"/>
  <c r="X185" i="20"/>
  <c r="AB185" i="20"/>
  <c r="AF185" i="20"/>
  <c r="Y185" i="20"/>
  <c r="AC185" i="20"/>
  <c r="Z185" i="20"/>
  <c r="AD185" i="20"/>
  <c r="W185" i="20"/>
  <c r="AA185" i="20"/>
  <c r="AE185" i="20"/>
  <c r="Y186" i="20"/>
  <c r="AC186" i="20"/>
  <c r="Z186" i="20"/>
  <c r="AD186" i="20"/>
  <c r="W186" i="20"/>
  <c r="AA186" i="20"/>
  <c r="AE186" i="20"/>
  <c r="AB186" i="20"/>
  <c r="AF186" i="20"/>
  <c r="X186" i="20"/>
  <c r="Z187" i="20"/>
  <c r="AD187" i="20"/>
  <c r="W187" i="20"/>
  <c r="AA187" i="20"/>
  <c r="AE187" i="20"/>
  <c r="X187" i="20"/>
  <c r="AB187" i="20"/>
  <c r="AF187" i="20"/>
  <c r="Y187" i="20"/>
  <c r="AC187" i="20"/>
  <c r="W188" i="20"/>
  <c r="AA188" i="20"/>
  <c r="AE188" i="20"/>
  <c r="X188" i="20"/>
  <c r="AB188" i="20"/>
  <c r="AF188" i="20"/>
  <c r="Y188" i="20"/>
  <c r="AC188" i="20"/>
  <c r="Z188" i="20"/>
  <c r="AD188" i="20"/>
  <c r="X189" i="20"/>
  <c r="AB189" i="20"/>
  <c r="AF189" i="20"/>
  <c r="Y189" i="20"/>
  <c r="AC189" i="20"/>
  <c r="Z189" i="20"/>
  <c r="AD189" i="20"/>
  <c r="AA189" i="20"/>
  <c r="AE189" i="20"/>
  <c r="W189" i="20"/>
  <c r="Z183" i="20"/>
  <c r="AD183" i="20"/>
  <c r="W183" i="20"/>
  <c r="AA183" i="20"/>
  <c r="AE183" i="20"/>
  <c r="X183" i="20"/>
  <c r="AB183" i="20"/>
  <c r="AF183" i="20"/>
  <c r="AC183" i="20"/>
  <c r="Y183" i="20"/>
  <c r="W184" i="20"/>
  <c r="AA184" i="20"/>
  <c r="AE184" i="20"/>
  <c r="X184" i="20"/>
  <c r="AB184" i="20"/>
  <c r="AF184" i="20"/>
  <c r="Y184" i="20"/>
  <c r="AC184" i="20"/>
  <c r="Z184" i="20"/>
  <c r="AD184" i="20"/>
  <c r="X181" i="20"/>
  <c r="AB181" i="20"/>
  <c r="AF181" i="20"/>
  <c r="Y181" i="20"/>
  <c r="AC181" i="20"/>
  <c r="Z181" i="20"/>
  <c r="AD181" i="20"/>
  <c r="W181" i="20"/>
  <c r="AA181" i="20"/>
  <c r="AE181" i="20"/>
  <c r="Y182" i="20"/>
  <c r="AC182" i="20"/>
  <c r="Z182" i="20"/>
  <c r="AD182" i="20"/>
  <c r="W182" i="20"/>
  <c r="AA182" i="20"/>
  <c r="AE182" i="20"/>
  <c r="X182" i="20"/>
  <c r="AB182" i="20"/>
  <c r="AF182" i="20"/>
  <c r="W180" i="20"/>
  <c r="AA180" i="20"/>
  <c r="AE180" i="20"/>
  <c r="X180" i="20"/>
  <c r="AB180" i="20"/>
  <c r="AF180" i="20"/>
  <c r="Y180" i="20"/>
  <c r="AC180" i="20"/>
  <c r="AD180" i="20"/>
  <c r="Z180" i="20"/>
  <c r="Z179" i="20"/>
  <c r="AD179" i="20"/>
  <c r="W179" i="20"/>
  <c r="AA179" i="20"/>
  <c r="AE179" i="20"/>
  <c r="X179" i="20"/>
  <c r="AB179" i="20"/>
  <c r="AF179" i="20"/>
  <c r="Y179" i="20"/>
  <c r="AC179" i="20"/>
  <c r="Y178" i="20"/>
  <c r="AC178" i="20"/>
  <c r="Z178" i="20"/>
  <c r="AD178" i="20"/>
  <c r="W178" i="20"/>
  <c r="AA178" i="20"/>
  <c r="AE178" i="20"/>
  <c r="X178" i="20"/>
  <c r="AB178" i="20"/>
  <c r="AF178" i="20"/>
  <c r="X177" i="20"/>
  <c r="AB177" i="20"/>
  <c r="AF177" i="20"/>
  <c r="Y177" i="20"/>
  <c r="AC177" i="20"/>
  <c r="Z177" i="20"/>
  <c r="AD177" i="20"/>
  <c r="AE177" i="20"/>
  <c r="W177" i="20"/>
  <c r="AA177" i="20"/>
  <c r="W176" i="20"/>
  <c r="AA176" i="20"/>
  <c r="AE176" i="20"/>
  <c r="X176" i="20"/>
  <c r="AB176" i="20"/>
  <c r="AF176" i="20"/>
  <c r="Y176" i="20"/>
  <c r="AC176" i="20"/>
  <c r="Z176" i="20"/>
  <c r="AD176" i="20"/>
  <c r="Z175" i="20"/>
  <c r="AD175" i="20"/>
  <c r="W175" i="20"/>
  <c r="AA175" i="20"/>
  <c r="AE175" i="20"/>
  <c r="X175" i="20"/>
  <c r="AB175" i="20"/>
  <c r="AF175" i="20"/>
  <c r="Y175" i="20"/>
  <c r="AC175" i="20"/>
  <c r="Y174" i="20"/>
  <c r="AC174" i="20"/>
  <c r="Z174" i="20"/>
  <c r="AD174" i="20"/>
  <c r="W174" i="20"/>
  <c r="AA174" i="20"/>
  <c r="AE174" i="20"/>
  <c r="AF174" i="20"/>
  <c r="X174" i="20"/>
  <c r="AB174" i="20"/>
  <c r="X173" i="20"/>
  <c r="AB173" i="20"/>
  <c r="AF173" i="20"/>
  <c r="Y173" i="20"/>
  <c r="AC173" i="20"/>
  <c r="Z173" i="20"/>
  <c r="AD173" i="20"/>
  <c r="AA173" i="20"/>
  <c r="AE173" i="20"/>
  <c r="W173" i="20"/>
  <c r="Z171" i="20"/>
  <c r="AD171" i="20"/>
  <c r="W171" i="20"/>
  <c r="AA171" i="20"/>
  <c r="AE171" i="20"/>
  <c r="X171" i="20"/>
  <c r="AB171" i="20"/>
  <c r="AF171" i="20"/>
  <c r="Y171" i="20"/>
  <c r="AC171" i="20"/>
  <c r="W172" i="20"/>
  <c r="AA172" i="20"/>
  <c r="AE172" i="20"/>
  <c r="X172" i="20"/>
  <c r="AB172" i="20"/>
  <c r="AF172" i="20"/>
  <c r="Y172" i="20"/>
  <c r="AC172" i="20"/>
  <c r="Z172" i="20"/>
  <c r="AD172" i="20"/>
  <c r="X169" i="20"/>
  <c r="AB169" i="20"/>
  <c r="AF169" i="20"/>
  <c r="Y169" i="20"/>
  <c r="AC169" i="20"/>
  <c r="Z169" i="20"/>
  <c r="AD169" i="20"/>
  <c r="W169" i="20"/>
  <c r="AA169" i="20"/>
  <c r="AE169" i="20"/>
  <c r="Y170" i="20"/>
  <c r="AC170" i="20"/>
  <c r="Z170" i="20"/>
  <c r="AD170" i="20"/>
  <c r="W170" i="20"/>
  <c r="AA170" i="20"/>
  <c r="AE170" i="20"/>
  <c r="AB170" i="20"/>
  <c r="AF170" i="20"/>
  <c r="X170" i="20"/>
  <c r="X165" i="20"/>
  <c r="AB165" i="20"/>
  <c r="AF165" i="20"/>
  <c r="Y165" i="20"/>
  <c r="AC165" i="20"/>
  <c r="Z165" i="20"/>
  <c r="AD165" i="20"/>
  <c r="W165" i="20"/>
  <c r="AA165" i="20"/>
  <c r="AE165" i="20"/>
  <c r="Y166" i="20"/>
  <c r="AC166" i="20"/>
  <c r="Z166" i="20"/>
  <c r="AD166" i="20"/>
  <c r="W166" i="20"/>
  <c r="AA166" i="20"/>
  <c r="AE166" i="20"/>
  <c r="X166" i="20"/>
  <c r="AB166" i="20"/>
  <c r="AF166" i="20"/>
  <c r="Z167" i="20"/>
  <c r="AD167" i="20"/>
  <c r="W167" i="20"/>
  <c r="AA167" i="20"/>
  <c r="AE167" i="20"/>
  <c r="X167" i="20"/>
  <c r="AB167" i="20"/>
  <c r="AF167" i="20"/>
  <c r="AC167" i="20"/>
  <c r="Y167" i="20"/>
  <c r="W168" i="20"/>
  <c r="AA168" i="20"/>
  <c r="AE168" i="20"/>
  <c r="X168" i="20"/>
  <c r="AB168" i="20"/>
  <c r="AF168" i="20"/>
  <c r="Y168" i="20"/>
  <c r="AC168" i="20"/>
  <c r="Z168" i="20"/>
  <c r="AD168" i="20"/>
  <c r="W160" i="20"/>
  <c r="AA160" i="20"/>
  <c r="AE160" i="20"/>
  <c r="X160" i="20"/>
  <c r="AB160" i="20"/>
  <c r="AF160" i="20"/>
  <c r="Y160" i="20"/>
  <c r="AC160" i="20"/>
  <c r="Z160" i="20"/>
  <c r="AD160" i="20"/>
  <c r="X161" i="20"/>
  <c r="AB161" i="20"/>
  <c r="AF161" i="20"/>
  <c r="Y161" i="20"/>
  <c r="AC161" i="20"/>
  <c r="Z161" i="20"/>
  <c r="AD161" i="20"/>
  <c r="AE161" i="20"/>
  <c r="W161" i="20"/>
  <c r="AA161" i="20"/>
  <c r="Y162" i="20"/>
  <c r="AC162" i="20"/>
  <c r="Z162" i="20"/>
  <c r="AD162" i="20"/>
  <c r="W162" i="20"/>
  <c r="AA162" i="20"/>
  <c r="AE162" i="20"/>
  <c r="X162" i="20"/>
  <c r="AB162" i="20"/>
  <c r="AF162" i="20"/>
  <c r="Z163" i="20"/>
  <c r="AD163" i="20"/>
  <c r="W163" i="20"/>
  <c r="AA163" i="20"/>
  <c r="AE163" i="20"/>
  <c r="X163" i="20"/>
  <c r="AB163" i="20"/>
  <c r="AF163" i="20"/>
  <c r="Y163" i="20"/>
  <c r="AC163" i="20"/>
  <c r="W164" i="20"/>
  <c r="AA164" i="20"/>
  <c r="AE164" i="20"/>
  <c r="X164" i="20"/>
  <c r="AB164" i="20"/>
  <c r="AF164" i="20"/>
  <c r="Y164" i="20"/>
  <c r="AC164" i="20"/>
  <c r="AD164" i="20"/>
  <c r="Z164" i="20"/>
  <c r="Z159" i="20"/>
  <c r="AD159" i="20"/>
  <c r="W159" i="20"/>
  <c r="AA159" i="20"/>
  <c r="AE159" i="20"/>
  <c r="X159" i="20"/>
  <c r="AB159" i="20"/>
  <c r="AF159" i="20"/>
  <c r="Y159" i="20"/>
  <c r="AC159" i="20"/>
  <c r="Y158" i="20"/>
  <c r="AC158" i="20"/>
  <c r="Z158" i="20"/>
  <c r="AD158" i="20"/>
  <c r="W158" i="20"/>
  <c r="AA158" i="20"/>
  <c r="AE158" i="20"/>
  <c r="AF158" i="20"/>
  <c r="X158" i="20"/>
  <c r="AB158" i="20"/>
  <c r="W156" i="20"/>
  <c r="AA156" i="20"/>
  <c r="AE156" i="20"/>
  <c r="X156" i="20"/>
  <c r="AB156" i="20"/>
  <c r="AF156" i="20"/>
  <c r="Y156" i="20"/>
  <c r="AC156" i="20"/>
  <c r="Z156" i="20"/>
  <c r="AD156" i="20"/>
  <c r="X157" i="20"/>
  <c r="AB157" i="20"/>
  <c r="AF157" i="20"/>
  <c r="Y157" i="20"/>
  <c r="AC157" i="20"/>
  <c r="Z157" i="20"/>
  <c r="AD157" i="20"/>
  <c r="AA157" i="20"/>
  <c r="AE157" i="20"/>
  <c r="W157" i="20"/>
  <c r="Z155" i="20"/>
  <c r="AD155" i="20"/>
  <c r="W155" i="20"/>
  <c r="AA155" i="20"/>
  <c r="AE155" i="20"/>
  <c r="X155" i="20"/>
  <c r="AB155" i="20"/>
  <c r="AF155" i="20"/>
  <c r="Y155" i="20"/>
  <c r="AC155" i="20"/>
  <c r="X153" i="20"/>
  <c r="AB153" i="20"/>
  <c r="AF153" i="20"/>
  <c r="Y153" i="20"/>
  <c r="AC153" i="20"/>
  <c r="Z153" i="20"/>
  <c r="AD153" i="20"/>
  <c r="W153" i="20"/>
  <c r="AA153" i="20"/>
  <c r="AE153" i="20"/>
  <c r="Y154" i="20"/>
  <c r="AC154" i="20"/>
  <c r="Z154" i="20"/>
  <c r="AD154" i="20"/>
  <c r="W154" i="20"/>
  <c r="AA154" i="20"/>
  <c r="AE154" i="20"/>
  <c r="AB154" i="20"/>
  <c r="AF154" i="20"/>
  <c r="X154" i="20"/>
  <c r="X150" i="20"/>
  <c r="AB150" i="20"/>
  <c r="AF150" i="20"/>
  <c r="Y150" i="20"/>
  <c r="AC150" i="20"/>
  <c r="W150" i="20"/>
  <c r="AE150" i="20"/>
  <c r="Z150" i="20"/>
  <c r="AA150" i="20"/>
  <c r="AD150" i="20"/>
  <c r="Y151" i="20"/>
  <c r="AC151" i="20"/>
  <c r="Z151" i="20"/>
  <c r="AD151" i="20"/>
  <c r="AB151" i="20"/>
  <c r="W151" i="20"/>
  <c r="AE151" i="20"/>
  <c r="X151" i="20"/>
  <c r="AF151" i="20"/>
  <c r="AA151" i="20"/>
  <c r="Z152" i="20"/>
  <c r="W152" i="20"/>
  <c r="AA152" i="20"/>
  <c r="Y152" i="20"/>
  <c r="AE152" i="20"/>
  <c r="AB152" i="20"/>
  <c r="AF152" i="20"/>
  <c r="AC152" i="20"/>
  <c r="X152" i="20"/>
  <c r="AD152" i="20"/>
  <c r="Z148" i="20"/>
  <c r="AD148" i="20"/>
  <c r="W148" i="20"/>
  <c r="AA148" i="20"/>
  <c r="AE148" i="20"/>
  <c r="AC148" i="20"/>
  <c r="X148" i="20"/>
  <c r="AF148" i="20"/>
  <c r="Y148" i="20"/>
  <c r="AB148" i="20"/>
  <c r="W149" i="20"/>
  <c r="AA149" i="20"/>
  <c r="AE149" i="20"/>
  <c r="X149" i="20"/>
  <c r="AB149" i="20"/>
  <c r="AF149" i="20"/>
  <c r="Z149" i="20"/>
  <c r="AC149" i="20"/>
  <c r="AD149" i="20"/>
  <c r="Y149" i="20"/>
  <c r="Y147" i="20"/>
  <c r="AC147" i="20"/>
  <c r="Z147" i="20"/>
  <c r="AD147" i="20"/>
  <c r="X147" i="20"/>
  <c r="AB147" i="20"/>
  <c r="AF147" i="20"/>
  <c r="AE147" i="20"/>
  <c r="W147" i="20"/>
  <c r="AA147" i="20"/>
  <c r="W145" i="20"/>
  <c r="AA145" i="20"/>
  <c r="AE145" i="20"/>
  <c r="X145" i="20"/>
  <c r="AB145" i="20"/>
  <c r="AF145" i="20"/>
  <c r="Z145" i="20"/>
  <c r="AD145" i="20"/>
  <c r="Y145" i="20"/>
  <c r="AC145" i="20"/>
  <c r="X146" i="20"/>
  <c r="AB146" i="20"/>
  <c r="AF146" i="20"/>
  <c r="Y146" i="20"/>
  <c r="AC146" i="20"/>
  <c r="W146" i="20"/>
  <c r="AA146" i="20"/>
  <c r="AE146" i="20"/>
  <c r="Z146" i="20"/>
  <c r="AD146" i="20"/>
  <c r="Y143" i="20"/>
  <c r="AC143" i="20"/>
  <c r="Z143" i="20"/>
  <c r="AD143" i="20"/>
  <c r="X143" i="20"/>
  <c r="AB143" i="20"/>
  <c r="AF143" i="20"/>
  <c r="AA143" i="20"/>
  <c r="AE143" i="20"/>
  <c r="W143" i="20"/>
  <c r="Z144" i="20"/>
  <c r="AD144" i="20"/>
  <c r="W144" i="20"/>
  <c r="AA144" i="20"/>
  <c r="AE144" i="20"/>
  <c r="Y144" i="20"/>
  <c r="AC144" i="20"/>
  <c r="AF144" i="20"/>
  <c r="X144" i="20"/>
  <c r="AB144" i="20"/>
  <c r="X142" i="20"/>
  <c r="AB142" i="20"/>
  <c r="AF142" i="20"/>
  <c r="Y142" i="20"/>
  <c r="AC142" i="20"/>
  <c r="W142" i="20"/>
  <c r="AA142" i="20"/>
  <c r="AE142" i="20"/>
  <c r="Z142" i="20"/>
  <c r="AD142" i="20"/>
  <c r="X138" i="20"/>
  <c r="AB138" i="20"/>
  <c r="AF138" i="20"/>
  <c r="Y138" i="20"/>
  <c r="AC138" i="20"/>
  <c r="W138" i="20"/>
  <c r="AA138" i="20"/>
  <c r="AE138" i="20"/>
  <c r="Z138" i="20"/>
  <c r="AD138" i="20"/>
  <c r="Y139" i="20"/>
  <c r="AC139" i="20"/>
  <c r="Z139" i="20"/>
  <c r="AD139" i="20"/>
  <c r="X139" i="20"/>
  <c r="AB139" i="20"/>
  <c r="AF139" i="20"/>
  <c r="W139" i="20"/>
  <c r="AA139" i="20"/>
  <c r="AE139" i="20"/>
  <c r="Z140" i="20"/>
  <c r="AD140" i="20"/>
  <c r="W140" i="20"/>
  <c r="AA140" i="20"/>
  <c r="AE140" i="20"/>
  <c r="Y140" i="20"/>
  <c r="AC140" i="20"/>
  <c r="AB140" i="20"/>
  <c r="AF140" i="20"/>
  <c r="X140" i="20"/>
  <c r="W141" i="20"/>
  <c r="AA141" i="20"/>
  <c r="AE141" i="20"/>
  <c r="X141" i="20"/>
  <c r="AB141" i="20"/>
  <c r="AF141" i="20"/>
  <c r="Z141" i="20"/>
  <c r="AD141" i="20"/>
  <c r="Y141" i="20"/>
  <c r="AC141" i="20"/>
  <c r="W137" i="20"/>
  <c r="AA137" i="20"/>
  <c r="AE137" i="20"/>
  <c r="X137" i="20"/>
  <c r="AB137" i="20"/>
  <c r="AF137" i="20"/>
  <c r="Z137" i="20"/>
  <c r="AD137" i="20"/>
  <c r="AC137" i="20"/>
  <c r="Y137" i="20"/>
  <c r="Z136" i="20"/>
  <c r="AD136" i="20"/>
  <c r="W136" i="20"/>
  <c r="AA136" i="20"/>
  <c r="AE136" i="20"/>
  <c r="Y136" i="20"/>
  <c r="AC136" i="20"/>
  <c r="X136" i="20"/>
  <c r="AB136" i="20"/>
  <c r="AF136" i="20"/>
  <c r="Y135" i="20"/>
  <c r="AC135" i="20"/>
  <c r="Z135" i="20"/>
  <c r="AD135" i="20"/>
  <c r="X135" i="20"/>
  <c r="AB135" i="20"/>
  <c r="AF135" i="20"/>
  <c r="W135" i="20"/>
  <c r="AA135" i="20"/>
  <c r="AE135" i="20"/>
  <c r="Z132" i="20"/>
  <c r="AD132" i="20"/>
  <c r="W132" i="20"/>
  <c r="AA132" i="20"/>
  <c r="AE132" i="20"/>
  <c r="Y132" i="20"/>
  <c r="AC132" i="20"/>
  <c r="X132" i="20"/>
  <c r="AB132" i="20"/>
  <c r="AF132" i="20"/>
  <c r="W133" i="20"/>
  <c r="AA133" i="20"/>
  <c r="AE133" i="20"/>
  <c r="X133" i="20"/>
  <c r="AB133" i="20"/>
  <c r="AF133" i="20"/>
  <c r="Z133" i="20"/>
  <c r="AD133" i="20"/>
  <c r="Y133" i="20"/>
  <c r="AC133" i="20"/>
  <c r="X134" i="20"/>
  <c r="AB134" i="20"/>
  <c r="AF134" i="20"/>
  <c r="Y134" i="20"/>
  <c r="AC134" i="20"/>
  <c r="W134" i="20"/>
  <c r="AA134" i="20"/>
  <c r="AE134" i="20"/>
  <c r="AD134" i="20"/>
  <c r="Z134" i="20"/>
  <c r="Z119" i="20"/>
  <c r="AD119" i="20"/>
  <c r="W119" i="20"/>
  <c r="AA119" i="20"/>
  <c r="AE119" i="20"/>
  <c r="AB119" i="20"/>
  <c r="AC119" i="20"/>
  <c r="Y119" i="20"/>
  <c r="X119" i="20"/>
  <c r="AF119" i="20"/>
  <c r="W120" i="20"/>
  <c r="AA120" i="20"/>
  <c r="AE120" i="20"/>
  <c r="X120" i="20"/>
  <c r="AB120" i="20"/>
  <c r="AF120" i="20"/>
  <c r="Y120" i="20"/>
  <c r="Z120" i="20"/>
  <c r="AD120" i="20"/>
  <c r="AC120" i="20"/>
  <c r="Y118" i="20"/>
  <c r="AC118" i="20"/>
  <c r="Z118" i="20"/>
  <c r="AD118" i="20"/>
  <c r="W118" i="20"/>
  <c r="AE118" i="20"/>
  <c r="X118" i="20"/>
  <c r="AF118" i="20"/>
  <c r="AB118" i="20"/>
  <c r="AA118" i="20"/>
  <c r="X117" i="20"/>
  <c r="AB117" i="20"/>
  <c r="AF117" i="20"/>
  <c r="Y117" i="20"/>
  <c r="AC117" i="20"/>
  <c r="Z117" i="20"/>
  <c r="AA117" i="20"/>
  <c r="W117" i="20"/>
  <c r="AE117" i="20"/>
  <c r="AD117" i="20"/>
  <c r="X113" i="20"/>
  <c r="AB113" i="20"/>
  <c r="AF113" i="20"/>
  <c r="Y113" i="20"/>
  <c r="AD113" i="20"/>
  <c r="Z113" i="20"/>
  <c r="AE113" i="20"/>
  <c r="W113" i="20"/>
  <c r="AC113" i="20"/>
  <c r="AA113" i="20"/>
  <c r="W112" i="20"/>
  <c r="AA112" i="20"/>
  <c r="AE112" i="20"/>
  <c r="X112" i="20"/>
  <c r="AC112" i="20"/>
  <c r="Y112" i="20"/>
  <c r="AD112" i="20"/>
  <c r="Z112" i="20"/>
  <c r="AF112" i="20"/>
  <c r="AB112" i="20"/>
  <c r="X109" i="20"/>
  <c r="AB109" i="20"/>
  <c r="AF109" i="20"/>
  <c r="Y109" i="20"/>
  <c r="AD109" i="20"/>
  <c r="Z109" i="20"/>
  <c r="AE109" i="20"/>
  <c r="AA109" i="20"/>
  <c r="W109" i="20"/>
  <c r="AC109" i="20"/>
  <c r="X76" i="20"/>
  <c r="AB76" i="20"/>
  <c r="AF76" i="20"/>
  <c r="Z76" i="20"/>
  <c r="AE76" i="20"/>
  <c r="AA76" i="20"/>
  <c r="W76" i="20"/>
  <c r="AC76" i="20"/>
  <c r="Y76" i="20"/>
  <c r="AD76" i="20"/>
  <c r="W116" i="20"/>
  <c r="AA116" i="20"/>
  <c r="AE116" i="20"/>
  <c r="X116" i="20"/>
  <c r="AB116" i="20"/>
  <c r="AF116" i="20"/>
  <c r="AC116" i="20"/>
  <c r="AD116" i="20"/>
  <c r="Z116" i="20"/>
  <c r="Y116" i="20"/>
  <c r="X121" i="20"/>
  <c r="AB121" i="20"/>
  <c r="AF121" i="20"/>
  <c r="Y121" i="20"/>
  <c r="AC121" i="20"/>
  <c r="AD121" i="20"/>
  <c r="W121" i="20"/>
  <c r="AE121" i="20"/>
  <c r="AA121" i="20"/>
  <c r="Z121" i="20"/>
  <c r="Y122" i="20"/>
  <c r="AC122" i="20"/>
  <c r="Z122" i="20"/>
  <c r="AD122" i="20"/>
  <c r="AA122" i="20"/>
  <c r="AB122" i="20"/>
  <c r="X122" i="20"/>
  <c r="AF122" i="20"/>
  <c r="W122" i="20"/>
  <c r="AE122" i="20"/>
  <c r="Z123" i="20"/>
  <c r="AD123" i="20"/>
  <c r="W123" i="20"/>
  <c r="AA123" i="20"/>
  <c r="AE123" i="20"/>
  <c r="X123" i="20"/>
  <c r="AF123" i="20"/>
  <c r="Y123" i="20"/>
  <c r="AC123" i="20"/>
  <c r="AB123" i="20"/>
  <c r="W124" i="20"/>
  <c r="AA124" i="20"/>
  <c r="AE124" i="20"/>
  <c r="X124" i="20"/>
  <c r="AB124" i="20"/>
  <c r="AF124" i="20"/>
  <c r="AC124" i="20"/>
  <c r="AD124" i="20"/>
  <c r="Z124" i="20"/>
  <c r="Y124" i="20"/>
  <c r="X125" i="20"/>
  <c r="AB125" i="20"/>
  <c r="AF125" i="20"/>
  <c r="Y125" i="20"/>
  <c r="AC125" i="20"/>
  <c r="Z125" i="20"/>
  <c r="AA125" i="20"/>
  <c r="W125" i="20"/>
  <c r="AE125" i="20"/>
  <c r="AD125" i="20"/>
  <c r="Y126" i="20"/>
  <c r="AC126" i="20"/>
  <c r="Z126" i="20"/>
  <c r="AD126" i="20"/>
  <c r="W126" i="20"/>
  <c r="AE126" i="20"/>
  <c r="X126" i="20"/>
  <c r="AF126" i="20"/>
  <c r="AB126" i="20"/>
  <c r="AA126" i="20"/>
  <c r="Z127" i="20"/>
  <c r="AD127" i="20"/>
  <c r="W127" i="20"/>
  <c r="AA127" i="20"/>
  <c r="AE127" i="20"/>
  <c r="AB127" i="20"/>
  <c r="AC127" i="20"/>
  <c r="Y127" i="20"/>
  <c r="X127" i="20"/>
  <c r="AF127" i="20"/>
  <c r="W128" i="20"/>
  <c r="AA128" i="20"/>
  <c r="X128" i="20"/>
  <c r="Y128" i="20"/>
  <c r="AD128" i="20"/>
  <c r="Z128" i="20"/>
  <c r="AE128" i="20"/>
  <c r="AC128" i="20"/>
  <c r="AF128" i="20"/>
  <c r="AB128" i="20"/>
  <c r="W129" i="20"/>
  <c r="AA129" i="20"/>
  <c r="AE129" i="20"/>
  <c r="X129" i="20"/>
  <c r="AB129" i="20"/>
  <c r="AF129" i="20"/>
  <c r="Z129" i="20"/>
  <c r="AD129" i="20"/>
  <c r="Y129" i="20"/>
  <c r="AC129" i="20"/>
  <c r="X130" i="20"/>
  <c r="AB130" i="20"/>
  <c r="AF130" i="20"/>
  <c r="Y130" i="20"/>
  <c r="AC130" i="20"/>
  <c r="W130" i="20"/>
  <c r="AA130" i="20"/>
  <c r="AE130" i="20"/>
  <c r="Z130" i="20"/>
  <c r="AD130" i="20"/>
  <c r="Y131" i="20"/>
  <c r="AC131" i="20"/>
  <c r="Z131" i="20"/>
  <c r="AD131" i="20"/>
  <c r="X131" i="20"/>
  <c r="AB131" i="20"/>
  <c r="AF131" i="20"/>
  <c r="AE131" i="20"/>
  <c r="W131" i="20"/>
  <c r="AA131" i="20"/>
  <c r="X101" i="20"/>
  <c r="AB101" i="20"/>
  <c r="AF101" i="20"/>
  <c r="Y101" i="20"/>
  <c r="AC101" i="20"/>
  <c r="AD101" i="20"/>
  <c r="W101" i="20"/>
  <c r="AE101" i="20"/>
  <c r="Z101" i="20"/>
  <c r="AA101" i="20"/>
  <c r="Z107" i="20"/>
  <c r="AD107" i="20"/>
  <c r="Y107" i="20"/>
  <c r="AE107" i="20"/>
  <c r="AA107" i="20"/>
  <c r="AF107" i="20"/>
  <c r="W107" i="20"/>
  <c r="AB107" i="20"/>
  <c r="X107" i="20"/>
  <c r="AC107" i="20"/>
  <c r="Z99" i="20"/>
  <c r="AD99" i="20"/>
  <c r="W99" i="20"/>
  <c r="AA99" i="20"/>
  <c r="AE99" i="20"/>
  <c r="AB99" i="20"/>
  <c r="AC99" i="20"/>
  <c r="X99" i="20"/>
  <c r="AF99" i="20"/>
  <c r="Y99" i="20"/>
  <c r="W96" i="20"/>
  <c r="AA96" i="20"/>
  <c r="AE96" i="20"/>
  <c r="X96" i="20"/>
  <c r="AB96" i="20"/>
  <c r="AF96" i="20"/>
  <c r="AC96" i="20"/>
  <c r="AD96" i="20"/>
  <c r="Y96" i="20"/>
  <c r="Z96" i="20"/>
  <c r="W108" i="20"/>
  <c r="AA108" i="20"/>
  <c r="AE108" i="20"/>
  <c r="Y108" i="20"/>
  <c r="AD108" i="20"/>
  <c r="Z108" i="20"/>
  <c r="AF108" i="20"/>
  <c r="AB108" i="20"/>
  <c r="AC108" i="20"/>
  <c r="X108" i="20"/>
  <c r="W100" i="20"/>
  <c r="AA100" i="20"/>
  <c r="AE100" i="20"/>
  <c r="X100" i="20"/>
  <c r="AB100" i="20"/>
  <c r="AF100" i="20"/>
  <c r="Y100" i="20"/>
  <c r="Z100" i="20"/>
  <c r="AC100" i="20"/>
  <c r="AD100" i="20"/>
  <c r="X97" i="20"/>
  <c r="AB97" i="20"/>
  <c r="AF97" i="20"/>
  <c r="Y97" i="20"/>
  <c r="AC97" i="20"/>
  <c r="Z97" i="20"/>
  <c r="AA97" i="20"/>
  <c r="AD97" i="20"/>
  <c r="W97" i="20"/>
  <c r="AE97" i="20"/>
  <c r="Z102" i="20"/>
  <c r="AD102" i="20"/>
  <c r="W102" i="20"/>
  <c r="AA102" i="20"/>
  <c r="AE102" i="20"/>
  <c r="X102" i="20"/>
  <c r="AF102" i="20"/>
  <c r="Y102" i="20"/>
  <c r="AB102" i="20"/>
  <c r="AC102" i="20"/>
  <c r="W90" i="20"/>
  <c r="AA90" i="20"/>
  <c r="AE90" i="20"/>
  <c r="Z90" i="20"/>
  <c r="AF90" i="20"/>
  <c r="AB90" i="20"/>
  <c r="X90" i="20"/>
  <c r="AC90" i="20"/>
  <c r="AD90" i="20"/>
  <c r="Y90" i="20"/>
  <c r="Y114" i="20"/>
  <c r="AC114" i="20"/>
  <c r="X114" i="20"/>
  <c r="AD114" i="20"/>
  <c r="Z114" i="20"/>
  <c r="AE114" i="20"/>
  <c r="AF114" i="20"/>
  <c r="W114" i="20"/>
  <c r="AB114" i="20"/>
  <c r="AA114" i="20"/>
  <c r="Z115" i="20"/>
  <c r="AD115" i="20"/>
  <c r="X115" i="20"/>
  <c r="AC115" i="20"/>
  <c r="Y115" i="20"/>
  <c r="AE115" i="20"/>
  <c r="AF115" i="20"/>
  <c r="W115" i="20"/>
  <c r="AB115" i="20"/>
  <c r="AA115" i="20"/>
  <c r="Y103" i="20"/>
  <c r="Z103" i="20"/>
  <c r="AD103" i="20"/>
  <c r="AA103" i="20"/>
  <c r="AF103" i="20"/>
  <c r="AB103" i="20"/>
  <c r="W103" i="20"/>
  <c r="AC103" i="20"/>
  <c r="X103" i="20"/>
  <c r="AE103" i="20"/>
  <c r="AF50" i="20"/>
  <c r="T142" i="19"/>
  <c r="W50" i="20"/>
  <c r="X50" i="20"/>
  <c r="Y50" i="20"/>
  <c r="Z50" i="20"/>
  <c r="AA50" i="20"/>
  <c r="AB50" i="20"/>
  <c r="AC50" i="20"/>
  <c r="AD50" i="20"/>
  <c r="AE50"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I17" i="43"/>
  <c r="I15" i="43"/>
  <c r="I16" i="43"/>
  <c r="G21" i="43"/>
  <c r="I22" i="43"/>
  <c r="G20" i="43"/>
  <c r="I19" i="43"/>
  <c r="O6" i="36" l="1"/>
  <c r="M9" i="37"/>
  <c r="L9" i="37"/>
  <c r="L11" i="37"/>
  <c r="M17" i="37"/>
  <c r="L14" i="37"/>
  <c r="L16" i="37"/>
  <c r="M15" i="37"/>
  <c r="M8" i="37"/>
  <c r="M10" i="37"/>
  <c r="M11" i="37"/>
  <c r="M14" i="37"/>
  <c r="L8" i="37"/>
  <c r="L10" i="37"/>
  <c r="L15" i="37"/>
  <c r="L17" i="37"/>
  <c r="D8" i="37"/>
  <c r="M16" i="37"/>
  <c r="E8" i="37"/>
  <c r="H8" i="37"/>
  <c r="K8" i="37"/>
  <c r="E10" i="37"/>
  <c r="E11" i="37"/>
  <c r="F15" i="37"/>
  <c r="K15" i="37"/>
  <c r="I20" i="43"/>
  <c r="G19" i="43"/>
  <c r="I21" i="43"/>
  <c r="I18" i="43"/>
  <c r="M17" i="43"/>
  <c r="G15" i="43"/>
  <c r="G8" i="43"/>
  <c r="G16" i="43"/>
  <c r="M20" i="43"/>
  <c r="G22" i="43"/>
  <c r="M21" i="43"/>
  <c r="M22" i="43"/>
  <c r="G18" i="43"/>
  <c r="M19" i="43"/>
  <c r="G17" i="43"/>
  <c r="M18" i="37" l="1"/>
  <c r="L18" i="37"/>
  <c r="K11" i="37"/>
  <c r="F11" i="37"/>
  <c r="D9" i="37"/>
  <c r="K16" i="37"/>
  <c r="D11" i="37"/>
  <c r="F17" i="37"/>
  <c r="E9" i="37"/>
  <c r="F10" i="37"/>
  <c r="F16" i="37"/>
  <c r="F8" i="37"/>
  <c r="K14" i="37"/>
  <c r="K9" i="37"/>
  <c r="D14" i="37"/>
  <c r="D15" i="37"/>
  <c r="F9" i="37"/>
  <c r="D10" i="37"/>
  <c r="D16" i="37"/>
  <c r="K10" i="37"/>
  <c r="F14" i="37"/>
  <c r="D17" i="37"/>
  <c r="K17" i="37"/>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N25" i="37"/>
  <c r="N27" i="37"/>
  <c r="H31" i="37"/>
  <c r="H29" i="37"/>
  <c r="D25" i="37"/>
  <c r="G25" i="37" s="1"/>
  <c r="D28" i="37"/>
  <c r="G28" i="37" s="1"/>
  <c r="D24" i="37"/>
  <c r="G24" i="37" s="1"/>
  <c r="N30" i="37"/>
  <c r="N31" i="37"/>
  <c r="N28" i="37"/>
  <c r="D31" i="37"/>
  <c r="G31" i="37" s="1"/>
  <c r="H32" i="37"/>
  <c r="H27" i="37"/>
  <c r="D32" i="37"/>
  <c r="G32" i="37" s="1"/>
  <c r="N29" i="37"/>
  <c r="N32" i="37"/>
  <c r="H25" i="37"/>
  <c r="N23" i="37"/>
  <c r="D27" i="37"/>
  <c r="G27" i="37" s="1"/>
  <c r="N24" i="37"/>
  <c r="H28" i="37"/>
  <c r="H24" i="37"/>
  <c r="F18" i="37" l="1"/>
  <c r="E18" i="37"/>
  <c r="D18" i="37"/>
  <c r="F20" i="43"/>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J18" i="37"/>
  <c r="G33" i="37"/>
  <c r="N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<sst xmlns="http://schemas.openxmlformats.org/spreadsheetml/2006/main" count="10451" uniqueCount="1153">
  <si>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</si>
  <si>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</si>
  <si>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</si>
  <si>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</si>
  <si>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</si>
  <si>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</si>
  <si>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</si>
  <si>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</si>
  <si>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</si>
  <si>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</si>
  <si>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</si>
  <si>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</si>
  <si>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</si>
  <si>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</si>
  <si>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</si>
  <si>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</si>
  <si>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</si>
  <si>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</si>
  <si>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</si>
  <si>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</si>
  <si>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</si>
  <si>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</si>
  <si>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</si>
  <si>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</si>
  <si>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</si>
  <si>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</si>
  <si>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</si>
  <si>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</si>
  <si>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</si>
  <si>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</si>
  <si>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</si>
  <si>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</si>
  <si>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</si>
  <si>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</si>
  <si>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</si>
  <si>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</si>
  <si>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</si>
  <si>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</si>
  <si>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</si>
  <si>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</si>
  <si>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</si>
  <si>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</si>
  <si>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</si>
  <si>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</si>
  <si>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</si>
  <si>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</si>
  <si>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</si>
  <si>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</si>
  <si>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</si>
  <si>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</si>
  <si>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</si>
  <si>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</si>
  <si>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</si>
  <si>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</si>
  <si>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</si>
  <si>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</si>
  <si>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</si>
  <si>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</si>
  <si>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</si>
  <si>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</si>
  <si>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</si>
  <si>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</si>
  <si>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</si>
  <si>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</si>
  <si>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</si>
  <si>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</si>
  <si>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</si>
  <si>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</si>
  <si>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</si>
  <si>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</si>
  <si>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</si>
  <si>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</si>
  <si>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</si>
  <si>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</si>
  <si>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</si>
  <si>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</si>
  <si>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</si>
  <si>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</si>
  <si>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</si>
  <si>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</si>
  <si>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</si>
  <si>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</si>
  <si>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</si>
  <si>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</si>
  <si>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</si>
  <si>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</si>
  <si>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</si>
  <si>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</si>
  <si>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</si>
  <si>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</si>
  <si>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</si>
  <si>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</si>
  <si>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</si>
  <si>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</si>
  <si>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</si>
  <si>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</si>
  <si>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</si>
  <si>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</si>
  <si>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</si>
  <si>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</si>
  <si>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</si>
  <si>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</si>
  <si>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</si>
  <si>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</si>
  <si>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</si>
  <si>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</si>
  <si>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</si>
  <si>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</si>
  <si>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</si>
  <si>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</si>
  <si>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</si>
  <si>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</si>
  <si>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</si>
  <si>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</si>
  <si>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</si>
  <si>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</si>
  <si>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</si>
  <si>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</si>
  <si>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</si>
  <si>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</si>
  <si>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</si>
  <si>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</si>
  <si>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</si>
  <si>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</si>
  <si>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</si>
  <si>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</si>
  <si>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</si>
  <si>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</si>
  <si>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</si>
  <si>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</si>
  <si>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</si>
  <si>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</si>
  <si>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</si>
  <si>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</si>
  <si>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</si>
  <si>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</si>
  <si>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</si>
  <si>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</si>
  <si>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</si>
  <si>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</si>
  <si>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</si>
  <si>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</si>
  <si>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</si>
  <si>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</si>
  <si>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</si>
  <si>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</si>
  <si>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</si>
  <si>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</si>
  <si>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</si>
  <si>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</si>
  <si>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</si>
  <si>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</si>
  <si>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</si>
  <si>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</si>
  <si>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</si>
  <si>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</si>
  <si>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</si>
  <si>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</si>
  <si>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</si>
  <si>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</si>
  <si>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</si>
  <si>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</si>
  <si>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</si>
  <si>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</si>
  <si>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</si>
  <si>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</si>
  <si>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</si>
  <si>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</si>
  <si>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</si>
  <si>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</si>
  <si>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</si>
  <si>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</si>
  <si>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</si>
  <si>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</si>
  <si>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</si>
  <si>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</si>
  <si>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</si>
  <si>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</si>
  <si>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</si>
  <si>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</si>
  <si>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</si>
  <si>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</si>
  <si>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</si>
  <si>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</si>
  <si>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</si>
  <si>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</si>
  <si>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</si>
  <si>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</si>
  <si>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</si>
  <si>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</si>
  <si>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</si>
  <si>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</si>
  <si>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</si>
  <si>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</si>
  <si>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</si>
  <si>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</si>
  <si>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</si>
  <si>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</si>
  <si>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</si>
  <si>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</si>
  <si>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</si>
  <si>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</si>
  <si>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</si>
  <si>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</si>
  <si>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</si>
  <si>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</si>
  <si>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</si>
  <si>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</si>
  <si>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</si>
  <si>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</si>
  <si>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</si>
  <si>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</si>
  <si>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</si>
  <si>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</si>
  <si>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</si>
  <si>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</si>
  <si>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</si>
  <si>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</si>
  <si>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</si>
  <si>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</si>
  <si>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</si>
  <si>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</si>
  <si>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</si>
  <si>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</si>
  <si>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</si>
  <si>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</si>
  <si>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</si>
  <si>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</si>
  <si>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</si>
  <si>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</si>
  <si>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</si>
  <si>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</si>
  <si>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</si>
  <si>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</si>
  <si>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</si>
  <si>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</si>
  <si>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</si>
  <si>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</si>
  <si>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</si>
  <si>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</si>
  <si>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</si>
  <si>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</si>
  <si>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</si>
  <si>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</si>
  <si>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</si>
  <si>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</si>
  <si>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</si>
  <si>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</si>
  <si>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</si>
  <si>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</si>
  <si>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</si>
  <si>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</si>
  <si>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</si>
  <si>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</si>
  <si>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</si>
  <si>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</si>
  <si>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</si>
  <si>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</si>
  <si>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</si>
  <si>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</si>
  <si>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</si>
  <si>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</si>
  <si>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</si>
  <si>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</si>
  <si>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</si>
  <si>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</si>
  <si>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</si>
  <si>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</si>
  <si>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</si>
  <si>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</si>
  <si>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</si>
  <si>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</si>
  <si>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</si>
  <si>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</si>
  <si>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</si>
  <si>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</si>
  <si>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</si>
  <si>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</si>
  <si>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</si>
  <si>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</si>
  <si>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</si>
  <si>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</si>
  <si>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</si>
  <si>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</si>
  <si>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</si>
  <si>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</si>
  <si>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</si>
  <si>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</si>
  <si>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</si>
  <si>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</si>
  <si>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</si>
  <si>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</si>
  <si>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</si>
  <si>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</si>
  <si>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</si>
  <si>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</si>
  <si>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</si>
  <si>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</si>
  <si>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</si>
  <si>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</si>
  <si>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</si>
  <si>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</si>
  <si>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</si>
  <si>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</si>
  <si>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</si>
  <si>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</si>
  <si>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</si>
  <si>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</si>
  <si>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</si>
  <si>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</si>
  <si>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</si>
  <si>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</si>
  <si>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</si>
  <si>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</si>
  <si>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</si>
  <si>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</si>
  <si>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</si>
  <si>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</si>
  <si>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</si>
  <si>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</si>
  <si>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</si>
  <si>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</si>
  <si>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</si>
  <si>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</si>
  <si>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</si>
  <si>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</si>
  <si>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</si>
  <si>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</si>
  <si>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</si>
  <si>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</si>
  <si>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</si>
  <si>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</si>
  <si>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</si>
  <si>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</si>
  <si>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</si>
  <si>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</si>
  <si>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</si>
  <si>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</si>
  <si>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</si>
  <si>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</si>
  <si>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</si>
  <si>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</si>
  <si>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</si>
  <si>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</si>
  <si>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</si>
  <si>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</si>
  <si>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</si>
  <si>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</si>
  <si>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</si>
  <si>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</si>
  <si>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</si>
  <si>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</si>
  <si>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</si>
  <si>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</si>
  <si>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</si>
  <si>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</si>
  <si>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</si>
  <si>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</si>
  <si>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</si>
  <si>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</si>
  <si>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</si>
  <si>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</si>
  <si>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</si>
  <si>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</si>
  <si>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</si>
  <si>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</si>
  <si>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</si>
  <si>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</si>
  <si>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</si>
  <si>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</si>
  <si>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</si>
  <si>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</si>
  <si>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</si>
  <si>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</si>
  <si>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</si>
  <si>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</si>
  <si>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</si>
  <si>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</si>
  <si>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</si>
  <si>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</si>
  <si>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</si>
  <si>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</si>
  <si>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</si>
  <si>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</si>
  <si>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</si>
  <si>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</si>
  <si>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</si>
  <si>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</si>
  <si>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</si>
  <si>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</si>
  <si>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</si>
  <si>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</si>
  <si>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</si>
  <si>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</si>
  <si>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</si>
  <si>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</si>
  <si>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</si>
  <si>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</si>
  <si>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</si>
  <si>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</si>
  <si>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</si>
  <si>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</si>
  <si>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</si>
  <si>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</si>
  <si>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</si>
  <si>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</si>
  <si>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</si>
  <si>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</si>
  <si>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</si>
  <si>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</si>
  <si>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</si>
  <si>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</si>
  <si>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</si>
  <si>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</si>
  <si>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</si>
  <si>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</si>
  <si>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</si>
  <si>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</si>
  <si>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</si>
  <si>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</si>
  <si>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</si>
  <si>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</si>
  <si>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</si>
  <si>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</si>
  <si>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</si>
  <si>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</si>
  <si>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</si>
  <si>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</si>
  <si>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</si>
  <si>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</si>
  <si>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</si>
  <si>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</si>
  <si>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</si>
  <si>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</si>
  <si>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</si>
  <si>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</si>
  <si>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</si>
  <si>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</si>
  <si>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</si>
  <si>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</si>
  <si>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</si>
  <si>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</si>
  <si>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</si>
  <si>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</si>
  <si>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</si>
  <si>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</si>
  <si>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</si>
  <si>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</si>
  <si>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</si>
  <si>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</si>
  <si>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</si>
  <si>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</si>
  <si>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</si>
  <si>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</si>
  <si>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</si>
  <si>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</si>
  <si>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</si>
  <si>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</si>
  <si>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</si>
  <si>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</si>
  <si>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</si>
  <si>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</si>
  <si>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</si>
  <si>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</si>
  <si>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</si>
  <si>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</si>
  <si>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</si>
  <si>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</si>
  <si>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</si>
  <si>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</si>
  <si>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</si>
  <si>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</si>
  <si>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</si>
  <si>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</si>
  <si>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</si>
  <si>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</si>
  <si>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</si>
  <si>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</si>
  <si>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</si>
  <si>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</si>
  <si>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</si>
  <si>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</si>
  <si>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</si>
  <si>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</si>
  <si>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</si>
  <si>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</si>
  <si>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</si>
  <si>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</si>
  <si>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</si>
  <si>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</si>
  <si>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</si>
  <si>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</si>
  <si>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</si>
  <si>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</si>
  <si>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</si>
  <si>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</si>
  <si>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</si>
  <si>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</si>
  <si>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</si>
  <si>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</si>
  <si>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</si>
  <si>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</si>
  <si>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</si>
  <si>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</si>
  <si>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</si>
  <si>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</si>
  <si>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</si>
  <si>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</si>
  <si>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</si>
  <si>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</si>
  <si>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</si>
  <si>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</si>
  <si>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</si>
  <si>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</si>
  <si>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</si>
  <si>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</si>
  <si>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</si>
  <si>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</si>
  <si>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</si>
  <si>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</si>
  <si>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</si>
  <si>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</si>
  <si>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</si>
  <si>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</si>
  <si>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</si>
  <si>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</si>
  <si>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</si>
  <si>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</si>
  <si>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</si>
  <si>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</si>
  <si>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</si>
  <si>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</si>
  <si>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</si>
  <si>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</si>
  <si>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</si>
  <si>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</si>
  <si>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</si>
  <si>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</si>
  <si>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</si>
  <si>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</si>
  <si>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</si>
  <si>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</si>
  <si>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</si>
  <si>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</si>
  <si>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</si>
  <si>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</si>
  <si>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</si>
  <si>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</si>
  <si>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</si>
  <si>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</si>
  <si>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</si>
  <si>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</si>
  <si>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</si>
  <si>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</si>
  <si>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</si>
  <si>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</si>
  <si>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</si>
  <si>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</si>
  <si>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</si>
  <si>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</si>
  <si>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</si>
  <si>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</si>
  <si>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</si>
  <si>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</si>
  <si>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</si>
  <si>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</si>
  <si>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</si>
  <si>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</si>
  <si>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</si>
  <si>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</si>
  <si>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</si>
  <si>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</si>
  <si>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</si>
  <si>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</si>
  <si>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</si>
  <si>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</si>
  <si>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</si>
  <si>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</si>
  <si>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</si>
  <si>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</si>
  <si>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</si>
  <si>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</si>
  <si>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</si>
  <si>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</si>
  <si>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</si>
  <si>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</si>
  <si>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</si>
  <si>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</si>
  <si>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</si>
  <si>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</si>
  <si>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</si>
  <si>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</si>
  <si>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</si>
  <si>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</si>
  <si>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</si>
  <si>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</si>
  <si>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</si>
  <si>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</si>
  <si>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</si>
  <si>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</si>
  <si>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</si>
  <si>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</si>
  <si>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</si>
  <si>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</si>
  <si>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</si>
  <si>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</si>
  <si>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</si>
  <si>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</si>
  <si>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</si>
  <si>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</si>
  <si>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</si>
  <si>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</si>
  <si>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</si>
  <si>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</si>
  <si>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</si>
  <si>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</si>
  <si>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</si>
  <si>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</si>
  <si>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</si>
  <si>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</si>
  <si>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</si>
  <si>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</si>
  <si>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</si>
  <si>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</si>
  <si>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</si>
  <si>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</si>
  <si>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</si>
  <si>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</si>
  <si>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</si>
  <si>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</si>
  <si>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</si>
  <si>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</si>
  <si>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</si>
  <si>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</si>
  <si>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</si>
  <si>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</si>
  <si>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</si>
  <si>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</si>
  <si>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</si>
  <si>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</si>
  <si>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</si>
  <si>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</si>
  <si>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</si>
  <si>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</si>
  <si>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</si>
  <si>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</si>
  <si>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</si>
  <si>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</si>
  <si>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</si>
  <si>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</si>
  <si>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</si>
  <si>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</si>
  <si>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</si>
  <si>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</si>
  <si>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</si>
  <si>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</si>
  <si>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</si>
  <si>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</si>
  <si>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</si>
  <si>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</si>
  <si>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</si>
  <si>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</si>
  <si>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</si>
  <si>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</si>
  <si>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</si>
  <si>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</si>
  <si>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</si>
  <si>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</si>
  <si>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</si>
  <si>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</si>
  <si>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</si>
  <si>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</si>
  <si>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</si>
  <si>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</si>
  <si>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</si>
  <si>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</si>
  <si>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</si>
  <si>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</si>
  <si>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</si>
  <si>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</si>
  <si>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</si>
  <si>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</si>
  <si>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</si>
  <si>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</si>
  <si>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</si>
  <si>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</si>
  <si>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</si>
  <si>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</si>
  <si>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</si>
  <si>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</si>
  <si>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</si>
  <si>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</si>
  <si>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</si>
  <si>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</si>
  <si>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</si>
  <si>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</si>
  <si>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</si>
  <si>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</si>
  <si>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</si>
  <si>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</si>
  <si>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</si>
  <si>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</si>
  <si>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</si>
  <si>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</si>
  <si>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</si>
  <si>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</si>
  <si>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</si>
  <si>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</si>
  <si>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</si>
  <si>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</si>
  <si>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</si>
  <si>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</si>
  <si>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</si>
  <si>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</si>
  <si>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</si>
  <si>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</si>
  <si>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</si>
  <si>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</si>
  <si>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</si>
  <si>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</si>
  <si>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</si>
  <si>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</si>
  <si>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</si>
  <si>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</si>
  <si>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</si>
  <si>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</si>
  <si>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</si>
  <si>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</si>
  <si>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</si>
  <si>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</si>
  <si>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</si>
  <si>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</si>
  <si>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</si>
  <si>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</si>
  <si>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</si>
  <si>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</si>
  <si>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</si>
  <si>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</si>
  <si>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</si>
  <si>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</si>
  <si>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</si>
  <si>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</si>
  <si>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</si>
  <si>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</si>
  <si>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</si>
  <si>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</si>
  <si>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</si>
  <si>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</si>
  <si>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</si>
  <si>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</si>
  <si>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</si>
  <si>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</si>
  <si>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</si>
  <si>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</si>
  <si>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</si>
  <si>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</si>
  <si>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</si>
  <si>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</si>
  <si>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</si>
  <si>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</si>
  <si>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</si>
  <si>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</si>
  <si>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</si>
  <si>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</si>
  <si>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</si>
  <si>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</si>
  <si>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</si>
  <si>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</si>
  <si>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</si>
  <si>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</si>
  <si>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</si>
  <si>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</si>
  <si>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</si>
  <si>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</si>
  <si>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</si>
  <si>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</si>
  <si>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</si>
  <si>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</si>
  <si>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</si>
  <si>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</si>
  <si>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</si>
  <si>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</si>
  <si>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</si>
  <si>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</si>
  <si>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</si>
  <si>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</si>
  <si>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</si>
  <si>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</si>
  <si>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</si>
  <si>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</si>
  <si>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</si>
  <si>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</si>
  <si>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</si>
  <si>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</si>
  <si>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</si>
  <si>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</si>
  <si>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</si>
  <si>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</si>
  <si>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</si>
  <si>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</si>
  <si>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</si>
  <si>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</si>
  <si>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</si>
  <si>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</si>
  <si>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</si>
  <si>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</si>
  <si>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</si>
  <si>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</si>
  <si>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</si>
  <si>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</si>
  <si>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</si>
  <si>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</si>
  <si>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</si>
  <si>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</si>
  <si>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</si>
  <si>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</si>
  <si>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</si>
  <si>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</si>
  <si>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</si>
  <si>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</si>
  <si>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</si>
  <si>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</si>
  <si>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</si>
  <si>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</si>
  <si>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</si>
  <si>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</si>
  <si>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</si>
  <si>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</si>
  <si>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</si>
  <si>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</si>
  <si>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</si>
  <si>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</si>
  <si>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</si>
  <si>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</si>
  <si>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</si>
  <si>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</si>
  <si>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</si>
  <si>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</si>
  <si>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</si>
  <si>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</si>
  <si>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</si>
  <si>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</si>
  <si>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</si>
  <si>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</si>
  <si>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</si>
  <si>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</si>
  <si>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</si>
  <si>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</si>
  <si>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</si>
  <si>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</si>
  <si>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</si>
  <si>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</si>
  <si>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</si>
  <si>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</si>
  <si>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</si>
  <si>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</si>
  <si>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</si>
  <si>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</si>
  <si>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</si>
  <si>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</si>
  <si>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</si>
  <si>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</si>
  <si>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</si>
  <si>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</si>
  <si>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</si>
  <si>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</si>
  <si>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</si>
  <si>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</si>
  <si>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</si>
  <si>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</si>
  <si>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</si>
  <si>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</si>
  <si>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</si>
  <si>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</si>
  <si>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</si>
  <si>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</si>
  <si>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</si>
  <si>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</si>
  <si>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</si>
  <si>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</si>
  <si>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</si>
  <si>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</si>
  <si>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</si>
  <si>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</si>
  <si>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</si>
  <si>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</si>
  <si>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</si>
  <si>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</si>
  <si>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</si>
  <si>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</si>
  <si>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</si>
  <si>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</si>
  <si>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</si>
  <si>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</si>
  <si>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</si>
  <si>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</si>
  <si>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</si>
  <si>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</si>
  <si>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</si>
  <si>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</si>
  <si>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</si>
  <si>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</si>
  <si>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</si>
  <si>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</si>
  <si>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</si>
  <si>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</si>
  <si>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</si>
  <si>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</si>
  <si>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</si>
  <si>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</si>
  <si>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</si>
  <si>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</si>
  <si>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</si>
  <si>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</si>
  <si>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</si>
  <si>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</si>
  <si>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</si>
  <si>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</si>
  <si>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</si>
  <si>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</si>
  <si>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</si>
  <si>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</si>
  <si>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</si>
  <si>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</si>
  <si>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</si>
  <si>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</si>
  <si>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</si>
  <si>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</si>
  <si>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</si>
  <si>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</si>
  <si>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</si>
  <si>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</si>
  <si>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</si>
  <si>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</si>
  <si>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</si>
  <si>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</si>
  <si>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</si>
  <si>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</si>
  <si>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</si>
  <si>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</si>
  <si>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</si>
  <si>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</si>
  <si>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</si>
  <si>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</si>
  <si>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</si>
  <si>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</si>
  <si>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</si>
  <si>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</si>
  <si>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</si>
  <si>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</si>
  <si>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</si>
  <si>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</si>
  <si>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</si>
  <si>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</si>
  <si>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</si>
  <si>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</si>
  <si>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</si>
  <si>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</si>
  <si>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</si>
  <si>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</si>
  <si>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</si>
  <si>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</si>
  <si>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</si>
  <si>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</si>
  <si>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</si>
  <si>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</si>
  <si>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</si>
  <si>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</si>
  <si>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</si>
  <si>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</si>
  <si>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</si>
  <si>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</si>
  <si>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</si>
  <si>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</si>
  <si>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</si>
  <si>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</si>
  <si>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</si>
  <si>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</si>
  <si>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</si>
  <si>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</si>
  <si>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</si>
  <si>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</si>
  <si>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</si>
  <si>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</si>
  <si>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</si>
  <si>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</si>
  <si>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</si>
  <si>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</si>
  <si>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</si>
  <si>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</si>
  <si>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</si>
  <si>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</si>
  <si>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</si>
  <si>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</si>
  <si>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</si>
  <si>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</si>
  <si>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</si>
  <si>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</si>
  <si>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</si>
  <si>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</si>
  <si>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</si>
  <si>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</si>
  <si>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</si>
  <si>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</si>
  <si>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</si>
  <si>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</si>
  <si>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</si>
  <si>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</si>
  <si>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</si>
  <si>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</si>
  <si>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</si>
  <si>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</si>
  <si>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</si>
  <si>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</si>
  <si>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</si>
  <si>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</si>
  <si>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</si>
  <si>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</si>
  <si>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</si>
  <si>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</si>
  <si>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</si>
  <si>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</si>
  <si>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</si>
  <si>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</si>
  <si>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</si>
  <si>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</si>
  <si>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</si>
  <si>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</si>
  <si>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</si>
  <si>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</si>
  <si>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</si>
  <si>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</si>
  <si>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</si>
  <si>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</si>
  <si>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</si>
  <si>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</si>
  <si>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</si>
  <si>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</si>
  <si>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</si>
  <si>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</si>
  <si>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</si>
  <si>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</si>
  <si>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</si>
  <si>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</si>
  <si>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</si>
  <si>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</si>
  <si>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</si>
  <si>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</si>
  <si>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</si>
  <si>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</si>
  <si>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</si>
  <si>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</si>
  <si>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</si>
  <si>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</si>
  <si>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</si>
  <si>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</si>
  <si>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</si>
  <si>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</si>
  <si>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</si>
  <si>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</si>
  <si>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</si>
  <si>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</si>
  <si>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</si>
  <si>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</si>
  <si>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</si>
  <si>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</si>
  <si>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</si>
  <si>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</si>
  <si>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</si>
  <si>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</si>
  <si>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</si>
  <si>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</si>
  <si>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</si>
  <si>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</si>
  <si>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</si>
  <si>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</si>
  <si>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</si>
  <si>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</si>
  <si>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</si>
  <si>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</si>
  <si>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</si>
  <si>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</si>
  <si>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</si>
  <si>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</si>
  <si>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</si>
  <si>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</si>
  <si>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</si>
  <si>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</si>
  <si>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</si>
  <si>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</si>
  <si>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</si>
  <si>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</si>
  <si>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</si>
  <si>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</si>
  <si>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</si>
  <si>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</si>
  <si>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</si>
  <si>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</si>
  <si>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</si>
  <si>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</si>
  <si>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</si>
  <si>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</si>
  <si>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</si>
  <si>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</si>
  <si>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</si>
  <si>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</si>
  <si>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</si>
  <si>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</si>
  <si>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</si>
  <si>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</si>
  <si>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</si>
  <si>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</si>
  <si>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</si>
  <si>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</si>
  <si>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</si>
  <si>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</si>
  <si>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</si>
  <si>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</si>
  <si>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</si>
  <si>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</si>
  <si>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</si>
  <si>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</si>
  <si>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</si>
  <si>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</si>
  <si>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</si>
  <si>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</si>
  <si>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</si>
  <si>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</si>
  <si>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</si>
  <si>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</si>
  <si>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</si>
  <si>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CCCM Monthly monitoring tool (Janury 2017)</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</si>
  <si>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</si>
  <si>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</si>
  <si>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</si>
  <si>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</si>
  <si>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</si>
  <si>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</si>
  <si>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</si>
  <si>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</si>
  <si>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</si>
  <si>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Sophie Everest, CCCM Project Coordinator,
sophie.everest@drcmm.org,</t>
  </si>
  <si>
    <t xml:space="preserve">Sanitary Kit </t>
  </si>
  <si>
    <t>UNIQLO</t>
  </si>
  <si>
    <t># of NFI distributed HH(s) in 12 months by Organizations</t>
  </si>
  <si>
    <t xml:space="preserve">Kyaukpyu </t>
  </si>
  <si>
    <t>Increased 5 IDPs by CCCM Site Profile-March,2017</t>
  </si>
  <si>
    <t>Decreased 29 HH and -64 IDPs by CCCM Site Profile-March,2017</t>
  </si>
  <si>
    <t>Increased 30 IDPs by CCCM Site Profile-March,2017</t>
  </si>
  <si>
    <t>Increased 17 IDPs by CCCM Site Profile-March,2017</t>
  </si>
  <si>
    <t>Source by CCCM Site Profile-March,2017</t>
  </si>
  <si>
    <t>0-5</t>
  </si>
  <si>
    <t>0-5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</si>
</sst>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b/>
      <i/>
      <sz val="14"/>
      <color theme="1"/>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ck">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1" fillId="47" borderId="0" applyNumberFormat="0" applyBorder="0" applyAlignment="0" applyProtection="0"/>
  </cellStyleXfs>
  <cellXfs count="1125">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81" fillId="20" borderId="0" xfId="0" applyNumberFormat="1" applyFont="1" applyFill="1" applyBorder="1" applyAlignment="1">
      <alignment horizontal="left" vertical="center"/>
    </xf>
    <xf numFmtId="0" fontId="81"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1"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1" fillId="47" borderId="3" xfId="20" applyBorder="1" applyAlignment="1">
      <alignment horizontal="left"/>
    </xf>
    <xf numFmtId="165" fontId="81" fillId="47" borderId="1" xfId="20" applyNumberFormat="1" applyBorder="1"/>
    <xf numFmtId="165" fontId="81"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2" xfId="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0"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0"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3" fillId="0" borderId="1" xfId="0" applyFont="1" applyBorder="1"/>
    <xf numFmtId="165" fontId="83" fillId="0" borderId="1" xfId="7" applyNumberFormat="1" applyFont="1" applyBorder="1"/>
    <xf numFmtId="49" fontId="83" fillId="35" borderId="3" xfId="0" applyNumberFormat="1" applyFont="1" applyFill="1" applyBorder="1"/>
    <xf numFmtId="49" fontId="84" fillId="0" borderId="1" xfId="0" applyNumberFormat="1" applyFont="1" applyBorder="1"/>
    <xf numFmtId="49" fontId="83" fillId="0" borderId="1" xfId="0" applyNumberFormat="1" applyFont="1" applyBorder="1"/>
    <xf numFmtId="49" fontId="85" fillId="39" borderId="1" xfId="0" applyNumberFormat="1" applyFont="1" applyFill="1" applyBorder="1" applyAlignment="1">
      <alignment vertical="center" wrapText="1"/>
    </xf>
    <xf numFmtId="17" fontId="85" fillId="39" borderId="1" xfId="0" applyNumberFormat="1" applyFont="1" applyFill="1" applyBorder="1" applyAlignment="1">
      <alignment vertical="center" wrapText="1"/>
    </xf>
    <xf numFmtId="49" fontId="85" fillId="0" borderId="1" xfId="0" applyNumberFormat="1" applyFont="1" applyFill="1" applyBorder="1" applyAlignment="1">
      <alignment vertical="center" wrapText="1"/>
    </xf>
    <xf numFmtId="49" fontId="83" fillId="35" borderId="27" xfId="0" applyNumberFormat="1" applyFont="1" applyFill="1" applyBorder="1"/>
    <xf numFmtId="49" fontId="84" fillId="0" borderId="5" xfId="0" applyNumberFormat="1" applyFont="1" applyBorder="1"/>
    <xf numFmtId="49" fontId="83" fillId="0" borderId="5" xfId="0" applyNumberFormat="1" applyFont="1" applyBorder="1"/>
    <xf numFmtId="49" fontId="85" fillId="39" borderId="5" xfId="0" applyNumberFormat="1" applyFont="1" applyFill="1" applyBorder="1" applyAlignment="1">
      <alignment vertical="center" wrapText="1"/>
    </xf>
    <xf numFmtId="49" fontId="85" fillId="0" borderId="5" xfId="0" applyNumberFormat="1" applyFont="1" applyFill="1" applyBorder="1" applyAlignment="1">
      <alignment vertical="center" wrapText="1"/>
    </xf>
    <xf numFmtId="165" fontId="83" fillId="0" borderId="5" xfId="7" applyNumberFormat="1" applyFont="1" applyBorder="1"/>
    <xf numFmtId="0" fontId="83" fillId="0" borderId="5" xfId="0" applyFont="1" applyBorder="1"/>
    <xf numFmtId="0" fontId="4" fillId="0" borderId="0" xfId="0" applyFont="1" applyFill="1"/>
    <xf numFmtId="170" fontId="60" fillId="50" borderId="2" xfId="0" applyNumberFormat="1" applyFont="1" applyFill="1" applyBorder="1"/>
    <xf numFmtId="170" fontId="4" fillId="50" borderId="2" xfId="0" applyNumberFormat="1" applyFont="1" applyFill="1" applyBorder="1"/>
    <xf numFmtId="170" fontId="69" fillId="50" borderId="2" xfId="0" applyNumberFormat="1" applyFont="1" applyFill="1" applyBorder="1"/>
    <xf numFmtId="170" fontId="84" fillId="50" borderId="2" xfId="0" applyNumberFormat="1" applyFont="1" applyFill="1" applyBorder="1"/>
    <xf numFmtId="0" fontId="81" fillId="0" borderId="34" xfId="0" applyFont="1" applyFill="1" applyBorder="1" applyAlignment="1">
      <alignment horizontal="right"/>
    </xf>
    <xf numFmtId="0" fontId="81"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2"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1" fillId="2" borderId="0" xfId="8" applyNumberFormat="1" applyFont="1" applyFill="1" applyBorder="1" applyAlignment="1">
      <alignment vertical="center"/>
    </xf>
    <xf numFmtId="165" fontId="82"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6" xfId="7" quotePrefix="1" applyNumberFormat="1" applyFont="1" applyBorder="1"/>
    <xf numFmtId="0" fontId="40" fillId="0" borderId="39" xfId="0" applyFont="1" applyBorder="1"/>
    <xf numFmtId="165" fontId="3" fillId="0" borderId="11" xfId="0" applyNumberFormat="1" applyFont="1" applyBorder="1"/>
    <xf numFmtId="165" fontId="81" fillId="52" borderId="1" xfId="0" applyNumberFormat="1" applyFont="1" applyFill="1" applyBorder="1"/>
    <xf numFmtId="0" fontId="59" fillId="11" borderId="0" xfId="0" applyFont="1" applyFill="1" applyBorder="1" applyAlignment="1"/>
    <xf numFmtId="0" fontId="0" fillId="0" borderId="0" xfId="0" applyAlignment="1">
      <alignment vertical="center" wrapText="1"/>
    </xf>
    <xf numFmtId="165" fontId="4" fillId="2" borderId="1" xfId="7" applyNumberFormat="1" applyFont="1" applyFill="1" applyBorder="1"/>
    <xf numFmtId="165" fontId="66" fillId="0" borderId="1" xfId="7" applyNumberFormat="1" applyFont="1" applyFill="1" applyBorder="1"/>
    <xf numFmtId="15" fontId="0" fillId="0" borderId="1" xfId="0" applyNumberFormat="1" applyFill="1" applyBorder="1" applyAlignment="1"/>
    <xf numFmtId="0" fontId="0" fillId="26" borderId="11" xfId="0" applyFill="1" applyBorder="1" applyAlignment="1">
      <alignment horizontal="center" textRotation="90" wrapText="1"/>
    </xf>
    <xf numFmtId="0" fontId="0" fillId="26" borderId="1" xfId="0" applyNumberFormat="1" applyFill="1" applyBorder="1" applyAlignment="1">
      <alignment horizontal="right" vertical="top"/>
    </xf>
    <xf numFmtId="0" fontId="0" fillId="26" borderId="1" xfId="0" applyNumberFormat="1" applyFill="1" applyBorder="1" applyAlignment="1">
      <alignment horizontal="left" vertical="top" wrapText="1"/>
    </xf>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0" fillId="0" borderId="31" xfId="0" applyBorder="1" applyAlignment="1">
      <alignment horizontal="center" vertical="center" wrapText="1"/>
    </xf>
    <xf numFmtId="0" fontId="81" fillId="16" borderId="0" xfId="0" applyNumberFormat="1" applyFont="1" applyFill="1"/>
    <xf numFmtId="165" fontId="81" fillId="16" borderId="0" xfId="0" applyNumberFormat="1" applyFont="1" applyFill="1"/>
    <xf numFmtId="0" fontId="81" fillId="0" borderId="0" xfId="0" applyNumberFormat="1" applyFont="1" applyFill="1"/>
    <xf numFmtId="165" fontId="81" fillId="0" borderId="0" xfId="0" applyNumberFormat="1" applyFont="1" applyFill="1"/>
    <xf numFmtId="165" fontId="0" fillId="0" borderId="0" xfId="0" applyNumberFormat="1" applyFill="1" applyBorder="1"/>
    <xf numFmtId="0" fontId="0" fillId="0" borderId="27" xfId="0" applyBorder="1" applyAlignment="1">
      <alignment horizontal="left" indent="1"/>
    </xf>
    <xf numFmtId="165" fontId="0" fillId="0" borderId="5" xfId="0" applyNumberFormat="1" applyBorder="1"/>
    <xf numFmtId="165" fontId="0" fillId="0" borderId="20" xfId="0" applyNumberFormat="1" applyBorder="1"/>
    <xf numFmtId="165" fontId="81" fillId="47" borderId="5" xfId="20" applyNumberFormat="1" applyBorder="1"/>
    <xf numFmtId="165" fontId="3" fillId="35" borderId="5" xfId="0" applyNumberFormat="1" applyFont="1" applyFill="1" applyBorder="1"/>
    <xf numFmtId="0" fontId="81" fillId="47" borderId="27" xfId="20" applyBorder="1" applyAlignment="1">
      <alignment vertical="top"/>
    </xf>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6" borderId="1" xfId="5" quotePrefix="1" applyNumberFormat="1" applyFill="1" applyBorder="1" applyAlignment="1">
      <alignment horizontal="right"/>
    </xf>
    <xf numFmtId="0" fontId="1" fillId="26" borderId="1" xfId="5" quotePrefix="1" applyFill="1" applyBorder="1" applyAlignment="1">
      <alignment horizontal="right"/>
    </xf>
    <xf numFmtId="0" fontId="1" fillId="26" borderId="1" xfId="5" applyNumberFormat="1" applyFill="1" applyBorder="1" applyAlignment="1">
      <alignment horizontal="right"/>
    </xf>
    <xf numFmtId="0" fontId="1" fillId="26"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6" xfId="0" applyNumberFormat="1" applyBorder="1"/>
    <xf numFmtId="165" fontId="2" fillId="0" borderId="16" xfId="7" applyNumberFormat="1" applyFont="1" applyFill="1" applyBorder="1"/>
    <xf numFmtId="1" fontId="0" fillId="51" borderId="1" xfId="0" applyNumberFormat="1" applyFill="1" applyBorder="1"/>
    <xf numFmtId="1" fontId="0" fillId="51" borderId="2" xfId="0" applyNumberFormat="1" applyFill="1" applyBorder="1"/>
    <xf numFmtId="165" fontId="3" fillId="0" borderId="0" xfId="0" applyNumberFormat="1" applyFont="1" applyBorder="1"/>
    <xf numFmtId="0" fontId="3" fillId="49" borderId="5" xfId="0" applyFont="1" applyFill="1" applyBorder="1"/>
    <xf numFmtId="1" fontId="3" fillId="49" borderId="5" xfId="0" applyNumberFormat="1" applyFont="1" applyFill="1" applyBorder="1"/>
    <xf numFmtId="15" fontId="0" fillId="0" borderId="1" xfId="0" applyNumberFormat="1" applyFill="1" applyBorder="1" applyAlignment="1"/>
    <xf numFmtId="0" fontId="0" fillId="0" borderId="0" xfId="0" applyFill="1" applyAlignment="1">
      <alignment textRotation="90"/>
    </xf>
    <xf numFmtId="0" fontId="3" fillId="0" borderId="3" xfId="0" applyFont="1" applyBorder="1"/>
    <xf numFmtId="0" fontId="0" fillId="2" borderId="0" xfId="0" applyFill="1" applyBorder="1" applyAlignment="1">
      <alignment horizontal="right"/>
    </xf>
    <xf numFmtId="164" fontId="0" fillId="0" borderId="0" xfId="0" applyNumberFormat="1"/>
    <xf numFmtId="164" fontId="0" fillId="0" borderId="1" xfId="0" applyNumberFormat="1" applyBorder="1"/>
    <xf numFmtId="0" fontId="0" fillId="0" borderId="33" xfId="0" applyBorder="1" applyAlignment="1">
      <alignment horizontal="center" vertical="center" wrapText="1"/>
    </xf>
    <xf numFmtId="0" fontId="0" fillId="0" borderId="36" xfId="0" applyBorder="1" applyAlignment="1">
      <alignment horizontal="center" vertical="center" wrapText="1"/>
    </xf>
    <xf numFmtId="0" fontId="0" fillId="0" borderId="0"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0" fillId="0" borderId="33" xfId="0" applyBorder="1" applyAlignment="1">
      <alignment horizontal="center" vertical="center" wrapText="1"/>
    </xf>
    <xf numFmtId="0" fontId="0" fillId="0" borderId="36" xfId="0" applyBorder="1" applyAlignment="1">
      <alignment horizontal="left"/>
    </xf>
    <xf numFmtId="0" fontId="0" fillId="0" borderId="36" xfId="0" applyBorder="1" applyAlignment="1">
      <alignment horizontal="center" vertical="center" wrapText="1"/>
    </xf>
    <xf numFmtId="0" fontId="0" fillId="0" borderId="49" xfId="0"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0" fontId="4" fillId="40" borderId="30" xfId="0" applyFont="1" applyFill="1" applyBorder="1" applyAlignment="1">
      <alignment horizontal="left"/>
    </xf>
    <xf numFmtId="0" fontId="4" fillId="40" borderId="31" xfId="0" applyFont="1" applyFill="1" applyBorder="1" applyAlignment="1">
      <alignment horizontal="left"/>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29"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86" fillId="41" borderId="13" xfId="0" applyFont="1" applyFill="1" applyBorder="1" applyAlignment="1">
      <alignment horizontal="center" vertical="center"/>
    </xf>
    <xf numFmtId="0" fontId="86" fillId="41" borderId="14" xfId="0" applyFont="1" applyFill="1" applyBorder="1" applyAlignment="1">
      <alignment horizontal="center" vertical="center"/>
    </xf>
    <xf numFmtId="0" fontId="86" fillId="41" borderId="15" xfId="0" applyFont="1" applyFill="1" applyBorder="1" applyAlignment="1">
      <alignment horizontal="center" vertical="center"/>
    </xf>
    <xf numFmtId="0" fontId="86" fillId="41" borderId="46" xfId="0" applyFont="1" applyFill="1" applyBorder="1" applyAlignment="1">
      <alignment horizontal="center" vertical="center"/>
    </xf>
    <xf numFmtId="0" fontId="86" fillId="41" borderId="47" xfId="0" applyFont="1" applyFill="1" applyBorder="1" applyAlignment="1">
      <alignment horizontal="center" vertical="center"/>
    </xf>
    <xf numFmtId="0" fontId="86" fillId="41" borderId="48"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xf numFmtId="0" fontId="6" fillId="41" borderId="4" xfId="0" applyFont="1" applyFill="1" applyBorder="1" applyAlignment="1">
      <alignment horizontal="center" vertical="center"/>
    </xf>
    <xf numFmtId="0" fontId="6" fillId="41" borderId="0" xfId="0" applyFont="1" applyFill="1" applyBorder="1" applyAlignment="1">
      <alignment horizontal="center" vertical="center"/>
    </xf>
    <xf numFmtId="0" fontId="6" fillId="41" borderId="16" xfId="0" applyFont="1" applyFill="1" applyBorder="1" applyAlignment="1">
      <alignment horizontal="center"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54">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top style="thin">
          <color indexed="64"/>
        </top>
      </border>
    </dxf>
    <dxf>
      <border>
        <top style="thin">
          <color indexed="64"/>
        </top>
      </border>
    </dxf>
    <dxf>
      <border>
        <right style="thin">
          <color indexed="64"/>
        </right>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rder>
    </dxf>
    <dxf>
      <border>
        <bottom style="thin">
          <color indexed="64"/>
        </bottom>
      </border>
    </dxf>
    <dxf>
      <border>
        <bottom style="thin">
          <color indexed="64"/>
        </bottom>
      </border>
    </dxf>
    <dxf>
      <border>
        <left style="thin">
          <color indexed="64"/>
        </left>
      </border>
    </dxf>
    <dxf>
      <border>
        <right style="thin">
          <color indexed="64"/>
        </right>
        <vertical style="thin">
          <color indexed="64"/>
        </vertical>
      </border>
    </dxf>
    <dxf>
      <border>
        <right style="thin">
          <color indexed="64"/>
        </right>
      </border>
    </dxf>
    <dxf>
      <border>
        <right style="thin">
          <color indexed="64"/>
        </right>
      </border>
    </dxf>
    <dxf>
      <border>
        <bottom style="thin">
          <color indexed="64"/>
        </bottom>
      </border>
    </dxf>
    <dxf>
      <border>
        <top style="thin">
          <color indexed="64"/>
        </top>
      </border>
    </dxf>
    <dxf>
      <border>
        <bottom style="thin">
          <color indexed="64"/>
        </bottom>
      </border>
    </dxf>
    <dxf>
      <border>
        <right style="thin">
          <color indexed="64"/>
        </right>
        <bottom style="thin">
          <color indexed="64"/>
        </bottom>
      </border>
    </dxf>
    <dxf>
      <border>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0" formatCode="General"/>
      <fill>
        <patternFill patternType="solid">
          <fgColor indexed="64"/>
          <bgColor theme="4"/>
        </patternFill>
      </fil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right style="thin">
          <color indexed="64"/>
        </right>
        <top style="thin">
          <color indexed="64"/>
        </top>
        <bottom/>
      </border>
    </dxf>
    <dxf>
      <border outline="0">
        <top style="thin">
          <color indexed="64"/>
        </top>
      </border>
    </dxf>
    <dxf>
      <font>
        <b/>
      </font>
      <fill>
        <patternFill patternType="solid">
          <fgColor indexed="64"/>
          <bgColor theme="4" tint="0.7999816888943144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53"/>
      <tableStyleElement type="firstColumnStripe" dxfId="1552"/>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March2017.xlsx]Camp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357693376"/>
        <c:axId val="357693768"/>
      </c:barChart>
      <c:catAx>
        <c:axId val="357693376"/>
        <c:scaling>
          <c:orientation val="minMax"/>
        </c:scaling>
        <c:delete val="1"/>
        <c:axPos val="r"/>
        <c:numFmt formatCode="General" sourceLinked="0"/>
        <c:majorTickMark val="none"/>
        <c:minorTickMark val="none"/>
        <c:tickLblPos val="nextTo"/>
        <c:crossAx val="357693768"/>
        <c:crosses val="autoZero"/>
        <c:auto val="1"/>
        <c:lblAlgn val="ctr"/>
        <c:lblOffset val="100"/>
        <c:noMultiLvlLbl val="0"/>
      </c:catAx>
      <c:valAx>
        <c:axId val="357693768"/>
        <c:scaling>
          <c:orientation val="maxMin"/>
        </c:scaling>
        <c:delete val="0"/>
        <c:axPos val="b"/>
        <c:majorGridlines/>
        <c:numFmt formatCode="General" sourceLinked="1"/>
        <c:majorTickMark val="none"/>
        <c:minorTickMark val="none"/>
        <c:tickLblPos val="nextTo"/>
        <c:spPr>
          <a:ln w="9525">
            <a:noFill/>
          </a:ln>
        </c:spPr>
        <c:crossAx val="357693376"/>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2679</c:v>
                </c:pt>
                <c:pt idx="3">
                  <c:v>15985</c:v>
                </c:pt>
                <c:pt idx="4">
                  <c:v>187</c:v>
                </c:pt>
                <c:pt idx="5">
                  <c:v>2258</c:v>
                </c:pt>
                <c:pt idx="6">
                  <c:v>76834</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150"/>
        <c:overlap val="100"/>
        <c:axId val="363153536"/>
        <c:axId val="364487944"/>
      </c:barChart>
      <c:catAx>
        <c:axId val="363153536"/>
        <c:scaling>
          <c:orientation val="minMax"/>
        </c:scaling>
        <c:delete val="0"/>
        <c:axPos val="l"/>
        <c:numFmt formatCode="General" sourceLinked="0"/>
        <c:majorTickMark val="out"/>
        <c:minorTickMark val="none"/>
        <c:tickLblPos val="nextTo"/>
        <c:crossAx val="364487944"/>
        <c:crosses val="autoZero"/>
        <c:auto val="1"/>
        <c:lblAlgn val="ctr"/>
        <c:lblOffset val="100"/>
        <c:noMultiLvlLbl val="0"/>
      </c:catAx>
      <c:valAx>
        <c:axId val="364487944"/>
        <c:scaling>
          <c:orientation val="minMax"/>
        </c:scaling>
        <c:delete val="0"/>
        <c:axPos val="b"/>
        <c:majorGridlines/>
        <c:numFmt formatCode="General" sourceLinked="1"/>
        <c:majorTickMark val="out"/>
        <c:minorTickMark val="none"/>
        <c:tickLblPos val="nextTo"/>
        <c:crossAx val="3631535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tx2">
              <a:lumMod val="60000"/>
              <a:lumOff val="40000"/>
            </a:schemeClr>
          </a:solidFill>
        </c:spPr>
        <c:marker>
          <c:symbol val="none"/>
        </c:marker>
        <c:dLbl>
          <c:idx val="0"/>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9951EEF8-B9B9-4B40-B5A9-EFDFCB1EBE1A}"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698671BC-5F97-4FE0-9FC9-7A79D168EE33}"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16CD3780-992E-41F4-AFAE-615B2F41FE44}"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6452E5F2-E271-42A6-AA55-DDED2999F2EF}"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DB9208D4-5563-46E1-B9BB-FE28F4D6C6A3}"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layout/>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pivotFmt>
      <c:pivotFmt>
        <c:idx val="33"/>
        <c:dLbl>
          <c:idx val="0"/>
          <c:layout/>
          <c:tx>
            <c:rich>
              <a:bodyPr wrap="square" lIns="38100" tIns="19050" rIns="38100" bIns="19050" anchor="ctr">
                <a:spAutoFit/>
              </a:bodyPr>
              <a:lstStyle/>
              <a:p>
                <a:pPr>
                  <a:defRPr>
                    <a:solidFill>
                      <a:srgbClr val="0070C0"/>
                    </a:solidFill>
                  </a:defRPr>
                </a:pPr>
                <a:fld id="{3D0BAE3C-6C8D-400C-87F8-5BDF42950D94}" type="CELLRANGE">
                  <a:rPr lang="en-GB"/>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9831</c:v>
                </c:pt>
                <c:pt idx="1">
                  <c:v>7402</c:v>
                </c:pt>
                <c:pt idx="2">
                  <c:v>10658</c:v>
                </c:pt>
                <c:pt idx="3">
                  <c:v>14011</c:v>
                </c:pt>
                <c:pt idx="4">
                  <c:v>1874</c:v>
                </c:pt>
                <c:pt idx="5">
                  <c:v>10776</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0.14441461704327241"/>
                  <c:y val="8.6184797512322514E-17"/>
                </c:manualLayout>
              </c:layout>
              <c:tx>
                <c:rich>
                  <a:bodyPr/>
                  <a:lstStyle/>
                  <a:p>
                    <a:fld id="{DB9208D4-5563-46E1-B9BB-FE28F4D6C6A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1118048648076948"/>
                  <c:y val="0"/>
                </c:manualLayout>
              </c:layout>
              <c:tx>
                <c:rich>
                  <a:bodyPr/>
                  <a:lstStyle/>
                  <a:p>
                    <a:fld id="{6452E5F2-E271-42A6-AA55-DDED2999F2E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1956909153045135"/>
                  <c:y val="0"/>
                </c:manualLayout>
              </c:layout>
              <c:tx>
                <c:rich>
                  <a:bodyPr/>
                  <a:lstStyle/>
                  <a:p>
                    <a:fld id="{16CD3780-992E-41F4-AFAE-615B2F41FE4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0.17702436927885007"/>
                  <c:y val="3.7016088672780735E-7"/>
                </c:manualLayout>
              </c:layout>
              <c:tx>
                <c:rich>
                  <a:bodyPr/>
                  <a:lstStyle/>
                  <a:p>
                    <a:fld id="{9951EEF8-B9B9-4B40-B5A9-EFDFCB1EBE1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6.9878040504809238E-2"/>
                  <c:y val="1.8508044338544989E-7"/>
                </c:manualLayout>
              </c:layout>
              <c:tx>
                <c:rich>
                  <a:bodyPr/>
                  <a:lstStyle/>
                  <a:p>
                    <a:fld id="{698671BC-5F97-4FE0-9FC9-7A79D168EE3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tx>
                <c:rich>
                  <a:bodyPr/>
                  <a:lstStyle/>
                  <a:p>
                    <a:fld id="{3D0BAE3C-6C8D-400C-87F8-5BDF42950D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-10501</c:v>
                </c:pt>
                <c:pt idx="1">
                  <c:v>-7778</c:v>
                </c:pt>
                <c:pt idx="2">
                  <c:v>-8335</c:v>
                </c:pt>
                <c:pt idx="3">
                  <c:v>-13070</c:v>
                </c:pt>
                <c:pt idx="4">
                  <c:v>-1882</c:v>
                </c:pt>
                <c:pt idx="5">
                  <c:v>-10497</c:v>
                </c:pt>
              </c:numCache>
            </c:numRef>
          </c:val>
          <c:extLst>
            <c:ext xmlns:c15="http://schemas.microsoft.com/office/drawing/2012/chart" uri="{02D57815-91ED-43cb-92C2-25804820EDAC}">
              <c15:datalabelsRange>
                <c15:f>'Age-Sex Breakdown per Camp'!$P$36:$P$42</c15:f>
                <c15:dlblRangeCache>
                  <c:ptCount val="7"/>
                  <c:pt idx="0">
                    <c:v>#REF!</c:v>
                  </c:pt>
                  <c:pt idx="1">
                    <c:v>#REF!</c:v>
                  </c:pt>
                  <c:pt idx="2">
                    <c:v>10501</c:v>
                  </c:pt>
                  <c:pt idx="3">
                    <c:v>7778</c:v>
                  </c:pt>
                  <c:pt idx="4">
                    <c:v>8335</c:v>
                  </c:pt>
                  <c:pt idx="5">
                    <c:v>13070</c:v>
                  </c:pt>
                  <c:pt idx="6">
                    <c:v>1882</c:v>
                  </c:pt>
                </c15:dlblRangeCache>
              </c15:datalabelsRange>
            </c:ext>
          </c:extLst>
        </c:ser>
        <c:dLbls>
          <c:showLegendKey val="0"/>
          <c:showVal val="0"/>
          <c:showCatName val="0"/>
          <c:showSerName val="0"/>
          <c:showPercent val="0"/>
          <c:showBubbleSize val="0"/>
        </c:dLbls>
        <c:gapWidth val="150"/>
        <c:overlap val="100"/>
        <c:axId val="74023080"/>
        <c:axId val="74023472"/>
      </c:barChart>
      <c:catAx>
        <c:axId val="74023080"/>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74023472"/>
        <c:crosses val="autoZero"/>
        <c:auto val="1"/>
        <c:lblAlgn val="ctr"/>
        <c:lblOffset val="100"/>
        <c:noMultiLvlLbl val="0"/>
      </c:catAx>
      <c:valAx>
        <c:axId val="74023472"/>
        <c:scaling>
          <c:orientation val="minMax"/>
        </c:scaling>
        <c:delete val="0"/>
        <c:axPos val="b"/>
        <c:majorGridlines/>
        <c:numFmt formatCode="#,###;[Black]#,###" sourceLinked="0"/>
        <c:majorTickMark val="out"/>
        <c:minorTickMark val="none"/>
        <c:tickLblPos val="nextTo"/>
        <c:crossAx val="7402308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March2017.xlsx]Vulnerability per Camp!PivotTable4</c:name>
    <c:fmtId val="0"/>
  </c:pivotSource>
  <c:chart>
    <c:title>
      <c:tx>
        <c:rich>
          <a:bodyPr/>
          <a:lstStyle/>
          <a:p>
            <a:pPr>
              <a:defRPr sz="1200"/>
            </a:pPr>
            <a:r>
              <a:rPr lang="en-US" sz="1200"/>
              <a:t>Vulnerability by Township </a:t>
            </a:r>
          </a:p>
        </c:rich>
      </c:tx>
      <c:layout/>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2B3E3C0A-F2F6-41A5-B47F-E19D8D14C988}"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9"/>
        <c:dLbl>
          <c:idx val="0"/>
          <c:layout>
            <c:manualLayout>
              <c:x val="0.12583418418538506"/>
              <c:y val="-2.6340685918691488E-17"/>
            </c:manualLayout>
          </c:layout>
          <c:tx>
            <c:rich>
              <a:bodyPr/>
              <a:lstStyle/>
              <a:p>
                <a:pPr>
                  <a:defRPr/>
                </a:pPr>
                <a:fld id="{977B2ECF-956E-4400-86B3-CD0261F66B5A}"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0"/>
        <c:dLbl>
          <c:idx val="0"/>
          <c:layout>
            <c:manualLayout>
              <c:x val="7.7319799921140256E-2"/>
              <c:y val="-5.2681371837382976E-17"/>
            </c:manualLayout>
          </c:layout>
          <c:tx>
            <c:rich>
              <a:bodyPr/>
              <a:lstStyle/>
              <a:p>
                <a:pPr>
                  <a:defRPr/>
                </a:pPr>
                <a:fld id="{A40157C0-FCD5-4824-912B-E15C2B5DA122}"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1"/>
        <c:dLbl>
          <c:idx val="0"/>
          <c:layout>
            <c:manualLayout>
              <c:x val="0.11067343910280854"/>
              <c:y val="0"/>
            </c:manualLayout>
          </c:layout>
          <c:tx>
            <c:rich>
              <a:bodyPr/>
              <a:lstStyle/>
              <a:p>
                <a:pPr>
                  <a:defRPr/>
                </a:pPr>
                <a:fld id="{28BEE216-F3E3-4B91-A5C2-33229FAC92FE}"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2"/>
        <c:dLbl>
          <c:idx val="0"/>
          <c:layout>
            <c:manualLayout>
              <c:x val="0.19254146254872179"/>
              <c:y val="-5.2681371837382976E-17"/>
            </c:manualLayout>
          </c:layout>
          <c:tx>
            <c:rich>
              <a:bodyPr/>
              <a:lstStyle/>
              <a:p>
                <a:pPr>
                  <a:defRPr/>
                </a:pPr>
                <a:fld id="{4BA50082-1809-41CD-9B77-7258459FEFDF}"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3"/>
        <c:dLbl>
          <c:idx val="0"/>
          <c:layout>
            <c:manualLayout>
              <c:x val="4.2450086231214254E-2"/>
              <c:y val="0"/>
            </c:manualLayout>
          </c:layout>
          <c:tx>
            <c:rich>
              <a:bodyPr/>
              <a:lstStyle/>
              <a:p>
                <a:pPr>
                  <a:defRPr/>
                </a:pPr>
                <a:fld id="{9C5B050E-41E2-43CA-9371-AAEBEFF8A656}"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4"/>
        <c:dLbl>
          <c:idx val="0"/>
          <c:layout>
            <c:manualLayout>
              <c:x val="0.14554315279273458"/>
              <c:y val="0"/>
            </c:manualLayout>
          </c:layout>
          <c:tx>
            <c:rich>
              <a:bodyPr/>
              <a:lstStyle/>
              <a:p>
                <a:pPr>
                  <a:defRPr/>
                </a:pPr>
                <a:fld id="{9E9FFD62-94CF-412C-AFC6-88A1A9D9D890}"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5"/>
        <c:dLbl>
          <c:idx val="0"/>
          <c:layout>
            <c:manualLayout>
              <c:x val="0.32595601927539519"/>
              <c:y val="0"/>
            </c:manualLayout>
          </c:layout>
          <c:tx>
            <c:rich>
              <a:bodyPr/>
              <a:lstStyle/>
              <a:p>
                <a:pPr>
                  <a:defRPr/>
                </a:pPr>
                <a:fld id="{6C3805C6-581C-4240-8733-2E64A13F4AFC}"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6"/>
        <c:dLbl>
          <c:idx val="0"/>
          <c:layout>
            <c:manualLayout>
              <c:x val="0.12583418418538506"/>
              <c:y val="0"/>
            </c:manualLayout>
          </c:layout>
          <c:tx>
            <c:rich>
              <a:bodyPr/>
              <a:lstStyle/>
              <a:p>
                <a:pPr>
                  <a:defRPr/>
                </a:pPr>
                <a:fld id="{03DB1100-E68E-4F57-9883-24F02D9ECE2A}"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03DB1100-E68E-4F57-9883-24F02D9ECE2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32595601927539519"/>
                  <c:y val="0"/>
                </c:manualLayout>
              </c:layout>
              <c:tx>
                <c:rich>
                  <a:bodyPr/>
                  <a:lstStyle/>
                  <a:p>
                    <a:fld id="{6C3805C6-581C-4240-8733-2E64A13F4AF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554315279273458"/>
                  <c:y val="0"/>
                </c:manualLayout>
              </c:layout>
              <c:tx>
                <c:rich>
                  <a:bodyPr/>
                  <a:lstStyle/>
                  <a:p>
                    <a:fld id="{9E9FFD62-94CF-412C-AFC6-88A1A9D9D89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4.2450086231214254E-2"/>
                  <c:y val="0"/>
                </c:manualLayout>
              </c:layout>
              <c:tx>
                <c:rich>
                  <a:bodyPr/>
                  <a:lstStyle/>
                  <a:p>
                    <a:fld id="{9C5B050E-41E2-43CA-9371-AAEBEFF8A65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9254146254872179"/>
                  <c:y val="-5.2681371837382976E-17"/>
                </c:manualLayout>
              </c:layout>
              <c:tx>
                <c:rich>
                  <a:bodyPr/>
                  <a:lstStyle/>
                  <a:p>
                    <a:fld id="{4BA50082-1809-41CD-9B77-7258459FEFD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1067343910280854"/>
                  <c:y val="0"/>
                </c:manualLayout>
              </c:layout>
              <c:tx>
                <c:rich>
                  <a:bodyPr/>
                  <a:lstStyle/>
                  <a:p>
                    <a:fld id="{28BEE216-F3E3-4B91-A5C2-33229FAC92F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7.7319799921140256E-2"/>
                  <c:y val="-5.2681371837382976E-17"/>
                </c:manualLayout>
              </c:layout>
              <c:tx>
                <c:rich>
                  <a:bodyPr/>
                  <a:lstStyle/>
                  <a:p>
                    <a:fld id="{A40157C0-FCD5-4824-912B-E15C2B5DA12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
              <c:layout>
                <c:manualLayout>
                  <c:x val="0.12583418418538506"/>
                  <c:y val="-2.6340685918691488E-17"/>
                </c:manualLayout>
              </c:layout>
              <c:tx>
                <c:rich>
                  <a:bodyPr/>
                  <a:lstStyle/>
                  <a:p>
                    <a:fld id="{977B2ECF-956E-4400-86B3-CD0261F66B5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
              <c:layout>
                <c:manualLayout>
                  <c:x val="0.38053470157267055"/>
                  <c:y val="0"/>
                </c:manualLayout>
              </c:layout>
              <c:tx>
                <c:rich>
                  <a:bodyPr/>
                  <a:lstStyle/>
                  <a:p>
                    <a:fld id="{2B3E3C0A-F2F6-41A5-B47F-E19D8D14C98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547</c:v>
                </c:pt>
                <c:pt idx="1">
                  <c:v>1539</c:v>
                </c:pt>
                <c:pt idx="2">
                  <c:v>762</c:v>
                </c:pt>
                <c:pt idx="3">
                  <c:v>97</c:v>
                </c:pt>
                <c:pt idx="4">
                  <c:v>636</c:v>
                </c:pt>
                <c:pt idx="5">
                  <c:v>337</c:v>
                </c:pt>
                <c:pt idx="6">
                  <c:v>232</c:v>
                </c:pt>
                <c:pt idx="7">
                  <c:v>820</c:v>
                </c:pt>
                <c:pt idx="8">
                  <c:v>2041</c:v>
                </c:pt>
              </c:numCache>
            </c:numRef>
          </c:val>
          <c:extLst>
            <c:ext xmlns:c15="http://schemas.microsoft.com/office/drawing/2012/chart" uri="{02D57815-91ED-43cb-92C2-25804820EDAC}">
              <c15:datalabelsRange>
                <c15:f>'Vulnerability per Camp'!$N$41:$N$49</c15:f>
                <c15:dlblRangeCache>
                  <c:ptCount val="9"/>
                  <c:pt idx="0">
                    <c:v> 771 </c:v>
                  </c:pt>
                  <c:pt idx="1">
                    <c:v> 2,157 </c:v>
                  </c:pt>
                  <c:pt idx="2">
                    <c:v> 914 </c:v>
                  </c:pt>
                  <c:pt idx="3">
                    <c:v> 132 </c:v>
                  </c:pt>
                  <c:pt idx="4">
                    <c:v> 942 </c:v>
                  </c:pt>
                  <c:pt idx="5">
                    <c:v> 349 </c:v>
                  </c:pt>
                  <c:pt idx="6">
                    <c:v> 257 </c:v>
                  </c:pt>
                  <c:pt idx="7">
                    <c:v> 1,097 </c:v>
                  </c:pt>
                  <c:pt idx="8">
                    <c:v> 2,500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199</c:v>
                </c:pt>
                <c:pt idx="1">
                  <c:v>573</c:v>
                </c:pt>
                <c:pt idx="2">
                  <c:v>117</c:v>
                </c:pt>
                <c:pt idx="3">
                  <c:v>21</c:v>
                </c:pt>
                <c:pt idx="4">
                  <c:v>148</c:v>
                </c:pt>
                <c:pt idx="5">
                  <c:v>12</c:v>
                </c:pt>
                <c:pt idx="6">
                  <c:v>21</c:v>
                </c:pt>
                <c:pt idx="7">
                  <c:v>273</c:v>
                </c:pt>
                <c:pt idx="8">
                  <c:v>316</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25</c:v>
                </c:pt>
                <c:pt idx="1">
                  <c:v>45</c:v>
                </c:pt>
                <c:pt idx="2">
                  <c:v>35</c:v>
                </c:pt>
                <c:pt idx="3">
                  <c:v>14</c:v>
                </c:pt>
                <c:pt idx="4">
                  <c:v>158</c:v>
                </c:pt>
                <c:pt idx="5">
                  <c:v>0</c:v>
                </c:pt>
                <c:pt idx="6">
                  <c:v>4</c:v>
                </c:pt>
                <c:pt idx="7">
                  <c:v>4</c:v>
                </c:pt>
                <c:pt idx="8">
                  <c:v>143</c:v>
                </c:pt>
              </c:numCache>
            </c:numRef>
          </c:val>
        </c:ser>
        <c:dLbls>
          <c:showLegendKey val="0"/>
          <c:showVal val="0"/>
          <c:showCatName val="0"/>
          <c:showSerName val="0"/>
          <c:showPercent val="0"/>
          <c:showBubbleSize val="0"/>
        </c:dLbls>
        <c:gapWidth val="50"/>
        <c:overlap val="100"/>
        <c:axId val="437956168"/>
        <c:axId val="433182408"/>
      </c:barChart>
      <c:catAx>
        <c:axId val="437956168"/>
        <c:scaling>
          <c:orientation val="minMax"/>
        </c:scaling>
        <c:delete val="0"/>
        <c:axPos val="l"/>
        <c:numFmt formatCode="General" sourceLinked="0"/>
        <c:majorTickMark val="none"/>
        <c:minorTickMark val="none"/>
        <c:tickLblPos val="nextTo"/>
        <c:txPr>
          <a:bodyPr/>
          <a:lstStyle/>
          <a:p>
            <a:pPr>
              <a:defRPr sz="1000"/>
            </a:pPr>
            <a:endParaRPr lang="en-US"/>
          </a:p>
        </c:txPr>
        <c:crossAx val="433182408"/>
        <c:crosses val="autoZero"/>
        <c:auto val="1"/>
        <c:lblAlgn val="ctr"/>
        <c:lblOffset val="100"/>
        <c:noMultiLvlLbl val="0"/>
      </c:catAx>
      <c:valAx>
        <c:axId val="43318240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437956168"/>
        <c:crosses val="autoZero"/>
        <c:crossBetween val="between"/>
      </c:valAx>
      <c:spPr>
        <a:ln>
          <a:solidFill>
            <a:schemeClr val="tx1"/>
          </a:solidFill>
        </a:ln>
      </c:spPr>
    </c:plotArea>
    <c:legend>
      <c:legendPos val="b"/>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Analysis!PivotTable8</c:name>
    <c:fmtId val="13"/>
  </c:pivotSource>
  <c:chart>
    <c:title>
      <c:tx>
        <c:rich>
          <a:bodyPr/>
          <a:lstStyle/>
          <a:p>
            <a:pPr>
              <a:defRPr/>
            </a:pPr>
            <a:r>
              <a:rPr lang="en-US"/>
              <a:t>Other Locations</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359541496"/>
        <c:axId val="359541888"/>
      </c:barChart>
      <c:catAx>
        <c:axId val="359541496"/>
        <c:scaling>
          <c:orientation val="minMax"/>
        </c:scaling>
        <c:delete val="0"/>
        <c:axPos val="b"/>
        <c:numFmt formatCode="General" sourceLinked="0"/>
        <c:majorTickMark val="out"/>
        <c:minorTickMark val="none"/>
        <c:tickLblPos val="nextTo"/>
        <c:crossAx val="359541888"/>
        <c:crosses val="autoZero"/>
        <c:auto val="1"/>
        <c:lblAlgn val="ctr"/>
        <c:lblOffset val="100"/>
        <c:noMultiLvlLbl val="0"/>
      </c:catAx>
      <c:valAx>
        <c:axId val="359541888"/>
        <c:scaling>
          <c:orientation val="minMax"/>
        </c:scaling>
        <c:delete val="0"/>
        <c:axPos val="l"/>
        <c:majorGridlines/>
        <c:numFmt formatCode="#,##0" sourceLinked="1"/>
        <c:majorTickMark val="out"/>
        <c:minorTickMark val="none"/>
        <c:tickLblPos val="nextTo"/>
        <c:crossAx val="3595414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2679</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4252</c:v>
                </c:pt>
                <c:pt idx="1">
                  <c:v>5115</c:v>
                </c:pt>
                <c:pt idx="3">
                  <c:v>3939</c:v>
                </c:pt>
                <c:pt idx="4">
                  <c:v>2175</c:v>
                </c:pt>
                <c:pt idx="5">
                  <c:v>4879</c:v>
                </c:pt>
                <c:pt idx="6">
                  <c:v>6947</c:v>
                </c:pt>
                <c:pt idx="7">
                  <c:v>8204</c:v>
                </c:pt>
                <c:pt idx="8">
                  <c:v>4404</c:v>
                </c:pt>
                <c:pt idx="9">
                  <c:v>3423</c:v>
                </c:pt>
                <c:pt idx="10">
                  <c:v>3408</c:v>
                </c:pt>
                <c:pt idx="11">
                  <c:v>13705</c:v>
                </c:pt>
                <c:pt idx="12">
                  <c:v>11586</c:v>
                </c:pt>
                <c:pt idx="13">
                  <c:v>12273</c:v>
                </c:pt>
                <c:pt idx="14">
                  <c:v>11764</c:v>
                </c:pt>
                <c:pt idx="15">
                  <c:v>5830</c:v>
                </c:pt>
                <c:pt idx="16">
                  <c:v>2679</c:v>
                </c:pt>
              </c:numCache>
            </c:numRef>
          </c:val>
        </c:ser>
        <c:dLbls>
          <c:showLegendKey val="0"/>
          <c:showVal val="0"/>
          <c:showCatName val="0"/>
          <c:showSerName val="0"/>
          <c:showPercent val="0"/>
          <c:showBubbleSize val="0"/>
        </c:dLbls>
        <c:gapWidth val="150"/>
        <c:overlap val="100"/>
        <c:axId val="718797336"/>
        <c:axId val="718797728"/>
      </c:barChart>
      <c:catAx>
        <c:axId val="718797336"/>
        <c:scaling>
          <c:orientation val="minMax"/>
        </c:scaling>
        <c:delete val="0"/>
        <c:axPos val="b"/>
        <c:numFmt formatCode="General" sourceLinked="0"/>
        <c:majorTickMark val="out"/>
        <c:minorTickMark val="none"/>
        <c:tickLblPos val="nextTo"/>
        <c:crossAx val="718797728"/>
        <c:crosses val="autoZero"/>
        <c:auto val="1"/>
        <c:lblAlgn val="ctr"/>
        <c:lblOffset val="100"/>
        <c:noMultiLvlLbl val="0"/>
      </c:catAx>
      <c:valAx>
        <c:axId val="718797728"/>
        <c:scaling>
          <c:orientation val="minMax"/>
        </c:scaling>
        <c:delete val="0"/>
        <c:axPos val="l"/>
        <c:majorGridlines/>
        <c:numFmt formatCode="#,##0" sourceLinked="1"/>
        <c:majorTickMark val="out"/>
        <c:minorTickMark val="none"/>
        <c:tickLblPos val="nextTo"/>
        <c:crossAx val="71879733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layout/>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1</c:v>
                </c:pt>
                <c:pt idx="4">
                  <c:v>0</c:v>
                </c:pt>
                <c:pt idx="5">
                  <c:v>0</c:v>
                </c:pt>
                <c:pt idx="6">
                  <c:v>0.56903765690376573</c:v>
                </c:pt>
                <c:pt idx="7">
                  <c:v>1</c:v>
                </c:pt>
                <c:pt idx="8">
                  <c:v>0.56760374832663985</c:v>
                </c:pt>
                <c:pt idx="9">
                  <c:v>0.79931462840008571</c:v>
                </c:pt>
              </c:numCache>
            </c:numRef>
          </c:val>
        </c:ser>
        <c:dLbls>
          <c:showLegendKey val="0"/>
          <c:showVal val="0"/>
          <c:showCatName val="0"/>
          <c:showSerName val="0"/>
          <c:showPercent val="0"/>
          <c:showBubbleSize val="0"/>
        </c:dLbls>
        <c:gapWidth val="75"/>
        <c:axId val="718798120"/>
        <c:axId val="718743088"/>
      </c:barChart>
      <c:catAx>
        <c:axId val="718798120"/>
        <c:scaling>
          <c:orientation val="minMax"/>
        </c:scaling>
        <c:delete val="0"/>
        <c:axPos val="b"/>
        <c:numFmt formatCode="General" sourceLinked="0"/>
        <c:majorTickMark val="none"/>
        <c:minorTickMark val="none"/>
        <c:tickLblPos val="nextTo"/>
        <c:crossAx val="718743088"/>
        <c:crosses val="autoZero"/>
        <c:auto val="1"/>
        <c:lblAlgn val="ctr"/>
        <c:lblOffset val="100"/>
        <c:noMultiLvlLbl val="0"/>
      </c:catAx>
      <c:valAx>
        <c:axId val="718743088"/>
        <c:scaling>
          <c:orientation val="minMax"/>
          <c:max val="1"/>
        </c:scaling>
        <c:delete val="0"/>
        <c:axPos val="l"/>
        <c:majorGridlines/>
        <c:numFmt formatCode="0%" sourceLinked="1"/>
        <c:majorTickMark val="none"/>
        <c:minorTickMark val="none"/>
        <c:tickLblPos val="nextTo"/>
        <c:spPr>
          <a:ln w="9525">
            <a:noFill/>
          </a:ln>
        </c:spPr>
        <c:crossAx val="71879812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718743872"/>
        <c:axId val="718744264"/>
      </c:barChart>
      <c:catAx>
        <c:axId val="718743872"/>
        <c:scaling>
          <c:orientation val="minMax"/>
        </c:scaling>
        <c:delete val="0"/>
        <c:axPos val="b"/>
        <c:numFmt formatCode="General" sourceLinked="0"/>
        <c:majorTickMark val="out"/>
        <c:minorTickMark val="none"/>
        <c:tickLblPos val="nextTo"/>
        <c:crossAx val="718744264"/>
        <c:crosses val="autoZero"/>
        <c:auto val="1"/>
        <c:lblAlgn val="ctr"/>
        <c:lblOffset val="100"/>
        <c:noMultiLvlLbl val="0"/>
      </c:catAx>
      <c:valAx>
        <c:axId val="718744264"/>
        <c:scaling>
          <c:orientation val="minMax"/>
        </c:scaling>
        <c:delete val="0"/>
        <c:axPos val="l"/>
        <c:majorGridlines/>
        <c:numFmt formatCode="General" sourceLinked="1"/>
        <c:majorTickMark val="out"/>
        <c:minorTickMark val="none"/>
        <c:tickLblPos val="nextTo"/>
        <c:crossAx val="71874387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641387632"/>
        <c:axId val="641388024"/>
      </c:barChart>
      <c:catAx>
        <c:axId val="641387632"/>
        <c:scaling>
          <c:orientation val="minMax"/>
        </c:scaling>
        <c:delete val="0"/>
        <c:axPos val="l"/>
        <c:numFmt formatCode="General" sourceLinked="0"/>
        <c:majorTickMark val="out"/>
        <c:minorTickMark val="none"/>
        <c:tickLblPos val="nextTo"/>
        <c:spPr>
          <a:ln>
            <a:noFill/>
          </a:ln>
        </c:spPr>
        <c:crossAx val="641388024"/>
        <c:crosses val="autoZero"/>
        <c:auto val="1"/>
        <c:lblAlgn val="ctr"/>
        <c:lblOffset val="100"/>
        <c:noMultiLvlLbl val="0"/>
      </c:catAx>
      <c:valAx>
        <c:axId val="64138802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4138763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March2017.xlsx]Shelter Summary (by agency)!PivotTable2</c:name>
    <c:fmtId val="4"/>
  </c:pivotSource>
  <c:chart>
    <c:title>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641388808"/>
        <c:axId val="641389200"/>
      </c:barChart>
      <c:catAx>
        <c:axId val="641388808"/>
        <c:scaling>
          <c:orientation val="minMax"/>
        </c:scaling>
        <c:delete val="0"/>
        <c:axPos val="l"/>
        <c:numFmt formatCode="General" sourceLinked="0"/>
        <c:majorTickMark val="out"/>
        <c:minorTickMark val="none"/>
        <c:tickLblPos val="nextTo"/>
        <c:crossAx val="641389200"/>
        <c:crosses val="autoZero"/>
        <c:auto val="1"/>
        <c:lblAlgn val="ctr"/>
        <c:lblOffset val="100"/>
        <c:noMultiLvlLbl val="0"/>
      </c:catAx>
      <c:valAx>
        <c:axId val="641389200"/>
        <c:scaling>
          <c:orientation val="minMax"/>
        </c:scaling>
        <c:delete val="0"/>
        <c:axPos val="b"/>
        <c:majorGridlines/>
        <c:numFmt formatCode="_-* #,##0_-;\-* #,##0_-;_-* &quot;-&quot;??_-;_-@_-" sourceLinked="1"/>
        <c:majorTickMark val="out"/>
        <c:minorTickMark val="none"/>
        <c:tickLblPos val="nextTo"/>
        <c:crossAx val="641388808"/>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98548.312795006146</c:v>
                </c:pt>
                <c:pt idx="1">
                  <c:v>47270.36856863022</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2679</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117423</c:v>
                </c:pt>
              </c:numCache>
            </c:numRef>
          </c:val>
        </c:ser>
        <c:dLbls>
          <c:showLegendKey val="0"/>
          <c:showVal val="0"/>
          <c:showCatName val="0"/>
          <c:showSerName val="0"/>
          <c:showPercent val="0"/>
          <c:showBubbleSize val="0"/>
        </c:dLbls>
        <c:gapWidth val="150"/>
        <c:shape val="box"/>
        <c:axId val="436997976"/>
        <c:axId val="436998368"/>
        <c:axId val="0"/>
      </c:bar3DChart>
      <c:catAx>
        <c:axId val="436997976"/>
        <c:scaling>
          <c:orientation val="minMax"/>
        </c:scaling>
        <c:delete val="0"/>
        <c:axPos val="l"/>
        <c:numFmt formatCode="General" sourceLinked="0"/>
        <c:majorTickMark val="out"/>
        <c:minorTickMark val="none"/>
        <c:tickLblPos val="nextTo"/>
        <c:crossAx val="436998368"/>
        <c:crosses val="autoZero"/>
        <c:auto val="1"/>
        <c:lblAlgn val="ctr"/>
        <c:lblOffset val="100"/>
        <c:noMultiLvlLbl val="0"/>
      </c:catAx>
      <c:valAx>
        <c:axId val="436998368"/>
        <c:scaling>
          <c:orientation val="minMax"/>
          <c:min val="0"/>
        </c:scaling>
        <c:delete val="0"/>
        <c:axPos val="b"/>
        <c:majorGridlines/>
        <c:numFmt formatCode="0%" sourceLinked="1"/>
        <c:majorTickMark val="out"/>
        <c:minorTickMark val="none"/>
        <c:tickLblPos val="nextTo"/>
        <c:crossAx val="4369979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718402352"/>
        <c:axId val="718402744"/>
      </c:barChart>
      <c:catAx>
        <c:axId val="7184023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18402744"/>
        <c:crosses val="autoZero"/>
        <c:auto val="1"/>
        <c:lblAlgn val="ctr"/>
        <c:lblOffset val="100"/>
        <c:noMultiLvlLbl val="0"/>
      </c:catAx>
      <c:valAx>
        <c:axId val="718402744"/>
        <c:scaling>
          <c:orientation val="minMax"/>
        </c:scaling>
        <c:delete val="0"/>
        <c:axPos val="l"/>
        <c:majorGridlines/>
        <c:numFmt formatCode="General" sourceLinked="1"/>
        <c:majorTickMark val="out"/>
        <c:minorTickMark val="none"/>
        <c:tickLblPos val="nextTo"/>
        <c:crossAx val="7184023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layout/>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Tship)'!$B$56</c:f>
              <c:strCache>
                <c:ptCount val="1"/>
                <c:pt idx="0">
                  <c:v>Sanitary Kit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Tship)'!$B$57:$B$69</c:f>
              <c:numCache>
                <c:formatCode>0</c:formatCode>
                <c:ptCount val="13"/>
                <c:pt idx="0">
                  <c:v>799</c:v>
                </c:pt>
                <c:pt idx="1">
                  <c:v>424</c:v>
                </c:pt>
                <c:pt idx="2">
                  <c:v>656</c:v>
                </c:pt>
                <c:pt idx="3">
                  <c:v>1325</c:v>
                </c:pt>
                <c:pt idx="4">
                  <c:v>397</c:v>
                </c:pt>
                <c:pt idx="8">
                  <c:v>0</c:v>
                </c:pt>
                <c:pt idx="11">
                  <c:v>0</c:v>
                </c:pt>
                <c:pt idx="12">
                  <c:v>3601</c:v>
                </c:pt>
              </c:numCache>
            </c:numRef>
          </c:val>
        </c:ser>
        <c:ser>
          <c:idx val="1"/>
          <c:order val="1"/>
          <c:tx>
            <c:strRef>
              <c:f>'NFI Distribution (by Tship)'!$C$56</c:f>
              <c:strCache>
                <c:ptCount val="1"/>
                <c:pt idx="0">
                  <c:v> Mosquito net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Tship)'!$C$57:$C$69</c:f>
              <c:numCache>
                <c:formatCode>0</c:formatCode>
                <c:ptCount val="13"/>
                <c:pt idx="2">
                  <c:v>1126.5</c:v>
                </c:pt>
                <c:pt idx="5">
                  <c:v>2835</c:v>
                </c:pt>
                <c:pt idx="8">
                  <c:v>345</c:v>
                </c:pt>
                <c:pt idx="11">
                  <c:v>725</c:v>
                </c:pt>
                <c:pt idx="12">
                  <c:v>5031.5</c:v>
                </c:pt>
              </c:numCache>
            </c:numRef>
          </c:val>
        </c:ser>
        <c:ser>
          <c:idx val="2"/>
          <c:order val="2"/>
          <c:tx>
            <c:strRef>
              <c:f>'NFI Distribution (by Tship)'!$D$56</c:f>
              <c:strCache>
                <c:ptCount val="1"/>
                <c:pt idx="0">
                  <c:v> Tarpaulin</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Tship)'!$D$57:$D$69</c:f>
              <c:numCache>
                <c:formatCode>0</c:formatCode>
                <c:ptCount val="13"/>
                <c:pt idx="1">
                  <c:v>424</c:v>
                </c:pt>
                <c:pt idx="2">
                  <c:v>0</c:v>
                </c:pt>
                <c:pt idx="5">
                  <c:v>60</c:v>
                </c:pt>
                <c:pt idx="11">
                  <c:v>0</c:v>
                </c:pt>
                <c:pt idx="12">
                  <c:v>484</c:v>
                </c:pt>
              </c:numCache>
            </c:numRef>
          </c:val>
        </c:ser>
        <c:ser>
          <c:idx val="3"/>
          <c:order val="3"/>
          <c:tx>
            <c:strRef>
              <c:f>'NFI Distribution (by Tship)'!$E$56</c:f>
              <c:strCache>
                <c:ptCount val="1"/>
                <c:pt idx="0">
                  <c:v> Blanket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Tship)'!$E$57:$E$69</c:f>
              <c:numCache>
                <c:formatCode>0</c:formatCode>
                <c:ptCount val="13"/>
                <c:pt idx="1">
                  <c:v>0</c:v>
                </c:pt>
                <c:pt idx="2">
                  <c:v>965.5</c:v>
                </c:pt>
                <c:pt idx="3">
                  <c:v>351.5</c:v>
                </c:pt>
                <c:pt idx="5">
                  <c:v>3236.5</c:v>
                </c:pt>
                <c:pt idx="11">
                  <c:v>725</c:v>
                </c:pt>
                <c:pt idx="12">
                  <c:v>5278.5</c:v>
                </c:pt>
              </c:numCache>
            </c:numRef>
          </c:val>
        </c:ser>
        <c:ser>
          <c:idx val="4"/>
          <c:order val="4"/>
          <c:tx>
            <c:strRef>
              <c:f>'NFI Distribution (by Tship)'!$F$56</c:f>
              <c:strCache>
                <c:ptCount val="1"/>
                <c:pt idx="0">
                  <c:v> Kitchen Set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Tship)'!$F$57:$F$69</c:f>
              <c:numCache>
                <c:formatCode>0</c:formatCode>
                <c:ptCount val="13"/>
                <c:pt idx="5">
                  <c:v>1196</c:v>
                </c:pt>
                <c:pt idx="6">
                  <c:v>2084</c:v>
                </c:pt>
                <c:pt idx="11">
                  <c:v>0</c:v>
                </c:pt>
                <c:pt idx="12">
                  <c:v>3280</c:v>
                </c:pt>
              </c:numCache>
            </c:numRef>
          </c:val>
        </c:ser>
        <c:ser>
          <c:idx val="5"/>
          <c:order val="5"/>
          <c:tx>
            <c:strRef>
              <c:f>'NFI Distribution (by Tship)'!$G$56</c:f>
              <c:strCache>
                <c:ptCount val="1"/>
                <c:pt idx="0">
                  <c:v> Complementary Kit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Tship)'!$G$57:$G$69</c:f>
              <c:numCache>
                <c:formatCode>0</c:formatCode>
                <c:ptCount val="13"/>
                <c:pt idx="1">
                  <c:v>0</c:v>
                </c:pt>
                <c:pt idx="2">
                  <c:v>0</c:v>
                </c:pt>
                <c:pt idx="3">
                  <c:v>195</c:v>
                </c:pt>
                <c:pt idx="5">
                  <c:v>0</c:v>
                </c:pt>
                <c:pt idx="11">
                  <c:v>0</c:v>
                </c:pt>
                <c:pt idx="12">
                  <c:v>195</c:v>
                </c:pt>
              </c:numCache>
            </c:numRef>
          </c:val>
        </c:ser>
        <c:ser>
          <c:idx val="6"/>
          <c:order val="6"/>
          <c:tx>
            <c:strRef>
              <c:f>'NFI Distribution (by Tship)'!$H$56</c:f>
              <c:strCache>
                <c:ptCount val="1"/>
                <c:pt idx="0">
                  <c:v> Plastic Bucket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Tship)'!$H$57:$H$69</c:f>
              <c:numCache>
                <c:formatCode>0</c:formatCode>
                <c:ptCount val="13"/>
                <c:pt idx="1">
                  <c:v>0</c:v>
                </c:pt>
                <c:pt idx="2">
                  <c:v>3276</c:v>
                </c:pt>
                <c:pt idx="5">
                  <c:v>0</c:v>
                </c:pt>
                <c:pt idx="11">
                  <c:v>1450</c:v>
                </c:pt>
                <c:pt idx="12">
                  <c:v>4726</c:v>
                </c:pt>
              </c:numCache>
            </c:numRef>
          </c:val>
        </c:ser>
        <c:ser>
          <c:idx val="7"/>
          <c:order val="7"/>
          <c:tx>
            <c:strRef>
              <c:f>'NFI Distribution (by Tship)'!$I$56</c:f>
              <c:strCache>
                <c:ptCount val="1"/>
                <c:pt idx="0">
                  <c:v> Jerry Can</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Tship)'!$I$57:$I$69</c:f>
              <c:numCache>
                <c:formatCode>0</c:formatCode>
                <c:ptCount val="13"/>
                <c:pt idx="2">
                  <c:v>3276</c:v>
                </c:pt>
                <c:pt idx="5">
                  <c:v>0</c:v>
                </c:pt>
                <c:pt idx="6">
                  <c:v>985</c:v>
                </c:pt>
                <c:pt idx="11">
                  <c:v>2900</c:v>
                </c:pt>
                <c:pt idx="12">
                  <c:v>7161</c:v>
                </c:pt>
              </c:numCache>
            </c:numRef>
          </c:val>
        </c:ser>
        <c:ser>
          <c:idx val="8"/>
          <c:order val="8"/>
          <c:tx>
            <c:strRef>
              <c:f>'NFI Distribution (by Tship)'!$J$56</c:f>
              <c:strCache>
                <c:ptCount val="1"/>
                <c:pt idx="0">
                  <c:v> Plastic  Mat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Tship)'!$J$57:$J$69</c:f>
              <c:numCache>
                <c:formatCode>0</c:formatCode>
                <c:ptCount val="13"/>
                <c:pt idx="1">
                  <c:v>424</c:v>
                </c:pt>
                <c:pt idx="2">
                  <c:v>1638</c:v>
                </c:pt>
                <c:pt idx="5">
                  <c:v>6879.5</c:v>
                </c:pt>
                <c:pt idx="9">
                  <c:v>0</c:v>
                </c:pt>
                <c:pt idx="10">
                  <c:v>0</c:v>
                </c:pt>
                <c:pt idx="11">
                  <c:v>0</c:v>
                </c:pt>
                <c:pt idx="12">
                  <c:v>8941.5</c:v>
                </c:pt>
              </c:numCache>
            </c:numRef>
          </c:val>
        </c:ser>
        <c:ser>
          <c:idx val="9"/>
          <c:order val="9"/>
          <c:tx>
            <c:strRef>
              <c:f>'NFI Distribution (by Tship)'!$K$56</c:f>
              <c:strCache>
                <c:ptCount val="1"/>
                <c:pt idx="0">
                  <c:v>Adult Clothes</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Tship)'!$K$57:$K$69</c:f>
              <c:numCache>
                <c:formatCode>General</c:formatCode>
                <c:ptCount val="13"/>
                <c:pt idx="0" formatCode="0">
                  <c:v>0</c:v>
                </c:pt>
                <c:pt idx="3" formatCode="0">
                  <c:v>628</c:v>
                </c:pt>
                <c:pt idx="5" formatCode="0">
                  <c:v>0</c:v>
                </c:pt>
                <c:pt idx="7" formatCode="0">
                  <c:v>0</c:v>
                </c:pt>
                <c:pt idx="9" formatCode="0">
                  <c:v>0</c:v>
                </c:pt>
                <c:pt idx="10" formatCode="0">
                  <c:v>7050</c:v>
                </c:pt>
                <c:pt idx="11" formatCode="0">
                  <c:v>2175</c:v>
                </c:pt>
                <c:pt idx="12" formatCode="0">
                  <c:v>9853</c:v>
                </c:pt>
              </c:numCache>
            </c:numRef>
          </c:val>
        </c:ser>
        <c:ser>
          <c:idx val="10"/>
          <c:order val="10"/>
          <c:tx>
            <c:strRef>
              <c:f>'NFI Distribution (by Tship)'!$L$56</c:f>
              <c:strCache>
                <c:ptCount val="1"/>
                <c:pt idx="0">
                  <c:v>Children Clothes</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Tship)'!$L$57:$L$69</c:f>
              <c:numCache>
                <c:formatCode>0</c:formatCode>
                <c:ptCount val="13"/>
                <c:pt idx="5">
                  <c:v>0</c:v>
                </c:pt>
                <c:pt idx="7">
                  <c:v>0</c:v>
                </c:pt>
                <c:pt idx="9">
                  <c:v>2009</c:v>
                </c:pt>
                <c:pt idx="10">
                  <c:v>3629</c:v>
                </c:pt>
                <c:pt idx="11">
                  <c:v>725</c:v>
                </c:pt>
                <c:pt idx="12">
                  <c:v>6363</c:v>
                </c:pt>
              </c:numCache>
            </c:numRef>
          </c:val>
        </c:ser>
        <c:ser>
          <c:idx val="11"/>
          <c:order val="11"/>
          <c:tx>
            <c:strRef>
              <c:f>'NFI Distribution (by Tship)'!$M$56</c:f>
              <c:strCache>
                <c:ptCount val="1"/>
                <c:pt idx="0">
                  <c:v>Sewing Kit</c:v>
                </c:pt>
              </c:strCache>
            </c:strRef>
          </c:tx>
          <c:invertIfNegative val="0"/>
          <c:cat>
            <c:strRef>
              <c:f>'NFI Distribution (by Tship)'!$A$57:$A$69</c:f>
              <c:strCache>
                <c:ptCount val="13"/>
                <c:pt idx="0">
                  <c:v>CDN</c:v>
                </c:pt>
                <c:pt idx="1">
                  <c:v>DRC</c:v>
                </c:pt>
                <c:pt idx="2">
                  <c:v>NRC</c:v>
                </c:pt>
                <c:pt idx="3">
                  <c:v>RI</c:v>
                </c:pt>
                <c:pt idx="4">
                  <c:v>SCI</c:v>
                </c:pt>
                <c:pt idx="5">
                  <c:v>UNHCR</c:v>
                </c:pt>
                <c:pt idx="6">
                  <c:v>SI</c:v>
                </c:pt>
                <c:pt idx="7">
                  <c:v>Gov</c:v>
                </c:pt>
                <c:pt idx="8">
                  <c:v>MHAA</c:v>
                </c:pt>
                <c:pt idx="9">
                  <c:v>MAUK</c:v>
                </c:pt>
                <c:pt idx="10">
                  <c:v>UNIQLO</c:v>
                </c:pt>
                <c:pt idx="11">
                  <c:v>MRF</c:v>
                </c:pt>
                <c:pt idx="12">
                  <c:v>Grand Total</c:v>
                </c:pt>
              </c:strCache>
            </c:strRef>
          </c:cat>
          <c:val>
            <c:numRef>
              <c:f>'NFI Distribution (by Tship)'!$M$57:$M$69</c:f>
              <c:numCache>
                <c:formatCode>General</c:formatCode>
                <c:ptCount val="13"/>
                <c:pt idx="3">
                  <c:v>628</c:v>
                </c:pt>
                <c:pt idx="5">
                  <c:v>0</c:v>
                </c:pt>
                <c:pt idx="11">
                  <c:v>0</c:v>
                </c:pt>
                <c:pt idx="12">
                  <c:v>628</c:v>
                </c:pt>
              </c:numCache>
            </c:numRef>
          </c:val>
        </c:ser>
        <c:dLbls>
          <c:showLegendKey val="0"/>
          <c:showVal val="0"/>
          <c:showCatName val="0"/>
          <c:showSerName val="0"/>
          <c:showPercent val="0"/>
          <c:showBubbleSize val="0"/>
        </c:dLbls>
        <c:gapWidth val="150"/>
        <c:overlap val="100"/>
        <c:axId val="440530920"/>
        <c:axId val="440531312"/>
      </c:barChart>
      <c:catAx>
        <c:axId val="440530920"/>
        <c:scaling>
          <c:orientation val="minMax"/>
        </c:scaling>
        <c:delete val="0"/>
        <c:axPos val="l"/>
        <c:numFmt formatCode="General" sourceLinked="0"/>
        <c:majorTickMark val="none"/>
        <c:minorTickMark val="none"/>
        <c:tickLblPos val="nextTo"/>
        <c:crossAx val="440531312"/>
        <c:crosses val="autoZero"/>
        <c:auto val="1"/>
        <c:lblAlgn val="ctr"/>
        <c:lblOffset val="100"/>
        <c:noMultiLvlLbl val="0"/>
      </c:catAx>
      <c:valAx>
        <c:axId val="440531312"/>
        <c:scaling>
          <c:orientation val="minMax"/>
        </c:scaling>
        <c:delete val="0"/>
        <c:axPos val="b"/>
        <c:majorGridlines/>
        <c:numFmt formatCode="0" sourceLinked="1"/>
        <c:majorTickMark val="none"/>
        <c:minorTickMark val="none"/>
        <c:tickLblPos val="nextTo"/>
        <c:crossAx val="440530920"/>
        <c:crosses val="autoZero"/>
        <c:crossBetween val="between"/>
      </c:valAx>
    </c:plotArea>
    <c:legend>
      <c:legendPos val="r"/>
      <c:layout>
        <c:manualLayout>
          <c:xMode val="edge"/>
          <c:yMode val="edge"/>
          <c:x val="0.78845435569667766"/>
          <c:y val="0.26124785058815803"/>
          <c:w val="0.2076025870181514"/>
          <c:h val="0.66186772425913254"/>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layout/>
      <c:overlay val="0"/>
    </c:title>
    <c:autoTitleDeleted val="0"/>
    <c:plotArea>
      <c:layout>
        <c:manualLayout>
          <c:layoutTarget val="inner"/>
          <c:xMode val="edge"/>
          <c:yMode val="edge"/>
          <c:x val="0.10115481569702821"/>
          <c:y val="0.13178980522171574"/>
          <c:w val="0.61373992782026665"/>
          <c:h val="0.50426489846663902"/>
        </c:manualLayout>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0.2134342920166285</c:v>
                </c:pt>
                <c:pt idx="1">
                  <c:v>2.0531093577670315E-2</c:v>
                </c:pt>
                <c:pt idx="2">
                  <c:v>0.22391193687961314</c:v>
                </c:pt>
                <c:pt idx="3">
                  <c:v>0.13913633664206329</c:v>
                </c:pt>
                <c:pt idx="4">
                  <c:v>8.2718248918299819E-3</c:v>
                </c:pt>
                <c:pt idx="5">
                  <c:v>0.20047509968609484</c:v>
                </c:pt>
                <c:pt idx="6">
                  <c:v>0.30376686179689488</c:v>
                </c:pt>
                <c:pt idx="7">
                  <c:v>0.37929498600152711</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8.4690761007890053E-2</c:v>
                </c:pt>
                <c:pt idx="1">
                  <c:v>0.11156358700263001</c:v>
                </c:pt>
                <c:pt idx="2">
                  <c:v>8.4924068889454488E-2</c:v>
                </c:pt>
                <c:pt idx="3">
                  <c:v>0.12034444727241876</c:v>
                </c:pt>
                <c:pt idx="4">
                  <c:v>4.2546873674387038E-2</c:v>
                </c:pt>
                <c:pt idx="5">
                  <c:v>0.16314583863578519</c:v>
                </c:pt>
                <c:pt idx="6">
                  <c:v>0.21281920760159498</c:v>
                </c:pt>
                <c:pt idx="7">
                  <c:v>8.458471197081531E-2</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0.70187494697548147</c:v>
                </c:pt>
                <c:pt idx="1">
                  <c:v>0.86790531941969962</c:v>
                </c:pt>
                <c:pt idx="2">
                  <c:v>0.69116399423093233</c:v>
                </c:pt>
                <c:pt idx="3">
                  <c:v>0.74051921608551796</c:v>
                </c:pt>
                <c:pt idx="4">
                  <c:v>0.94918130143378299</c:v>
                </c:pt>
                <c:pt idx="5">
                  <c:v>0.63637906167811997</c:v>
                </c:pt>
                <c:pt idx="6">
                  <c:v>0.48341393060151011</c:v>
                </c:pt>
                <c:pt idx="7">
                  <c:v>0.53612030202765759</c:v>
                </c:pt>
              </c:numCache>
            </c:numRef>
          </c:val>
        </c:ser>
        <c:dLbls>
          <c:showLegendKey val="0"/>
          <c:showVal val="0"/>
          <c:showCatName val="0"/>
          <c:showSerName val="0"/>
          <c:showPercent val="0"/>
          <c:showBubbleSize val="0"/>
        </c:dLbls>
        <c:gapWidth val="55"/>
        <c:overlap val="100"/>
        <c:axId val="440532096"/>
        <c:axId val="438744944"/>
      </c:barChart>
      <c:catAx>
        <c:axId val="440532096"/>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438744944"/>
        <c:crosses val="autoZero"/>
        <c:auto val="1"/>
        <c:lblAlgn val="ctr"/>
        <c:lblOffset val="100"/>
        <c:noMultiLvlLbl val="0"/>
      </c:catAx>
      <c:valAx>
        <c:axId val="43874494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40532096"/>
        <c:crosses val="autoZero"/>
        <c:crossBetween val="between"/>
        <c:majorUnit val="0.2"/>
      </c:valAx>
      <c:spPr>
        <a:noFill/>
        <a:ln w="25400">
          <a:noFill/>
        </a:ln>
      </c:spPr>
    </c:plotArea>
    <c:legend>
      <c:legendPos val="r"/>
      <c:layout>
        <c:manualLayout>
          <c:xMode val="edge"/>
          <c:yMode val="edge"/>
          <c:x val="0.73157383038137891"/>
          <c:y val="0.18556485702445089"/>
          <c:w val="0.26604344292375204"/>
          <c:h val="0.531922751761293"/>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Distributed HH(s) in 12 months per organisation</a:t>
            </a:r>
          </a:p>
        </c:rich>
      </c:tx>
      <c:layout>
        <c:manualLayout>
          <c:xMode val="edge"/>
          <c:yMode val="edge"/>
          <c:x val="0.24110225109676386"/>
          <c:y val="1.880596467589802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manualLayout>
          <c:layoutTarget val="inner"/>
          <c:xMode val="edge"/>
          <c:yMode val="edge"/>
          <c:x val="5.4503838866562307E-2"/>
          <c:y val="2.57677433961713E-2"/>
          <c:w val="0.81423732486199651"/>
          <c:h val="0.78358826914739388"/>
        </c:manualLayout>
      </c:layout>
      <c:barChart>
        <c:barDir val="col"/>
        <c:grouping val="clustered"/>
        <c:varyColors val="0"/>
        <c:ser>
          <c:idx val="1"/>
          <c:order val="0"/>
          <c:tx>
            <c:strRef>
              <c:f>'NFI Distribution (by Tship)'!$B$56</c:f>
              <c:strCache>
                <c:ptCount val="1"/>
                <c:pt idx="0">
                  <c:v>Sanitary Kit</c:v>
                </c:pt>
              </c:strCache>
              <c:extLst xmlns:c15="http://schemas.microsoft.com/office/drawing/2012/chart"/>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Tship)'!$B$57:$B$69</c15:sqref>
                  </c15:fullRef>
                </c:ext>
              </c:extLst>
              <c:f>'NFI Distribution (by Tship)'!$B$57:$B$68</c:f>
              <c:numCache>
                <c:formatCode>0</c:formatCode>
                <c:ptCount val="12"/>
                <c:pt idx="0">
                  <c:v>799</c:v>
                </c:pt>
                <c:pt idx="1">
                  <c:v>424</c:v>
                </c:pt>
                <c:pt idx="2">
                  <c:v>656</c:v>
                </c:pt>
                <c:pt idx="3">
                  <c:v>1325</c:v>
                </c:pt>
                <c:pt idx="4">
                  <c:v>397</c:v>
                </c:pt>
                <c:pt idx="8">
                  <c:v>0</c:v>
                </c:pt>
                <c:pt idx="11">
                  <c:v>0</c:v>
                </c:pt>
              </c:numCache>
            </c:numRef>
          </c:val>
        </c:ser>
        <c:ser>
          <c:idx val="2"/>
          <c:order val="1"/>
          <c:tx>
            <c:strRef>
              <c:f>'NFI Distribution (by Tship)'!$C$56</c:f>
              <c:strCache>
                <c:ptCount val="1"/>
                <c:pt idx="0">
                  <c:v> Mosquito net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Tship)'!$C$57:$C$69</c15:sqref>
                  </c15:fullRef>
                </c:ext>
              </c:extLst>
              <c:f>'NFI Distribution (by Tship)'!$C$57:$C$68</c:f>
              <c:numCache>
                <c:formatCode>0</c:formatCode>
                <c:ptCount val="12"/>
                <c:pt idx="2">
                  <c:v>1126.5</c:v>
                </c:pt>
                <c:pt idx="5">
                  <c:v>2835</c:v>
                </c:pt>
                <c:pt idx="8">
                  <c:v>345</c:v>
                </c:pt>
                <c:pt idx="11">
                  <c:v>725</c:v>
                </c:pt>
              </c:numCache>
            </c:numRef>
          </c:val>
        </c:ser>
        <c:ser>
          <c:idx val="3"/>
          <c:order val="2"/>
          <c:tx>
            <c:strRef>
              <c:f>'NFI Distribution (by Tship)'!$D$56</c:f>
              <c:strCache>
                <c:ptCount val="1"/>
                <c:pt idx="0">
                  <c:v> Tarpaulin</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Tship)'!$D$57:$D$69</c15:sqref>
                  </c15:fullRef>
                </c:ext>
              </c:extLst>
              <c:f>'NFI Distribution (by Tship)'!$D$57:$D$68</c:f>
              <c:numCache>
                <c:formatCode>0</c:formatCode>
                <c:ptCount val="12"/>
                <c:pt idx="1">
                  <c:v>424</c:v>
                </c:pt>
                <c:pt idx="2">
                  <c:v>0</c:v>
                </c:pt>
                <c:pt idx="5">
                  <c:v>60</c:v>
                </c:pt>
                <c:pt idx="11">
                  <c:v>0</c:v>
                </c:pt>
              </c:numCache>
            </c:numRef>
          </c:val>
        </c:ser>
        <c:ser>
          <c:idx val="4"/>
          <c:order val="3"/>
          <c:tx>
            <c:strRef>
              <c:f>'NFI Distribution (by Tship)'!$E$56</c:f>
              <c:strCache>
                <c:ptCount val="1"/>
                <c:pt idx="0">
                  <c:v> Blanket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Tship)'!$E$57:$E$69</c15:sqref>
                  </c15:fullRef>
                </c:ext>
              </c:extLst>
              <c:f>'NFI Distribution (by Tship)'!$E$57:$E$68</c:f>
              <c:numCache>
                <c:formatCode>0</c:formatCode>
                <c:ptCount val="12"/>
                <c:pt idx="1">
                  <c:v>0</c:v>
                </c:pt>
                <c:pt idx="2">
                  <c:v>965.5</c:v>
                </c:pt>
                <c:pt idx="3">
                  <c:v>351.5</c:v>
                </c:pt>
                <c:pt idx="5">
                  <c:v>3236.5</c:v>
                </c:pt>
                <c:pt idx="11">
                  <c:v>725</c:v>
                </c:pt>
              </c:numCache>
            </c:numRef>
          </c:val>
        </c:ser>
        <c:ser>
          <c:idx val="5"/>
          <c:order val="4"/>
          <c:tx>
            <c:strRef>
              <c:f>'NFI Distribution (by Tship)'!$F$56</c:f>
              <c:strCache>
                <c:ptCount val="1"/>
                <c:pt idx="0">
                  <c:v> Kitchen Set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Tship)'!$F$57:$F$69</c15:sqref>
                  </c15:fullRef>
                </c:ext>
              </c:extLst>
              <c:f>'NFI Distribution (by Tship)'!$F$57:$F$68</c:f>
              <c:numCache>
                <c:formatCode>0</c:formatCode>
                <c:ptCount val="12"/>
                <c:pt idx="5">
                  <c:v>1196</c:v>
                </c:pt>
                <c:pt idx="6">
                  <c:v>2084</c:v>
                </c:pt>
                <c:pt idx="11">
                  <c:v>0</c:v>
                </c:pt>
              </c:numCache>
            </c:numRef>
          </c:val>
        </c:ser>
        <c:ser>
          <c:idx val="6"/>
          <c:order val="5"/>
          <c:tx>
            <c:strRef>
              <c:f>'NFI Distribution (by Tship)'!$G$56</c:f>
              <c:strCache>
                <c:ptCount val="1"/>
                <c:pt idx="0">
                  <c:v> Complementary Kit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Tship)'!$G$57:$G$69</c15:sqref>
                  </c15:fullRef>
                </c:ext>
              </c:extLst>
              <c:f>'NFI Distribution (by Tship)'!$G$57:$G$68</c:f>
              <c:numCache>
                <c:formatCode>0</c:formatCode>
                <c:ptCount val="12"/>
                <c:pt idx="1">
                  <c:v>0</c:v>
                </c:pt>
                <c:pt idx="2">
                  <c:v>0</c:v>
                </c:pt>
                <c:pt idx="3">
                  <c:v>195</c:v>
                </c:pt>
                <c:pt idx="5">
                  <c:v>0</c:v>
                </c:pt>
                <c:pt idx="11">
                  <c:v>0</c:v>
                </c:pt>
              </c:numCache>
            </c:numRef>
          </c:val>
        </c:ser>
        <c:ser>
          <c:idx val="7"/>
          <c:order val="6"/>
          <c:tx>
            <c:strRef>
              <c:f>'NFI Distribution (by Tship)'!$H$56</c:f>
              <c:strCache>
                <c:ptCount val="1"/>
                <c:pt idx="0">
                  <c:v> Plastic Bucket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Tship)'!$H$57:$H$69</c15:sqref>
                  </c15:fullRef>
                </c:ext>
              </c:extLst>
              <c:f>'NFI Distribution (by Tship)'!$H$57:$H$68</c:f>
              <c:numCache>
                <c:formatCode>0</c:formatCode>
                <c:ptCount val="12"/>
                <c:pt idx="1">
                  <c:v>0</c:v>
                </c:pt>
                <c:pt idx="2">
                  <c:v>3276</c:v>
                </c:pt>
                <c:pt idx="5">
                  <c:v>0</c:v>
                </c:pt>
                <c:pt idx="11">
                  <c:v>1450</c:v>
                </c:pt>
              </c:numCache>
            </c:numRef>
          </c:val>
        </c:ser>
        <c:ser>
          <c:idx val="8"/>
          <c:order val="7"/>
          <c:tx>
            <c:strRef>
              <c:f>'NFI Distribution (by Tship)'!$I$56</c:f>
              <c:strCache>
                <c:ptCount val="1"/>
                <c:pt idx="0">
                  <c:v> Jerry Can</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Tship)'!$I$57:$I$69</c15:sqref>
                  </c15:fullRef>
                </c:ext>
              </c:extLst>
              <c:f>'NFI Distribution (by Tship)'!$I$57:$I$68</c:f>
              <c:numCache>
                <c:formatCode>0</c:formatCode>
                <c:ptCount val="12"/>
                <c:pt idx="2">
                  <c:v>3276</c:v>
                </c:pt>
                <c:pt idx="5">
                  <c:v>0</c:v>
                </c:pt>
                <c:pt idx="6">
                  <c:v>985</c:v>
                </c:pt>
                <c:pt idx="11">
                  <c:v>2900</c:v>
                </c:pt>
              </c:numCache>
            </c:numRef>
          </c:val>
        </c:ser>
        <c:ser>
          <c:idx val="9"/>
          <c:order val="8"/>
          <c:tx>
            <c:strRef>
              <c:f>'NFI Distribution (by Tship)'!$J$56</c:f>
              <c:strCache>
                <c:ptCount val="1"/>
                <c:pt idx="0">
                  <c:v> Plastic  Mat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Tship)'!$J$57:$J$69</c15:sqref>
                  </c15:fullRef>
                </c:ext>
              </c:extLst>
              <c:f>'NFI Distribution (by Tship)'!$J$57:$J$68</c:f>
              <c:numCache>
                <c:formatCode>0</c:formatCode>
                <c:ptCount val="12"/>
                <c:pt idx="1">
                  <c:v>424</c:v>
                </c:pt>
                <c:pt idx="2">
                  <c:v>1638</c:v>
                </c:pt>
                <c:pt idx="5">
                  <c:v>6879.5</c:v>
                </c:pt>
                <c:pt idx="9">
                  <c:v>0</c:v>
                </c:pt>
                <c:pt idx="10">
                  <c:v>0</c:v>
                </c:pt>
                <c:pt idx="11">
                  <c:v>0</c:v>
                </c:pt>
              </c:numCache>
            </c:numRef>
          </c:val>
        </c:ser>
        <c:ser>
          <c:idx val="10"/>
          <c:order val="9"/>
          <c:tx>
            <c:strRef>
              <c:f>'NFI Distribution (by Tship)'!$K$56</c:f>
              <c:strCache>
                <c:ptCount val="1"/>
                <c:pt idx="0">
                  <c:v>Adult Clothes</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Tship)'!$K$57:$K$69</c15:sqref>
                  </c15:fullRef>
                </c:ext>
              </c:extLst>
              <c:f>'NFI Distribution (by Tship)'!$K$57:$K$68</c:f>
              <c:numCache>
                <c:formatCode>General</c:formatCode>
                <c:ptCount val="12"/>
                <c:pt idx="0" formatCode="0">
                  <c:v>0</c:v>
                </c:pt>
                <c:pt idx="3" formatCode="0">
                  <c:v>628</c:v>
                </c:pt>
                <c:pt idx="5" formatCode="0">
                  <c:v>0</c:v>
                </c:pt>
                <c:pt idx="7" formatCode="0">
                  <c:v>0</c:v>
                </c:pt>
                <c:pt idx="9" formatCode="0">
                  <c:v>0</c:v>
                </c:pt>
                <c:pt idx="10" formatCode="0">
                  <c:v>7050</c:v>
                </c:pt>
                <c:pt idx="11" formatCode="0">
                  <c:v>2175</c:v>
                </c:pt>
              </c:numCache>
            </c:numRef>
          </c:val>
        </c:ser>
        <c:ser>
          <c:idx val="11"/>
          <c:order val="10"/>
          <c:tx>
            <c:strRef>
              <c:f>'NFI Distribution (by Tship)'!$L$56</c:f>
              <c:strCache>
                <c:ptCount val="1"/>
                <c:pt idx="0">
                  <c:v>Children Clothes</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Tship)'!$L$57:$L$69</c15:sqref>
                  </c15:fullRef>
                </c:ext>
              </c:extLst>
              <c:f>'NFI Distribution (by Tship)'!$L$57:$L$68</c:f>
              <c:numCache>
                <c:formatCode>0</c:formatCode>
                <c:ptCount val="12"/>
                <c:pt idx="5">
                  <c:v>0</c:v>
                </c:pt>
                <c:pt idx="7">
                  <c:v>0</c:v>
                </c:pt>
                <c:pt idx="9">
                  <c:v>2009</c:v>
                </c:pt>
                <c:pt idx="10">
                  <c:v>3629</c:v>
                </c:pt>
                <c:pt idx="11">
                  <c:v>725</c:v>
                </c:pt>
              </c:numCache>
            </c:numRef>
          </c:val>
        </c:ser>
        <c:ser>
          <c:idx val="12"/>
          <c:order val="11"/>
          <c:tx>
            <c:strRef>
              <c:f>'NFI Distribution (by Tship)'!$M$56</c:f>
              <c:strCache>
                <c:ptCount val="1"/>
                <c:pt idx="0">
                  <c:v>Sewing Kit</c:v>
                </c:pt>
              </c:strCache>
            </c:strRef>
          </c:tx>
          <c:invertIfNegative val="0"/>
          <c:cat>
            <c:strRef>
              <c:extLst>
                <c:ext xmlns:c15="http://schemas.microsoft.com/office/drawing/2012/chart" uri="{02D57815-91ED-43cb-92C2-25804820EDAC}">
                  <c15:fullRef>
                    <c15:sqref>'NFI Distribution (by Tship)'!$A$57:$A$68</c15:sqref>
                  </c15:fullRef>
                </c:ext>
              </c:extLst>
              <c:f>'NFI Distribution (by Tship)'!$A$57:$A$68</c:f>
              <c:strCache>
                <c:ptCount val="12"/>
                <c:pt idx="0">
                  <c:v>CDN</c:v>
                </c:pt>
                <c:pt idx="1">
                  <c:v>DRC</c:v>
                </c:pt>
                <c:pt idx="2">
                  <c:v>NRC</c:v>
                </c:pt>
                <c:pt idx="3">
                  <c:v>RI</c:v>
                </c:pt>
                <c:pt idx="4">
                  <c:v>SCI</c:v>
                </c:pt>
                <c:pt idx="5">
                  <c:v>UNHCR</c:v>
                </c:pt>
                <c:pt idx="6">
                  <c:v>SI</c:v>
                </c:pt>
                <c:pt idx="7">
                  <c:v>Gov</c:v>
                </c:pt>
                <c:pt idx="8">
                  <c:v>MHAA</c:v>
                </c:pt>
                <c:pt idx="9">
                  <c:v>MAUK</c:v>
                </c:pt>
                <c:pt idx="10">
                  <c:v>UNIQLO</c:v>
                </c:pt>
                <c:pt idx="11">
                  <c:v>MRF</c:v>
                </c:pt>
              </c:strCache>
            </c:strRef>
          </c:cat>
          <c:val>
            <c:numRef>
              <c:extLst>
                <c:ext xmlns:c15="http://schemas.microsoft.com/office/drawing/2012/chart" uri="{02D57815-91ED-43cb-92C2-25804820EDAC}">
                  <c15:fullRef>
                    <c15:sqref>'NFI Distribution (by Tship)'!$M$57:$M$69</c15:sqref>
                  </c15:fullRef>
                </c:ext>
              </c:extLst>
              <c:f>'NFI Distribution (by Tship)'!$M$57:$M$68</c:f>
              <c:numCache>
                <c:formatCode>General</c:formatCode>
                <c:ptCount val="12"/>
                <c:pt idx="3">
                  <c:v>628</c:v>
                </c:pt>
                <c:pt idx="5">
                  <c:v>0</c:v>
                </c:pt>
                <c:pt idx="11">
                  <c:v>0</c:v>
                </c:pt>
              </c:numCache>
            </c:numRef>
          </c:val>
        </c:ser>
        <c:dLbls>
          <c:showLegendKey val="0"/>
          <c:showVal val="0"/>
          <c:showCatName val="0"/>
          <c:showSerName val="0"/>
          <c:showPercent val="0"/>
          <c:showBubbleSize val="0"/>
        </c:dLbls>
        <c:gapWidth val="150"/>
        <c:axId val="438745728"/>
        <c:axId val="438746120"/>
        <c:extLst/>
      </c:barChart>
      <c:catAx>
        <c:axId val="438745728"/>
        <c:scaling>
          <c:orientation val="minMax"/>
        </c:scaling>
        <c:delete val="0"/>
        <c:axPos val="b"/>
        <c:numFmt formatCode="General" sourceLinked="0"/>
        <c:majorTickMark val="out"/>
        <c:minorTickMark val="none"/>
        <c:tickLblPos val="nextTo"/>
        <c:crossAx val="438746120"/>
        <c:crosses val="autoZero"/>
        <c:auto val="1"/>
        <c:lblAlgn val="ctr"/>
        <c:lblOffset val="100"/>
        <c:noMultiLvlLbl val="0"/>
      </c:catAx>
      <c:valAx>
        <c:axId val="438746120"/>
        <c:scaling>
          <c:orientation val="minMax"/>
        </c:scaling>
        <c:delete val="0"/>
        <c:axPos val="l"/>
        <c:majorGridlines/>
        <c:numFmt formatCode="0" sourceLinked="1"/>
        <c:majorTickMark val="out"/>
        <c:minorTickMark val="none"/>
        <c:tickLblPos val="nextTo"/>
        <c:crossAx val="438745728"/>
        <c:crosses val="autoZero"/>
        <c:crossBetween val="between"/>
      </c:valAx>
    </c:plotArea>
    <c:legend>
      <c:legendPos val="r"/>
      <c:layout>
        <c:manualLayout>
          <c:xMode val="edge"/>
          <c:yMode val="edge"/>
          <c:x val="0.87577608613449798"/>
          <c:y val="0"/>
          <c:w val="0.12422391386550205"/>
          <c:h val="1"/>
        </c:manualLayout>
      </c:layout>
      <c:overlay val="0"/>
      <c:txPr>
        <a:bodyPr/>
        <a:lstStyle/>
        <a:p>
          <a:pPr>
            <a:defRPr sz="100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57210</c:v>
                </c:pt>
                <c:pt idx="1">
                  <c:v>38120</c:v>
                </c:pt>
                <c:pt idx="3">
                  <c:v>9253</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2679</c:v>
                </c:pt>
              </c:numCache>
            </c:numRef>
          </c:val>
        </c:ser>
        <c:dLbls>
          <c:showLegendKey val="0"/>
          <c:showVal val="0"/>
          <c:showCatName val="0"/>
          <c:showSerName val="0"/>
          <c:showPercent val="0"/>
          <c:showBubbleSize val="0"/>
        </c:dLbls>
        <c:gapWidth val="70"/>
        <c:overlap val="100"/>
        <c:axId val="436999152"/>
        <c:axId val="436999544"/>
      </c:barChart>
      <c:catAx>
        <c:axId val="436999152"/>
        <c:scaling>
          <c:orientation val="minMax"/>
        </c:scaling>
        <c:delete val="0"/>
        <c:axPos val="b"/>
        <c:numFmt formatCode="General" sourceLinked="0"/>
        <c:majorTickMark val="out"/>
        <c:minorTickMark val="none"/>
        <c:tickLblPos val="nextTo"/>
        <c:txPr>
          <a:bodyPr/>
          <a:lstStyle/>
          <a:p>
            <a:pPr>
              <a:defRPr sz="1100"/>
            </a:pPr>
            <a:endParaRPr lang="en-US"/>
          </a:p>
        </c:txPr>
        <c:crossAx val="436999544"/>
        <c:crosses val="autoZero"/>
        <c:auto val="1"/>
        <c:lblAlgn val="ctr"/>
        <c:lblOffset val="100"/>
        <c:noMultiLvlLbl val="0"/>
      </c:catAx>
      <c:valAx>
        <c:axId val="436999544"/>
        <c:scaling>
          <c:orientation val="minMax"/>
        </c:scaling>
        <c:delete val="0"/>
        <c:axPos val="l"/>
        <c:majorGridlines/>
        <c:numFmt formatCode="#,##0" sourceLinked="0"/>
        <c:majorTickMark val="out"/>
        <c:minorTickMark val="none"/>
        <c:tickLblPos val="nextTo"/>
        <c:crossAx val="436999152"/>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Analysis!PivotTable14</c:name>
    <c:fmtId val="13"/>
  </c:pivotSource>
  <c:chart>
    <c:title>
      <c:tx>
        <c:rich>
          <a:bodyPr/>
          <a:lstStyle/>
          <a:p>
            <a:pPr>
              <a:defRPr/>
            </a:pPr>
            <a:r>
              <a:rPr lang="en-US" sz="1200"/>
              <a:t>IDP</a:t>
            </a:r>
            <a:r>
              <a:rPr lang="en-US" sz="1200" baseline="0"/>
              <a:t> Population (</a:t>
            </a:r>
            <a:r>
              <a:rPr lang="en-US" sz="1200" b="0" baseline="0"/>
              <a:t>120,506)</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2679</c:v>
                </c:pt>
                <c:pt idx="3">
                  <c:v>15985</c:v>
                </c:pt>
                <c:pt idx="4">
                  <c:v>187</c:v>
                </c:pt>
                <c:pt idx="5">
                  <c:v>2258</c:v>
                </c:pt>
                <c:pt idx="6">
                  <c:v>76834</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75"/>
        <c:overlap val="100"/>
        <c:axId val="216446592"/>
        <c:axId val="216446984"/>
      </c:barChart>
      <c:catAx>
        <c:axId val="216446592"/>
        <c:scaling>
          <c:orientation val="minMax"/>
        </c:scaling>
        <c:delete val="0"/>
        <c:axPos val="l"/>
        <c:numFmt formatCode="General" sourceLinked="0"/>
        <c:majorTickMark val="out"/>
        <c:minorTickMark val="none"/>
        <c:tickLblPos val="nextTo"/>
        <c:txPr>
          <a:bodyPr/>
          <a:lstStyle/>
          <a:p>
            <a:pPr>
              <a:defRPr sz="1200" baseline="0"/>
            </a:pPr>
            <a:endParaRPr lang="en-US"/>
          </a:p>
        </c:txPr>
        <c:crossAx val="216446984"/>
        <c:crosses val="autoZero"/>
        <c:auto val="1"/>
        <c:lblAlgn val="ctr"/>
        <c:lblOffset val="100"/>
        <c:noMultiLvlLbl val="0"/>
      </c:catAx>
      <c:valAx>
        <c:axId val="216446984"/>
        <c:scaling>
          <c:orientation val="minMax"/>
        </c:scaling>
        <c:delete val="0"/>
        <c:axPos val="b"/>
        <c:majorGridlines/>
        <c:numFmt formatCode="#,##0" sourceLinked="0"/>
        <c:majorTickMark val="out"/>
        <c:minorTickMark val="none"/>
        <c:tickLblPos val="nextTo"/>
        <c:crossAx val="216446592"/>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342301366284075"/>
                  <c:h val="0.11372355310841939"/>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104583</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4342301366284075"/>
                      <c:h val="0.11372355310841939"/>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15923</c:v>
                </c:pt>
              </c:numCache>
            </c:numRef>
          </c:val>
        </c:ser>
        <c:dLbls>
          <c:showLegendKey val="0"/>
          <c:showVal val="0"/>
          <c:showCatName val="0"/>
          <c:showSerName val="0"/>
          <c:showPercent val="0"/>
          <c:showBubbleSize val="0"/>
        </c:dLbls>
        <c:gapWidth val="90"/>
        <c:overlap val="100"/>
        <c:axId val="216447768"/>
        <c:axId val="433183432"/>
      </c:barChart>
      <c:catAx>
        <c:axId val="216447768"/>
        <c:scaling>
          <c:orientation val="minMax"/>
        </c:scaling>
        <c:delete val="0"/>
        <c:axPos val="b"/>
        <c:numFmt formatCode="General" sourceLinked="0"/>
        <c:majorTickMark val="out"/>
        <c:minorTickMark val="none"/>
        <c:tickLblPos val="nextTo"/>
        <c:txPr>
          <a:bodyPr/>
          <a:lstStyle/>
          <a:p>
            <a:pPr>
              <a:defRPr sz="1100"/>
            </a:pPr>
            <a:endParaRPr lang="en-US"/>
          </a:p>
        </c:txPr>
        <c:crossAx val="433183432"/>
        <c:crosses val="autoZero"/>
        <c:auto val="1"/>
        <c:lblAlgn val="ctr"/>
        <c:lblOffset val="100"/>
        <c:noMultiLvlLbl val="0"/>
      </c:catAx>
      <c:valAx>
        <c:axId val="433183432"/>
        <c:scaling>
          <c:orientation val="minMax"/>
          <c:max val="120000"/>
          <c:min val="0"/>
        </c:scaling>
        <c:delete val="0"/>
        <c:axPos val="l"/>
        <c:majorGridlines/>
        <c:numFmt formatCode="General" sourceLinked="1"/>
        <c:majorTickMark val="out"/>
        <c:minorTickMark val="none"/>
        <c:tickLblPos val="nextTo"/>
        <c:crossAx val="216447768"/>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99544</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99544</c:v>
                </c:pt>
                <c:pt idx="1">
                  <c:v>14843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99544</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99315</c:v>
                </c:pt>
                <c:pt idx="1">
                  <c:v>20346</c:v>
                </c:pt>
                <c:pt idx="2">
                  <c:v>6527</c:v>
                </c:pt>
                <c:pt idx="3">
                  <c:v>5638</c:v>
                </c:pt>
                <c:pt idx="4">
                  <c:v>4055</c:v>
                </c:pt>
                <c:pt idx="5">
                  <c:v>3826</c:v>
                </c:pt>
                <c:pt idx="6">
                  <c:v>2883</c:v>
                </c:pt>
                <c:pt idx="7">
                  <c:v>1601</c:v>
                </c:pt>
                <c:pt idx="8">
                  <c:v>1257</c:v>
                </c:pt>
                <c:pt idx="9">
                  <c:v>264</c:v>
                </c:pt>
              </c:numCache>
            </c:numRef>
          </c:val>
        </c:ser>
        <c:dLbls>
          <c:showLegendKey val="0"/>
          <c:showVal val="0"/>
          <c:showCatName val="0"/>
          <c:showSerName val="0"/>
          <c:showPercent val="0"/>
          <c:showBubbleSize val="0"/>
        </c:dLbls>
        <c:gapWidth val="150"/>
        <c:axId val="435288808"/>
        <c:axId val="435289200"/>
      </c:barChart>
      <c:catAx>
        <c:axId val="435288808"/>
        <c:scaling>
          <c:orientation val="minMax"/>
        </c:scaling>
        <c:delete val="0"/>
        <c:axPos val="l"/>
        <c:numFmt formatCode="General" sourceLinked="0"/>
        <c:majorTickMark val="out"/>
        <c:minorTickMark val="none"/>
        <c:tickLblPos val="nextTo"/>
        <c:txPr>
          <a:bodyPr/>
          <a:lstStyle/>
          <a:p>
            <a:pPr>
              <a:defRPr sz="1050"/>
            </a:pPr>
            <a:endParaRPr lang="en-US"/>
          </a:p>
        </c:txPr>
        <c:crossAx val="435289200"/>
        <c:crosses val="autoZero"/>
        <c:auto val="1"/>
        <c:lblAlgn val="ctr"/>
        <c:lblOffset val="100"/>
        <c:noMultiLvlLbl val="0"/>
      </c:catAx>
      <c:valAx>
        <c:axId val="435289200"/>
        <c:scaling>
          <c:orientation val="minMax"/>
          <c:max val="100000"/>
        </c:scaling>
        <c:delete val="0"/>
        <c:axPos val="b"/>
        <c:majorGridlines/>
        <c:numFmt formatCode="General" sourceLinked="1"/>
        <c:majorTickMark val="out"/>
        <c:minorTickMark val="none"/>
        <c:tickLblPos val="nextTo"/>
        <c:crossAx val="435288808"/>
        <c:crosses val="autoZero"/>
        <c:crossBetween val="between"/>
        <c:dispUnits>
          <c:builtInUnit val="thousands"/>
          <c:dispUnitsLbl>
            <c:layout/>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587249" y="692727"/>
          <a:ext cx="3110114"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120,506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47,270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26</xdr:col>
      <xdr:colOff>508000</xdr:colOff>
      <xdr:row>1</xdr:row>
      <xdr:rowOff>873125</xdr:rowOff>
    </xdr:to>
    <xdr:grpSp>
      <xdr:nvGrpSpPr>
        <xdr:cNvPr id="10" name="Group 9"/>
        <xdr:cNvGrpSpPr/>
      </xdr:nvGrpSpPr>
      <xdr:grpSpPr>
        <a:xfrm>
          <a:off x="5676900" y="679450"/>
          <a:ext cx="8013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17</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18</xdr:col>
      <xdr:colOff>164988</xdr:colOff>
      <xdr:row>0</xdr:row>
      <xdr:rowOff>0</xdr:rowOff>
    </xdr:from>
    <xdr:to>
      <xdr:col>20</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1120</xdr:colOff>
      <xdr:row>3</xdr:row>
      <xdr:rowOff>44823</xdr:rowOff>
    </xdr:from>
    <xdr:to>
      <xdr:col>23</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890326" y="452438"/>
          <a:ext cx="3102519"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3972</xdr:colOff>
      <xdr:row>22</xdr:row>
      <xdr:rowOff>130968</xdr:rowOff>
    </xdr:from>
    <xdr:to>
      <xdr:col>7</xdr:col>
      <xdr:colOff>190500</xdr:colOff>
      <xdr:row>36</xdr:row>
      <xdr:rowOff>480218</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36063"/>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7</xdr:col>
      <xdr:colOff>273845</xdr:colOff>
      <xdr:row>22</xdr:row>
      <xdr:rowOff>11907</xdr:rowOff>
    </xdr:from>
    <xdr:to>
      <xdr:col>19</xdr:col>
      <xdr:colOff>23814</xdr:colOff>
      <xdr:row>36</xdr:row>
      <xdr:rowOff>631031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515471</xdr:colOff>
      <xdr:row>1</xdr:row>
      <xdr:rowOff>181988</xdr:rowOff>
    </xdr:from>
    <xdr:to>
      <xdr:col>27</xdr:col>
      <xdr:colOff>638735</xdr:colOff>
      <xdr:row>2</xdr:row>
      <xdr:rowOff>321232</xdr:rowOff>
    </xdr:to>
    <xdr:grpSp>
      <xdr:nvGrpSpPr>
        <xdr:cNvPr id="2" name="Group 1"/>
        <xdr:cNvGrpSpPr/>
      </xdr:nvGrpSpPr>
      <xdr:grpSpPr>
        <a:xfrm>
          <a:off x="18669000" y="641429"/>
          <a:ext cx="4403911"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14</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120,506</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120,506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2679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15985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94717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120,506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897595" y="586443"/>
          <a:ext cx="5563097"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863.625435185182"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863.625435995367"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2863.625436111113" createdVersion="4" refreshedVersion="5" minRefreshableVersion="3" recordCount="582">
  <cacheSource type="worksheet">
    <worksheetSource name="Data_NFI_t"/>
  </cacheSource>
  <cacheFields count="41">
    <cacheField name="Months" numFmtId="1">
      <sharedItems containsBlank="1" containsMixedTypes="1" containsNumber="1" minValue="-2.4333333333333331" maxValue="56.93333333333333" count="1366">
        <n v="-0.9"/>
        <n v="-0.56666666666666665"/>
        <n v="-0.53333333333333333"/>
        <n v="-0.5"/>
        <n v="-0.43333333333333335"/>
        <n v="-0.3"/>
        <n v="-0.16666666666666666"/>
        <n v="6.6666666666666666E-2"/>
        <n v="0.76666666666666672"/>
        <n v="0.96666666666666667"/>
        <n v="1.2333333333333334"/>
        <n v="1.3666666666666667"/>
        <n v="1.4"/>
        <n v="1.4666666666666666"/>
        <n v="1.8666666666666667"/>
        <n v="2.1"/>
        <n v="2.1666666666666665"/>
        <n v="2.2666666666666666"/>
        <n v="2.7333333333333334"/>
        <n v="3.0666666666666669"/>
        <n v="3.2"/>
        <n v="3.5"/>
        <n v="3.7"/>
        <n v="3.7666666666666666"/>
        <n v="5.166666666666667"/>
        <n v="6.9333333333333336"/>
        <n v="8.4333333333333336"/>
        <n v="8.4666666666666668"/>
        <n v="9.1666666666666661"/>
        <n v="9.9666666666666668"/>
        <n v="13.033333333333333"/>
        <n v="13.233333333333333"/>
        <n v="13.3"/>
        <n v="13.466666666666667"/>
        <n v="14.933333333333334"/>
        <n v="15.466666666666667"/>
        <n v="15.6"/>
        <n v="15.633333333333333"/>
        <n v="16.133333333333333"/>
        <n v="16.366666666666667"/>
        <n v="17"/>
        <n v="17.7"/>
        <n v="18.899999999999999"/>
        <n v="19.033333333333335"/>
        <n v="19.533333333333335"/>
        <n v="19.566666666666666"/>
        <n v="20.033333333333335"/>
        <n v="20.466666666666665"/>
        <n v="20.5"/>
        <n v="20.533333333333335"/>
        <n v="20.566666666666666"/>
        <n v="20.833333333333332"/>
        <n v="20.966666666666665"/>
        <n v="21"/>
        <n v="21.7"/>
        <n v="21.966666666666665"/>
        <n v="22.133333333333333"/>
        <n v="22.166666666666668"/>
        <n v="22.2"/>
        <n v="22.466666666666665"/>
        <n v="23.9"/>
        <n v="24.233333333333334"/>
        <n v="24.366666666666667"/>
        <n v="24.666666666666668"/>
        <n v="25.3"/>
        <n v="25.4"/>
        <n v="25.666666666666668"/>
        <n v="26.166666666666668"/>
        <n v="26.333333333333332"/>
        <n v="26.633333333333333"/>
        <n v="26.8"/>
        <n v="26.833333333333332"/>
        <n v="26.933333333333334"/>
        <n v="29.833333333333332"/>
        <n v="29.866666666666667"/>
        <n v="29.9"/>
        <n v="30.533333333333335"/>
        <n v="30.6"/>
        <n v="31"/>
        <n v="31.433333333333334"/>
        <n v="31.8"/>
        <n v="33.033333333333331"/>
        <n v="33.233333333333334"/>
        <n v="35.5"/>
        <n v="36.533333333333331"/>
        <n v="37.5"/>
        <n v="38"/>
        <n v="38.033333333333331"/>
        <n v="38.333333333333336"/>
        <n v="38.466666666666669"/>
        <n v="38.533333333333331"/>
        <n v="39.133333333333333"/>
        <n v="39.166666666666664"/>
        <n v="39.4"/>
        <n v="39.93333333333333"/>
        <n v="40.1"/>
        <n v="40.133333333333333"/>
        <n v="40.166666666666664"/>
        <n v="40.56666666666667"/>
        <n v="40.666666666666664"/>
        <n v="40.866666666666667"/>
        <n v="41"/>
        <n v="41.033333333333331"/>
        <n v="41.966666666666669"/>
        <n v="42"/>
        <n v="42.2"/>
        <n v="42.733333333333334"/>
        <n v="43.2"/>
        <n v="43.366666666666667"/>
        <n v="44.333333333333336"/>
        <n v="44.366666666666667"/>
        <n v="44.466666666666669"/>
        <n v="44.633333333333333"/>
        <n v="44.8"/>
        <n v="45.733333333333334"/>
        <n v="45.766666666666666"/>
        <n v="45.8"/>
        <n v="45.93333333333333"/>
        <n v="45.966666666666669"/>
        <n v="46.7"/>
        <n v="46.733333333333334"/>
        <n v="46.833333333333336"/>
        <n v="46.9"/>
        <n v="47.3"/>
        <n v="47.366666666666667"/>
        <n v="47.4"/>
        <n v="47.533333333333331"/>
        <n v="47.56666666666667"/>
        <n v="47.6"/>
        <n v="47.633333333333333"/>
        <n v="48.266666666666666"/>
        <n v="48.56666666666667"/>
        <n v="48.633333333333333"/>
        <n v="48.7"/>
        <n v="48.766666666666666"/>
        <n v="48.93333333333333"/>
        <n v="48.966666666666669"/>
        <n v="49.166666666666664"/>
        <n v="49.2"/>
        <n v="49.4"/>
        <n v="49.633333333333333"/>
        <n v="49.7"/>
        <n v="49.9"/>
        <n v="50"/>
        <n v="50.1"/>
        <n v="50.133333333333333"/>
        <n v="50.366666666666667"/>
        <n v="50.4"/>
        <n v="50.466666666666669"/>
        <n v="50.666666666666664"/>
        <n v="50.93333333333333"/>
        <n v="50.966666666666669"/>
        <n v="51.133333333333333"/>
        <n v="51.166666666666664"/>
        <n v="51.2"/>
        <n v="51.233333333333334"/>
        <n v="51.266666666666666"/>
        <n v="51.3"/>
        <n v="51.333333333333336"/>
        <n v="51.4"/>
        <n v="51.56666666666667"/>
        <n v="51.633333333333333"/>
        <n v="51.733333333333334"/>
        <n v="52.033333333333331"/>
        <n v="52.1"/>
        <n v="52.633333333333333"/>
        <n v="52.666666666666664"/>
        <n v="52.7"/>
        <n v="52.733333333333334"/>
        <n v="53.533333333333331"/>
        <n v="53.56666666666667"/>
        <n v="54.533333333333331"/>
        <n v="54.6"/>
        <n v="54.733333333333334"/>
        <n v="54.966666666666669"/>
        <n v="55.033333333333331"/>
        <n v="55.633333333333333"/>
        <n v="55.833333333333336"/>
        <n v="55.866666666666667"/>
        <n v="56.133333333333333"/>
        <n v="56.166666666666664"/>
        <n v="56.2"/>
        <n v="56.233333333333334"/>
        <n v="56.266666666666666"/>
        <n v="56.3"/>
        <n v="56.333333333333336"/>
        <n v="56.43333333333333"/>
        <n v="56.466666666666669"/>
        <n v="56.5"/>
        <n v="56.533333333333331"/>
        <n v="56.6"/>
        <n v="56.666666666666664"/>
        <n v="56.833333333333336"/>
        <n v="56.866666666666667"/>
        <n v="56.9"/>
        <n v="56.93333333333333"/>
        <m/>
        <s v=""/>
        <n v="0" u="1"/>
        <n v="33.766666666666666" u="1"/>
        <n v="9.4333333333333336" u="1"/>
        <n v="24.033333333333335" u="1"/>
        <n v="28.7" u="1"/>
        <n v="34.733333333333334" u="1"/>
        <n v="1.1666666666666667" u="1"/>
        <n v="15.833333333333334" u="1"/>
        <n v="20.333333333333332" u="1"/>
        <n v="25" u="1"/>
        <n v="51.966666666666669" u="1"/>
        <n v="21.3" u="1"/>
        <n v="52.93333333333333" u="1"/>
        <n v="44.56666666666667" u="1"/>
        <n v="53.9" u="1"/>
        <n v="9.8000000000000007" u="1"/>
        <n v="12.133333333333333" u="1"/>
        <n v="14.466666666666667" u="1"/>
        <n v="36.200000000000003" u="1"/>
        <n v="45.533333333333331" u="1"/>
        <n v="54.866666666666667" u="1"/>
        <n v="-1.8333333333333333" u="1"/>
        <n v="37.166666666666664" u="1"/>
        <n v="46.5" u="1"/>
        <n v="30.4" u="1"/>
        <n v="38.133333333333333" u="1"/>
        <n v="39.1" u="1"/>
        <n v="31.366666666666667" u="1"/>
        <n v="1.3333333333333333" u="1"/>
        <n v="-0.13333333333333333" u="1"/>
        <n v="18.333333333333332" u="1"/>
        <n v="47.966666666666669" u="1"/>
        <n v="3.4333333333333331" u="1"/>
        <n v="19.3" u="1"/>
        <n v="11.133333333333333" u="1"/>
        <n v="32.200000000000003" u="1"/>
        <n v="41.533333333333331" u="1"/>
        <n v="50.866666666666667" u="1"/>
        <n v="33.166666666666664" u="1"/>
        <n v="42.5" u="1"/>
        <n v="23.733333333333334" u="1"/>
        <n v="28.4" u="1"/>
        <n v="34.133333333333333" u="1"/>
        <n v="35.1" u="1"/>
        <n v="29.366666666666667" u="1"/>
        <n v="1.5" u="1"/>
        <n v="13.833333333333334" u="1"/>
        <n v="52.333333333333336" u="1"/>
        <n v="43.966666666666669" u="1"/>
        <n v="53.3" u="1"/>
        <n v="17.3" u="1"/>
        <n v="44.93333333333333" u="1"/>
        <n v="54.266666666666666" u="1"/>
        <n v="36.56666666666667" u="1"/>
        <n v="45.9" u="1"/>
        <n v="55.233333333333334" u="1"/>
        <n v="7.9" u="1"/>
        <n v="10.133333333333333" u="1"/>
        <n v="12.466666666666667" u="1"/>
        <n v="30.1" u="1"/>
        <n v="37.533333333333331" u="1"/>
        <n v="38.5" u="1"/>
        <n v="26.4" u="1"/>
        <n v="31.066666666666666" u="1"/>
        <n v="18.033333333333335" u="1"/>
        <n v="22.7" u="1"/>
        <n v="12.833333333333334" u="1"/>
        <n v="19" u="1"/>
        <n v="48.333333333333336" u="1"/>
        <n v="39.966666666666669" u="1"/>
        <n v="49.3" u="1"/>
        <n v="2.9333333333333331" u="1"/>
        <n v="4.2" u="1"/>
        <n v="40.93333333333333" u="1"/>
        <n v="50.266666666666666" u="1"/>
        <n v="32.56666666666667" u="1"/>
        <n v="41.9" u="1"/>
        <n v="11.466666666666667" u="1"/>
        <n v="28.1" u="1"/>
        <n v="33.533333333333331" u="1"/>
        <n v="-1.1666666666666667" u="1"/>
        <n v="34.5" u="1"/>
        <n v="19.733333333333334" u="1"/>
        <n v="29.066666666666666" u="1"/>
        <n v="0.46666666666666667" u="1"/>
        <n v="16.033333333333335" u="1"/>
        <n v="20.7" u="1"/>
        <n v="25.366666666666667" u="1"/>
        <n v="0.83333333333333337" u="1"/>
        <n v="11.833333333333334" u="1"/>
        <n v="14.166666666666666" u="1"/>
        <n v="53.666666666666664" u="1"/>
        <n v="35.966666666666669" u="1"/>
        <n v="45.3" u="1"/>
        <n v="54.633333333333333" u="1"/>
        <n v="3.2666666666666666" u="1"/>
        <n v="36.93333333333333" u="1"/>
        <n v="46.266666666666666" u="1"/>
        <n v="55.6" u="1"/>
        <n v="47.233333333333334" u="1"/>
        <n v="6.9" u="1"/>
        <n v="10.466666666666667" u="1"/>
        <n v="26.1" u="1"/>
        <n v="30.766666666666666" u="1"/>
        <n v="38.866666666666667" u="1"/>
        <n v="0.13333333333333333" u="1"/>
        <n v="17.733333333333334" u="1"/>
        <n v="22.4" u="1"/>
        <n v="27.066666666666666" u="1"/>
        <n v="18.7" u="1"/>
        <n v="23.366666666666667" u="1"/>
        <n v="15.5" u="1"/>
        <n v="40.333333333333336" u="1"/>
        <n v="49.666666666666664" u="1"/>
        <n v="41.3" u="1"/>
        <n v="2.4333333333333331" u="1"/>
        <n v="50.633333333333333" u="1"/>
        <n v="3.6" u="1"/>
        <n v="32.93333333333333" u="1"/>
        <n v="42.266666666666666" u="1"/>
        <n v="51.6" u="1"/>
        <n v="33.9" u="1"/>
        <n v="43.233333333333334" u="1"/>
        <n v="6.4" u="1"/>
        <n v="9.4666666666666668" u="1"/>
        <n v="28.766666666666666" u="1"/>
        <n v="34.866666666666667" u="1"/>
        <n v="15.866666666666667" u="1"/>
        <n v="20.399999999999999" u="1"/>
        <n v="25.066666666666666" u="1"/>
        <n v="16.7" u="1"/>
        <n v="21.366666666666667" u="1"/>
        <n v="53.06666666666667" u="1"/>
        <n v="44.7" u="1"/>
        <n v="54.033333333333331" u="1"/>
        <n v="12.166666666666666" u="1"/>
        <n v="14.5" u="1"/>
        <n v="36.333333333333336" u="1"/>
        <n v="45.666666666666664" u="1"/>
        <n v="37.299999999999997" u="1"/>
        <n v="46.633333333333333" u="1"/>
        <n v="2.7666666666666666" u="1"/>
        <n v="30.466666666666665" u="1"/>
        <n v="38.266666666666666" u="1"/>
        <n v="39.233333333333334" u="1"/>
        <n v="26.766666666666666" u="1"/>
        <n v="23.066666666666666" u="1"/>
        <n v="0.3" u="1"/>
        <n v="19.366666666666667" u="1"/>
        <n v="49.06666666666667" u="1"/>
        <n v="40.700000000000003" u="1"/>
        <n v="50.033333333333331" u="1"/>
        <n v="11.166666666666666" u="1"/>
        <n v="13.5" u="1"/>
        <n v="32.333333333333336" u="1"/>
        <n v="41.666666666666664" u="1"/>
        <n v="33.299999999999997" u="1"/>
        <n v="1.9666666666666666" u="1"/>
        <n v="42.633333333333333" u="1"/>
        <n v="34.266666666666666" u="1"/>
        <n v="43.6" u="1"/>
        <n v="35.233333333333334" u="1"/>
        <n v="6.5666666666666664" u="1"/>
        <n v="24.766666666666666" u="1"/>
        <n v="29.433333333333334" u="1"/>
        <n v="-0.83333333333333337" u="1"/>
        <n v="13.866666666666667" u="1"/>
        <n v="16.399999999999999" u="1"/>
        <n v="21.066666666666666" u="1"/>
        <n v="52.466666666666669" u="1"/>
        <n v="-2.1" u="1"/>
        <n v="53.43333333333333" u="1"/>
        <n v="45.06666666666667" u="1"/>
        <n v="36.700000000000003" u="1"/>
        <n v="55.366666666666667" u="1"/>
        <n v="12.5" u="1"/>
        <n v="30.166666666666668" u="1"/>
        <n v="37.666666666666664" u="1"/>
        <n v="47" u="1"/>
        <n v="38.633333333333333" u="1"/>
        <n v="-0.23333333333333334" u="1"/>
        <n v="39.6" u="1"/>
        <n v="4.9000000000000004" u="1"/>
        <n v="18.100000000000001" u="1"/>
        <n v="22.766666666666666" u="1"/>
        <n v="27.433333333333334" u="1"/>
        <n v="12.866666666666667" u="1"/>
        <n v="15.2" u="1"/>
        <n v="48.466666666666669" u="1"/>
        <n v="-2.4333333333333331" u="1"/>
        <n v="-1.6333333333333333" u="1"/>
        <n v="49.43333333333333" u="1"/>
        <n v="41.06666666666667" u="1"/>
        <n v="0.66666666666666663" u="1"/>
        <n v="42.033333333333331" u="1"/>
        <n v="11.5" u="1"/>
        <n v="28.166666666666668" u="1"/>
        <n v="33.666666666666664" u="1"/>
        <n v="43" u="1"/>
        <n v="34.633333333333333" u="1"/>
        <n v="2.6" u="1"/>
        <n v="24.466666666666665" u="1"/>
        <n v="29.133333333333333" u="1"/>
        <n v="35.6" u="1"/>
        <n v="16.100000000000001" u="1"/>
        <n v="20.766666666666666" u="1"/>
        <n v="25.433333333333334" u="1"/>
        <n v="52.833333333333336" u="1"/>
        <n v="11.866666666666667" u="1"/>
        <n v="14.2" u="1"/>
        <n v="17.066666666666666" u="1"/>
        <n v="53.8" u="1"/>
        <n v="45.43333333333333" u="1"/>
        <n v="37.06666666666667" u="1"/>
        <n v="46.4" u="1"/>
        <n v="55.733333333333334" u="1"/>
        <n v="8.1666666666666661" u="1"/>
        <n v="10.5" u="1"/>
        <n v="30.833333333333332" u="1"/>
        <n v="39" u="1"/>
        <n v="27.133333333333333" u="1"/>
        <n v="6.2333333333333334" u="1"/>
        <n v="23.433333333333334" u="1"/>
        <n v="13.2" u="1"/>
        <n v="15.533333333333333" u="1"/>
        <n v="40.466666666666669" u="1"/>
        <n v="49.8" u="1"/>
        <n v="-1.9666666666666666" u="1"/>
        <n v="50.766666666666666" u="1"/>
        <n v="33.06666666666667" u="1"/>
        <n v="42.4" u="1"/>
        <n v="34.033333333333331" u="1"/>
        <n v="28.833333333333332" u="1"/>
        <n v="35" u="1"/>
        <n v="29.8" u="1"/>
        <n v="16.766666666666666" u="1"/>
        <n v="21.433333333333334" u="1"/>
        <n v="53.2" u="1"/>
        <n v="44.833333333333336" u="1"/>
        <n v="54.166666666666664" u="1"/>
        <n v="12.2" u="1"/>
        <n v="14.533333333333333" u="1"/>
        <n v="36.466666666666669" u="1"/>
        <n v="37.43333333333333" u="1"/>
        <n v="46.766666666666666" u="1"/>
        <n v="38.4" u="1"/>
        <n v="47.733333333333334" u="1"/>
        <n v="39.366666666666667" u="1"/>
        <n v="31.5" u="1"/>
        <n v="18.466666666666665" u="1"/>
        <n v="23.133333333333333" u="1"/>
        <n v="27.8" u="1"/>
        <n v="5.2333333333333334" u="1"/>
        <n v="19.433333333333334" u="1"/>
        <n v="-0.66666666666666663" u="1"/>
        <n v="50.166666666666664" u="1"/>
        <n v="13.533333333333333" u="1"/>
        <n v="32.466666666666669" u="1"/>
        <n v="41.8" u="1"/>
        <n v="33.43333333333333" u="1"/>
        <n v="42.766666666666666" u="1"/>
        <n v="28.533333333333335" u="1"/>
        <n v="34.4" u="1"/>
        <n v="43.733333333333334" u="1"/>
        <n v="35.366666666666667" u="1"/>
        <n v="20.166666666666668" u="1"/>
        <n v="24.833333333333332" u="1"/>
        <n v="29.5" u="1"/>
        <n v="1.8" u="1"/>
        <n v="16.466666666666665" u="1"/>
        <n v="21.133333333333333" u="1"/>
        <n v="25.8" u="1"/>
        <n v="4.7333333333333334" u="1"/>
        <n v="17.433333333333334" u="1"/>
        <n v="45.2" u="1"/>
        <n v="36.833333333333336" u="1"/>
        <n v="46.166666666666664" u="1"/>
        <n v="55.5" u="1"/>
        <n v="10.199999999999999" u="1"/>
        <n v="12.533333333333333" u="1"/>
        <n v="30.233333333333334" u="1"/>
        <n v="37.799999999999997" u="1"/>
        <n v="47.133333333333333" u="1"/>
        <n v="38.766666666666666" u="1"/>
        <n v="48.1" u="1"/>
        <n v="26.533333333333335" u="1"/>
        <n v="31.2" u="1"/>
        <n v="39.733333333333334" u="1"/>
        <n v="0.5" u="1"/>
        <n v="18.166666666666668" u="1"/>
        <n v="22.833333333333332" u="1"/>
        <n v="15.233333333333333" u="1"/>
        <n v="19.133333333333333" u="1"/>
        <n v="23.8" u="1"/>
        <n v="49.56666666666667" u="1"/>
        <n v="3.5333333333333332" u="1"/>
        <n v="4.2333333333333334" u="1"/>
        <n v="41.2" u="1"/>
        <n v="50.533333333333331" u="1"/>
        <n v="32.833333333333336" u="1"/>
        <n v="42.166666666666664" u="1"/>
        <n v="51.5" u="1"/>
        <n v="7.4333333333333336" u="1"/>
        <n v="9.1999999999999993" u="1"/>
        <n v="28.233333333333334" u="1"/>
        <n v="33.799999999999997" u="1"/>
        <n v="43.133333333333333" u="1"/>
        <n v="34.766666666666666" u="1"/>
        <n v="44.1" u="1"/>
        <n v="35.733333333333334" u="1"/>
        <n v="16.166666666666668" u="1"/>
        <n v="25.5" u="1"/>
        <n v="14.233333333333333" u="1"/>
        <n v="17.133333333333333" u="1"/>
        <n v="21.8" u="1"/>
        <n v="53.93333333333333" u="1"/>
        <n v="45.56666666666667" u="1"/>
        <n v="54.9" u="1"/>
        <n v="2.7" u="1"/>
        <n v="37.200000000000003" u="1"/>
        <n v="46.533333333333331" u="1"/>
        <n v="38.166666666666664" u="1"/>
        <n v="47.5" u="1"/>
        <n v="8.1999999999999993" u="1"/>
        <n v="26.233333333333334" u="1"/>
        <n v="27.2" u="1"/>
        <n v="18.833333333333332" u="1"/>
        <n v="23.5" u="1"/>
        <n v="15.566666666666666" u="1"/>
        <n v="49.93333333333333" u="1"/>
        <n v="41.56666666666667" u="1"/>
        <n v="50.9" u="1"/>
        <n v="33.200000000000003" u="1"/>
        <n v="42.533333333333331" u="1"/>
        <n v="51.866666666666667" u="1"/>
        <n v="34.166666666666664" u="1"/>
        <n v="28.9" u="1"/>
        <n v="35.133333333333333" u="1"/>
        <n v="36.1" u="1"/>
        <n v="16.833333333333332" u="1"/>
        <n v="21.5" u="1"/>
        <n v="53.333333333333336" u="1"/>
        <n v="44.966666666666669" u="1"/>
        <n v="54.3" u="1"/>
        <n v="14.566666666666666" u="1"/>
        <n v="55.266666666666666" u="1"/>
        <n v="37.56666666666667" u="1"/>
        <n v="2.2000000000000002" u="1"/>
        <n v="3.3666666666666667" u="1"/>
        <n v="5.9333333333333336" u="1"/>
        <n v="8.5333333333333332" u="1"/>
        <n v="22.233333333333334" u="1"/>
        <n v="26.9" u="1"/>
        <n v="31.566666666666666" u="1"/>
        <n v="32.1" u="1"/>
        <n v="18.533333333333335" u="1"/>
        <n v="23.2" u="1"/>
        <n v="27.866666666666667" u="1"/>
        <n v="49.333333333333336" u="1"/>
        <n v="40.966666666666669" u="1"/>
        <n v="50.3" u="1"/>
        <n v="15.9" u="1"/>
        <n v="41.93333333333333" u="1"/>
        <n v="33.56666666666667" u="1"/>
        <n v="42.9" u="1"/>
        <n v="52.233333333333334" u="1"/>
        <n v="28.6" u="1"/>
        <n v="34.533333333333331" u="1"/>
        <n v="43.866666666666667" u="1"/>
        <n v="5.4333333333333336" u="1"/>
        <n v="20.233333333333334" u="1"/>
        <n v="24.9" u="1"/>
        <n v="29.566666666666666" u="1"/>
        <n v="16.533333333333335" u="1"/>
        <n v="21.2" u="1"/>
        <n v="25.866666666666667" u="1"/>
        <n v="17.5" u="1"/>
        <n v="45.333333333333336" u="1"/>
        <n v="36.966666666666669" u="1"/>
        <n v="46.3" u="1"/>
        <n v="10.233333333333333" u="1"/>
        <n v="14.9" u="1"/>
        <n v="47.266666666666666" u="1"/>
        <n v="38.9" u="1"/>
        <n v="48.233333333333334" u="1"/>
        <n v="26.6" u="1"/>
        <n v="31.266666666666666" u="1"/>
        <n v="39.866666666666667" u="1"/>
        <n v="4.9333333333333336" u="1"/>
        <n v="7.2666666666666666" u="1"/>
        <n v="18.233333333333334" u="1"/>
        <n v="22.9" u="1"/>
        <n v="27.566666666666666" u="1"/>
        <n v="15.266666666666667" u="1"/>
        <n v="19.2" u="1"/>
        <n v="23.866666666666667" u="1"/>
        <n v="41.333333333333336" u="1"/>
        <n v="32.966666666666669" u="1"/>
        <n v="42.3" u="1"/>
        <n v="9.2333333333333325" u="1"/>
        <n v="13.9" u="1"/>
        <n v="33.93333333333333" u="1"/>
        <n v="52.6" u="1"/>
        <n v="34.9" u="1"/>
        <n v="44.233333333333334" u="1"/>
        <n v="24.6" u="1"/>
        <n v="29.266666666666666" u="1"/>
        <n v="3.3333333333333333E-2" u="1"/>
        <n v="4.4333333333333336" u="1"/>
        <n v="6.7666666666666666" u="1"/>
        <n v="16.233333333333334" u="1"/>
        <n v="20.9" u="1"/>
        <n v="25.566666666666666" u="1"/>
        <n v="45.7" u="1"/>
        <n v="37.333333333333336" u="1"/>
        <n v="46.666666666666664" u="1"/>
        <n v="56" u="1"/>
        <n v="38.299999999999997" u="1"/>
        <n v="0.9" u="1"/>
        <n v="8.2333333333333325" u="1"/>
        <n v="10.566666666666666" u="1"/>
        <n v="30.966666666666665" u="1"/>
        <n v="39.266666666666666" u="1"/>
        <n v="40.233333333333334" u="1"/>
        <n v="22.6" u="1"/>
        <n v="27.266666666666666" u="1"/>
        <n v="31.933333333333334" u="1"/>
        <n v="5.0999999999999996" u="1"/>
        <n v="6.2666666666666666" u="1"/>
        <n v="23.566666666666666" u="1"/>
        <n v="19.866666666666667" u="1"/>
        <n v="50.06666666666667" u="1"/>
        <n v="41.7" u="1"/>
        <n v="51.033333333333331" u="1"/>
        <n v="33.333333333333336" u="1"/>
        <n v="42.666666666666664" u="1"/>
        <n v="43.633333333333333" u="1"/>
        <n v="9.5666666666666664" u="1"/>
        <n v="11.9" u="1"/>
        <n v="28.966666666666665" u="1"/>
        <n v="35.266666666666666" u="1"/>
        <n v="44.6" u="1"/>
        <n v="20.6" u="1"/>
        <n v="29.933333333333334" u="1"/>
        <n v="5.7666666666666666" u="1"/>
        <n v="-0.73333333333333328" u="1"/>
        <n v="53.466666666666669" u="1"/>
        <n v="17.866666666666667" u="1"/>
        <n v="46.06666666666667" u="1"/>
        <n v="55.4" u="1"/>
        <n v="37.700000000000003" u="1"/>
        <n v="47.033333333333331" u="1"/>
        <n v="38.666666666666664" u="1"/>
        <n v="48"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49.466666666666669" u="1"/>
        <n v="50.43333333333333" u="1"/>
        <n v="11.266666666666667" u="1"/>
        <n v="13.6" u="1"/>
        <n v="15.933333333333334" u="1"/>
        <n v="42.06666666666667" u="1"/>
        <n v="33.700000000000003" u="1"/>
        <n v="43.033333333333331" u="1"/>
        <n v="44" u="1"/>
        <n v="0.56666666666666665" u="1"/>
        <n v="35.633333333333333" u="1"/>
        <n v="9.9" u="1"/>
        <n v="24.966666666666665" u="1"/>
        <n v="29.633333333333333" u="1"/>
        <n v="16.600000000000001" u="1"/>
        <n v="21.266666666666666" u="1"/>
        <n v="53.833333333333336" u="1"/>
        <n v="4.7666666666666666" u="1"/>
        <n v="17.566666666666666" u="1"/>
        <n v="46.43333333333333" u="1"/>
        <n v="12.6" u="1"/>
        <n v="39.033333333333331" u="1"/>
        <n v="26.666666666666668" u="1"/>
        <n v="31.333333333333332" u="1"/>
        <n v="40" u="1"/>
        <n v="8.9" u="1"/>
        <n v="22.966666666666665" u="1"/>
        <n v="27.633333333333333" u="1"/>
        <n v="1.1000000000000001" u="1"/>
        <n v="19.266666666666666" u="1"/>
        <n v="23.933333333333334" u="1"/>
        <n v="49.833333333333336" u="1"/>
        <n v="4.2666666666666666" u="1"/>
        <n v="41.466666666666669" u="1"/>
        <n v="50.8" u="1"/>
        <n v="42.43333333333333" u="1"/>
        <n v="51.766666666666666" u="1"/>
        <n v="11.6" u="1"/>
        <n v="13.933333333333334" u="1"/>
        <n v="34.06666666666667" u="1"/>
        <n v="43.4" u="1"/>
        <n v="35.033333333333331" u="1"/>
        <n v="29.333333333333332" u="1"/>
        <n v="36" u="1"/>
        <n v="25.633333333333333" u="1"/>
        <n v="30.3" u="1"/>
        <n v="21.933333333333334" u="1"/>
        <n v="54.2" u="1"/>
        <n v="3.3" u="1"/>
        <n v="37.466666666666669" u="1"/>
        <n v="46.8" u="1"/>
        <n v="38.43333333333333" u="1"/>
        <n v="47.766666666666666" u="1"/>
        <n v="8.2666666666666675" u="1"/>
        <n v="10.6" u="1"/>
        <n v="31.033333333333335" u="1"/>
        <n v="48.733333333333334" u="1"/>
        <n v="40.366666666666667" u="1"/>
        <n v="22.666666666666668" u="1"/>
        <n v="27.333333333333332" u="1"/>
        <n v="32" u="1"/>
        <n v="18.966666666666665" u="1"/>
        <n v="23.633333333333333" u="1"/>
        <n v="28.3" u="1"/>
        <n v="50.2" u="1"/>
        <n v="41.833333333333336" u="1"/>
        <n v="42.8" u="1"/>
        <n v="52.133333333333333" u="1"/>
        <n v="34.43333333333333" u="1"/>
        <n v="43.766666666666666" u="1"/>
        <n v="9.6" u="1"/>
        <n v="11.933333333333334" u="1"/>
        <n v="29.033333333333335" u="1"/>
        <n v="35.4" u="1"/>
        <n v="44.733333333333334" u="1"/>
        <n v="36.366666666666667" u="1"/>
        <n v="20.666666666666668" u="1"/>
        <n v="30" u="1"/>
        <n v="16.966666666666665" u="1"/>
        <n v="26.3" u="1"/>
        <n v="54.56666666666667" u="1"/>
        <n v="12.3" u="1"/>
        <n v="14.633333333333333" u="1"/>
        <n v="46.2" u="1"/>
        <n v="55.533333333333331" u="1"/>
        <n v="47.166666666666664" u="1"/>
        <n v="2.8" u="1"/>
        <n v="30.733333333333334" u="1"/>
        <n v="48.133333333333333" u="1"/>
        <n v="39.766666666666666" u="1"/>
        <n v="49.1" u="1"/>
        <n v="7.1333333333333337" u="1"/>
        <n v="8.6" u="1"/>
        <n v="10.933333333333334" u="1"/>
        <n v="27.033333333333335" u="1"/>
        <n v="31.7" u="1"/>
        <n v="40.733333333333334" u="1"/>
        <n v="32.366666666666667" u="1"/>
        <n v="18.666666666666668" u="1"/>
        <n v="23.333333333333332" u="1"/>
        <n v="28" u="1"/>
        <n v="19.633333333333333" u="1"/>
        <n v="24.3" u="1"/>
        <n v="0.8" u="1"/>
        <n v="50.56666666666667" u="1"/>
        <n v="13.633333333333333" u="1"/>
        <n v="15.966666666666667" u="1"/>
        <n v="51.533333333333331" u="1"/>
        <n v="43.166666666666664" u="1"/>
        <n v="52.5" u="1"/>
        <n v="3.1333333333333333" u="1"/>
        <n v="28.733333333333334" u="1"/>
        <n v="34.799999999999997" u="1"/>
        <n v="44.133333333333333" u="1"/>
        <n v="35.766666666666666" u="1"/>
        <n v="45.1" u="1"/>
        <n v="9.9333333333333336" u="1"/>
        <n v="-1.2666666666666666" u="1"/>
        <n v="16.666666666666668" u="1"/>
        <n v="21.333333333333332" u="1"/>
        <n v="26" u="1"/>
        <n v="22.3" u="1"/>
        <n v="54.93333333333333" u="1"/>
        <n v="55.9" u="1"/>
        <n v="10.3" u="1"/>
        <n v="12.633333333333333" u="1"/>
        <n v="14.966666666666667" u="1"/>
        <n v="38.200000000000003" u="1"/>
        <n v="2.2999999999999998" u="1"/>
        <n v="48.5" u="1"/>
        <n v="31.4" u="1"/>
        <n v="41.1" u="1"/>
        <n v="8.9333333333333336" u="1"/>
        <n v="23.033333333333335" u="1"/>
        <n v="32.733333333333334" u="1"/>
        <n v="15.333333333333334" u="1"/>
        <n v="19.333333333333332" u="1"/>
        <n v="20.3" u="1"/>
        <n v="42.56666666666667" u="1"/>
        <n v="51.9" u="1"/>
        <n v="9.3000000000000007" u="1"/>
        <n v="11.633333333333333" u="1"/>
        <n v="34.200000000000003" u="1"/>
        <n v="43.533333333333331" u="1"/>
        <n v="52.866666666666667" u="1"/>
        <n v="35.166666666666664" u="1"/>
        <n v="1.7333333333333334" u="1"/>
        <n v="44.5" u="1"/>
        <n v="24.733333333333334" u="1"/>
        <n v="29.4" u="1"/>
        <n v="36.133333333333333" u="1"/>
        <n v="37.1" u="1"/>
        <n v="5.6333333333333337" u="1"/>
        <n v="21.033333333333335" u="1"/>
        <n v="25.7" u="1"/>
        <n v="30.366666666666667" u="1"/>
        <n v="14.333333333333334" u="1"/>
        <n v="17.333333333333332" u="1"/>
        <n v="54.333333333333336" u="1"/>
        <n v="55.3" u="1"/>
        <n v="18.3" u="1"/>
        <n v="46.93333333333333" u="1"/>
        <n v="47.9" u="1"/>
        <n v="10.633333333333333" u="1"/>
        <n v="12.966666666666667" u="1"/>
        <n v="31.1" u="1"/>
        <n v="39.533333333333331" u="1"/>
        <n v="1.9" u="1"/>
        <n v="40.5" u="1"/>
        <n v="27.4" u="1"/>
        <n v="33.1" u="1"/>
        <n v="23.7" u="1"/>
        <n v="-0.8" u="1"/>
        <n v="15.666666666666666" u="1"/>
        <n v="20" u="1"/>
        <n v="50.333333333333336" u="1"/>
        <n v="16.3" u="1"/>
        <n v="42.93333333333333" u="1"/>
        <n v="52.266666666666666" u="1"/>
        <n v="34.56666666666667" u="1"/>
        <n v="43.9" u="1"/>
        <n v="53.233333333333334" u="1"/>
        <n v="11.966666666666667" u="1"/>
        <n v="29.1" u="1"/>
        <n v="35.533333333333331" u="1"/>
        <n v="44.866666666666667" u="1"/>
        <n v="36.5" u="1"/>
        <n v="2.1333333333333333" u="1"/>
        <n v="20.733333333333334" u="1"/>
        <n v="30.066666666666666" u="1"/>
        <n v="5.8" u="1"/>
        <n v="6.9666666666666668" u="1"/>
        <n v="17.033333333333335" u="1"/>
        <n v="26.366666666666667" u="1"/>
        <n v="54.7" u="1"/>
        <n v="14.666666666666666" u="1"/>
        <n v="18" u="1"/>
        <n v="55.666666666666664" u="1"/>
        <n v="37.966666666666669" u="1"/>
        <n v="38.93333333333333" u="1"/>
        <n v="39.9" u="1"/>
        <n v="49.233333333333334" u="1"/>
        <n v="10.966666666666667" u="1"/>
        <n v="27.1" u="1"/>
        <n v="31.766666666666666" u="1"/>
        <n v="32.5" u="1"/>
        <n v="23.4" u="1"/>
        <n v="28.066666666666666" u="1"/>
        <n v="4.1333333333333337" u="1"/>
        <n v="5.3" u="1"/>
        <n v="6.4666666666666668" u="1"/>
        <n v="19.7" u="1"/>
        <n v="50.7" u="1"/>
        <n v="11.333333333333334" u="1"/>
        <n v="13.666666666666666" u="1"/>
        <n v="16" u="1"/>
        <n v="42.333333333333336" u="1"/>
        <n v="33.966666666666669" u="1"/>
        <n v="43.3" u="1"/>
        <n v="34.93333333333333" u="1"/>
        <n v="44.266666666666666" u="1"/>
        <n v="53.6" u="1"/>
        <n v="35.9" u="1"/>
        <n v="45.233333333333334" u="1"/>
        <n v="29.766666666666666" u="1"/>
        <n v="36.866666666666667" u="1"/>
        <n v="16.733333333333334" u="1"/>
        <n v="21.4" u="1"/>
        <n v="26.066666666666666" u="1"/>
        <n v="4.8" u="1"/>
        <n v="5.9666666666666668" u="1"/>
        <n v="22.366666666666667" u="1"/>
        <n v="10.333333333333334" u="1"/>
        <n v="12.666666666666666" u="1"/>
        <n v="15" u="1"/>
        <n v="47.666666666666664" u="1"/>
        <n v="-1.9" u="1"/>
        <n v="39.299999999999997" u="1"/>
        <n v="31.466666666666665" u="1"/>
        <n v="40.266666666666666" u="1"/>
        <n v="49.6" u="1"/>
        <n v="41.233333333333334" u="1"/>
        <n v="32.866666666666667" u="1"/>
        <n v="19.399999999999999" u="1"/>
        <n v="24.066666666666666" u="1"/>
        <n v="3.5666666666666669" u="1"/>
        <n v="4.3" u="1"/>
        <n v="5.4666666666666668" u="1"/>
        <n v="20.366666666666667" u="1"/>
        <n v="42.7" u="1"/>
        <n v="11.666666666666666" u="1"/>
        <n v="14" u="1"/>
        <n v="34.333333333333336" u="1"/>
        <n v="43.666666666666664" u="1"/>
        <n v="53" u="1"/>
        <n v="35.299999999999997" u="1"/>
        <n v="29.466666666666665" u="1"/>
        <n v="45.6" u="1"/>
        <n v="0.4" u="1"/>
        <n v="21.1" u="1"/>
        <n v="25.766666666666666" u="1"/>
        <n v="30.433333333333334" u="1"/>
        <n v="22.066666666666666" u="1"/>
        <n v="54.466666666666669" u="1"/>
        <n v="4.9666666666666668" u="1"/>
        <n v="-0.6333333333333333" u="1"/>
        <n v="47.06666666666667" u="1"/>
        <n v="38.700000000000003" u="1"/>
        <n v="48.033333333333331" u="1"/>
        <n v="13" u="1"/>
        <n v="31.166666666666668" u="1"/>
        <n v="39.666666666666664" u="1"/>
        <n v="49" u="1"/>
        <n v="40.633333333333333" u="1"/>
        <n v="27.466666666666665" u="1"/>
        <n v="32.266666666666666" u="1"/>
        <n v="41.6" u="1"/>
        <n v="19.100000000000001" u="1"/>
        <n v="23.766666666666666" u="1"/>
        <n v="28.433333333333334" u="1"/>
        <n v="13.366666666666667" u="1"/>
        <n v="20.066666666666666" u="1"/>
        <n v="51.43333333333333" u="1"/>
        <n v="4.4666666666666668" u="1"/>
        <n v="43.06666666666667" u="1"/>
        <n v="34.700000000000003" u="1"/>
        <n v="7.666666666666667" u="1"/>
        <n v="12" u="1"/>
        <n v="29.166666666666668" u="1"/>
        <n v="35.666666666666664" u="1"/>
        <n v="45" u="1"/>
        <n v="36.633333333333333" u="1"/>
        <n v="25.466666666666665" u="1"/>
        <n v="30.133333333333333" u="1"/>
        <n v="37.6" u="1"/>
        <n v="17.100000000000001" u="1"/>
        <n v="21.766666666666666" u="1"/>
        <n v="0.8666666666666667" u="1"/>
        <n v="12.366666666666667" u="1"/>
        <n v="14.7" u="1"/>
        <n v="18.066666666666666" u="1"/>
        <n v="46.466666666666669" u="1"/>
        <n v="47.43333333333333" u="1"/>
        <n v="3.4" u="1"/>
        <n v="39.06666666666667" u="1"/>
        <n v="48.4" u="1"/>
        <n v="40.033333333333331" u="1"/>
        <n v="49.366666666666667" u="1"/>
        <n v="27.166666666666668" u="1"/>
        <n v="23.466666666666665" u="1"/>
        <n v="28.133333333333333" u="1"/>
        <n v="33.6" u="1"/>
        <n v="19.766666666666666" u="1"/>
        <n v="24.433333333333334" u="1"/>
        <n v="50.833333333333336" u="1"/>
        <n v="11.366666666666667" u="1"/>
        <n v="13.7" u="1"/>
        <n v="16.066666666666666" u="1"/>
        <n v="42.466666666666669" u="1"/>
        <n v="51.8" u="1"/>
        <n v="43.43333333333333" u="1"/>
        <n v="52.766666666666666" u="1"/>
        <n v="2.5666666666666669" u="1"/>
        <n v="3.7333333333333334" u="1"/>
        <n v="35.06666666666667" u="1"/>
        <n v="44.4" u="1"/>
        <n v="36.033333333333331" u="1"/>
        <n v="45.366666666666667" u="1"/>
        <n v="6.666666666666667" u="1"/>
        <n v="37" u="1"/>
        <n v="21.466666666666665" u="1"/>
        <n v="26.133333333333333" u="1"/>
        <n v="30.8" u="1"/>
        <n v="22.433333333333334" u="1"/>
        <n v="55.2" u="1"/>
        <n v="15.033333333333333" u="1"/>
        <n v="47.8" u="1"/>
        <n v="39.43333333333333" u="1"/>
        <n v="2.9" u="1"/>
        <n v="31.533333333333335" u="1"/>
        <n v="40.4" u="1"/>
        <n v="49.733333333333334" u="1"/>
        <n v="41.366666666666667" u="1"/>
        <n v="6.166666666666667" u="1"/>
        <n v="23.166666666666668" u="1"/>
        <n v="27.833333333333332" u="1"/>
        <n v="33" u="1"/>
        <n v="19.466666666666665" u="1"/>
        <n v="24.133333333333333" u="1"/>
        <n v="28.8" u="1"/>
        <n v="42.833333333333336" u="1"/>
        <n v="52.166666666666664" u="1"/>
        <n v="11.7" u="1"/>
        <n v="34.466666666666669" u="1"/>
        <n v="43.8" u="1"/>
        <n v="53.133333333333333" u="1"/>
        <n v="35.43333333333333" u="1"/>
        <n v="44.766666666666666" u="1"/>
        <n v="54.1" u="1"/>
        <n v="2.0666666666666669" u="1"/>
        <n v="3.2333333333333334" u="1"/>
        <n v="29.533333333333335" u="1"/>
        <n v="36.4" u="1"/>
        <n v="37.366666666666667" u="1"/>
        <n v="8" u="1"/>
        <n v="25.833333333333332" u="1"/>
        <n v="-0.8666666666666667" u="1"/>
        <n v="30.5" u="1"/>
        <n v="17.466666666666665" u="1"/>
        <n v="55.56666666666667" u="1"/>
        <n v="47.2" u="1"/>
        <n v="38.833333333333336" u="1"/>
        <n v="48.166666666666664" u="1"/>
        <n v="49.133333333333333" u="1"/>
        <n v="40.766666666666666" u="1"/>
        <n v="2.4" u="1"/>
        <n v="27.533333333333335" u="1"/>
        <n v="32.4" u="1"/>
        <n v="41.733333333333334" u="1"/>
        <n v="33.366666666666667" u="1"/>
        <n v="7.5" u="1"/>
        <n v="19.166666666666668" u="1"/>
        <n v="23.833333333333332" u="1"/>
        <n v="28.5" u="1"/>
        <n v="15.733333333333333" u="1"/>
        <n v="20.133333333333333" u="1"/>
        <n v="24.8" u="1"/>
        <n v="16.433333333333334" u="1"/>
        <n v="52.533333333333331" u="1"/>
        <n v="0.7" u="1"/>
        <n v="34.833333333333336" u="1"/>
        <n v="44.166666666666664" u="1"/>
        <n v="53.5" u="1"/>
        <n v="9.6999999999999993" u="1"/>
        <n v="29.233333333333334" u="1"/>
        <n v="45.133333333333333" u="1"/>
        <n v="46.1" u="1"/>
        <n v="25.533333333333335" u="1"/>
        <n v="30.2" u="1"/>
        <n v="37.733333333333334" u="1"/>
        <n v="4.666666666666667" u="1"/>
        <n v="5.833333333333333" u="1"/>
        <n v="7" u="1"/>
        <n v="17.166666666666668" u="1"/>
        <n v="21.833333333333332" u="1"/>
        <n v="18.133333333333333" u="1"/>
        <n v="22.8" u="1"/>
        <n v="55.93333333333333" u="1"/>
        <n v="0.2" u="1"/>
        <n v="39.200000000000003" u="1"/>
        <n v="48.533333333333331" u="1"/>
        <n v="49.5" u="1"/>
        <n v="8.6999999999999993" u="1"/>
        <n v="27.233333333333334" u="1"/>
        <n v="31.9" u="1"/>
        <n v="41.133333333333333" u="1"/>
        <n v="32.766666666666666" u="1"/>
        <n v="42.1" u="1"/>
        <n v="23.533333333333335" u="1"/>
        <n v="28.2" u="1"/>
        <n v="33.733333333333334" u="1"/>
        <n v="5.333333333333333" u="1"/>
        <n v="6.5" u="1"/>
        <n v="24.5" u="1"/>
        <n v="20.8" u="1"/>
        <n v="43.56666666666667" u="1"/>
        <n v="52.9" u="1"/>
        <n v="35.200000000000003" u="1"/>
        <n v="44.533333333333331" u="1"/>
        <n v="53.866666666666667" u="1"/>
        <n v="36.166666666666664" u="1"/>
        <n v="45.5" u="1"/>
        <n v="10.033333333333333" u="1"/>
        <n v="25.233333333333334" u="1"/>
        <n v="37.133333333333333" u="1"/>
        <n v="1.5333333333333334" u="1"/>
        <n v="21.533333333333335" u="1"/>
        <n v="30.866666666666667" u="1"/>
        <n v="3.8333333333333335" u="1"/>
        <n v="4.833333333333333" u="1"/>
        <n v="6" u="1"/>
        <n v="17.833333333333332" u="1"/>
        <n v="55.333333333333336" u="1"/>
        <n v="46.966666666666669" u="1"/>
        <n v="15.066666666666666" u="1"/>
        <n v="18.8" u="1"/>
        <n v="47.93333333333333" u="1"/>
        <n v="40.533333333333331" u="1"/>
        <n v="49.866666666666667" u="1"/>
        <n v="0.43333333333333335" u="1"/>
        <n v="32.166666666666664" u="1"/>
        <n v="41.5" u="1"/>
        <n v="9.0333333333333332" u="1"/>
        <n v="27.9" u="1"/>
        <n v="33.133333333333333" u="1"/>
        <n v="34.1" u="1"/>
        <n v="24.2" u="1"/>
        <n v="4.333333333333333" u="1"/>
        <n v="5.5" u="1"/>
        <n v="42.966666666666669" u="1"/>
        <n v="52.3" u="1"/>
        <n v="11.733333333333333" u="1"/>
        <n v="16.8" u="1"/>
        <n v="43.93333333333333" u="1"/>
        <n v="-1.2" u="1"/>
        <n v="53.266666666666666" u="1"/>
        <n v="35.56666666666667" u="1"/>
        <n v="44.9" u="1"/>
        <n v="54.233333333333334" u="1"/>
        <n v="29.6" u="1"/>
        <n v="45.866666666666667" u="1"/>
        <n v="8.0333333333333332" u="1"/>
        <n v="21.233333333333334" u="1"/>
        <n v="25.9" u="1"/>
        <n v="30.566666666666666" u="1"/>
        <n v="17.533333333333335" u="1"/>
        <n v="26.866666666666667" u="1"/>
        <n v="3.3333333333333335" u="1"/>
        <n v="18.5" u="1"/>
        <n v="47.333333333333336" u="1"/>
        <n v="38.966666666666669" u="1"/>
        <n v="48.3" u="1"/>
        <n v="10.733333333333333" u="1"/>
        <n v="13.066666666666666" u="1"/>
        <n v="15.4" u="1"/>
        <n v="-1.3666666666666667" u="1"/>
        <n v="49.266666666666666" u="1"/>
        <n v="40.9" u="1"/>
        <n v="50.233333333333334" u="1"/>
        <n v="27.6" u="1"/>
        <n v="32.533333333333331" u="1"/>
        <n v="41.866666666666667" u="1"/>
        <n v="0.53333333333333333" u="1"/>
        <n v="33.5" u="1"/>
        <n v="28.566666666666666" u="1"/>
        <n v="20.2" u="1"/>
        <n v="24.866666666666667" u="1"/>
        <n v="51.7" u="1"/>
        <n v="16.5" u="1"/>
        <n v="43.333333333333336" u="1"/>
        <n v="34.966666666666669" u="1"/>
        <n v="44.3" u="1"/>
        <n v="14.4" u="1"/>
        <n v="35.93333333333333" u="1"/>
        <n v="45.266666666666666" u="1"/>
        <n v="-1.5333333333333334" u="1"/>
        <n v="36.9" u="1"/>
        <n v="46.233333333333334" u="1"/>
        <n v="25.6" u="1"/>
        <n v="30.266666666666666" u="1"/>
        <n v="37.866666666666667" u="1"/>
        <n v="17.233333333333334" u="1"/>
        <n v="21.9" u="1"/>
        <n v="26.566666666666666" u="1"/>
        <n v="1.0333333333333334" u="1"/>
        <n v="18.2" u="1"/>
        <n v="22.866666666666667" u="1"/>
        <n v="47.7" u="1"/>
        <n v="2.8333333333333335" u="1"/>
        <n v="4" u="1"/>
        <n v="39.333333333333336" u="1"/>
        <n v="48.666666666666664" u="1"/>
        <n v="40.299999999999997" u="1"/>
        <n v="11.066666666666666" u="1"/>
        <n v="13.4" u="1"/>
        <n v="31.966666666666665" u="1"/>
        <n v="41.266666666666666" u="1"/>
        <n v="50.6" u="1"/>
        <n v="32.9" u="1"/>
        <n v="42.233333333333334" u="1"/>
        <n v="28.266666666666666" u="1"/>
        <n v="19.899999999999999" u="1"/>
        <n v="24.566666666666666" u="1"/>
        <n v="13.766666666666667" u="1"/>
        <n v="16.2" u="1"/>
        <n v="43.7" u="1"/>
        <n v="35.333333333333336" u="1"/>
        <n v="44.666666666666664" u="1"/>
        <n v="36.299999999999997" u="1"/>
        <n v="45.633333333333333" u="1"/>
        <n v="7.8666666666666663" u="1"/>
        <n v="29.966666666666665" u="1"/>
        <n v="37.266666666666666" u="1"/>
        <n v="46.6" u="1"/>
        <n v="38.233333333333334" u="1"/>
        <n v="21.6" u="1"/>
        <n v="26.266666666666666" u="1"/>
        <n v="30.933333333333334" u="1"/>
        <n v="15.1" u="1"/>
        <n v="18.866666666666667" u="1"/>
        <n v="39.700000000000003" u="1"/>
        <n v="49.033333333333331" u="1"/>
        <n v="2.3333333333333335" u="1"/>
        <n v="32.299999999999997" u="1"/>
        <n v="41.633333333333333" u="1"/>
        <n v="9.0666666666666664" u="1"/>
        <n v="11.4" u="1"/>
        <n v="27.966666666666665" u="1"/>
        <n v="-0.93333333333333335" u="1"/>
        <n v="33.266666666666666" u="1"/>
        <n v="42.6" u="1"/>
        <n v="19.600000000000001" u="1"/>
        <n v="24.266666666666666" u="1"/>
        <n v="28.933333333333334" u="1"/>
        <n v="51.466666666666669" u="1"/>
        <n v="52.43333333333333" u="1"/>
        <n v="16.866666666666667" u="1"/>
        <n v="44.06666666666667" u="1"/>
        <n v="35.700000000000003" u="1"/>
        <n v="45.033333333333331" u="1"/>
        <n v="54.366666666666667" u="1"/>
        <n v="-0.26666666666666666" u="1"/>
        <n v="29.666666666666668" u="1"/>
        <n v="36.666666666666664" u="1"/>
        <n v="46" u="1"/>
        <n v="37.633333333333333" u="1"/>
        <n v="8.0666666666666664" u="1"/>
        <n v="25.966666666666665" u="1"/>
        <n v="30.633333333333333" u="1"/>
        <n v="38.6" u="1"/>
        <n v="-1.0333333333333334" u="1"/>
        <n v="17.600000000000001" u="1"/>
        <n v="22.266666666666666" u="1"/>
        <n v="18.566666666666666" u="1"/>
        <n v="47.466666666666669" u="1"/>
        <n v="48.43333333333333" u="1"/>
        <n v="13.1" u="1"/>
        <n v="15.433333333333334" u="1"/>
        <n v="40.06666666666667" u="1"/>
        <n v="3" u="1"/>
        <n v="27.666666666666668" u="1"/>
        <n v="32.666666666666664" u="1"/>
        <n v="33.633333333333333" u="1"/>
        <n v="6.3666666666666663" u="1"/>
        <n v="7.5333333333333332" u="1"/>
        <n v="9.4" u="1"/>
        <n v="23.966666666666665" u="1"/>
        <n v="28.633333333333333" u="1"/>
        <n v="15.8" u="1"/>
        <n v="20.266666666666666" u="1"/>
        <n v="24.933333333333334" u="1"/>
        <n v="51.833333333333336" u="1"/>
        <n v="16.566666666666666" u="1"/>
        <n v="44.43333333333333" u="1"/>
        <n v="12.1" u="1"/>
        <n v="14.433333333333334" u="1"/>
        <n v="36.06666666666667" u="1"/>
        <n v="45.4" u="1"/>
        <n v="37.033333333333331" u="1"/>
        <n v="46.366666666666667" u="1"/>
        <n v="30.333333333333332" u="1"/>
        <n v="7.0333333333333332" u="1"/>
        <n v="8.4" u="1"/>
        <n v="-0.6" u="1"/>
        <n v="14.8" u="1"/>
        <n v="18.266666666666666" u="1"/>
        <n v="22.933333333333334" u="1"/>
        <n v="47.833333333333336" u="1"/>
        <n v="39.466666666666669" u="1"/>
        <n v="48.8" u="1"/>
        <n v="40.43333333333333" u="1"/>
        <n v="0.93333333333333335" u="1"/>
        <n v="49.766666666666666" u="1"/>
        <n v="-0.1" u="1"/>
        <n v="11.1" u="1"/>
        <n v="13.433333333333334" u="1"/>
        <n v="32.06666666666667" u="1"/>
        <n v="41.4" u="1"/>
        <n v="50.733333333333334" u="1"/>
        <n v="42.366666666666667" u="1"/>
        <n v="1.6666666666666667" u="1"/>
        <n v="2.5" u="1"/>
        <n v="23.666666666666668" u="1"/>
        <n v="28.333333333333332" u="1"/>
        <n v="34" u="1"/>
        <n v="5.3666666666666663" u="1"/>
        <n v="6.5333333333333332" u="1"/>
        <n v="7.7" u="1"/>
        <n v="24.633333333333333" u="1"/>
        <n v="29.3" u="1"/>
        <n v="13.8" u="1"/>
        <n v="52.2" u="1"/>
        <n v="0.26666666666666666" u="1"/>
        <n v="43.833333333333336" u="1"/>
        <n v="53.166666666666664" u="1"/>
        <n v="35.466666666666669" u="1"/>
        <n v="36.43333333333333" u="1"/>
        <n v="10.1" u="1"/>
        <n v="30.033333333333335" u="1"/>
        <n v="37.4" u="1"/>
        <n v="38.366666666666667" u="1"/>
        <n v="21.666666666666668" u="1"/>
        <n v="4.8666666666666663" u="1"/>
        <n v="7.2" u="1"/>
        <n v="17.966666666666665" u="1"/>
        <n v="22.633333333333333" u="1"/>
        <n v="12.8" u="1"/>
        <n v="15.133333333333333" u="1"/>
        <n v="48.2" u="1"/>
        <n v="39.833333333333336" u="1"/>
        <n v="31.733333333333334" u="1"/>
        <n v="40.799999999999997" u="1"/>
        <n v="32.43333333333333" u="1"/>
        <n v="41.766666666666666" u="1"/>
        <n v="51.1" u="1"/>
        <n v="9.1" u="1"/>
        <n v="11.433333333333334" u="1"/>
        <n v="34.366666666666667" u="1"/>
        <n v="24.333333333333332" u="1"/>
        <n v="4.3666666666666663" u="1"/>
        <n v="5.5333333333333332" u="1"/>
        <n v="6.7" u="1"/>
        <n v="20.633333333333333" u="1"/>
        <n v="52.56666666666667" u="1"/>
        <n v="16.933333333333334" u="1"/>
        <n v="44.2" u="1"/>
        <n v="35.833333333333336" u="1"/>
        <n v="45.166666666666664" u="1"/>
        <n v="54.5" u="1"/>
        <n v="29.733333333333334" u="1"/>
        <n v="46.133333333333333" u="1"/>
        <n v="0.6" u="1"/>
        <n v="47.1" u="1"/>
        <n v="8.1" u="1"/>
        <n v="10.433333333333334" u="1"/>
        <n v="30.7" u="1"/>
        <n v="38.733333333333334" u="1"/>
        <n v="17.666666666666668" u="1"/>
        <n v="22.333333333333332" u="1"/>
        <n v="27" u="1"/>
        <n v="55.966666666666669" u="1"/>
        <n v="3.9333333333333331" u="1"/>
        <n v="5.0333333333333332" u="1"/>
        <n v="18.633333333333333" u="1"/>
        <n v="23.3" u="1"/>
        <n v="13.133333333333333" u="1"/>
        <n v="40.200000000000003" u="1"/>
        <n v="49.533333333333331" u="1"/>
        <n v="-1.6666666666666667" u="1"/>
        <n v="50.5" u="1"/>
        <n v="32.799999999999997" u="1"/>
        <n v="42.133333333333333" u="1"/>
      </sharedItems>
    </cacheField>
    <cacheField name="year" numFmtId="0">
      <sharedItems containsString="0" containsBlank="1" containsNumber="1" containsInteger="1" minValue="1900" maxValue="2017" count="8">
        <n v="2017"/>
        <n v="2016"/>
        <n v="2015"/>
        <n v="2014"/>
        <n v="2013"/>
        <n v="2012"/>
        <m/>
        <n v="1900"/>
      </sharedItems>
    </cacheField>
    <cacheField name="Distribution Date" numFmtId="0">
      <sharedItems containsNonDate="0" containsDate="1" containsString="0" containsBlank="1" minDate="2012-06-27T00:00:00" maxDate="2017-03-29T00:00:00" count="197">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0" base="2">
        <rangePr groupBy="months" startDate="2012-06-27T00:00:00" endDate="2017-03-29T00:00:00"/>
        <groupItems count="14">
          <s v="(blank)"/>
          <s v="Jan"/>
          <s v="Feb"/>
          <s v="Mar"/>
          <s v="Apr"/>
          <s v="May"/>
          <s v="Jun"/>
          <s v="Jul"/>
          <s v="Aug"/>
          <s v="Sep"/>
          <s v="Oct"/>
          <s v="Nov"/>
          <s v="Dec"/>
          <s v="&gt;3/29/2017"/>
        </groupItems>
      </fieldGroup>
    </cacheField>
    <cacheField name="Organization" numFmtId="0">
      <sharedItems containsBlank="1" count="26">
        <s v="MRF"/>
        <s v="RI"/>
        <s v="UNHCR"/>
        <s v="NRC"/>
        <s v="MAUK"/>
        <s v="UNIQLO"/>
        <s v="SCI"/>
        <s v="CDN"/>
        <s v="MHAA"/>
        <s v="Gov"/>
        <s v="SI"/>
        <s v="DRC"/>
        <s v="MRCS"/>
        <s v="LWF"/>
        <s v="IOM"/>
        <s v="Save the Children"/>
        <s v="AGE"/>
        <s v="UNFPA"/>
        <s v="Muslim Aid"/>
        <s v="Solidarites International"/>
        <s v="UNICEF "/>
        <s v="KOICAT"/>
        <s v="ABCD"/>
        <m/>
        <s v="UNIQLO/UNHCR"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Myebon"/>
        <s v="Pauktaw"/>
        <s v="Rathedaung"/>
        <s v="Kyaukpyu"/>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2222"/>
    </cacheField>
    <cacheField name="Children Clothes" numFmtId="0">
      <sharedItems containsString="0" containsBlank="1" containsNumber="1" containsInteger="1" minValue="624" maxValue="2017"/>
    </cacheField>
    <cacheField name="Sewing Kit" numFmtId="0">
      <sharedItems containsString="0" containsBlank="1" containsNumber="1" containsInteger="1" minValue="628" maxValue="628"/>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799"/>
    </cacheField>
    <cacheField name="Mosquito net_LS" numFmtId="0">
      <sharedItems containsString="0" containsBlank="1" containsNumber="1" containsInteger="1" minValue="0" maxValue="2380"/>
    </cacheField>
    <cacheField name="Tarpaulin_LS" numFmtId="0">
      <sharedItems containsString="0" containsBlank="1" containsNumber="1" containsInteger="1" minValue="0" maxValue="424"/>
    </cacheField>
    <cacheField name="Blanket_LS" numFmtId="0">
      <sharedItems containsString="0" containsBlank="1" containsNumber="1" containsInteger="1" minValue="0" maxValue="4760"/>
    </cacheField>
    <cacheField name="Kitchen Set_LS" numFmtId="0">
      <sharedItems containsString="0" containsBlank="1" containsNumber="1" containsInteger="1" minValue="0" maxValue="1228"/>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2900"/>
    </cacheField>
    <cacheField name="Plastic  Mat_LS" numFmtId="0">
      <sharedItems containsString="0" containsBlank="1" containsNumber="1" minValue="0" maxValue="29750"/>
    </cacheField>
    <cacheField name="Adult Clothes_LS" numFmtId="0">
      <sharedItems containsSemiMixedTypes="0" containsString="0" containsNumber="1" containsInteger="1" minValue="0" maxValue="2222"/>
    </cacheField>
    <cacheField name="Children Clothes_LS" numFmtId="0">
      <sharedItems containsSemiMixedTypes="0" containsString="0" containsNumber="1" containsInteger="1" minValue="0" maxValue="2017"/>
    </cacheField>
    <cacheField name="Sewing Kit_LS" numFmtId="0">
      <sharedItems containsSemiMixedTypes="0" containsString="0" containsNumber="1" containsInteger="1" minValue="0" maxValue="628"/>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7-03-29T00:00:00"/>
        <groupItems count="8">
          <s v="&lt;6/27/2012"/>
          <s v="2012"/>
          <s v="2013"/>
          <s v="2014"/>
          <s v="2015"/>
          <s v="2016"/>
          <s v="2017"/>
          <s v="&gt;3/29/2017"/>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863.671032754632" createdVersion="5" refreshedVersion="5" minRefreshableVersion="3" recordCount="204">
  <cacheSource type="worksheet">
    <worksheetSource name="Data_Demography_t[[Township]:[Total]]"/>
  </cacheSource>
  <cacheFields count="6">
    <cacheField name="Township" numFmtId="0">
      <sharedItems count="3">
        <s v="Pauktaw"/>
        <s v="Sittwe"/>
        <s v="Myebon"/>
      </sharedItems>
    </cacheField>
    <cacheField name="Camp" numFmtId="0">
      <sharedItems count="17">
        <s v="Ah Nauk Ywe"/>
        <s v="Baw Du Pha 1"/>
        <s v="Baw Du Pha 2"/>
        <s v="Dar Pai"/>
        <s v="Khaung Doke Khar "/>
        <s v="Kyein Ni Pyin"/>
        <s v="Maw Ti Ngar"/>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863.671577314817" createdVersion="4" refreshedVersion="5" minRefreshableVersion="3" recordCount="204">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acheField>
    <cacheField name="Updated Date" numFmtId="170">
      <sharedItems containsSemiMixedTypes="0" containsNonDate="0" containsDate="1" containsString="0" minDate="2017-03-31T00:00:00" maxDate="2017-04-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863.671942129629"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7-01-31T00:00:00" maxDate="2017-04-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863.673413773147"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70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4-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Sophie Everest, CCCM Project Coordinator,_x000a_sophie.everest@drcmm.org,"/>
        <s v="Helen T Colon Omana, Camp Management Coordinator , helen.omana@nrc.no "/>
        <s v="Ann Reiner, Head of Rakhine Programs_x000a_ann.reine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2035541195476573"/>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564787339268054"/>
    <n v="0"/>
    <n v="0"/>
  </r>
  <r>
    <d v="2013-10-01T00:00:00"/>
    <x v="1"/>
    <s v="Government"/>
    <x v="0"/>
    <x v="2"/>
    <s v="Baw Du Pha 1"/>
    <n v="8"/>
    <m/>
    <m/>
    <n v="40"/>
    <n v="40"/>
    <m/>
    <m/>
    <m/>
    <m/>
    <m/>
    <m/>
    <m/>
    <n v="320"/>
    <n v="320"/>
    <s v="MMR012CMP113"/>
    <s v="Open"/>
    <n v="0.31651829871414439"/>
    <n v="0"/>
    <n v="0"/>
  </r>
  <r>
    <d v="2013-10-01T00:00:00"/>
    <x v="6"/>
    <s v="ICRC"/>
    <x v="0"/>
    <x v="2"/>
    <s v="Baw Du Pha 1"/>
    <n v="8"/>
    <m/>
    <m/>
    <n v="5"/>
    <n v="5"/>
    <m/>
    <m/>
    <m/>
    <m/>
    <m/>
    <m/>
    <m/>
    <n v="40"/>
    <n v="40"/>
    <s v="MMR012CMP113"/>
    <s v="Open"/>
    <n v="3.9564787339268048E-2"/>
    <n v="0"/>
    <n v="0"/>
  </r>
  <r>
    <d v="2013-10-01T00:00:00"/>
    <x v="7"/>
    <s v="MAUK"/>
    <x v="0"/>
    <x v="2"/>
    <s v="Baw Du Pha 1"/>
    <n v="8"/>
    <m/>
    <m/>
    <n v="32"/>
    <n v="32"/>
    <n v="0"/>
    <m/>
    <m/>
    <m/>
    <m/>
    <m/>
    <m/>
    <n v="256"/>
    <n v="256"/>
    <s v="MMR012CMP113"/>
    <s v="Open"/>
    <n v="0.25321463897131552"/>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92103424178896"/>
    <n v="0"/>
    <n v="0"/>
  </r>
  <r>
    <d v="2013-10-01T00:00:00"/>
    <x v="1"/>
    <s v="Government"/>
    <x v="0"/>
    <x v="2"/>
    <s v="Dar Pai"/>
    <n v="8"/>
    <m/>
    <m/>
    <n v="141"/>
    <n v="141"/>
    <m/>
    <m/>
    <m/>
    <m/>
    <m/>
    <m/>
    <m/>
    <n v="1128"/>
    <n v="1128"/>
    <s v="MMR012CMP041"/>
    <s v="Open"/>
    <n v="0.78825995807127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9567956795679573"/>
    <n v="0"/>
    <n v="0"/>
  </r>
  <r>
    <d v="2013-10-01T00:00:00"/>
    <x v="1"/>
    <s v="Government"/>
    <x v="0"/>
    <x v="2"/>
    <s v="Ohn Taw Gyi (South)"/>
    <n v="10"/>
    <m/>
    <m/>
    <n v="20"/>
    <n v="20"/>
    <m/>
    <m/>
    <m/>
    <m/>
    <m/>
    <m/>
    <m/>
    <n v="200"/>
    <n v="200"/>
    <s v="MMR012CMP116"/>
    <s v="Open"/>
    <n v="9.0009000900090008E-2"/>
    <n v="0"/>
    <n v="0"/>
  </r>
  <r>
    <d v="2013-10-01T00:00:00"/>
    <x v="0"/>
    <s v="UNHCR"/>
    <x v="0"/>
    <x v="2"/>
    <s v="Ohn Taw Gyi (South)"/>
    <n v="8"/>
    <m/>
    <m/>
    <n v="35"/>
    <n v="35"/>
    <m/>
    <m/>
    <m/>
    <m/>
    <m/>
    <m/>
    <m/>
    <n v="280"/>
    <n v="280"/>
    <s v="MMR012CMP116"/>
    <s v="Open"/>
    <n v="0.12601260126012601"/>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621414913957935"/>
    <n v="0"/>
    <n v="0"/>
  </r>
  <r>
    <d v="2013-10-01T00:00:00"/>
    <x v="0"/>
    <s v="UNHCR"/>
    <x v="0"/>
    <x v="7"/>
    <s v="Taung Paw "/>
    <n v="8"/>
    <m/>
    <m/>
    <n v="89"/>
    <n v="89"/>
    <m/>
    <m/>
    <m/>
    <m/>
    <m/>
    <m/>
    <m/>
    <n v="712"/>
    <n v="712"/>
    <s v="MMR012CMP014"/>
    <s v="Open"/>
    <n v="1.0755287009063443"/>
    <n v="0"/>
    <n v="0"/>
  </r>
  <r>
    <d v="2013-10-01T00:00:00"/>
    <x v="4"/>
    <s v="CARE"/>
    <x v="0"/>
    <x v="2"/>
    <s v="Thet Kae Pyin "/>
    <n v="8"/>
    <m/>
    <m/>
    <n v="63"/>
    <n v="63"/>
    <n v="0"/>
    <m/>
    <m/>
    <m/>
    <m/>
    <m/>
    <m/>
    <n v="504"/>
    <n v="504"/>
    <s v="MMR012CMP048"/>
    <s v="Open"/>
    <n v="0.50551654964894688"/>
    <n v="0"/>
    <n v="0"/>
  </r>
  <r>
    <d v="2013-10-01T00:00:00"/>
    <x v="1"/>
    <s v="Government"/>
    <x v="0"/>
    <x v="2"/>
    <s v="Thet Kae Pyin "/>
    <n v="8"/>
    <m/>
    <m/>
    <n v="60"/>
    <n v="60"/>
    <m/>
    <m/>
    <m/>
    <m/>
    <m/>
    <m/>
    <m/>
    <n v="480"/>
    <n v="480"/>
    <s v="MMR012CMP048"/>
    <s v="Open"/>
    <n v="0.48144433299899697"/>
    <n v="0"/>
    <n v="0"/>
  </r>
  <r>
    <d v="2013-10-01T00:00:00"/>
    <x v="10"/>
    <s v="MRF"/>
    <x v="0"/>
    <x v="2"/>
    <s v="Ohn Taw Gyi (South)"/>
    <n v="8"/>
    <m/>
    <m/>
    <n v="9"/>
    <n v="9"/>
    <m/>
    <m/>
    <m/>
    <m/>
    <m/>
    <m/>
    <m/>
    <n v="72"/>
    <n v="72"/>
    <s v="MMR012CMP116"/>
    <s v="Open"/>
    <n v="3.2403240324032405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582">
  <r>
    <x v="0"/>
    <x v="0"/>
    <x v="0"/>
    <x v="0"/>
    <s v="MRF"/>
    <x v="0"/>
    <x v="0"/>
    <s v="Ohn Taw Gyi (South)"/>
    <m/>
    <m/>
    <m/>
    <n v="1450"/>
    <m/>
    <n v="1450"/>
    <m/>
    <m/>
    <n v="1450"/>
    <n v="2900"/>
    <m/>
    <n v="2175"/>
    <n v="725"/>
    <m/>
    <n v="0"/>
    <n v="0"/>
    <n v="0"/>
    <n v="1450"/>
    <n v="0"/>
    <n v="1450"/>
    <n v="0"/>
    <n v="0"/>
    <n v="1450"/>
    <n v="2900"/>
    <n v="0"/>
    <n v="2175"/>
    <n v="725"/>
    <n v="0"/>
    <s v="MMR012CMP116"/>
    <x v="0"/>
    <m/>
  </r>
  <r>
    <x v="1"/>
    <x v="0"/>
    <x v="1"/>
    <x v="1"/>
    <s v="RI"/>
    <x v="0"/>
    <x v="1"/>
    <s v="Taung Paw "/>
    <m/>
    <m/>
    <n v="622"/>
    <m/>
    <m/>
    <m/>
    <m/>
    <m/>
    <m/>
    <m/>
    <m/>
    <m/>
    <m/>
    <m/>
    <n v="0"/>
    <n v="0"/>
    <n v="622"/>
    <n v="0"/>
    <n v="0"/>
    <n v="0"/>
    <n v="0"/>
    <n v="0"/>
    <n v="0"/>
    <n v="0"/>
    <n v="0"/>
    <n v="0"/>
    <n v="0"/>
    <n v="0"/>
    <s v="MMR012CMP014"/>
    <x v="0"/>
    <m/>
  </r>
  <r>
    <x v="2"/>
    <x v="0"/>
    <x v="2"/>
    <x v="2"/>
    <s v="LWF"/>
    <x v="0"/>
    <x v="0"/>
    <s v="Thae Chaung"/>
    <m/>
    <m/>
    <m/>
    <n v="2380"/>
    <m/>
    <n v="4760"/>
    <m/>
    <m/>
    <m/>
    <m/>
    <n v="11900"/>
    <m/>
    <m/>
    <m/>
    <n v="0"/>
    <n v="0"/>
    <n v="0"/>
    <n v="2380"/>
    <n v="0"/>
    <n v="4760"/>
    <n v="0"/>
    <n v="0"/>
    <n v="0"/>
    <n v="0"/>
    <n v="29750"/>
    <n v="0"/>
    <n v="0"/>
    <n v="0"/>
    <s v="MMR012CMP046"/>
    <x v="0"/>
    <m/>
  </r>
  <r>
    <x v="3"/>
    <x v="0"/>
    <x v="3"/>
    <x v="2"/>
    <s v="LWF"/>
    <x v="0"/>
    <x v="2"/>
    <s v="Nget Chaung 2"/>
    <m/>
    <m/>
    <m/>
    <n v="856"/>
    <m/>
    <m/>
    <m/>
    <m/>
    <m/>
    <m/>
    <m/>
    <m/>
    <m/>
    <m/>
    <n v="0"/>
    <n v="0"/>
    <n v="0"/>
    <n v="856"/>
    <n v="0"/>
    <n v="0"/>
    <n v="0"/>
    <n v="0"/>
    <n v="0"/>
    <n v="0"/>
    <n v="0"/>
    <n v="0"/>
    <n v="0"/>
    <n v="0"/>
    <s v="MMR012CMP017"/>
    <x v="0"/>
    <m/>
  </r>
  <r>
    <x v="3"/>
    <x v="0"/>
    <x v="3"/>
    <x v="2"/>
    <s v="LWF"/>
    <x v="0"/>
    <x v="2"/>
    <s v="Ah Nauk Ywe"/>
    <m/>
    <m/>
    <m/>
    <n v="1238"/>
    <m/>
    <m/>
    <m/>
    <m/>
    <m/>
    <m/>
    <m/>
    <m/>
    <m/>
    <m/>
    <n v="0"/>
    <n v="0"/>
    <n v="0"/>
    <n v="1238"/>
    <n v="0"/>
    <n v="0"/>
    <n v="0"/>
    <n v="0"/>
    <n v="0"/>
    <n v="0"/>
    <n v="0"/>
    <n v="0"/>
    <n v="0"/>
    <n v="0"/>
    <s v="MMR012CMP016"/>
    <x v="0"/>
    <m/>
  </r>
  <r>
    <x v="4"/>
    <x v="0"/>
    <x v="4"/>
    <x v="2"/>
    <s v="LWF"/>
    <x v="0"/>
    <x v="0"/>
    <s v="Khaung Doke Khar "/>
    <m/>
    <m/>
    <m/>
    <n v="799"/>
    <m/>
    <m/>
    <n v="799"/>
    <m/>
    <m/>
    <m/>
    <m/>
    <m/>
    <m/>
    <m/>
    <n v="0"/>
    <n v="0"/>
    <n v="0"/>
    <n v="799"/>
    <n v="0"/>
    <n v="0"/>
    <n v="799"/>
    <n v="0"/>
    <n v="0"/>
    <n v="0"/>
    <n v="0"/>
    <n v="0"/>
    <n v="0"/>
    <n v="0"/>
    <s v="MMR012CMP042"/>
    <x v="0"/>
    <m/>
  </r>
  <r>
    <x v="5"/>
    <x v="0"/>
    <x v="5"/>
    <x v="2"/>
    <s v="LWF"/>
    <x v="0"/>
    <x v="0"/>
    <s v="Basare"/>
    <m/>
    <m/>
    <m/>
    <n v="397"/>
    <m/>
    <n v="794"/>
    <n v="397"/>
    <m/>
    <m/>
    <m/>
    <n v="1859"/>
    <m/>
    <m/>
    <m/>
    <n v="0"/>
    <n v="0"/>
    <n v="0"/>
    <n v="397"/>
    <n v="0"/>
    <n v="794"/>
    <n v="397"/>
    <n v="0"/>
    <n v="0"/>
    <n v="0"/>
    <n v="4647.5"/>
    <n v="0"/>
    <n v="0"/>
    <n v="0"/>
    <s v="MMR012CMP039"/>
    <x v="0"/>
    <m/>
  </r>
  <r>
    <x v="6"/>
    <x v="0"/>
    <x v="6"/>
    <x v="3"/>
    <s v="NRC"/>
    <x v="0"/>
    <x v="3"/>
    <s v="Ah Htet Nan Yar"/>
    <m/>
    <n v="270"/>
    <m/>
    <m/>
    <m/>
    <n v="270"/>
    <m/>
    <m/>
    <m/>
    <m/>
    <m/>
    <m/>
    <m/>
    <m/>
    <n v="0"/>
    <n v="270"/>
    <n v="0"/>
    <n v="0"/>
    <n v="0"/>
    <n v="270"/>
    <n v="0"/>
    <n v="0"/>
    <n v="0"/>
    <n v="0"/>
    <n v="0"/>
    <n v="0"/>
    <n v="0"/>
    <n v="0"/>
    <s v="MMR012CMP034"/>
    <x v="0"/>
    <m/>
  </r>
  <r>
    <x v="7"/>
    <x v="0"/>
    <x v="7"/>
    <x v="4"/>
    <s v="MAUK"/>
    <x v="0"/>
    <x v="0"/>
    <s v="Ohn Taw Gyi (South)"/>
    <m/>
    <m/>
    <m/>
    <m/>
    <m/>
    <m/>
    <m/>
    <m/>
    <m/>
    <m/>
    <m/>
    <m/>
    <n v="2009"/>
    <m/>
    <n v="0"/>
    <n v="0"/>
    <n v="0"/>
    <n v="0"/>
    <n v="0"/>
    <n v="0"/>
    <n v="0"/>
    <n v="0"/>
    <n v="0"/>
    <n v="0"/>
    <n v="0"/>
    <n v="0"/>
    <n v="2009"/>
    <n v="0"/>
    <s v="MMR012CMP116"/>
    <x v="0"/>
    <m/>
  </r>
  <r>
    <x v="8"/>
    <x v="0"/>
    <x v="8"/>
    <x v="5"/>
    <s v="LWF"/>
    <x v="0"/>
    <x v="0"/>
    <s v="Thae Chaung"/>
    <m/>
    <m/>
    <m/>
    <m/>
    <m/>
    <m/>
    <m/>
    <m/>
    <m/>
    <m/>
    <m/>
    <m/>
    <n v="2017"/>
    <m/>
    <n v="0"/>
    <n v="0"/>
    <n v="0"/>
    <n v="0"/>
    <n v="0"/>
    <n v="0"/>
    <n v="0"/>
    <n v="0"/>
    <n v="0"/>
    <n v="0"/>
    <n v="0"/>
    <n v="0"/>
    <n v="2017"/>
    <n v="0"/>
    <s v="MMR012CMP046"/>
    <x v="0"/>
    <m/>
  </r>
  <r>
    <x v="9"/>
    <x v="0"/>
    <x v="9"/>
    <x v="6"/>
    <s v="SCI"/>
    <x v="0"/>
    <x v="0"/>
    <s v="Basare"/>
    <m/>
    <m/>
    <n v="397"/>
    <m/>
    <m/>
    <m/>
    <m/>
    <m/>
    <m/>
    <m/>
    <m/>
    <m/>
    <m/>
    <m/>
    <n v="0"/>
    <n v="0"/>
    <n v="397"/>
    <n v="0"/>
    <n v="0"/>
    <n v="0"/>
    <n v="0"/>
    <n v="0"/>
    <n v="0"/>
    <n v="0"/>
    <n v="0"/>
    <n v="0"/>
    <n v="0"/>
    <n v="0"/>
    <s v="MMR012CMP039"/>
    <x v="0"/>
    <m/>
  </r>
  <r>
    <x v="10"/>
    <x v="0"/>
    <x v="10"/>
    <x v="5"/>
    <s v="LWF"/>
    <x v="0"/>
    <x v="2"/>
    <s v="Nget Chaung 2"/>
    <m/>
    <m/>
    <m/>
    <m/>
    <m/>
    <m/>
    <m/>
    <m/>
    <m/>
    <m/>
    <m/>
    <n v="856"/>
    <m/>
    <m/>
    <n v="0"/>
    <n v="0"/>
    <n v="0"/>
    <n v="0"/>
    <n v="0"/>
    <n v="0"/>
    <n v="0"/>
    <n v="0"/>
    <n v="0"/>
    <n v="0"/>
    <n v="0"/>
    <n v="856"/>
    <n v="0"/>
    <n v="0"/>
    <s v="MMR012CMP017"/>
    <x v="0"/>
    <s v="Distributed Item number is number of HH"/>
  </r>
  <r>
    <x v="10"/>
    <x v="0"/>
    <x v="10"/>
    <x v="5"/>
    <s v="LWF"/>
    <x v="0"/>
    <x v="2"/>
    <s v="Ah Nauk Ywe"/>
    <m/>
    <m/>
    <m/>
    <m/>
    <m/>
    <m/>
    <m/>
    <m/>
    <m/>
    <m/>
    <m/>
    <n v="1164"/>
    <m/>
    <m/>
    <n v="0"/>
    <n v="0"/>
    <n v="0"/>
    <n v="0"/>
    <n v="0"/>
    <n v="0"/>
    <n v="0"/>
    <n v="0"/>
    <n v="0"/>
    <n v="0"/>
    <n v="0"/>
    <n v="1164"/>
    <n v="0"/>
    <n v="0"/>
    <s v="MMR012CMP016"/>
    <x v="0"/>
    <s v="Distributed Item number is number of HH"/>
  </r>
  <r>
    <x v="10"/>
    <x v="0"/>
    <x v="10"/>
    <x v="7"/>
    <s v="CDN"/>
    <x v="0"/>
    <x v="0"/>
    <s v="Khaung Doke Khar "/>
    <m/>
    <m/>
    <n v="799"/>
    <m/>
    <m/>
    <m/>
    <m/>
    <m/>
    <m/>
    <m/>
    <m/>
    <m/>
    <m/>
    <m/>
    <n v="0"/>
    <n v="0"/>
    <n v="799"/>
    <n v="0"/>
    <n v="0"/>
    <n v="0"/>
    <n v="0"/>
    <n v="0"/>
    <n v="0"/>
    <n v="0"/>
    <n v="0"/>
    <n v="0"/>
    <n v="0"/>
    <n v="0"/>
    <s v="MMR012CMP042"/>
    <x v="0"/>
    <s v="Distributed Item number is number of HH"/>
  </r>
  <r>
    <x v="10"/>
    <x v="0"/>
    <x v="10"/>
    <x v="8"/>
    <s v="MHAA"/>
    <x v="0"/>
    <x v="1"/>
    <s v="Taung Paw "/>
    <m/>
    <m/>
    <m/>
    <n v="690"/>
    <m/>
    <m/>
    <m/>
    <m/>
    <m/>
    <m/>
    <m/>
    <m/>
    <m/>
    <m/>
    <n v="0"/>
    <n v="0"/>
    <n v="0"/>
    <n v="690"/>
    <n v="0"/>
    <n v="0"/>
    <n v="0"/>
    <n v="0"/>
    <n v="0"/>
    <n v="0"/>
    <n v="0"/>
    <n v="0"/>
    <n v="0"/>
    <n v="0"/>
    <s v="MMR012CMP014"/>
    <x v="0"/>
    <s v="Distributed Item number is also the same with HH"/>
  </r>
  <r>
    <x v="11"/>
    <x v="0"/>
    <x v="11"/>
    <x v="9"/>
    <s v="Gov"/>
    <x v="0"/>
    <x v="0"/>
    <s v="Ohn Taw Gyi (South)"/>
    <m/>
    <n v="350"/>
    <m/>
    <m/>
    <m/>
    <m/>
    <m/>
    <m/>
    <m/>
    <m/>
    <m/>
    <m/>
    <m/>
    <m/>
    <n v="0"/>
    <n v="350"/>
    <n v="0"/>
    <n v="0"/>
    <n v="0"/>
    <n v="0"/>
    <n v="0"/>
    <n v="0"/>
    <n v="0"/>
    <n v="0"/>
    <n v="0"/>
    <n v="0"/>
    <n v="0"/>
    <n v="0"/>
    <s v="MMR012CMP116"/>
    <x v="0"/>
    <s v="Gov provided 350 kits which include noodle, clothes and wheat. "/>
  </r>
  <r>
    <x v="11"/>
    <x v="0"/>
    <x v="11"/>
    <x v="5"/>
    <s v="LWF"/>
    <x v="0"/>
    <x v="0"/>
    <s v="Ohn Taw Gyi (South)"/>
    <m/>
    <m/>
    <m/>
    <m/>
    <m/>
    <m/>
    <m/>
    <m/>
    <m/>
    <m/>
    <m/>
    <n v="2222"/>
    <m/>
    <m/>
    <n v="0"/>
    <n v="0"/>
    <n v="0"/>
    <n v="0"/>
    <n v="0"/>
    <n v="0"/>
    <n v="0"/>
    <n v="0"/>
    <n v="0"/>
    <n v="0"/>
    <n v="0"/>
    <n v="2222"/>
    <n v="0"/>
    <n v="0"/>
    <s v="MMR012CMP116"/>
    <x v="0"/>
    <s v="Distributed Item number is number of HH"/>
  </r>
  <r>
    <x v="11"/>
    <x v="0"/>
    <x v="11"/>
    <x v="5"/>
    <s v="NRC"/>
    <x v="0"/>
    <x v="0"/>
    <s v="Thet Kae Pyin "/>
    <m/>
    <m/>
    <m/>
    <m/>
    <m/>
    <m/>
    <m/>
    <m/>
    <m/>
    <m/>
    <m/>
    <n v="988"/>
    <n v="988"/>
    <m/>
    <n v="0"/>
    <n v="0"/>
    <n v="0"/>
    <n v="0"/>
    <n v="0"/>
    <n v="0"/>
    <n v="0"/>
    <n v="0"/>
    <n v="0"/>
    <n v="0"/>
    <n v="0"/>
    <n v="988"/>
    <n v="988"/>
    <n v="0"/>
    <s v="MMR012CMP048"/>
    <x v="0"/>
    <s v="Distributed Item number is number of HH"/>
  </r>
  <r>
    <x v="12"/>
    <x v="0"/>
    <x v="12"/>
    <x v="5"/>
    <s v="LWF"/>
    <x v="0"/>
    <x v="0"/>
    <s v="Khaung Doke Khar "/>
    <m/>
    <m/>
    <m/>
    <m/>
    <m/>
    <m/>
    <m/>
    <m/>
    <m/>
    <m/>
    <m/>
    <n v="799"/>
    <m/>
    <m/>
    <n v="0"/>
    <n v="0"/>
    <n v="0"/>
    <n v="0"/>
    <n v="0"/>
    <n v="0"/>
    <n v="0"/>
    <n v="0"/>
    <n v="0"/>
    <n v="0"/>
    <n v="0"/>
    <n v="799"/>
    <n v="0"/>
    <n v="0"/>
    <s v="MMR012CMP042"/>
    <x v="0"/>
    <s v="Distributed Item number is number of HH"/>
  </r>
  <r>
    <x v="12"/>
    <x v="0"/>
    <x v="12"/>
    <x v="5"/>
    <s v="LWF"/>
    <x v="0"/>
    <x v="0"/>
    <s v="Basare"/>
    <m/>
    <m/>
    <m/>
    <m/>
    <m/>
    <m/>
    <m/>
    <m/>
    <m/>
    <m/>
    <m/>
    <n v="397"/>
    <m/>
    <m/>
    <n v="0"/>
    <n v="0"/>
    <n v="0"/>
    <n v="0"/>
    <n v="0"/>
    <n v="0"/>
    <n v="0"/>
    <n v="0"/>
    <n v="0"/>
    <n v="0"/>
    <n v="0"/>
    <n v="397"/>
    <n v="0"/>
    <n v="0"/>
    <s v="MMR012CMP039"/>
    <x v="0"/>
    <s v="Distributed Item number is number of HH"/>
  </r>
  <r>
    <x v="13"/>
    <x v="0"/>
    <x v="13"/>
    <x v="5"/>
    <s v="NRC"/>
    <x v="0"/>
    <x v="0"/>
    <s v="Maw Ti Ngar"/>
    <m/>
    <m/>
    <m/>
    <m/>
    <m/>
    <m/>
    <m/>
    <m/>
    <m/>
    <m/>
    <m/>
    <n v="624"/>
    <n v="624"/>
    <m/>
    <n v="0"/>
    <n v="0"/>
    <n v="0"/>
    <n v="0"/>
    <n v="0"/>
    <n v="0"/>
    <n v="0"/>
    <n v="0"/>
    <n v="0"/>
    <n v="0"/>
    <n v="0"/>
    <n v="624"/>
    <n v="624"/>
    <n v="0"/>
    <s v="MMR012CMP092"/>
    <x v="0"/>
    <s v="Distributed Item number is number of HH"/>
  </r>
  <r>
    <x v="14"/>
    <x v="0"/>
    <x v="14"/>
    <x v="1"/>
    <s v="RI"/>
    <x v="0"/>
    <x v="1"/>
    <s v="Taung Paw "/>
    <m/>
    <m/>
    <n v="703"/>
    <m/>
    <m/>
    <m/>
    <m/>
    <m/>
    <m/>
    <m/>
    <m/>
    <m/>
    <m/>
    <m/>
    <n v="0"/>
    <n v="0"/>
    <n v="703"/>
    <n v="0"/>
    <n v="0"/>
    <n v="0"/>
    <n v="0"/>
    <n v="0"/>
    <n v="0"/>
    <n v="0"/>
    <n v="0"/>
    <n v="0"/>
    <n v="0"/>
    <n v="0"/>
    <s v="MMR012CMP014"/>
    <x v="0"/>
    <s v="Distributed Item number is also the same with HH"/>
  </r>
  <r>
    <x v="15"/>
    <x v="1"/>
    <x v="15"/>
    <x v="1"/>
    <s v="RI"/>
    <x v="0"/>
    <x v="1"/>
    <s v="Taung Paw "/>
    <m/>
    <m/>
    <m/>
    <m/>
    <m/>
    <m/>
    <m/>
    <m/>
    <m/>
    <m/>
    <m/>
    <m/>
    <m/>
    <n v="628"/>
    <n v="0"/>
    <n v="0"/>
    <n v="0"/>
    <n v="0"/>
    <n v="0"/>
    <n v="0"/>
    <n v="0"/>
    <n v="0"/>
    <n v="0"/>
    <n v="0"/>
    <n v="0"/>
    <n v="0"/>
    <n v="0"/>
    <n v="628"/>
    <s v="MMR012CMP014"/>
    <x v="0"/>
    <m/>
  </r>
  <r>
    <x v="16"/>
    <x v="1"/>
    <x v="16"/>
    <x v="1"/>
    <s v="RI"/>
    <x v="0"/>
    <x v="1"/>
    <s v="Taung Paw "/>
    <m/>
    <m/>
    <m/>
    <m/>
    <m/>
    <m/>
    <m/>
    <m/>
    <m/>
    <m/>
    <m/>
    <n v="628"/>
    <m/>
    <m/>
    <n v="0"/>
    <n v="0"/>
    <n v="0"/>
    <n v="0"/>
    <n v="0"/>
    <n v="0"/>
    <n v="0"/>
    <n v="0"/>
    <n v="0"/>
    <n v="0"/>
    <n v="0"/>
    <n v="628"/>
    <n v="0"/>
    <n v="0"/>
    <s v="MMR012CMP014"/>
    <x v="0"/>
    <m/>
  </r>
  <r>
    <x v="17"/>
    <x v="1"/>
    <x v="17"/>
    <x v="1"/>
    <s v="RI"/>
    <x v="0"/>
    <x v="1"/>
    <s v="Taung Paw "/>
    <m/>
    <m/>
    <m/>
    <m/>
    <m/>
    <n v="703"/>
    <m/>
    <m/>
    <m/>
    <m/>
    <m/>
    <m/>
    <m/>
    <m/>
    <n v="0"/>
    <n v="0"/>
    <n v="0"/>
    <n v="0"/>
    <n v="0"/>
    <n v="703"/>
    <n v="0"/>
    <n v="0"/>
    <n v="0"/>
    <n v="0"/>
    <n v="0"/>
    <n v="0"/>
    <n v="0"/>
    <n v="0"/>
    <s v="MMR012CMP014"/>
    <x v="0"/>
    <m/>
  </r>
  <r>
    <x v="18"/>
    <x v="1"/>
    <x v="18"/>
    <x v="10"/>
    <s v="SI"/>
    <x v="0"/>
    <x v="2"/>
    <s v="Ah Nauk Ywe"/>
    <m/>
    <m/>
    <m/>
    <m/>
    <m/>
    <m/>
    <n v="1228"/>
    <m/>
    <m/>
    <m/>
    <m/>
    <m/>
    <m/>
    <m/>
    <n v="0"/>
    <n v="0"/>
    <n v="0"/>
    <n v="0"/>
    <n v="0"/>
    <n v="0"/>
    <n v="1228"/>
    <n v="0"/>
    <n v="0"/>
    <n v="0"/>
    <n v="0"/>
    <n v="0"/>
    <n v="0"/>
    <n v="0"/>
    <s v="MMR012CMP016"/>
    <x v="0"/>
    <m/>
  </r>
  <r>
    <x v="19"/>
    <x v="1"/>
    <x v="19"/>
    <x v="10"/>
    <s v="SI"/>
    <x v="0"/>
    <x v="0"/>
    <s v="Thae Chaung"/>
    <m/>
    <m/>
    <m/>
    <m/>
    <m/>
    <m/>
    <m/>
    <m/>
    <m/>
    <n v="985"/>
    <m/>
    <m/>
    <m/>
    <m/>
    <n v="0"/>
    <n v="0"/>
    <n v="0"/>
    <n v="0"/>
    <n v="0"/>
    <n v="0"/>
    <n v="0"/>
    <n v="0"/>
    <n v="0"/>
    <n v="985"/>
    <n v="0"/>
    <n v="0"/>
    <n v="0"/>
    <n v="0"/>
    <s v="MMR012CMP046"/>
    <x v="0"/>
    <m/>
  </r>
  <r>
    <x v="20"/>
    <x v="1"/>
    <x v="20"/>
    <x v="3"/>
    <s v="NRC"/>
    <x v="0"/>
    <x v="0"/>
    <s v="Thet Kae Pyin "/>
    <n v="1000"/>
    <n v="32"/>
    <m/>
    <n v="32"/>
    <m/>
    <n v="64"/>
    <m/>
    <m/>
    <n v="64"/>
    <n v="64"/>
    <n v="64"/>
    <m/>
    <m/>
    <m/>
    <n v="1000"/>
    <n v="32"/>
    <n v="0"/>
    <n v="32"/>
    <n v="0"/>
    <n v="64"/>
    <n v="0"/>
    <n v="0"/>
    <n v="64"/>
    <n v="64"/>
    <n v="160"/>
    <n v="0"/>
    <n v="0"/>
    <n v="0"/>
    <s v="MMR012CMP048"/>
    <x v="0"/>
    <m/>
  </r>
  <r>
    <x v="20"/>
    <x v="1"/>
    <x v="20"/>
    <x v="3"/>
    <s v="NRC"/>
    <x v="0"/>
    <x v="0"/>
    <s v="Maw Ti Ngar"/>
    <m/>
    <n v="624"/>
    <n v="656"/>
    <n v="1248"/>
    <m/>
    <n v="624"/>
    <m/>
    <m/>
    <n v="1248"/>
    <n v="1248"/>
    <n v="1248"/>
    <m/>
    <m/>
    <m/>
    <n v="0"/>
    <n v="624"/>
    <n v="656"/>
    <n v="1248"/>
    <n v="0"/>
    <n v="624"/>
    <n v="0"/>
    <n v="0"/>
    <n v="1248"/>
    <n v="1248"/>
    <n v="3120"/>
    <n v="0"/>
    <n v="0"/>
    <n v="0"/>
    <s v="MMR012CMP092"/>
    <x v="0"/>
    <m/>
  </r>
  <r>
    <x v="21"/>
    <x v="1"/>
    <x v="21"/>
    <x v="1"/>
    <s v="RI"/>
    <x v="0"/>
    <x v="1"/>
    <s v="Taung Paw "/>
    <m/>
    <m/>
    <m/>
    <m/>
    <m/>
    <m/>
    <m/>
    <n v="195"/>
    <m/>
    <m/>
    <m/>
    <m/>
    <m/>
    <m/>
    <n v="0"/>
    <n v="0"/>
    <n v="0"/>
    <n v="0"/>
    <n v="0"/>
    <n v="0"/>
    <n v="0"/>
    <n v="195"/>
    <n v="0"/>
    <n v="0"/>
    <n v="0"/>
    <n v="0"/>
    <n v="0"/>
    <n v="0"/>
    <s v="MMR012CMP014"/>
    <x v="0"/>
    <m/>
  </r>
  <r>
    <x v="22"/>
    <x v="1"/>
    <x v="22"/>
    <x v="10"/>
    <s v="SI"/>
    <x v="0"/>
    <x v="2"/>
    <s v="Nget Chaung 2"/>
    <m/>
    <m/>
    <m/>
    <m/>
    <m/>
    <m/>
    <n v="856"/>
    <m/>
    <m/>
    <m/>
    <m/>
    <m/>
    <m/>
    <m/>
    <n v="0"/>
    <n v="0"/>
    <n v="0"/>
    <n v="0"/>
    <n v="0"/>
    <n v="0"/>
    <n v="856"/>
    <n v="0"/>
    <n v="0"/>
    <n v="0"/>
    <n v="0"/>
    <n v="0"/>
    <n v="0"/>
    <n v="0"/>
    <s v="MMR012CMP017"/>
    <x v="0"/>
    <m/>
  </r>
  <r>
    <x v="23"/>
    <x v="1"/>
    <x v="23"/>
    <x v="1"/>
    <s v="RI"/>
    <x v="0"/>
    <x v="1"/>
    <s v="Taung Paw "/>
    <n v="734"/>
    <m/>
    <m/>
    <m/>
    <m/>
    <m/>
    <m/>
    <m/>
    <m/>
    <m/>
    <m/>
    <m/>
    <m/>
    <m/>
    <m/>
    <m/>
    <m/>
    <m/>
    <m/>
    <m/>
    <m/>
    <m/>
    <m/>
    <m/>
    <m/>
    <n v="0"/>
    <n v="0"/>
    <n v="0"/>
    <s v="MMR012CMP014"/>
    <x v="0"/>
    <m/>
  </r>
  <r>
    <x v="24"/>
    <x v="1"/>
    <x v="24"/>
    <x v="3"/>
    <s v="NRC"/>
    <x v="0"/>
    <x v="0"/>
    <s v="Thet Kae Pyin "/>
    <m/>
    <n v="973"/>
    <m/>
    <n v="973"/>
    <m/>
    <n v="973"/>
    <m/>
    <m/>
    <n v="1964"/>
    <n v="1964"/>
    <n v="1964"/>
    <m/>
    <m/>
    <m/>
    <n v="0"/>
    <n v="973"/>
    <n v="0"/>
    <n v="973"/>
    <n v="0"/>
    <n v="973"/>
    <n v="0"/>
    <n v="0"/>
    <n v="1964"/>
    <n v="1964"/>
    <n v="4910"/>
    <n v="0"/>
    <n v="0"/>
    <n v="0"/>
    <s v="MMR012CMP048"/>
    <x v="0"/>
    <m/>
  </r>
  <r>
    <x v="25"/>
    <x v="1"/>
    <x v="25"/>
    <x v="1"/>
    <s v="RI"/>
    <x v="0"/>
    <x v="1"/>
    <s v="Taung Paw "/>
    <n v="703"/>
    <m/>
    <m/>
    <m/>
    <m/>
    <m/>
    <m/>
    <m/>
    <m/>
    <m/>
    <m/>
    <m/>
    <m/>
    <m/>
    <n v="703"/>
    <n v="0"/>
    <n v="0"/>
    <n v="0"/>
    <n v="0"/>
    <n v="0"/>
    <n v="0"/>
    <n v="0"/>
    <n v="0"/>
    <n v="0"/>
    <n v="0"/>
    <n v="0"/>
    <n v="0"/>
    <n v="0"/>
    <s v="MMR012CMP014"/>
    <x v="0"/>
    <m/>
  </r>
  <r>
    <x v="25"/>
    <x v="1"/>
    <x v="25"/>
    <x v="1"/>
    <s v="RI"/>
    <x v="0"/>
    <x v="1"/>
    <s v="Kan Thar Htwat Wa"/>
    <n v="40"/>
    <m/>
    <m/>
    <m/>
    <m/>
    <m/>
    <m/>
    <m/>
    <m/>
    <m/>
    <m/>
    <m/>
    <m/>
    <m/>
    <n v="40"/>
    <n v="0"/>
    <n v="0"/>
    <n v="0"/>
    <n v="0"/>
    <n v="0"/>
    <n v="0"/>
    <n v="0"/>
    <n v="0"/>
    <n v="0"/>
    <n v="0"/>
    <n v="0"/>
    <n v="0"/>
    <n v="0"/>
    <s v="MMR012CMP013"/>
    <x v="1"/>
    <m/>
  </r>
  <r>
    <x v="26"/>
    <x v="1"/>
    <x v="26"/>
    <x v="2"/>
    <s v="UNHCR"/>
    <x v="0"/>
    <x v="4"/>
    <s v="Kyauk Ta Lone"/>
    <n v="65"/>
    <n v="65"/>
    <m/>
    <m/>
    <m/>
    <n v="65"/>
    <m/>
    <m/>
    <m/>
    <m/>
    <m/>
    <m/>
    <m/>
    <m/>
    <n v="65"/>
    <n v="65"/>
    <n v="0"/>
    <n v="0"/>
    <n v="0"/>
    <n v="65"/>
    <n v="0"/>
    <n v="0"/>
    <n v="0"/>
    <n v="0"/>
    <n v="0"/>
    <n v="0"/>
    <n v="0"/>
    <n v="0"/>
    <s v="MMR012CMP035"/>
    <x v="0"/>
    <m/>
  </r>
  <r>
    <x v="27"/>
    <x v="1"/>
    <x v="27"/>
    <x v="2"/>
    <s v="UNHCR"/>
    <x v="0"/>
    <x v="4"/>
    <s v="Ka Nyin Taw"/>
    <m/>
    <n v="427"/>
    <m/>
    <m/>
    <m/>
    <n v="854"/>
    <m/>
    <m/>
    <m/>
    <m/>
    <m/>
    <m/>
    <m/>
    <m/>
    <n v="0"/>
    <n v="427"/>
    <n v="0"/>
    <n v="0"/>
    <n v="0"/>
    <n v="854"/>
    <n v="0"/>
    <n v="0"/>
    <n v="0"/>
    <n v="0"/>
    <n v="0"/>
    <n v="0"/>
    <n v="0"/>
    <n v="0"/>
    <s v="MMR012CMP036"/>
    <x v="0"/>
    <m/>
  </r>
  <r>
    <x v="28"/>
    <x v="1"/>
    <x v="28"/>
    <x v="2"/>
    <s v="LWF"/>
    <x v="0"/>
    <x v="2"/>
    <s v="Ah Nauk Ywe"/>
    <m/>
    <m/>
    <m/>
    <m/>
    <n v="60"/>
    <m/>
    <m/>
    <m/>
    <m/>
    <m/>
    <m/>
    <m/>
    <m/>
    <m/>
    <n v="0"/>
    <n v="0"/>
    <n v="0"/>
    <n v="0"/>
    <n v="60"/>
    <n v="0"/>
    <n v="0"/>
    <n v="0"/>
    <n v="0"/>
    <n v="0"/>
    <n v="0"/>
    <n v="0"/>
    <n v="0"/>
    <n v="0"/>
    <s v="MMR012CMP016"/>
    <x v="0"/>
    <m/>
  </r>
  <r>
    <x v="29"/>
    <x v="1"/>
    <x v="29"/>
    <x v="11"/>
    <s v="DRC"/>
    <x v="0"/>
    <x v="0"/>
    <s v="Baw Du Pha 2"/>
    <m/>
    <m/>
    <n v="424"/>
    <m/>
    <n v="424"/>
    <m/>
    <m/>
    <m/>
    <m/>
    <m/>
    <n v="848"/>
    <m/>
    <m/>
    <m/>
    <n v="0"/>
    <n v="0"/>
    <n v="424"/>
    <n v="0"/>
    <n v="424"/>
    <n v="0"/>
    <n v="0"/>
    <n v="0"/>
    <n v="0"/>
    <n v="0"/>
    <n v="2120"/>
    <n v="0"/>
    <n v="0"/>
    <n v="0"/>
    <s v="MMR012CMP114"/>
    <x v="0"/>
    <m/>
  </r>
  <r>
    <x v="30"/>
    <x v="1"/>
    <x v="30"/>
    <x v="2"/>
    <s v="UNHCR"/>
    <x v="0"/>
    <x v="0"/>
    <s v="Say Tha Mar Gyi"/>
    <m/>
    <m/>
    <m/>
    <n v="3630"/>
    <n v="1815"/>
    <n v="1815"/>
    <n v="1815"/>
    <m/>
    <n v="1815"/>
    <n v="1815"/>
    <n v="9075"/>
    <m/>
    <m/>
    <m/>
    <n v="0"/>
    <n v="0"/>
    <n v="0"/>
    <n v="0"/>
    <n v="0"/>
    <n v="0"/>
    <n v="0"/>
    <n v="0"/>
    <n v="0"/>
    <n v="0"/>
    <n v="0"/>
    <n v="0"/>
    <n v="0"/>
    <n v="0"/>
    <s v="MMR012CMP045"/>
    <x v="0"/>
    <m/>
  </r>
  <r>
    <x v="31"/>
    <x v="1"/>
    <x v="31"/>
    <x v="2"/>
    <s v="UNHCR"/>
    <x v="0"/>
    <x v="0"/>
    <s v="San Htoe Tan"/>
    <m/>
    <m/>
    <m/>
    <n v="6"/>
    <n v="3"/>
    <n v="6"/>
    <n v="3"/>
    <m/>
    <n v="3"/>
    <n v="3"/>
    <n v="15"/>
    <m/>
    <m/>
    <m/>
    <n v="0"/>
    <n v="0"/>
    <n v="0"/>
    <n v="0"/>
    <n v="0"/>
    <n v="0"/>
    <n v="0"/>
    <n v="0"/>
    <n v="0"/>
    <n v="0"/>
    <n v="0"/>
    <n v="0"/>
    <n v="0"/>
    <n v="0"/>
    <s v="MMR012CMP003"/>
    <x v="2"/>
    <m/>
  </r>
  <r>
    <x v="32"/>
    <x v="1"/>
    <x v="32"/>
    <x v="1"/>
    <s v="RI"/>
    <x v="0"/>
    <x v="1"/>
    <s v="Kan Thar Htwat Wa"/>
    <m/>
    <m/>
    <m/>
    <n v="42"/>
    <n v="42"/>
    <m/>
    <n v="42"/>
    <m/>
    <m/>
    <n v="42"/>
    <m/>
    <m/>
    <m/>
    <m/>
    <n v="0"/>
    <n v="0"/>
    <n v="0"/>
    <n v="0"/>
    <n v="0"/>
    <n v="0"/>
    <n v="0"/>
    <n v="0"/>
    <n v="0"/>
    <n v="0"/>
    <n v="0"/>
    <n v="0"/>
    <n v="0"/>
    <n v="0"/>
    <s v="MMR012CMP013"/>
    <x v="1"/>
    <m/>
  </r>
  <r>
    <x v="32"/>
    <x v="1"/>
    <x v="32"/>
    <x v="1"/>
    <s v="RI"/>
    <x v="0"/>
    <x v="1"/>
    <s v="Taung Paw "/>
    <m/>
    <m/>
    <m/>
    <n v="682"/>
    <n v="682"/>
    <m/>
    <n v="682"/>
    <m/>
    <m/>
    <n v="682"/>
    <m/>
    <m/>
    <m/>
    <m/>
    <n v="0"/>
    <n v="0"/>
    <n v="0"/>
    <n v="0"/>
    <n v="0"/>
    <n v="0"/>
    <n v="0"/>
    <n v="0"/>
    <n v="0"/>
    <n v="0"/>
    <n v="0"/>
    <n v="0"/>
    <n v="0"/>
    <n v="0"/>
    <s v="MMR012CMP014"/>
    <x v="0"/>
    <m/>
  </r>
  <r>
    <x v="33"/>
    <x v="1"/>
    <x v="33"/>
    <x v="2"/>
    <s v="UNHCR"/>
    <x v="0"/>
    <x v="0"/>
    <s v="Nidin"/>
    <m/>
    <n v="85"/>
    <m/>
    <n v="170"/>
    <n v="85"/>
    <n v="85"/>
    <n v="85"/>
    <m/>
    <n v="85"/>
    <n v="85"/>
    <n v="425"/>
    <m/>
    <m/>
    <m/>
    <n v="0"/>
    <n v="0"/>
    <n v="0"/>
    <n v="0"/>
    <n v="0"/>
    <n v="0"/>
    <n v="0"/>
    <n v="0"/>
    <n v="0"/>
    <n v="0"/>
    <n v="0"/>
    <n v="0"/>
    <n v="0"/>
    <n v="0"/>
    <s v="MMR012CMP023"/>
    <x v="0"/>
    <m/>
  </r>
  <r>
    <x v="34"/>
    <x v="2"/>
    <x v="34"/>
    <x v="12"/>
    <s v="LWF"/>
    <x v="0"/>
    <x v="0"/>
    <s v="Khaung Doke Khar "/>
    <m/>
    <m/>
    <m/>
    <m/>
    <m/>
    <n v="1598"/>
    <m/>
    <m/>
    <m/>
    <m/>
    <m/>
    <m/>
    <m/>
    <m/>
    <n v="0"/>
    <n v="0"/>
    <n v="0"/>
    <n v="0"/>
    <n v="0"/>
    <n v="0"/>
    <n v="0"/>
    <n v="0"/>
    <n v="0"/>
    <n v="0"/>
    <n v="0"/>
    <n v="0"/>
    <n v="0"/>
    <n v="0"/>
    <s v="MMR012CMP042"/>
    <x v="0"/>
    <m/>
  </r>
  <r>
    <x v="35"/>
    <x v="2"/>
    <x v="35"/>
    <x v="13"/>
    <s v="LWF"/>
    <x v="0"/>
    <x v="2"/>
    <s v="Ah Nauk Ywe"/>
    <m/>
    <n v="986"/>
    <m/>
    <n v="1972"/>
    <n v="986"/>
    <n v="1972"/>
    <n v="986"/>
    <m/>
    <n v="968"/>
    <n v="986"/>
    <n v="4930"/>
    <m/>
    <m/>
    <m/>
    <n v="0"/>
    <n v="0"/>
    <n v="0"/>
    <n v="0"/>
    <n v="0"/>
    <n v="0"/>
    <n v="0"/>
    <n v="0"/>
    <n v="0"/>
    <n v="0"/>
    <n v="0"/>
    <n v="0"/>
    <n v="0"/>
    <n v="0"/>
    <s v="MMR012CMP016"/>
    <x v="0"/>
    <m/>
  </r>
  <r>
    <x v="36"/>
    <x v="2"/>
    <x v="36"/>
    <x v="14"/>
    <s v="LWF"/>
    <x v="0"/>
    <x v="2"/>
    <s v="Nget Chaung"/>
    <m/>
    <m/>
    <m/>
    <n v="1563"/>
    <m/>
    <m/>
    <m/>
    <m/>
    <m/>
    <m/>
    <m/>
    <m/>
    <m/>
    <m/>
    <n v="0"/>
    <n v="0"/>
    <n v="0"/>
    <n v="0"/>
    <n v="0"/>
    <n v="0"/>
    <n v="0"/>
    <n v="0"/>
    <n v="0"/>
    <n v="0"/>
    <n v="0"/>
    <n v="0"/>
    <n v="0"/>
    <n v="0"/>
    <s v=""/>
    <x v="3"/>
    <m/>
  </r>
  <r>
    <x v="37"/>
    <x v="2"/>
    <x v="37"/>
    <x v="13"/>
    <s v="LWF"/>
    <x v="0"/>
    <x v="2"/>
    <s v="Ba Wan Chaung Wa Su"/>
    <m/>
    <n v="21"/>
    <m/>
    <n v="42"/>
    <n v="21"/>
    <n v="42"/>
    <n v="21"/>
    <m/>
    <n v="21"/>
    <n v="21"/>
    <n v="105"/>
    <m/>
    <m/>
    <m/>
    <n v="0"/>
    <n v="0"/>
    <n v="0"/>
    <n v="0"/>
    <n v="0"/>
    <n v="0"/>
    <n v="0"/>
    <n v="0"/>
    <n v="0"/>
    <n v="0"/>
    <n v="0"/>
    <n v="0"/>
    <n v="0"/>
    <n v="0"/>
    <s v="MMR012CMP015"/>
    <x v="1"/>
    <m/>
  </r>
  <r>
    <x v="38"/>
    <x v="2"/>
    <x v="38"/>
    <x v="2"/>
    <s v="CFSI"/>
    <x v="0"/>
    <x v="3"/>
    <s v="Ah Htet Nan Yar"/>
    <n v="0"/>
    <n v="0"/>
    <n v="0"/>
    <n v="0"/>
    <n v="7"/>
    <n v="0"/>
    <n v="0"/>
    <n v="0"/>
    <n v="0"/>
    <n v="0"/>
    <n v="0"/>
    <m/>
    <m/>
    <m/>
    <n v="0"/>
    <n v="0"/>
    <n v="0"/>
    <n v="0"/>
    <n v="0"/>
    <n v="0"/>
    <n v="0"/>
    <n v="0"/>
    <n v="0"/>
    <n v="0"/>
    <n v="0"/>
    <n v="0"/>
    <n v="0"/>
    <n v="0"/>
    <s v="MMR012CMP034"/>
    <x v="0"/>
    <m/>
  </r>
  <r>
    <x v="39"/>
    <x v="2"/>
    <x v="39"/>
    <x v="2"/>
    <s v="CFSI"/>
    <x v="0"/>
    <x v="3"/>
    <s v="Ah Nauk Pyin"/>
    <n v="0"/>
    <n v="0"/>
    <n v="0"/>
    <n v="0"/>
    <n v="5"/>
    <n v="0"/>
    <n v="0"/>
    <n v="0"/>
    <n v="0"/>
    <n v="0"/>
    <n v="0"/>
    <m/>
    <m/>
    <m/>
    <n v="0"/>
    <n v="0"/>
    <n v="0"/>
    <n v="0"/>
    <n v="0"/>
    <n v="0"/>
    <n v="0"/>
    <n v="0"/>
    <n v="0"/>
    <n v="0"/>
    <n v="0"/>
    <n v="0"/>
    <n v="0"/>
    <n v="0"/>
    <s v="MMR012CMP032"/>
    <x v="2"/>
    <m/>
  </r>
  <r>
    <x v="40"/>
    <x v="2"/>
    <x v="40"/>
    <x v="2"/>
    <s v="LWF"/>
    <x v="0"/>
    <x v="0"/>
    <s v="Khaung Doke Khar "/>
    <m/>
    <m/>
    <m/>
    <n v="252"/>
    <n v="127"/>
    <n v="252"/>
    <n v="127"/>
    <m/>
    <n v="127"/>
    <n v="127"/>
    <n v="635"/>
    <m/>
    <m/>
    <m/>
    <n v="0"/>
    <n v="0"/>
    <n v="0"/>
    <n v="0"/>
    <n v="0"/>
    <n v="0"/>
    <n v="0"/>
    <n v="0"/>
    <n v="0"/>
    <n v="0"/>
    <n v="0"/>
    <n v="0"/>
    <n v="0"/>
    <n v="0"/>
    <s v="MMR012CMP042"/>
    <x v="0"/>
    <m/>
  </r>
  <r>
    <x v="40"/>
    <x v="2"/>
    <x v="40"/>
    <x v="13"/>
    <s v="LWF"/>
    <x v="0"/>
    <x v="0"/>
    <s v="Khaung Doke Khar "/>
    <m/>
    <m/>
    <m/>
    <s v="2"/>
    <n v="1"/>
    <s v="2"/>
    <s v="1"/>
    <m/>
    <s v="1"/>
    <m/>
    <s v="5"/>
    <m/>
    <m/>
    <m/>
    <n v="0"/>
    <n v="0"/>
    <n v="0"/>
    <n v="0"/>
    <n v="0"/>
    <n v="0"/>
    <n v="0"/>
    <n v="0"/>
    <n v="0"/>
    <n v="0"/>
    <n v="0"/>
    <n v="0"/>
    <n v="0"/>
    <n v="0"/>
    <s v="MMR012CMP042"/>
    <x v="0"/>
    <m/>
  </r>
  <r>
    <x v="41"/>
    <x v="2"/>
    <x v="41"/>
    <x v="2"/>
    <s v="DRC"/>
    <x v="0"/>
    <x v="0"/>
    <s v="Say Tha Mar Gyi"/>
    <m/>
    <m/>
    <m/>
    <n v="730"/>
    <n v="365"/>
    <n v="730"/>
    <n v="365"/>
    <m/>
    <n v="365"/>
    <n v="365"/>
    <n v="1825"/>
    <m/>
    <m/>
    <m/>
    <n v="0"/>
    <n v="0"/>
    <n v="0"/>
    <n v="0"/>
    <n v="0"/>
    <n v="0"/>
    <n v="0"/>
    <n v="0"/>
    <n v="0"/>
    <n v="0"/>
    <n v="0"/>
    <n v="0"/>
    <n v="0"/>
    <n v="0"/>
    <s v="MMR012CMP045"/>
    <x v="0"/>
    <m/>
  </r>
  <r>
    <x v="41"/>
    <x v="2"/>
    <x v="41"/>
    <x v="2"/>
    <s v="CFSI"/>
    <x v="0"/>
    <x v="3"/>
    <s v="Chein Khar Li"/>
    <n v="0"/>
    <n v="0"/>
    <n v="0"/>
    <n v="0"/>
    <n v="10"/>
    <n v="0"/>
    <n v="0"/>
    <n v="0"/>
    <n v="0"/>
    <n v="0"/>
    <n v="0"/>
    <m/>
    <m/>
    <m/>
    <n v="0"/>
    <n v="0"/>
    <n v="0"/>
    <n v="0"/>
    <n v="0"/>
    <n v="0"/>
    <n v="0"/>
    <n v="0"/>
    <n v="0"/>
    <n v="0"/>
    <n v="0"/>
    <n v="0"/>
    <n v="0"/>
    <n v="0"/>
    <s v="MMR012CMP033"/>
    <x v="0"/>
    <m/>
  </r>
  <r>
    <x v="42"/>
    <x v="2"/>
    <x v="42"/>
    <x v="2"/>
    <s v="DRC"/>
    <x v="0"/>
    <x v="0"/>
    <s v="Say Tha Mar Gyi"/>
    <m/>
    <n v="273"/>
    <m/>
    <n v="546"/>
    <n v="273"/>
    <n v="546"/>
    <n v="273"/>
    <m/>
    <n v="273"/>
    <n v="273"/>
    <n v="1365"/>
    <m/>
    <m/>
    <m/>
    <n v="0"/>
    <n v="0"/>
    <n v="0"/>
    <n v="0"/>
    <n v="0"/>
    <n v="0"/>
    <n v="0"/>
    <n v="0"/>
    <n v="0"/>
    <n v="0"/>
    <n v="0"/>
    <n v="0"/>
    <n v="0"/>
    <n v="0"/>
    <s v="MMR012CMP045"/>
    <x v="0"/>
    <m/>
  </r>
  <r>
    <x v="42"/>
    <x v="2"/>
    <x v="42"/>
    <x v="2"/>
    <s v="LWF"/>
    <x v="0"/>
    <x v="0"/>
    <s v="Basare"/>
    <m/>
    <n v="59"/>
    <m/>
    <n v="6"/>
    <n v="3"/>
    <n v="6"/>
    <n v="3"/>
    <m/>
    <n v="3"/>
    <n v="3"/>
    <n v="15"/>
    <m/>
    <m/>
    <m/>
    <n v="0"/>
    <n v="0"/>
    <n v="0"/>
    <n v="0"/>
    <n v="0"/>
    <n v="0"/>
    <n v="0"/>
    <n v="0"/>
    <n v="0"/>
    <n v="0"/>
    <n v="0"/>
    <n v="0"/>
    <n v="0"/>
    <n v="0"/>
    <s v="MMR012CMP039"/>
    <x v="0"/>
    <m/>
  </r>
  <r>
    <x v="42"/>
    <x v="2"/>
    <x v="42"/>
    <x v="2"/>
    <s v="LWF"/>
    <x v="0"/>
    <x v="0"/>
    <s v="Khaung Doke Khar "/>
    <m/>
    <n v="160"/>
    <m/>
    <n v="96"/>
    <n v="48"/>
    <n v="96"/>
    <n v="48"/>
    <m/>
    <n v="48"/>
    <n v="48"/>
    <n v="240"/>
    <m/>
    <m/>
    <m/>
    <n v="0"/>
    <n v="0"/>
    <n v="0"/>
    <n v="0"/>
    <n v="0"/>
    <n v="0"/>
    <n v="0"/>
    <n v="0"/>
    <n v="0"/>
    <n v="0"/>
    <n v="0"/>
    <n v="0"/>
    <n v="0"/>
    <n v="0"/>
    <s v="MMR012CMP042"/>
    <x v="0"/>
    <m/>
  </r>
  <r>
    <x v="43"/>
    <x v="2"/>
    <x v="43"/>
    <x v="2"/>
    <s v="Save the Children"/>
    <x v="0"/>
    <x v="2"/>
    <s v="Kyein Ni Pyin"/>
    <m/>
    <m/>
    <m/>
    <n v="62"/>
    <n v="31"/>
    <n v="62"/>
    <n v="31"/>
    <m/>
    <n v="31"/>
    <n v="31"/>
    <n v="155"/>
    <m/>
    <m/>
    <m/>
    <n v="0"/>
    <n v="0"/>
    <n v="0"/>
    <n v="0"/>
    <n v="0"/>
    <n v="0"/>
    <n v="0"/>
    <n v="0"/>
    <n v="0"/>
    <n v="0"/>
    <n v="0"/>
    <n v="0"/>
    <n v="0"/>
    <n v="0"/>
    <s v="MMR012CMP018"/>
    <x v="0"/>
    <m/>
  </r>
  <r>
    <x v="44"/>
    <x v="2"/>
    <x v="44"/>
    <x v="2"/>
    <s v="Save the Children"/>
    <x v="0"/>
    <x v="0"/>
    <s v="Thet Kae Pyin "/>
    <m/>
    <n v="984"/>
    <m/>
    <n v="1968"/>
    <n v="984"/>
    <n v="1968"/>
    <n v="984"/>
    <m/>
    <n v="984"/>
    <n v="984"/>
    <n v="4920"/>
    <m/>
    <m/>
    <m/>
    <n v="0"/>
    <n v="0"/>
    <n v="0"/>
    <n v="0"/>
    <n v="0"/>
    <n v="0"/>
    <n v="0"/>
    <n v="0"/>
    <n v="0"/>
    <n v="0"/>
    <n v="0"/>
    <n v="0"/>
    <n v="0"/>
    <n v="0"/>
    <s v="MMR012CMP048"/>
    <x v="0"/>
    <m/>
  </r>
  <r>
    <x v="45"/>
    <x v="2"/>
    <x v="45"/>
    <x v="2"/>
    <s v="UNHCR"/>
    <x v="0"/>
    <x v="3"/>
    <s v="Koe Tan Kauk"/>
    <n v="0"/>
    <n v="0"/>
    <n v="0"/>
    <n v="0"/>
    <n v="217"/>
    <n v="0"/>
    <n v="0"/>
    <n v="0"/>
    <n v="0"/>
    <n v="0"/>
    <n v="0"/>
    <m/>
    <m/>
    <m/>
    <n v="0"/>
    <n v="0"/>
    <n v="0"/>
    <n v="0"/>
    <n v="0"/>
    <n v="0"/>
    <n v="0"/>
    <n v="0"/>
    <n v="0"/>
    <n v="0"/>
    <n v="0"/>
    <n v="0"/>
    <n v="0"/>
    <n v="0"/>
    <s v="MMR012CMP110"/>
    <x v="0"/>
    <m/>
  </r>
  <r>
    <x v="45"/>
    <x v="2"/>
    <x v="45"/>
    <x v="2"/>
    <s v="UNHCR"/>
    <x v="0"/>
    <x v="3"/>
    <s v="Chein Khar Li"/>
    <n v="0"/>
    <n v="0"/>
    <n v="0"/>
    <n v="0"/>
    <n v="167"/>
    <n v="0"/>
    <n v="0"/>
    <n v="0"/>
    <n v="0"/>
    <n v="0"/>
    <n v="0"/>
    <m/>
    <m/>
    <m/>
    <n v="0"/>
    <n v="0"/>
    <n v="0"/>
    <n v="0"/>
    <n v="0"/>
    <n v="0"/>
    <n v="0"/>
    <n v="0"/>
    <n v="0"/>
    <n v="0"/>
    <n v="0"/>
    <n v="0"/>
    <n v="0"/>
    <n v="0"/>
    <s v="MMR012CMP033"/>
    <x v="0"/>
    <m/>
  </r>
  <r>
    <x v="46"/>
    <x v="2"/>
    <x v="46"/>
    <x v="2"/>
    <s v="Save the Children"/>
    <x v="0"/>
    <x v="0"/>
    <s v="Maw Ti Ngar"/>
    <m/>
    <n v="624"/>
    <m/>
    <n v="1248"/>
    <n v="624"/>
    <n v="1248"/>
    <n v="624"/>
    <m/>
    <n v="624"/>
    <n v="624"/>
    <n v="3120"/>
    <m/>
    <m/>
    <m/>
    <n v="0"/>
    <n v="0"/>
    <n v="0"/>
    <n v="0"/>
    <n v="0"/>
    <n v="0"/>
    <n v="0"/>
    <n v="0"/>
    <n v="0"/>
    <n v="0"/>
    <n v="0"/>
    <n v="0"/>
    <n v="0"/>
    <n v="0"/>
    <s v="MMR012CMP092"/>
    <x v="0"/>
    <m/>
  </r>
  <r>
    <x v="47"/>
    <x v="2"/>
    <x v="47"/>
    <x v="2"/>
    <s v="UNHCR"/>
    <x v="0"/>
    <x v="5"/>
    <s v="Yun Nyar"/>
    <m/>
    <m/>
    <m/>
    <m/>
    <n v="112"/>
    <m/>
    <m/>
    <m/>
    <m/>
    <m/>
    <m/>
    <m/>
    <m/>
    <m/>
    <n v="0"/>
    <n v="0"/>
    <n v="0"/>
    <n v="0"/>
    <n v="0"/>
    <n v="0"/>
    <n v="0"/>
    <n v="0"/>
    <n v="0"/>
    <n v="0"/>
    <n v="0"/>
    <n v="0"/>
    <n v="0"/>
    <n v="0"/>
    <s v="MMR012CMP028"/>
    <x v="2"/>
    <m/>
  </r>
  <r>
    <x v="47"/>
    <x v="2"/>
    <x v="47"/>
    <x v="2"/>
    <s v="UNHCR"/>
    <x v="0"/>
    <x v="5"/>
    <s v="Shwe Hlaing"/>
    <m/>
    <m/>
    <m/>
    <m/>
    <n v="138"/>
    <m/>
    <m/>
    <m/>
    <m/>
    <m/>
    <m/>
    <m/>
    <m/>
    <m/>
    <n v="0"/>
    <n v="0"/>
    <n v="0"/>
    <n v="0"/>
    <n v="0"/>
    <n v="0"/>
    <n v="0"/>
    <n v="0"/>
    <n v="0"/>
    <n v="0"/>
    <n v="0"/>
    <n v="0"/>
    <n v="0"/>
    <n v="0"/>
    <s v="MMR012CMP029"/>
    <x v="2"/>
    <m/>
  </r>
  <r>
    <x v="48"/>
    <x v="2"/>
    <x v="48"/>
    <x v="2"/>
    <s v="UNHCR"/>
    <x v="0"/>
    <x v="5"/>
    <s v="Nidin"/>
    <m/>
    <m/>
    <m/>
    <m/>
    <n v="85"/>
    <m/>
    <m/>
    <m/>
    <m/>
    <m/>
    <m/>
    <m/>
    <m/>
    <m/>
    <n v="0"/>
    <n v="0"/>
    <n v="0"/>
    <n v="0"/>
    <n v="0"/>
    <n v="0"/>
    <n v="0"/>
    <n v="0"/>
    <n v="0"/>
    <n v="0"/>
    <n v="0"/>
    <n v="0"/>
    <n v="0"/>
    <n v="0"/>
    <s v="MMR012CMP023"/>
    <x v="0"/>
    <m/>
  </r>
  <r>
    <x v="48"/>
    <x v="2"/>
    <x v="48"/>
    <x v="2"/>
    <s v="UNHCR"/>
    <x v="0"/>
    <x v="5"/>
    <s v="Khaung Htoke"/>
    <m/>
    <m/>
    <m/>
    <m/>
    <n v="97"/>
    <m/>
    <m/>
    <m/>
    <m/>
    <m/>
    <m/>
    <m/>
    <m/>
    <m/>
    <n v="0"/>
    <n v="0"/>
    <n v="0"/>
    <n v="0"/>
    <n v="0"/>
    <n v="0"/>
    <n v="0"/>
    <n v="0"/>
    <n v="0"/>
    <n v="0"/>
    <n v="0"/>
    <n v="0"/>
    <n v="0"/>
    <n v="0"/>
    <s v="MMR012CMP030"/>
    <x v="1"/>
    <m/>
  </r>
  <r>
    <x v="49"/>
    <x v="2"/>
    <x v="49"/>
    <x v="2"/>
    <s v="UNHCR"/>
    <x v="0"/>
    <x v="5"/>
    <s v="In Bar Yi"/>
    <m/>
    <m/>
    <m/>
    <m/>
    <n v="236"/>
    <m/>
    <m/>
    <m/>
    <m/>
    <m/>
    <m/>
    <m/>
    <m/>
    <m/>
    <n v="0"/>
    <n v="0"/>
    <n v="0"/>
    <n v="0"/>
    <n v="0"/>
    <n v="0"/>
    <n v="0"/>
    <n v="0"/>
    <n v="0"/>
    <n v="0"/>
    <n v="0"/>
    <n v="0"/>
    <n v="0"/>
    <n v="0"/>
    <s v="MMR012CMP026"/>
    <x v="2"/>
    <m/>
  </r>
  <r>
    <x v="49"/>
    <x v="2"/>
    <x v="49"/>
    <x v="2"/>
    <s v="UNHCR"/>
    <x v="0"/>
    <x v="5"/>
    <s v="Ah Pauk Wa "/>
    <m/>
    <m/>
    <m/>
    <m/>
    <n v="92"/>
    <m/>
    <m/>
    <m/>
    <m/>
    <m/>
    <m/>
    <m/>
    <m/>
    <m/>
    <n v="0"/>
    <n v="0"/>
    <n v="0"/>
    <n v="0"/>
    <n v="0"/>
    <n v="0"/>
    <n v="0"/>
    <n v="0"/>
    <n v="0"/>
    <n v="0"/>
    <n v="0"/>
    <n v="0"/>
    <n v="0"/>
    <n v="0"/>
    <s v="MMR012CMP024"/>
    <x v="2"/>
    <m/>
  </r>
  <r>
    <x v="49"/>
    <x v="2"/>
    <x v="49"/>
    <x v="2"/>
    <s v="UNHCR"/>
    <x v="0"/>
    <x v="5"/>
    <s v="Goke Pi Htaunt"/>
    <m/>
    <m/>
    <m/>
    <m/>
    <n v="116"/>
    <m/>
    <m/>
    <m/>
    <m/>
    <m/>
    <m/>
    <m/>
    <m/>
    <m/>
    <n v="0"/>
    <n v="0"/>
    <n v="0"/>
    <n v="0"/>
    <n v="0"/>
    <n v="0"/>
    <n v="0"/>
    <n v="0"/>
    <n v="0"/>
    <n v="0"/>
    <n v="0"/>
    <n v="0"/>
    <n v="0"/>
    <n v="0"/>
    <s v="MMR012CMP027"/>
    <x v="2"/>
    <m/>
  </r>
  <r>
    <x v="50"/>
    <x v="2"/>
    <x v="50"/>
    <x v="2"/>
    <s v="UNHCR"/>
    <x v="0"/>
    <x v="6"/>
    <s v="Tha Dar"/>
    <m/>
    <m/>
    <m/>
    <m/>
    <n v="16"/>
    <m/>
    <m/>
    <m/>
    <m/>
    <m/>
    <m/>
    <m/>
    <m/>
    <m/>
    <n v="0"/>
    <n v="0"/>
    <n v="0"/>
    <n v="0"/>
    <n v="0"/>
    <n v="0"/>
    <n v="0"/>
    <n v="0"/>
    <n v="0"/>
    <n v="0"/>
    <n v="0"/>
    <n v="0"/>
    <n v="0"/>
    <n v="0"/>
    <s v="MMR012CMP002"/>
    <x v="2"/>
    <m/>
  </r>
  <r>
    <x v="51"/>
    <x v="2"/>
    <x v="51"/>
    <x v="2"/>
    <s v="CFSI"/>
    <x v="0"/>
    <x v="3"/>
    <s v="Koe Tan Kauk"/>
    <n v="0"/>
    <n v="0"/>
    <n v="0"/>
    <n v="0"/>
    <n v="10"/>
    <n v="0"/>
    <n v="0"/>
    <n v="0"/>
    <n v="0"/>
    <n v="0"/>
    <n v="0"/>
    <m/>
    <m/>
    <m/>
    <n v="0"/>
    <n v="0"/>
    <n v="0"/>
    <n v="0"/>
    <n v="0"/>
    <n v="0"/>
    <n v="0"/>
    <n v="0"/>
    <n v="0"/>
    <n v="0"/>
    <n v="0"/>
    <n v="0"/>
    <n v="0"/>
    <n v="0"/>
    <s v="MMR012CMP110"/>
    <x v="0"/>
    <m/>
  </r>
  <r>
    <x v="51"/>
    <x v="2"/>
    <x v="51"/>
    <x v="2"/>
    <s v="CFSI"/>
    <x v="0"/>
    <x v="3"/>
    <s v="Chein Khar Li"/>
    <n v="0"/>
    <n v="0"/>
    <n v="0"/>
    <n v="0"/>
    <n v="20"/>
    <n v="0"/>
    <n v="0"/>
    <n v="0"/>
    <n v="0"/>
    <n v="0"/>
    <n v="0"/>
    <m/>
    <m/>
    <m/>
    <n v="0"/>
    <n v="0"/>
    <n v="0"/>
    <n v="0"/>
    <n v="0"/>
    <n v="0"/>
    <n v="0"/>
    <n v="0"/>
    <n v="0"/>
    <n v="0"/>
    <n v="0"/>
    <n v="0"/>
    <n v="0"/>
    <n v="0"/>
    <s v="MMR012CMP033"/>
    <x v="0"/>
    <m/>
  </r>
  <r>
    <x v="51"/>
    <x v="2"/>
    <x v="51"/>
    <x v="2"/>
    <s v="CFSI"/>
    <x v="0"/>
    <x v="3"/>
    <s v="Ah Htet Nan Yar"/>
    <n v="0"/>
    <n v="0"/>
    <n v="0"/>
    <n v="0"/>
    <n v="10"/>
    <n v="0"/>
    <n v="0"/>
    <n v="0"/>
    <n v="0"/>
    <n v="0"/>
    <n v="0"/>
    <m/>
    <m/>
    <m/>
    <n v="0"/>
    <n v="0"/>
    <n v="0"/>
    <n v="0"/>
    <n v="0"/>
    <n v="0"/>
    <n v="0"/>
    <n v="0"/>
    <n v="0"/>
    <n v="0"/>
    <n v="0"/>
    <n v="0"/>
    <n v="0"/>
    <n v="0"/>
    <s v="MMR012CMP034"/>
    <x v="0"/>
    <m/>
  </r>
  <r>
    <x v="52"/>
    <x v="2"/>
    <x v="52"/>
    <x v="2"/>
    <s v="UNHCR"/>
    <x v="0"/>
    <x v="6"/>
    <s v="Tha Dar"/>
    <m/>
    <m/>
    <m/>
    <m/>
    <n v="187"/>
    <m/>
    <m/>
    <m/>
    <m/>
    <m/>
    <m/>
    <m/>
    <m/>
    <m/>
    <n v="0"/>
    <n v="0"/>
    <n v="0"/>
    <n v="0"/>
    <n v="0"/>
    <n v="0"/>
    <n v="0"/>
    <n v="0"/>
    <n v="0"/>
    <n v="0"/>
    <n v="0"/>
    <n v="0"/>
    <n v="0"/>
    <n v="0"/>
    <s v="MMR012CMP002"/>
    <x v="2"/>
    <m/>
  </r>
  <r>
    <x v="52"/>
    <x v="2"/>
    <x v="52"/>
    <x v="2"/>
    <s v="UNHCR"/>
    <x v="0"/>
    <x v="6"/>
    <s v="San Htoe Tan"/>
    <m/>
    <m/>
    <m/>
    <m/>
    <n v="90"/>
    <m/>
    <m/>
    <m/>
    <m/>
    <m/>
    <m/>
    <m/>
    <m/>
    <m/>
    <n v="0"/>
    <n v="0"/>
    <n v="0"/>
    <n v="0"/>
    <n v="0"/>
    <n v="0"/>
    <n v="0"/>
    <n v="0"/>
    <n v="0"/>
    <n v="0"/>
    <n v="0"/>
    <n v="0"/>
    <n v="0"/>
    <n v="0"/>
    <s v="MMR012CMP003"/>
    <x v="2"/>
    <m/>
  </r>
  <r>
    <x v="52"/>
    <x v="2"/>
    <x v="52"/>
    <x v="2"/>
    <s v="UNHCR"/>
    <x v="0"/>
    <x v="6"/>
    <s v="Aung Taing"/>
    <m/>
    <m/>
    <m/>
    <m/>
    <n v="86"/>
    <m/>
    <m/>
    <m/>
    <m/>
    <m/>
    <m/>
    <m/>
    <m/>
    <m/>
    <n v="0"/>
    <n v="0"/>
    <n v="0"/>
    <n v="0"/>
    <n v="0"/>
    <n v="0"/>
    <n v="0"/>
    <n v="0"/>
    <n v="0"/>
    <n v="0"/>
    <n v="0"/>
    <n v="0"/>
    <n v="0"/>
    <n v="0"/>
    <s v="MMR012CMP006"/>
    <x v="2"/>
    <m/>
  </r>
  <r>
    <x v="52"/>
    <x v="2"/>
    <x v="52"/>
    <x v="2"/>
    <s v="UNHCR"/>
    <x v="0"/>
    <x v="6"/>
    <s v="Sam Ba Le"/>
    <m/>
    <m/>
    <m/>
    <m/>
    <n v="225"/>
    <m/>
    <m/>
    <m/>
    <m/>
    <m/>
    <m/>
    <m/>
    <m/>
    <m/>
    <n v="0"/>
    <n v="0"/>
    <n v="0"/>
    <n v="0"/>
    <n v="0"/>
    <n v="0"/>
    <n v="0"/>
    <n v="0"/>
    <n v="0"/>
    <n v="0"/>
    <n v="0"/>
    <n v="0"/>
    <n v="0"/>
    <n v="0"/>
    <s v="MMR012CMP008"/>
    <x v="2"/>
    <m/>
  </r>
  <r>
    <x v="53"/>
    <x v="2"/>
    <x v="53"/>
    <x v="2"/>
    <s v="UNHCR"/>
    <x v="0"/>
    <x v="7"/>
    <s v="Pa Rein"/>
    <m/>
    <m/>
    <m/>
    <m/>
    <n v="56"/>
    <m/>
    <m/>
    <m/>
    <m/>
    <m/>
    <m/>
    <m/>
    <m/>
    <m/>
    <n v="0"/>
    <n v="0"/>
    <n v="0"/>
    <n v="0"/>
    <n v="0"/>
    <n v="0"/>
    <n v="0"/>
    <n v="0"/>
    <n v="0"/>
    <n v="0"/>
    <n v="0"/>
    <n v="0"/>
    <n v="0"/>
    <n v="0"/>
    <s v="MMR012CMP009"/>
    <x v="2"/>
    <m/>
  </r>
  <r>
    <x v="53"/>
    <x v="2"/>
    <x v="53"/>
    <x v="2"/>
    <s v="UNHCR"/>
    <x v="0"/>
    <x v="7"/>
    <s v="Yai Thei-Muslim"/>
    <m/>
    <m/>
    <m/>
    <m/>
    <n v="55"/>
    <m/>
    <m/>
    <m/>
    <m/>
    <m/>
    <m/>
    <m/>
    <m/>
    <m/>
    <n v="0"/>
    <n v="0"/>
    <n v="0"/>
    <n v="0"/>
    <n v="0"/>
    <n v="0"/>
    <n v="0"/>
    <n v="0"/>
    <n v="0"/>
    <n v="0"/>
    <n v="0"/>
    <n v="0"/>
    <n v="0"/>
    <n v="0"/>
    <s v="MMR012CMP010"/>
    <x v="2"/>
    <m/>
  </r>
  <r>
    <x v="53"/>
    <x v="2"/>
    <x v="53"/>
    <x v="2"/>
    <s v="UNHCR"/>
    <x v="0"/>
    <x v="6"/>
    <s v="Tha Yet Oak"/>
    <m/>
    <m/>
    <m/>
    <m/>
    <n v="275"/>
    <m/>
    <m/>
    <m/>
    <m/>
    <m/>
    <m/>
    <m/>
    <m/>
    <m/>
    <n v="0"/>
    <n v="0"/>
    <n v="0"/>
    <n v="0"/>
    <n v="0"/>
    <n v="0"/>
    <n v="0"/>
    <n v="0"/>
    <n v="0"/>
    <n v="0"/>
    <n v="0"/>
    <n v="0"/>
    <n v="0"/>
    <n v="0"/>
    <s v="MMR012CMP005"/>
    <x v="2"/>
    <m/>
  </r>
  <r>
    <x v="54"/>
    <x v="2"/>
    <x v="54"/>
    <x v="2"/>
    <s v="DRC"/>
    <x v="0"/>
    <x v="0"/>
    <s v="Ohn Taw Chay"/>
    <n v="0"/>
    <n v="140"/>
    <n v="0"/>
    <n v="1298"/>
    <n v="649"/>
    <n v="1298"/>
    <n v="649"/>
    <n v="509"/>
    <n v="649"/>
    <n v="649"/>
    <n v="3245"/>
    <m/>
    <m/>
    <m/>
    <n v="0"/>
    <n v="0"/>
    <n v="0"/>
    <n v="0"/>
    <n v="0"/>
    <n v="0"/>
    <n v="0"/>
    <n v="0"/>
    <n v="0"/>
    <n v="0"/>
    <n v="0"/>
    <n v="0"/>
    <n v="0"/>
    <n v="0"/>
    <s v="MMR012CMP098"/>
    <x v="0"/>
    <m/>
  </r>
  <r>
    <x v="55"/>
    <x v="2"/>
    <x v="55"/>
    <x v="2"/>
    <s v="Save the Children"/>
    <x v="0"/>
    <x v="0"/>
    <s v="Sat Roe Kya 1"/>
    <n v="0"/>
    <m/>
    <n v="0"/>
    <n v="498"/>
    <n v="249"/>
    <n v="498"/>
    <n v="249"/>
    <n v="0"/>
    <n v="249"/>
    <n v="249"/>
    <n v="1245"/>
    <m/>
    <m/>
    <m/>
    <n v="0"/>
    <n v="0"/>
    <n v="0"/>
    <n v="0"/>
    <n v="0"/>
    <n v="0"/>
    <n v="0"/>
    <n v="0"/>
    <n v="0"/>
    <n v="0"/>
    <n v="0"/>
    <n v="0"/>
    <n v="0"/>
    <n v="0"/>
    <s v="MMR012CMP111"/>
    <x v="1"/>
    <m/>
  </r>
  <r>
    <x v="56"/>
    <x v="2"/>
    <x v="56"/>
    <x v="2"/>
    <s v="LWF"/>
    <x v="0"/>
    <x v="0"/>
    <s v="Thae Chaung"/>
    <m/>
    <n v="2145"/>
    <m/>
    <n v="4290"/>
    <n v="2145"/>
    <n v="4290"/>
    <n v="2145"/>
    <m/>
    <n v="2145"/>
    <n v="2145"/>
    <n v="10725"/>
    <m/>
    <m/>
    <m/>
    <n v="0"/>
    <n v="0"/>
    <n v="0"/>
    <n v="0"/>
    <n v="0"/>
    <n v="0"/>
    <n v="0"/>
    <n v="0"/>
    <n v="0"/>
    <n v="0"/>
    <n v="0"/>
    <n v="0"/>
    <n v="0"/>
    <n v="0"/>
    <s v="MMR012CMP046"/>
    <x v="0"/>
    <m/>
  </r>
  <r>
    <x v="57"/>
    <x v="2"/>
    <x v="57"/>
    <x v="11"/>
    <s v="DRC"/>
    <x v="0"/>
    <x v="0"/>
    <s v="Dar Pai"/>
    <n v="0"/>
    <n v="1364"/>
    <n v="0"/>
    <n v="2728"/>
    <n v="1364"/>
    <n v="2728"/>
    <n v="1364"/>
    <n v="0"/>
    <n v="1364"/>
    <n v="1364"/>
    <n v="6820"/>
    <m/>
    <m/>
    <m/>
    <n v="0"/>
    <n v="0"/>
    <n v="0"/>
    <n v="0"/>
    <n v="0"/>
    <n v="0"/>
    <n v="0"/>
    <n v="0"/>
    <n v="0"/>
    <n v="0"/>
    <n v="0"/>
    <n v="0"/>
    <n v="0"/>
    <n v="0"/>
    <s v="MMR012CMP041"/>
    <x v="0"/>
    <m/>
  </r>
  <r>
    <x v="58"/>
    <x v="2"/>
    <x v="58"/>
    <x v="2"/>
    <s v="UNHCR"/>
    <x v="0"/>
    <x v="3"/>
    <s v="Chein Khar Li"/>
    <n v="0"/>
    <n v="7"/>
    <n v="7"/>
    <n v="14"/>
    <n v="5"/>
    <n v="14"/>
    <n v="5"/>
    <n v="0"/>
    <n v="7"/>
    <n v="7"/>
    <n v="21"/>
    <m/>
    <m/>
    <m/>
    <n v="0"/>
    <n v="0"/>
    <n v="0"/>
    <n v="0"/>
    <n v="0"/>
    <n v="0"/>
    <n v="0"/>
    <n v="0"/>
    <n v="0"/>
    <n v="0"/>
    <n v="0"/>
    <n v="0"/>
    <n v="0"/>
    <n v="0"/>
    <s v="MMR012CMP033"/>
    <x v="0"/>
    <m/>
  </r>
  <r>
    <x v="59"/>
    <x v="2"/>
    <x v="59"/>
    <x v="2"/>
    <s v="UNHCR"/>
    <x v="0"/>
    <x v="0"/>
    <s v="Sat Roe Kya 2"/>
    <n v="0"/>
    <m/>
    <n v="0"/>
    <n v="836"/>
    <n v="418"/>
    <n v="836"/>
    <n v="418"/>
    <n v="0"/>
    <n v="418"/>
    <n v="418"/>
    <n v="2090"/>
    <m/>
    <m/>
    <m/>
    <n v="0"/>
    <n v="0"/>
    <n v="0"/>
    <n v="0"/>
    <n v="0"/>
    <n v="0"/>
    <n v="0"/>
    <n v="0"/>
    <n v="0"/>
    <n v="0"/>
    <n v="0"/>
    <n v="0"/>
    <n v="0"/>
    <n v="0"/>
    <s v="MMR012CMP112"/>
    <x v="1"/>
    <m/>
  </r>
  <r>
    <x v="59"/>
    <x v="2"/>
    <x v="59"/>
    <x v="2"/>
    <s v="LWF"/>
    <x v="0"/>
    <x v="0"/>
    <s v="Set Yone Su"/>
    <m/>
    <n v="72"/>
    <m/>
    <n v="144"/>
    <n v="72"/>
    <n v="144"/>
    <n v="72"/>
    <m/>
    <n v="72"/>
    <n v="72"/>
    <n v="360"/>
    <m/>
    <m/>
    <m/>
    <n v="0"/>
    <n v="0"/>
    <n v="0"/>
    <n v="0"/>
    <n v="0"/>
    <n v="0"/>
    <n v="0"/>
    <n v="0"/>
    <n v="0"/>
    <n v="0"/>
    <n v="0"/>
    <n v="0"/>
    <n v="0"/>
    <n v="0"/>
    <s v="MMR012CMP056"/>
    <x v="1"/>
    <m/>
  </r>
  <r>
    <x v="59"/>
    <x v="2"/>
    <x v="59"/>
    <x v="2"/>
    <s v="LWF"/>
    <x v="0"/>
    <x v="0"/>
    <s v="Set Yone Su 3"/>
    <m/>
    <n v="151"/>
    <m/>
    <n v="302"/>
    <n v="151"/>
    <n v="302"/>
    <n v="151"/>
    <m/>
    <n v="151"/>
    <n v="151"/>
    <n v="755"/>
    <m/>
    <m/>
    <m/>
    <n v="0"/>
    <n v="0"/>
    <n v="0"/>
    <n v="0"/>
    <n v="0"/>
    <n v="0"/>
    <n v="0"/>
    <n v="0"/>
    <n v="0"/>
    <n v="0"/>
    <n v="0"/>
    <n v="0"/>
    <n v="0"/>
    <n v="0"/>
    <s v="MMR012CMP093"/>
    <x v="1"/>
    <m/>
  </r>
  <r>
    <x v="60"/>
    <x v="2"/>
    <x v="60"/>
    <x v="15"/>
    <s v="Save the Children"/>
    <x v="0"/>
    <x v="0"/>
    <s v="Thet Kae Pyin "/>
    <n v="1020"/>
    <m/>
    <m/>
    <m/>
    <m/>
    <m/>
    <m/>
    <m/>
    <m/>
    <m/>
    <m/>
    <m/>
    <m/>
    <m/>
    <n v="0"/>
    <n v="0"/>
    <n v="0"/>
    <n v="0"/>
    <n v="0"/>
    <n v="0"/>
    <n v="0"/>
    <n v="0"/>
    <n v="0"/>
    <n v="0"/>
    <n v="0"/>
    <n v="0"/>
    <n v="0"/>
    <n v="0"/>
    <s v="MMR012CMP048"/>
    <x v="0"/>
    <m/>
  </r>
  <r>
    <x v="61"/>
    <x v="2"/>
    <x v="61"/>
    <x v="2"/>
    <s v="UNHCR"/>
    <x v="0"/>
    <x v="8"/>
    <s v="Bomu Ywa"/>
    <n v="0"/>
    <n v="43"/>
    <n v="43"/>
    <n v="86"/>
    <n v="0"/>
    <n v="86"/>
    <n v="33"/>
    <n v="0"/>
    <n v="43"/>
    <n v="43"/>
    <n v="165"/>
    <m/>
    <m/>
    <m/>
    <n v="0"/>
    <n v="0"/>
    <n v="0"/>
    <n v="0"/>
    <n v="0"/>
    <n v="0"/>
    <n v="0"/>
    <n v="0"/>
    <n v="0"/>
    <n v="0"/>
    <n v="0"/>
    <n v="0"/>
    <n v="0"/>
    <n v="0"/>
    <s v="MMR012CMP084"/>
    <x v="0"/>
    <m/>
  </r>
  <r>
    <x v="62"/>
    <x v="2"/>
    <x v="62"/>
    <x v="1"/>
    <s v="RI"/>
    <x v="0"/>
    <x v="1"/>
    <s v="Kan Thar Htwat Wa"/>
    <n v="42"/>
    <m/>
    <m/>
    <m/>
    <m/>
    <m/>
    <m/>
    <m/>
    <m/>
    <m/>
    <m/>
    <m/>
    <m/>
    <m/>
    <n v="0"/>
    <n v="0"/>
    <n v="0"/>
    <n v="0"/>
    <n v="0"/>
    <n v="0"/>
    <n v="0"/>
    <n v="0"/>
    <n v="0"/>
    <n v="0"/>
    <n v="0"/>
    <n v="0"/>
    <n v="0"/>
    <n v="0"/>
    <s v="MMR012CMP013"/>
    <x v="1"/>
    <m/>
  </r>
  <r>
    <x v="62"/>
    <x v="2"/>
    <x v="62"/>
    <x v="1"/>
    <s v="RI"/>
    <x v="0"/>
    <x v="1"/>
    <s v="Taung Paw "/>
    <n v="682"/>
    <m/>
    <m/>
    <m/>
    <m/>
    <m/>
    <m/>
    <m/>
    <m/>
    <m/>
    <m/>
    <m/>
    <m/>
    <m/>
    <n v="0"/>
    <n v="0"/>
    <n v="0"/>
    <n v="0"/>
    <n v="0"/>
    <n v="0"/>
    <n v="0"/>
    <n v="0"/>
    <n v="0"/>
    <n v="0"/>
    <n v="0"/>
    <n v="0"/>
    <n v="0"/>
    <n v="0"/>
    <s v="MMR012CMP014"/>
    <x v="0"/>
    <m/>
  </r>
  <r>
    <x v="63"/>
    <x v="2"/>
    <x v="63"/>
    <x v="7"/>
    <s v="CDN"/>
    <x v="0"/>
    <x v="0"/>
    <s v="Sat Roe Kya 1"/>
    <n v="249"/>
    <m/>
    <m/>
    <m/>
    <m/>
    <m/>
    <m/>
    <m/>
    <m/>
    <m/>
    <m/>
    <m/>
    <m/>
    <m/>
    <n v="0"/>
    <n v="0"/>
    <n v="0"/>
    <n v="0"/>
    <n v="0"/>
    <n v="0"/>
    <n v="0"/>
    <n v="0"/>
    <n v="0"/>
    <n v="0"/>
    <n v="0"/>
    <n v="0"/>
    <n v="0"/>
    <n v="0"/>
    <s v="MMR012CMP111"/>
    <x v="1"/>
    <m/>
  </r>
  <r>
    <x v="64"/>
    <x v="2"/>
    <x v="64"/>
    <x v="1"/>
    <s v="RI"/>
    <x v="0"/>
    <x v="1"/>
    <s v="Kan Thar Htwat Wa"/>
    <n v="42"/>
    <m/>
    <m/>
    <m/>
    <m/>
    <m/>
    <m/>
    <m/>
    <m/>
    <m/>
    <m/>
    <m/>
    <m/>
    <m/>
    <n v="0"/>
    <n v="0"/>
    <n v="0"/>
    <n v="0"/>
    <n v="0"/>
    <n v="0"/>
    <n v="0"/>
    <n v="0"/>
    <n v="0"/>
    <n v="0"/>
    <n v="0"/>
    <n v="0"/>
    <n v="0"/>
    <n v="0"/>
    <s v="MMR012CMP013"/>
    <x v="1"/>
    <m/>
  </r>
  <r>
    <x v="64"/>
    <x v="2"/>
    <x v="64"/>
    <x v="1"/>
    <s v="RI"/>
    <x v="0"/>
    <x v="1"/>
    <s v="Taung Paw "/>
    <n v="682"/>
    <m/>
    <m/>
    <m/>
    <m/>
    <m/>
    <m/>
    <m/>
    <m/>
    <m/>
    <m/>
    <m/>
    <m/>
    <m/>
    <n v="0"/>
    <n v="0"/>
    <n v="0"/>
    <n v="0"/>
    <n v="0"/>
    <n v="0"/>
    <n v="0"/>
    <n v="0"/>
    <n v="0"/>
    <n v="0"/>
    <n v="0"/>
    <n v="0"/>
    <n v="0"/>
    <n v="0"/>
    <s v="MMR012CMP014"/>
    <x v="0"/>
    <m/>
  </r>
  <r>
    <x v="65"/>
    <x v="2"/>
    <x v="65"/>
    <x v="2"/>
    <s v="UNHCR"/>
    <x v="0"/>
    <x v="2"/>
    <s v="Kyein Ni Pyin"/>
    <m/>
    <n v="101"/>
    <m/>
    <n v="1888"/>
    <n v="944"/>
    <n v="1888"/>
    <n v="944"/>
    <m/>
    <n v="944"/>
    <n v="944"/>
    <n v="4720"/>
    <m/>
    <m/>
    <m/>
    <n v="0"/>
    <n v="0"/>
    <n v="0"/>
    <n v="0"/>
    <n v="0"/>
    <n v="0"/>
    <n v="0"/>
    <n v="0"/>
    <n v="0"/>
    <n v="0"/>
    <n v="0"/>
    <n v="0"/>
    <n v="0"/>
    <n v="0"/>
    <s v="MMR012CMP018"/>
    <x v="0"/>
    <m/>
  </r>
  <r>
    <x v="66"/>
    <x v="2"/>
    <x v="66"/>
    <x v="2"/>
    <s v="UNHCR"/>
    <x v="0"/>
    <x v="3"/>
    <s v="Chein Khar Li"/>
    <n v="0"/>
    <n v="0"/>
    <n v="0"/>
    <n v="0"/>
    <n v="0"/>
    <n v="700"/>
    <n v="0"/>
    <n v="0"/>
    <n v="350"/>
    <n v="0"/>
    <n v="1120"/>
    <m/>
    <m/>
    <m/>
    <n v="0"/>
    <n v="0"/>
    <n v="0"/>
    <n v="0"/>
    <n v="0"/>
    <n v="0"/>
    <n v="0"/>
    <n v="0"/>
    <n v="0"/>
    <n v="0"/>
    <n v="0"/>
    <n v="0"/>
    <n v="0"/>
    <n v="0"/>
    <s v="MMR012CMP033"/>
    <x v="0"/>
    <m/>
  </r>
  <r>
    <x v="66"/>
    <x v="2"/>
    <x v="66"/>
    <x v="2"/>
    <s v="UNHCR"/>
    <x v="0"/>
    <x v="3"/>
    <s v="Koe Tan Kauk"/>
    <n v="0"/>
    <n v="0"/>
    <n v="0"/>
    <n v="0"/>
    <n v="0"/>
    <n v="534"/>
    <n v="0"/>
    <n v="0"/>
    <n v="267"/>
    <m/>
    <n v="1010"/>
    <m/>
    <m/>
    <m/>
    <n v="0"/>
    <n v="0"/>
    <n v="0"/>
    <n v="0"/>
    <n v="0"/>
    <n v="0"/>
    <n v="0"/>
    <n v="0"/>
    <n v="0"/>
    <n v="0"/>
    <n v="0"/>
    <n v="0"/>
    <n v="0"/>
    <n v="0"/>
    <s v="MMR012CMP110"/>
    <x v="0"/>
    <m/>
  </r>
  <r>
    <x v="67"/>
    <x v="2"/>
    <x v="67"/>
    <x v="2"/>
    <s v="UNHCR"/>
    <x v="0"/>
    <x v="8"/>
    <s v="Sin Thay Pyin (Zay Di Pyin)"/>
    <n v="16"/>
    <n v="16"/>
    <n v="16"/>
    <n v="32"/>
    <n v="0"/>
    <n v="32"/>
    <n v="8"/>
    <n v="0"/>
    <n v="16"/>
    <n v="16"/>
    <n v="40"/>
    <m/>
    <m/>
    <m/>
    <n v="0"/>
    <n v="0"/>
    <n v="0"/>
    <n v="0"/>
    <n v="0"/>
    <n v="0"/>
    <n v="0"/>
    <n v="0"/>
    <n v="0"/>
    <n v="0"/>
    <n v="0"/>
    <n v="0"/>
    <n v="0"/>
    <n v="0"/>
    <s v="MMR012CMP094"/>
    <x v="0"/>
    <m/>
  </r>
  <r>
    <x v="67"/>
    <x v="2"/>
    <x v="67"/>
    <x v="2"/>
    <s v="UNHCR"/>
    <x v="0"/>
    <x v="8"/>
    <s v="Ywa thit Kay"/>
    <n v="36"/>
    <n v="36"/>
    <n v="36"/>
    <n v="72"/>
    <n v="0"/>
    <n v="72"/>
    <n v="19"/>
    <n v="0"/>
    <n v="36"/>
    <n v="36"/>
    <n v="95"/>
    <m/>
    <m/>
    <m/>
    <n v="0"/>
    <n v="0"/>
    <n v="0"/>
    <n v="0"/>
    <n v="0"/>
    <n v="0"/>
    <n v="0"/>
    <n v="0"/>
    <n v="0"/>
    <n v="0"/>
    <n v="0"/>
    <n v="0"/>
    <n v="0"/>
    <n v="0"/>
    <s v="MMR012CMP085"/>
    <x v="0"/>
    <m/>
  </r>
  <r>
    <x v="67"/>
    <x v="2"/>
    <x v="67"/>
    <x v="2"/>
    <s v="UNHCR"/>
    <x v="0"/>
    <x v="8"/>
    <s v="(Du) Chee Yar Tan (East)"/>
    <n v="39"/>
    <n v="39"/>
    <n v="39"/>
    <n v="78"/>
    <n v="0"/>
    <n v="78"/>
    <n v="28"/>
    <n v="0"/>
    <n v="39"/>
    <n v="39"/>
    <n v="40"/>
    <m/>
    <m/>
    <m/>
    <n v="0"/>
    <n v="0"/>
    <n v="0"/>
    <n v="0"/>
    <n v="0"/>
    <n v="0"/>
    <n v="0"/>
    <n v="0"/>
    <n v="0"/>
    <n v="0"/>
    <n v="0"/>
    <n v="0"/>
    <n v="0"/>
    <n v="0"/>
    <s v=""/>
    <x v="3"/>
    <m/>
  </r>
  <r>
    <x v="68"/>
    <x v="2"/>
    <x v="68"/>
    <x v="1"/>
    <s v="RI"/>
    <x v="0"/>
    <x v="1"/>
    <s v="Kan Thar Htwat Wa"/>
    <n v="42"/>
    <m/>
    <m/>
    <m/>
    <m/>
    <m/>
    <m/>
    <m/>
    <m/>
    <m/>
    <m/>
    <m/>
    <m/>
    <m/>
    <n v="0"/>
    <n v="0"/>
    <n v="0"/>
    <n v="0"/>
    <n v="0"/>
    <n v="0"/>
    <n v="0"/>
    <n v="0"/>
    <n v="0"/>
    <n v="0"/>
    <n v="0"/>
    <n v="0"/>
    <n v="0"/>
    <n v="0"/>
    <s v="MMR012CMP013"/>
    <x v="1"/>
    <m/>
  </r>
  <r>
    <x v="68"/>
    <x v="2"/>
    <x v="68"/>
    <x v="1"/>
    <s v="RI"/>
    <x v="0"/>
    <x v="1"/>
    <s v="Taung Paw "/>
    <n v="682"/>
    <m/>
    <m/>
    <m/>
    <m/>
    <m/>
    <m/>
    <m/>
    <m/>
    <m/>
    <m/>
    <m/>
    <m/>
    <m/>
    <n v="0"/>
    <n v="0"/>
    <n v="0"/>
    <n v="0"/>
    <n v="0"/>
    <n v="0"/>
    <n v="0"/>
    <n v="0"/>
    <n v="0"/>
    <n v="0"/>
    <n v="0"/>
    <n v="0"/>
    <n v="0"/>
    <n v="0"/>
    <s v="MMR012CMP014"/>
    <x v="0"/>
    <m/>
  </r>
  <r>
    <x v="69"/>
    <x v="3"/>
    <x v="69"/>
    <x v="2"/>
    <s v="UNHCR"/>
    <x v="0"/>
    <x v="8"/>
    <s v="Nyaung Pin Hla"/>
    <n v="27"/>
    <n v="27"/>
    <n v="27"/>
    <n v="54"/>
    <n v="0"/>
    <n v="54"/>
    <n v="17"/>
    <n v="0"/>
    <n v="27"/>
    <m/>
    <n v="85"/>
    <m/>
    <m/>
    <m/>
    <n v="0"/>
    <n v="0"/>
    <n v="0"/>
    <n v="0"/>
    <n v="0"/>
    <n v="0"/>
    <n v="0"/>
    <n v="0"/>
    <n v="0"/>
    <n v="0"/>
    <n v="0"/>
    <n v="0"/>
    <n v="0"/>
    <n v="0"/>
    <s v="MMR012CMP082"/>
    <x v="2"/>
    <m/>
  </r>
  <r>
    <x v="70"/>
    <x v="3"/>
    <x v="70"/>
    <x v="2"/>
    <s v="UNHCR"/>
    <x v="0"/>
    <x v="8"/>
    <s v="Thaung Paing Nyar"/>
    <n v="108"/>
    <n v="108"/>
    <n v="108"/>
    <n v="216"/>
    <n v="0"/>
    <n v="216"/>
    <n v="68"/>
    <n v="0"/>
    <n v="108"/>
    <m/>
    <n v="340"/>
    <m/>
    <m/>
    <m/>
    <n v="0"/>
    <n v="0"/>
    <n v="0"/>
    <n v="0"/>
    <n v="0"/>
    <n v="0"/>
    <n v="0"/>
    <n v="0"/>
    <n v="0"/>
    <n v="0"/>
    <n v="0"/>
    <n v="0"/>
    <n v="0"/>
    <n v="0"/>
    <s v="MMR012CMP086"/>
    <x v="0"/>
    <m/>
  </r>
  <r>
    <x v="70"/>
    <x v="3"/>
    <x v="70"/>
    <x v="2"/>
    <s v="UNHCR"/>
    <x v="0"/>
    <x v="8"/>
    <s v="Ward-6 (Lay Myaing)"/>
    <n v="164"/>
    <n v="164"/>
    <n v="164"/>
    <n v="328"/>
    <n v="0"/>
    <n v="328"/>
    <n v="92"/>
    <n v="0"/>
    <n v="164"/>
    <m/>
    <n v="460"/>
    <m/>
    <m/>
    <m/>
    <n v="0"/>
    <n v="0"/>
    <n v="0"/>
    <n v="0"/>
    <n v="0"/>
    <n v="0"/>
    <n v="0"/>
    <n v="0"/>
    <n v="0"/>
    <n v="0"/>
    <n v="0"/>
    <n v="0"/>
    <n v="0"/>
    <n v="0"/>
    <s v="MMR012CMP095"/>
    <x v="0"/>
    <m/>
  </r>
  <r>
    <x v="71"/>
    <x v="3"/>
    <x v="71"/>
    <x v="2"/>
    <s v="UNHCR"/>
    <x v="0"/>
    <x v="8"/>
    <s v="Myoma Myauk (Chitta Ywa)"/>
    <n v="315"/>
    <n v="315"/>
    <n v="315"/>
    <n v="630"/>
    <n v="0"/>
    <n v="630"/>
    <n v="186"/>
    <n v="0"/>
    <n v="315"/>
    <m/>
    <n v="930"/>
    <m/>
    <m/>
    <m/>
    <n v="0"/>
    <n v="0"/>
    <n v="0"/>
    <n v="0"/>
    <n v="0"/>
    <n v="0"/>
    <n v="0"/>
    <n v="0"/>
    <n v="0"/>
    <n v="0"/>
    <n v="0"/>
    <n v="0"/>
    <n v="0"/>
    <n v="0"/>
    <s v="MMR012CMP083"/>
    <x v="0"/>
    <m/>
  </r>
  <r>
    <x v="72"/>
    <x v="3"/>
    <x v="72"/>
    <x v="2"/>
    <s v="UNHCR"/>
    <x v="0"/>
    <x v="8"/>
    <s v="Honsara (Zaw Ma Tat)"/>
    <n v="170"/>
    <n v="170"/>
    <n v="170"/>
    <n v="338"/>
    <n v="0"/>
    <n v="338"/>
    <n v="110"/>
    <n v="0"/>
    <n v="170"/>
    <m/>
    <n v="550"/>
    <m/>
    <m/>
    <m/>
    <n v="0"/>
    <n v="0"/>
    <n v="0"/>
    <n v="0"/>
    <n v="0"/>
    <n v="0"/>
    <n v="0"/>
    <n v="0"/>
    <n v="0"/>
    <n v="0"/>
    <n v="0"/>
    <n v="0"/>
    <n v="0"/>
    <n v="0"/>
    <s v="MMR012CMP109"/>
    <x v="0"/>
    <m/>
  </r>
  <r>
    <x v="73"/>
    <x v="3"/>
    <x v="73"/>
    <x v="2"/>
    <s v="UNHCR"/>
    <x v="0"/>
    <x v="3"/>
    <s v="Ah Htet Nan Yar"/>
    <n v="349"/>
    <n v="349"/>
    <n v="349"/>
    <n v="698"/>
    <n v="250"/>
    <n v="698"/>
    <n v="250"/>
    <n v="0"/>
    <n v="349"/>
    <m/>
    <n v="1250"/>
    <m/>
    <m/>
    <m/>
    <n v="0"/>
    <n v="0"/>
    <n v="0"/>
    <n v="0"/>
    <n v="0"/>
    <n v="0"/>
    <n v="0"/>
    <n v="0"/>
    <n v="0"/>
    <n v="0"/>
    <n v="0"/>
    <n v="0"/>
    <n v="0"/>
    <n v="0"/>
    <s v="MMR012CMP034"/>
    <x v="0"/>
    <m/>
  </r>
  <r>
    <x v="74"/>
    <x v="3"/>
    <x v="74"/>
    <x v="2"/>
    <s v="UNHCR"/>
    <x v="0"/>
    <x v="3"/>
    <s v="Ah Nauk Pyin"/>
    <n v="86"/>
    <n v="86"/>
    <n v="86"/>
    <n v="170"/>
    <n v="66"/>
    <n v="170"/>
    <n v="66"/>
    <n v="0"/>
    <n v="86"/>
    <m/>
    <n v="330"/>
    <m/>
    <m/>
    <m/>
    <n v="0"/>
    <n v="0"/>
    <n v="0"/>
    <n v="0"/>
    <n v="0"/>
    <n v="0"/>
    <n v="0"/>
    <n v="0"/>
    <n v="0"/>
    <n v="0"/>
    <n v="0"/>
    <n v="0"/>
    <n v="0"/>
    <n v="0"/>
    <s v="MMR012CMP032"/>
    <x v="2"/>
    <m/>
  </r>
  <r>
    <x v="75"/>
    <x v="3"/>
    <x v="75"/>
    <x v="2"/>
    <s v="UNHCR"/>
    <x v="0"/>
    <x v="3"/>
    <s v="Nyaung Pin Gyi"/>
    <n v="102"/>
    <n v="102"/>
    <n v="102"/>
    <n v="206"/>
    <n v="66"/>
    <n v="206"/>
    <n v="66"/>
    <n v="0"/>
    <n v="102"/>
    <m/>
    <n v="330"/>
    <m/>
    <m/>
    <m/>
    <n v="0"/>
    <n v="0"/>
    <n v="0"/>
    <n v="0"/>
    <n v="0"/>
    <n v="0"/>
    <n v="0"/>
    <n v="0"/>
    <n v="0"/>
    <n v="0"/>
    <n v="0"/>
    <n v="0"/>
    <n v="0"/>
    <n v="0"/>
    <s v="MMR012CMP031"/>
    <x v="2"/>
    <m/>
  </r>
  <r>
    <x v="76"/>
    <x v="3"/>
    <x v="76"/>
    <x v="11"/>
    <s v="DRC"/>
    <x v="0"/>
    <x v="0"/>
    <s v="Baw Du Pha 2"/>
    <m/>
    <m/>
    <m/>
    <n v="2624"/>
    <n v="1312"/>
    <n v="2624"/>
    <n v="1312"/>
    <m/>
    <n v="1312"/>
    <m/>
    <n v="3936"/>
    <m/>
    <m/>
    <m/>
    <n v="0"/>
    <n v="0"/>
    <n v="0"/>
    <n v="0"/>
    <n v="0"/>
    <n v="0"/>
    <n v="0"/>
    <n v="0"/>
    <n v="0"/>
    <n v="0"/>
    <n v="0"/>
    <n v="0"/>
    <n v="0"/>
    <n v="0"/>
    <s v="MMR012CMP114"/>
    <x v="0"/>
    <m/>
  </r>
  <r>
    <x v="77"/>
    <x v="3"/>
    <x v="77"/>
    <x v="11"/>
    <s v="DRC"/>
    <x v="0"/>
    <x v="0"/>
    <s v="Baw Du Pha 1"/>
    <m/>
    <m/>
    <m/>
    <n v="2020"/>
    <n v="1010"/>
    <n v="2020"/>
    <n v="1010"/>
    <m/>
    <n v="1010"/>
    <m/>
    <n v="3030"/>
    <m/>
    <m/>
    <m/>
    <n v="0"/>
    <n v="0"/>
    <n v="0"/>
    <n v="0"/>
    <n v="0"/>
    <n v="0"/>
    <n v="0"/>
    <n v="0"/>
    <n v="0"/>
    <n v="0"/>
    <n v="0"/>
    <n v="0"/>
    <n v="0"/>
    <n v="0"/>
    <s v="MMR012CMP113"/>
    <x v="0"/>
    <m/>
  </r>
  <r>
    <x v="78"/>
    <x v="3"/>
    <x v="78"/>
    <x v="13"/>
    <s v="LWF"/>
    <x v="0"/>
    <x v="0"/>
    <s v="Set Yone Su"/>
    <m/>
    <m/>
    <m/>
    <n v="2"/>
    <n v="1"/>
    <n v="2"/>
    <n v="1"/>
    <m/>
    <n v="1"/>
    <m/>
    <n v="5"/>
    <m/>
    <m/>
    <m/>
    <n v="0"/>
    <n v="0"/>
    <n v="0"/>
    <n v="0"/>
    <n v="0"/>
    <n v="0"/>
    <n v="0"/>
    <n v="0"/>
    <n v="0"/>
    <n v="0"/>
    <n v="0"/>
    <n v="0"/>
    <n v="0"/>
    <n v="0"/>
    <s v="MMR012CMP056"/>
    <x v="1"/>
    <m/>
  </r>
  <r>
    <x v="78"/>
    <x v="3"/>
    <x v="78"/>
    <x v="13"/>
    <s v="LWF"/>
    <x v="0"/>
    <x v="0"/>
    <s v="Set Yone Su 3"/>
    <m/>
    <m/>
    <m/>
    <n v="2"/>
    <n v="1"/>
    <n v="2"/>
    <n v="1"/>
    <m/>
    <n v="1"/>
    <m/>
    <n v="5"/>
    <m/>
    <m/>
    <m/>
    <n v="0"/>
    <n v="0"/>
    <n v="0"/>
    <n v="0"/>
    <n v="0"/>
    <n v="0"/>
    <n v="0"/>
    <n v="0"/>
    <n v="0"/>
    <n v="0"/>
    <n v="0"/>
    <n v="0"/>
    <n v="0"/>
    <n v="0"/>
    <s v="MMR012CMP093"/>
    <x v="1"/>
    <m/>
  </r>
  <r>
    <x v="79"/>
    <x v="3"/>
    <x v="79"/>
    <x v="16"/>
    <s v="AGE"/>
    <x v="0"/>
    <x v="2"/>
    <s v="Ah Nauk Ywe"/>
    <m/>
    <m/>
    <m/>
    <m/>
    <m/>
    <m/>
    <m/>
    <n v="1128"/>
    <m/>
    <m/>
    <m/>
    <m/>
    <m/>
    <m/>
    <n v="0"/>
    <n v="0"/>
    <n v="0"/>
    <n v="0"/>
    <n v="0"/>
    <n v="0"/>
    <n v="0"/>
    <n v="0"/>
    <n v="0"/>
    <n v="0"/>
    <n v="0"/>
    <n v="0"/>
    <n v="0"/>
    <n v="0"/>
    <s v="MMR012CMP016"/>
    <x v="0"/>
    <m/>
  </r>
  <r>
    <x v="79"/>
    <x v="3"/>
    <x v="79"/>
    <x v="16"/>
    <s v="AGE"/>
    <x v="0"/>
    <x v="2"/>
    <s v="Kyein Ni Pyin"/>
    <m/>
    <m/>
    <m/>
    <m/>
    <m/>
    <m/>
    <m/>
    <n v="959"/>
    <m/>
    <m/>
    <m/>
    <m/>
    <m/>
    <m/>
    <n v="0"/>
    <n v="0"/>
    <n v="0"/>
    <n v="0"/>
    <n v="0"/>
    <n v="0"/>
    <n v="0"/>
    <n v="0"/>
    <n v="0"/>
    <n v="0"/>
    <n v="0"/>
    <n v="0"/>
    <n v="0"/>
    <n v="0"/>
    <s v="MMR012CMP018"/>
    <x v="0"/>
    <m/>
  </r>
  <r>
    <x v="79"/>
    <x v="3"/>
    <x v="79"/>
    <x v="16"/>
    <s v="AGE"/>
    <x v="0"/>
    <x v="2"/>
    <s v="Nget Chaung"/>
    <m/>
    <m/>
    <m/>
    <m/>
    <m/>
    <m/>
    <m/>
    <n v="1130"/>
    <m/>
    <m/>
    <m/>
    <m/>
    <m/>
    <m/>
    <n v="0"/>
    <n v="0"/>
    <n v="0"/>
    <n v="0"/>
    <n v="0"/>
    <n v="0"/>
    <n v="0"/>
    <n v="0"/>
    <n v="0"/>
    <n v="0"/>
    <n v="0"/>
    <n v="0"/>
    <n v="0"/>
    <n v="0"/>
    <s v=""/>
    <x v="3"/>
    <m/>
  </r>
  <r>
    <x v="79"/>
    <x v="3"/>
    <x v="79"/>
    <x v="16"/>
    <s v="AGE"/>
    <x v="0"/>
    <x v="2"/>
    <s v="Sin Tet Maw"/>
    <m/>
    <m/>
    <m/>
    <m/>
    <m/>
    <m/>
    <m/>
    <n v="681"/>
    <m/>
    <m/>
    <m/>
    <m/>
    <m/>
    <m/>
    <n v="0"/>
    <n v="0"/>
    <n v="0"/>
    <n v="0"/>
    <n v="0"/>
    <n v="0"/>
    <n v="0"/>
    <n v="0"/>
    <n v="0"/>
    <n v="0"/>
    <n v="0"/>
    <n v="0"/>
    <n v="0"/>
    <n v="0"/>
    <s v="MMR012CMP019"/>
    <x v="0"/>
    <m/>
  </r>
  <r>
    <x v="79"/>
    <x v="3"/>
    <x v="79"/>
    <x v="16"/>
    <s v="AGE"/>
    <x v="0"/>
    <x v="2"/>
    <s v="Ba Wan Chaung Wa Su"/>
    <m/>
    <m/>
    <m/>
    <m/>
    <m/>
    <m/>
    <m/>
    <n v="24"/>
    <m/>
    <m/>
    <m/>
    <m/>
    <m/>
    <m/>
    <n v="0"/>
    <n v="0"/>
    <n v="0"/>
    <n v="0"/>
    <n v="0"/>
    <n v="0"/>
    <n v="0"/>
    <n v="0"/>
    <n v="0"/>
    <n v="0"/>
    <n v="0"/>
    <n v="0"/>
    <n v="0"/>
    <n v="0"/>
    <s v="MMR012CMP015"/>
    <x v="1"/>
    <m/>
  </r>
  <r>
    <x v="79"/>
    <x v="3"/>
    <x v="79"/>
    <x v="16"/>
    <s v="AGE"/>
    <x v="0"/>
    <x v="8"/>
    <s v="Maw Ya Waddy"/>
    <m/>
    <m/>
    <m/>
    <m/>
    <m/>
    <m/>
    <m/>
    <n v="183"/>
    <m/>
    <m/>
    <m/>
    <m/>
    <m/>
    <m/>
    <n v="0"/>
    <n v="0"/>
    <n v="0"/>
    <n v="0"/>
    <n v="0"/>
    <n v="0"/>
    <n v="0"/>
    <n v="0"/>
    <n v="0"/>
    <n v="0"/>
    <n v="0"/>
    <n v="0"/>
    <n v="0"/>
    <n v="0"/>
    <s v="MMR012CMP076"/>
    <x v="4"/>
    <m/>
  </r>
  <r>
    <x v="79"/>
    <x v="3"/>
    <x v="79"/>
    <x v="16"/>
    <s v="AGE"/>
    <x v="0"/>
    <x v="8"/>
    <s v="Kyaing Gyi"/>
    <m/>
    <m/>
    <m/>
    <m/>
    <m/>
    <m/>
    <m/>
    <n v="162"/>
    <m/>
    <m/>
    <m/>
    <m/>
    <m/>
    <m/>
    <n v="0"/>
    <n v="0"/>
    <n v="0"/>
    <n v="0"/>
    <n v="0"/>
    <n v="0"/>
    <n v="0"/>
    <n v="0"/>
    <n v="0"/>
    <n v="0"/>
    <n v="0"/>
    <n v="0"/>
    <n v="0"/>
    <n v="0"/>
    <s v="MMR012CMP078"/>
    <x v="4"/>
    <m/>
  </r>
  <r>
    <x v="79"/>
    <x v="3"/>
    <x v="79"/>
    <x v="16"/>
    <s v="AGE"/>
    <x v="0"/>
    <x v="8"/>
    <s v="Tha Yay Kone Baung"/>
    <m/>
    <m/>
    <m/>
    <m/>
    <m/>
    <m/>
    <m/>
    <n v="192"/>
    <m/>
    <m/>
    <m/>
    <m/>
    <m/>
    <m/>
    <n v="0"/>
    <n v="0"/>
    <n v="0"/>
    <n v="0"/>
    <n v="0"/>
    <n v="0"/>
    <n v="0"/>
    <n v="0"/>
    <n v="0"/>
    <n v="0"/>
    <n v="0"/>
    <n v="0"/>
    <n v="0"/>
    <n v="0"/>
    <s v="MMR012CMP077"/>
    <x v="4"/>
    <m/>
  </r>
  <r>
    <x v="79"/>
    <x v="3"/>
    <x v="79"/>
    <x v="16"/>
    <s v="AGE"/>
    <x v="0"/>
    <x v="8"/>
    <s v="Kin Chaung"/>
    <m/>
    <m/>
    <m/>
    <m/>
    <m/>
    <m/>
    <m/>
    <n v="102"/>
    <m/>
    <m/>
    <m/>
    <m/>
    <m/>
    <m/>
    <n v="0"/>
    <n v="0"/>
    <n v="0"/>
    <n v="0"/>
    <n v="0"/>
    <n v="0"/>
    <n v="0"/>
    <n v="0"/>
    <n v="0"/>
    <n v="0"/>
    <n v="0"/>
    <n v="0"/>
    <n v="0"/>
    <n v="0"/>
    <s v="MMR012CMP080"/>
    <x v="4"/>
    <m/>
  </r>
  <r>
    <x v="79"/>
    <x v="3"/>
    <x v="79"/>
    <x v="16"/>
    <s v="AGE"/>
    <x v="0"/>
    <x v="8"/>
    <s v="Baw Di Gone"/>
    <m/>
    <m/>
    <m/>
    <m/>
    <m/>
    <m/>
    <m/>
    <n v="103"/>
    <m/>
    <m/>
    <m/>
    <m/>
    <m/>
    <m/>
    <n v="0"/>
    <n v="0"/>
    <n v="0"/>
    <n v="0"/>
    <n v="0"/>
    <n v="0"/>
    <n v="0"/>
    <n v="0"/>
    <n v="0"/>
    <n v="0"/>
    <n v="0"/>
    <n v="0"/>
    <n v="0"/>
    <n v="0"/>
    <s v="MMR012CMP079"/>
    <x v="4"/>
    <m/>
  </r>
  <r>
    <x v="79"/>
    <x v="3"/>
    <x v="79"/>
    <x v="16"/>
    <s v="AGE"/>
    <x v="0"/>
    <x v="8"/>
    <s v="Kan Thar Yar"/>
    <m/>
    <m/>
    <m/>
    <m/>
    <m/>
    <m/>
    <m/>
    <n v="175"/>
    <m/>
    <m/>
    <m/>
    <m/>
    <m/>
    <m/>
    <n v="0"/>
    <n v="0"/>
    <n v="0"/>
    <n v="0"/>
    <n v="0"/>
    <n v="0"/>
    <n v="0"/>
    <n v="0"/>
    <n v="0"/>
    <n v="0"/>
    <n v="0"/>
    <n v="0"/>
    <n v="0"/>
    <n v="0"/>
    <s v="MMR012CMP081"/>
    <x v="4"/>
    <m/>
  </r>
  <r>
    <x v="80"/>
    <x v="3"/>
    <x v="80"/>
    <x v="11"/>
    <s v="DRC"/>
    <x v="0"/>
    <x v="0"/>
    <s v="Dar Pai"/>
    <m/>
    <m/>
    <m/>
    <m/>
    <n v="304"/>
    <n v="608"/>
    <m/>
    <m/>
    <n v="304"/>
    <m/>
    <m/>
    <m/>
    <m/>
    <m/>
    <n v="0"/>
    <n v="0"/>
    <n v="0"/>
    <n v="0"/>
    <n v="0"/>
    <n v="0"/>
    <n v="0"/>
    <n v="0"/>
    <n v="0"/>
    <n v="0"/>
    <n v="0"/>
    <n v="0"/>
    <n v="0"/>
    <n v="0"/>
    <s v="MMR012CMP041"/>
    <x v="0"/>
    <m/>
  </r>
  <r>
    <x v="80"/>
    <x v="3"/>
    <x v="80"/>
    <x v="13"/>
    <s v="LWF"/>
    <x v="0"/>
    <x v="0"/>
    <s v="Set Yone Su"/>
    <m/>
    <n v="70"/>
    <m/>
    <m/>
    <m/>
    <m/>
    <m/>
    <m/>
    <m/>
    <m/>
    <m/>
    <m/>
    <m/>
    <m/>
    <n v="0"/>
    <n v="0"/>
    <n v="0"/>
    <n v="0"/>
    <n v="0"/>
    <n v="0"/>
    <n v="0"/>
    <n v="0"/>
    <n v="0"/>
    <n v="0"/>
    <n v="0"/>
    <n v="0"/>
    <n v="0"/>
    <n v="0"/>
    <s v="MMR012CMP056"/>
    <x v="1"/>
    <m/>
  </r>
  <r>
    <x v="80"/>
    <x v="3"/>
    <x v="80"/>
    <x v="13"/>
    <s v="LWF"/>
    <x v="0"/>
    <x v="0"/>
    <s v="Set Yone Su 3"/>
    <m/>
    <n v="151"/>
    <m/>
    <m/>
    <m/>
    <m/>
    <m/>
    <m/>
    <m/>
    <m/>
    <m/>
    <m/>
    <m/>
    <m/>
    <n v="0"/>
    <n v="0"/>
    <n v="0"/>
    <n v="0"/>
    <n v="0"/>
    <n v="0"/>
    <n v="0"/>
    <n v="0"/>
    <n v="0"/>
    <n v="0"/>
    <n v="0"/>
    <n v="0"/>
    <n v="0"/>
    <n v="0"/>
    <s v="MMR012CMP093"/>
    <x v="1"/>
    <m/>
  </r>
  <r>
    <x v="81"/>
    <x v="3"/>
    <x v="81"/>
    <x v="13"/>
    <s v="LWF"/>
    <x v="0"/>
    <x v="0"/>
    <s v="Khaung Doke Khar "/>
    <m/>
    <m/>
    <m/>
    <n v="2"/>
    <n v="1"/>
    <n v="2"/>
    <n v="1"/>
    <m/>
    <n v="1"/>
    <m/>
    <n v="5"/>
    <m/>
    <m/>
    <m/>
    <n v="0"/>
    <n v="0"/>
    <n v="0"/>
    <n v="0"/>
    <n v="0"/>
    <n v="0"/>
    <n v="0"/>
    <n v="0"/>
    <n v="0"/>
    <n v="0"/>
    <n v="0"/>
    <n v="0"/>
    <n v="0"/>
    <n v="0"/>
    <s v="MMR012CMP042"/>
    <x v="0"/>
    <m/>
  </r>
  <r>
    <x v="82"/>
    <x v="3"/>
    <x v="82"/>
    <x v="2"/>
    <s v="UNHCR"/>
    <x v="0"/>
    <x v="0"/>
    <s v="Thae Chaung (IDP in host families)"/>
    <m/>
    <n v="2404"/>
    <m/>
    <n v="4808"/>
    <n v="2404"/>
    <n v="4808"/>
    <n v="2404"/>
    <m/>
    <n v="2404"/>
    <m/>
    <n v="12020"/>
    <m/>
    <m/>
    <m/>
    <n v="0"/>
    <n v="0"/>
    <n v="0"/>
    <n v="0"/>
    <n v="0"/>
    <n v="0"/>
    <n v="0"/>
    <n v="0"/>
    <n v="0"/>
    <n v="0"/>
    <n v="0"/>
    <n v="0"/>
    <n v="0"/>
    <n v="0"/>
    <s v="MMR012CMP101"/>
    <x v="4"/>
    <m/>
  </r>
  <r>
    <x v="83"/>
    <x v="3"/>
    <x v="83"/>
    <x v="11"/>
    <s v="DRC"/>
    <x v="0"/>
    <x v="0"/>
    <s v="Say Tha Mar Gyi"/>
    <m/>
    <m/>
    <m/>
    <m/>
    <n v="2573"/>
    <m/>
    <m/>
    <m/>
    <m/>
    <m/>
    <m/>
    <m/>
    <m/>
    <m/>
    <n v="0"/>
    <n v="0"/>
    <n v="0"/>
    <n v="0"/>
    <n v="0"/>
    <n v="0"/>
    <n v="0"/>
    <n v="0"/>
    <n v="0"/>
    <n v="0"/>
    <n v="0"/>
    <n v="0"/>
    <n v="0"/>
    <n v="0"/>
    <s v="MMR012CMP045"/>
    <x v="0"/>
    <m/>
  </r>
  <r>
    <x v="84"/>
    <x v="3"/>
    <x v="84"/>
    <x v="11"/>
    <s v="DRC"/>
    <x v="0"/>
    <x v="0"/>
    <s v="Baw Du Pha 1"/>
    <m/>
    <m/>
    <m/>
    <m/>
    <n v="1000"/>
    <m/>
    <m/>
    <m/>
    <m/>
    <m/>
    <m/>
    <m/>
    <m/>
    <m/>
    <n v="0"/>
    <n v="0"/>
    <n v="0"/>
    <n v="0"/>
    <n v="0"/>
    <n v="0"/>
    <n v="0"/>
    <n v="0"/>
    <n v="0"/>
    <n v="0"/>
    <n v="0"/>
    <n v="0"/>
    <n v="0"/>
    <n v="0"/>
    <s v="MMR012CMP113"/>
    <x v="0"/>
    <m/>
  </r>
  <r>
    <x v="84"/>
    <x v="3"/>
    <x v="84"/>
    <x v="11"/>
    <s v="DRC"/>
    <x v="0"/>
    <x v="0"/>
    <s v="Baw Du Pha 2"/>
    <m/>
    <m/>
    <m/>
    <m/>
    <n v="1320"/>
    <m/>
    <m/>
    <m/>
    <m/>
    <m/>
    <m/>
    <m/>
    <m/>
    <m/>
    <n v="0"/>
    <n v="0"/>
    <n v="0"/>
    <n v="0"/>
    <n v="0"/>
    <n v="0"/>
    <n v="0"/>
    <n v="0"/>
    <n v="0"/>
    <n v="0"/>
    <n v="0"/>
    <n v="0"/>
    <n v="0"/>
    <n v="0"/>
    <s v="MMR012CMP114"/>
    <x v="0"/>
    <m/>
  </r>
  <r>
    <x v="84"/>
    <x v="3"/>
    <x v="84"/>
    <x v="11"/>
    <s v="DRC"/>
    <x v="0"/>
    <x v="0"/>
    <s v="Dar Pai (IDP in host families)"/>
    <m/>
    <m/>
    <m/>
    <m/>
    <n v="1400"/>
    <m/>
    <m/>
    <m/>
    <m/>
    <m/>
    <m/>
    <m/>
    <m/>
    <m/>
    <n v="0"/>
    <n v="0"/>
    <n v="0"/>
    <n v="0"/>
    <n v="0"/>
    <n v="0"/>
    <n v="0"/>
    <n v="0"/>
    <n v="0"/>
    <n v="0"/>
    <n v="0"/>
    <n v="0"/>
    <n v="0"/>
    <n v="0"/>
    <s v="MMR012CMP097"/>
    <x v="0"/>
    <m/>
  </r>
  <r>
    <x v="84"/>
    <x v="3"/>
    <x v="84"/>
    <x v="11"/>
    <s v="DRC"/>
    <x v="0"/>
    <x v="0"/>
    <s v="Ohn Taw Gyi (North)"/>
    <m/>
    <m/>
    <m/>
    <m/>
    <n v="2549"/>
    <m/>
    <m/>
    <m/>
    <m/>
    <m/>
    <m/>
    <m/>
    <m/>
    <m/>
    <n v="0"/>
    <n v="0"/>
    <n v="0"/>
    <n v="0"/>
    <n v="0"/>
    <n v="0"/>
    <n v="0"/>
    <n v="0"/>
    <n v="0"/>
    <n v="0"/>
    <n v="0"/>
    <n v="0"/>
    <n v="0"/>
    <n v="0"/>
    <s v="MMR012CMP115"/>
    <x v="0"/>
    <m/>
  </r>
  <r>
    <x v="85"/>
    <x v="3"/>
    <x v="85"/>
    <x v="2"/>
    <s v="UNHCR"/>
    <x v="0"/>
    <x v="5"/>
    <s v="Ah Pauk Wa "/>
    <m/>
    <m/>
    <m/>
    <n v="2"/>
    <m/>
    <n v="2"/>
    <n v="1"/>
    <n v="4"/>
    <n v="1"/>
    <m/>
    <n v="2"/>
    <m/>
    <m/>
    <m/>
    <n v="0"/>
    <n v="0"/>
    <n v="0"/>
    <n v="0"/>
    <n v="0"/>
    <n v="0"/>
    <n v="0"/>
    <n v="0"/>
    <n v="0"/>
    <n v="0"/>
    <n v="0"/>
    <n v="0"/>
    <n v="0"/>
    <n v="0"/>
    <s v="MMR012CMP024"/>
    <x v="2"/>
    <m/>
  </r>
  <r>
    <x v="86"/>
    <x v="3"/>
    <x v="86"/>
    <x v="2"/>
    <s v="UNHCR"/>
    <x v="0"/>
    <x v="2"/>
    <s v="Sin Tet Maw"/>
    <m/>
    <m/>
    <m/>
    <m/>
    <m/>
    <n v="20"/>
    <n v="700"/>
    <m/>
    <m/>
    <m/>
    <n v="120"/>
    <m/>
    <m/>
    <m/>
    <n v="0"/>
    <n v="0"/>
    <n v="0"/>
    <n v="0"/>
    <n v="0"/>
    <n v="0"/>
    <n v="0"/>
    <n v="0"/>
    <n v="0"/>
    <n v="0"/>
    <n v="0"/>
    <n v="0"/>
    <n v="0"/>
    <n v="0"/>
    <s v="MMR012CMP019"/>
    <x v="0"/>
    <m/>
  </r>
  <r>
    <x v="86"/>
    <x v="3"/>
    <x v="86"/>
    <x v="2"/>
    <s v="UNHCR"/>
    <x v="0"/>
    <x v="2"/>
    <s v="Sin Tet Maw"/>
    <m/>
    <m/>
    <m/>
    <n v="807"/>
    <m/>
    <m/>
    <m/>
    <n v="807"/>
    <m/>
    <m/>
    <m/>
    <m/>
    <m/>
    <m/>
    <n v="0"/>
    <n v="0"/>
    <n v="0"/>
    <n v="0"/>
    <n v="0"/>
    <n v="0"/>
    <n v="0"/>
    <n v="0"/>
    <n v="0"/>
    <n v="0"/>
    <n v="0"/>
    <n v="0"/>
    <n v="0"/>
    <n v="0"/>
    <s v="MMR012CMP019"/>
    <x v="0"/>
    <m/>
  </r>
  <r>
    <x v="87"/>
    <x v="3"/>
    <x v="87"/>
    <x v="2"/>
    <s v="UNHCR"/>
    <x v="0"/>
    <x v="2"/>
    <s v="Nget Chaung"/>
    <m/>
    <m/>
    <m/>
    <n v="588"/>
    <m/>
    <n v="588"/>
    <n v="294"/>
    <n v="1176"/>
    <n v="294"/>
    <m/>
    <n v="588"/>
    <m/>
    <m/>
    <m/>
    <n v="0"/>
    <n v="0"/>
    <n v="0"/>
    <n v="0"/>
    <n v="0"/>
    <n v="0"/>
    <n v="0"/>
    <n v="0"/>
    <n v="0"/>
    <n v="0"/>
    <n v="0"/>
    <n v="0"/>
    <n v="0"/>
    <n v="0"/>
    <s v=""/>
    <x v="3"/>
    <m/>
  </r>
  <r>
    <x v="87"/>
    <x v="3"/>
    <x v="87"/>
    <x v="2"/>
    <s v="UNHCR"/>
    <x v="0"/>
    <x v="2"/>
    <s v="Sin Tet Maw"/>
    <m/>
    <m/>
    <m/>
    <n v="1420"/>
    <m/>
    <n v="1400"/>
    <m/>
    <n v="2800"/>
    <n v="700"/>
    <m/>
    <n v="1400"/>
    <m/>
    <m/>
    <m/>
    <n v="0"/>
    <n v="0"/>
    <n v="0"/>
    <n v="0"/>
    <n v="0"/>
    <n v="0"/>
    <n v="0"/>
    <n v="0"/>
    <n v="0"/>
    <n v="0"/>
    <n v="0"/>
    <n v="0"/>
    <n v="0"/>
    <n v="0"/>
    <s v="MMR012CMP019"/>
    <x v="0"/>
    <m/>
  </r>
  <r>
    <x v="88"/>
    <x v="3"/>
    <x v="88"/>
    <x v="2"/>
    <s v="UNHCR"/>
    <x v="0"/>
    <x v="0"/>
    <s v="Ohn Taw Chay"/>
    <m/>
    <m/>
    <m/>
    <n v="10"/>
    <n v="5"/>
    <n v="15"/>
    <n v="5"/>
    <m/>
    <m/>
    <m/>
    <n v="10"/>
    <m/>
    <m/>
    <m/>
    <n v="0"/>
    <n v="0"/>
    <n v="0"/>
    <n v="0"/>
    <n v="0"/>
    <n v="0"/>
    <n v="0"/>
    <n v="0"/>
    <n v="0"/>
    <n v="0"/>
    <n v="0"/>
    <n v="0"/>
    <n v="0"/>
    <n v="0"/>
    <s v="MMR012CMP098"/>
    <x v="0"/>
    <m/>
  </r>
  <r>
    <x v="89"/>
    <x v="3"/>
    <x v="89"/>
    <x v="2"/>
    <s v="UNHCR"/>
    <x v="0"/>
    <x v="5"/>
    <s v="Ah Pauk Wa "/>
    <m/>
    <m/>
    <n v="1"/>
    <n v="2"/>
    <m/>
    <n v="2"/>
    <n v="1"/>
    <n v="1"/>
    <n v="1"/>
    <m/>
    <n v="2"/>
    <m/>
    <m/>
    <m/>
    <n v="0"/>
    <n v="0"/>
    <n v="0"/>
    <n v="0"/>
    <n v="0"/>
    <n v="0"/>
    <n v="0"/>
    <n v="0"/>
    <n v="0"/>
    <n v="0"/>
    <n v="0"/>
    <n v="0"/>
    <n v="0"/>
    <n v="0"/>
    <s v="MMR012CMP024"/>
    <x v="2"/>
    <m/>
  </r>
  <r>
    <x v="89"/>
    <x v="3"/>
    <x v="89"/>
    <x v="2"/>
    <s v="UNHCR"/>
    <x v="0"/>
    <x v="0"/>
    <s v="Ohn Taw Chay"/>
    <m/>
    <n v="30"/>
    <m/>
    <n v="50"/>
    <n v="25"/>
    <n v="75"/>
    <n v="25"/>
    <m/>
    <m/>
    <m/>
    <n v="50"/>
    <m/>
    <m/>
    <m/>
    <n v="0"/>
    <n v="0"/>
    <n v="0"/>
    <n v="0"/>
    <n v="0"/>
    <n v="0"/>
    <n v="0"/>
    <n v="0"/>
    <n v="0"/>
    <n v="0"/>
    <n v="0"/>
    <n v="0"/>
    <n v="0"/>
    <n v="0"/>
    <s v="MMR012CMP098"/>
    <x v="0"/>
    <m/>
  </r>
  <r>
    <x v="90"/>
    <x v="4"/>
    <x v="90"/>
    <x v="2"/>
    <s v="UNHCR"/>
    <x v="0"/>
    <x v="0"/>
    <s v="Ohn Taw Chay"/>
    <m/>
    <m/>
    <m/>
    <n v="800"/>
    <m/>
    <m/>
    <m/>
    <m/>
    <m/>
    <m/>
    <m/>
    <m/>
    <m/>
    <m/>
    <n v="0"/>
    <n v="0"/>
    <n v="0"/>
    <n v="0"/>
    <n v="0"/>
    <n v="0"/>
    <n v="0"/>
    <n v="0"/>
    <n v="0"/>
    <n v="0"/>
    <n v="0"/>
    <n v="0"/>
    <n v="0"/>
    <n v="0"/>
    <s v="MMR012CMP098"/>
    <x v="0"/>
    <m/>
  </r>
  <r>
    <x v="90"/>
    <x v="4"/>
    <x v="90"/>
    <x v="2"/>
    <s v="UNHCR"/>
    <x v="0"/>
    <x v="0"/>
    <s v="Ohn Taw Chay"/>
    <m/>
    <m/>
    <m/>
    <m/>
    <m/>
    <n v="800"/>
    <n v="400"/>
    <m/>
    <n v="400"/>
    <m/>
    <n v="800"/>
    <m/>
    <m/>
    <m/>
    <n v="0"/>
    <n v="0"/>
    <n v="0"/>
    <n v="0"/>
    <n v="0"/>
    <n v="0"/>
    <n v="0"/>
    <n v="0"/>
    <n v="0"/>
    <n v="0"/>
    <n v="0"/>
    <n v="0"/>
    <n v="0"/>
    <n v="0"/>
    <s v="MMR012CMP098"/>
    <x v="0"/>
    <m/>
  </r>
  <r>
    <x v="90"/>
    <x v="4"/>
    <x v="90"/>
    <x v="2"/>
    <s v="UNHCR"/>
    <x v="0"/>
    <x v="0"/>
    <s v="Ohn Taw Chay"/>
    <m/>
    <m/>
    <m/>
    <m/>
    <n v="309"/>
    <m/>
    <m/>
    <m/>
    <m/>
    <m/>
    <m/>
    <m/>
    <m/>
    <m/>
    <n v="0"/>
    <n v="0"/>
    <n v="0"/>
    <n v="0"/>
    <n v="0"/>
    <n v="0"/>
    <n v="0"/>
    <n v="0"/>
    <n v="0"/>
    <n v="0"/>
    <n v="0"/>
    <n v="0"/>
    <n v="0"/>
    <n v="0"/>
    <s v="MMR012CMP098"/>
    <x v="0"/>
    <m/>
  </r>
  <r>
    <x v="91"/>
    <x v="4"/>
    <x v="91"/>
    <x v="2"/>
    <s v="UNHCR"/>
    <x v="0"/>
    <x v="2"/>
    <s v="Nget Chaung"/>
    <m/>
    <m/>
    <m/>
    <n v="1966"/>
    <m/>
    <n v="1966"/>
    <n v="983"/>
    <n v="983"/>
    <n v="983"/>
    <m/>
    <n v="1966"/>
    <m/>
    <m/>
    <m/>
    <n v="0"/>
    <n v="0"/>
    <n v="0"/>
    <n v="0"/>
    <n v="0"/>
    <n v="0"/>
    <n v="0"/>
    <n v="0"/>
    <n v="0"/>
    <n v="0"/>
    <n v="0"/>
    <n v="0"/>
    <n v="0"/>
    <n v="0"/>
    <s v=""/>
    <x v="3"/>
    <m/>
  </r>
  <r>
    <x v="91"/>
    <x v="4"/>
    <x v="91"/>
    <x v="2"/>
    <s v="UNHCR"/>
    <x v="0"/>
    <x v="2"/>
    <s v="Sin Tet Maw"/>
    <m/>
    <m/>
    <m/>
    <n v="807"/>
    <n v="203"/>
    <m/>
    <m/>
    <n v="807"/>
    <m/>
    <m/>
    <m/>
    <m/>
    <m/>
    <m/>
    <n v="0"/>
    <n v="0"/>
    <n v="0"/>
    <n v="0"/>
    <n v="0"/>
    <n v="0"/>
    <n v="0"/>
    <n v="0"/>
    <n v="0"/>
    <n v="0"/>
    <n v="0"/>
    <n v="0"/>
    <n v="0"/>
    <n v="0"/>
    <s v="MMR012CMP019"/>
    <x v="0"/>
    <m/>
  </r>
  <r>
    <x v="92"/>
    <x v="4"/>
    <x v="92"/>
    <x v="1"/>
    <s v="RI"/>
    <x v="0"/>
    <x v="1"/>
    <s v="Taung Paw "/>
    <n v="743"/>
    <m/>
    <m/>
    <n v="743"/>
    <m/>
    <n v="743"/>
    <m/>
    <m/>
    <n v="743"/>
    <m/>
    <m/>
    <m/>
    <m/>
    <m/>
    <n v="0"/>
    <n v="0"/>
    <n v="0"/>
    <n v="0"/>
    <n v="0"/>
    <n v="0"/>
    <n v="0"/>
    <n v="0"/>
    <n v="0"/>
    <n v="0"/>
    <n v="0"/>
    <n v="0"/>
    <n v="0"/>
    <n v="0"/>
    <s v="MMR012CMP014"/>
    <x v="0"/>
    <m/>
  </r>
  <r>
    <x v="93"/>
    <x v="4"/>
    <x v="93"/>
    <x v="2"/>
    <s v="UNHCR"/>
    <x v="0"/>
    <x v="0"/>
    <s v="Ohn Taw Gyi (North)"/>
    <m/>
    <m/>
    <m/>
    <n v="2400"/>
    <m/>
    <n v="2400"/>
    <n v="1200"/>
    <m/>
    <n v="1200"/>
    <m/>
    <n v="6000"/>
    <m/>
    <m/>
    <m/>
    <n v="0"/>
    <n v="0"/>
    <n v="0"/>
    <n v="0"/>
    <n v="0"/>
    <n v="0"/>
    <n v="0"/>
    <n v="0"/>
    <n v="0"/>
    <n v="0"/>
    <n v="0"/>
    <n v="0"/>
    <n v="0"/>
    <n v="0"/>
    <s v="MMR012CMP115"/>
    <x v="0"/>
    <m/>
  </r>
  <r>
    <x v="93"/>
    <x v="4"/>
    <x v="93"/>
    <x v="2"/>
    <s v="UNHCR"/>
    <x v="0"/>
    <x v="0"/>
    <s v="Ohn Taw Gyi (North)"/>
    <m/>
    <m/>
    <m/>
    <m/>
    <n v="33"/>
    <m/>
    <m/>
    <m/>
    <m/>
    <m/>
    <m/>
    <m/>
    <m/>
    <m/>
    <n v="0"/>
    <n v="0"/>
    <n v="0"/>
    <n v="0"/>
    <n v="0"/>
    <n v="0"/>
    <n v="0"/>
    <n v="0"/>
    <n v="0"/>
    <n v="0"/>
    <n v="0"/>
    <n v="0"/>
    <n v="0"/>
    <n v="0"/>
    <s v="MMR012CMP115"/>
    <x v="0"/>
    <m/>
  </r>
  <r>
    <x v="94"/>
    <x v="4"/>
    <x v="94"/>
    <x v="13"/>
    <s v="LWF"/>
    <x v="0"/>
    <x v="0"/>
    <s v="Ohn Taw Gyi (South)"/>
    <m/>
    <n v="731"/>
    <m/>
    <m/>
    <m/>
    <m/>
    <m/>
    <m/>
    <m/>
    <m/>
    <m/>
    <m/>
    <m/>
    <m/>
    <n v="0"/>
    <n v="0"/>
    <n v="0"/>
    <n v="0"/>
    <n v="0"/>
    <n v="0"/>
    <n v="0"/>
    <n v="0"/>
    <n v="0"/>
    <n v="0"/>
    <n v="0"/>
    <n v="0"/>
    <n v="0"/>
    <n v="0"/>
    <s v="MMR012CMP116"/>
    <x v="0"/>
    <m/>
  </r>
  <r>
    <x v="95"/>
    <x v="4"/>
    <x v="95"/>
    <x v="13"/>
    <s v="LWF"/>
    <x v="0"/>
    <x v="0"/>
    <s v="Ohn Taw Gyi (South)"/>
    <m/>
    <n v="264"/>
    <m/>
    <m/>
    <m/>
    <m/>
    <m/>
    <m/>
    <m/>
    <m/>
    <m/>
    <m/>
    <m/>
    <m/>
    <n v="0"/>
    <n v="0"/>
    <n v="0"/>
    <n v="0"/>
    <n v="0"/>
    <n v="0"/>
    <n v="0"/>
    <n v="0"/>
    <n v="0"/>
    <n v="0"/>
    <n v="0"/>
    <n v="0"/>
    <n v="0"/>
    <n v="0"/>
    <s v="MMR012CMP116"/>
    <x v="0"/>
    <m/>
  </r>
  <r>
    <x v="96"/>
    <x v="4"/>
    <x v="96"/>
    <x v="2"/>
    <s v="UNHCR"/>
    <x v="0"/>
    <x v="5"/>
    <s v="Let Saung Kauk"/>
    <n v="48"/>
    <m/>
    <m/>
    <m/>
    <m/>
    <m/>
    <m/>
    <m/>
    <m/>
    <m/>
    <m/>
    <m/>
    <m/>
    <m/>
    <n v="0"/>
    <n v="0"/>
    <n v="0"/>
    <n v="0"/>
    <n v="0"/>
    <n v="0"/>
    <n v="0"/>
    <n v="0"/>
    <n v="0"/>
    <n v="0"/>
    <n v="0"/>
    <n v="0"/>
    <n v="0"/>
    <n v="0"/>
    <s v="MMR012CMP020"/>
    <x v="2"/>
    <m/>
  </r>
  <r>
    <x v="96"/>
    <x v="4"/>
    <x v="96"/>
    <x v="2"/>
    <s v="UNHCR"/>
    <x v="0"/>
    <x v="5"/>
    <s v="Nidin"/>
    <n v="187"/>
    <m/>
    <m/>
    <m/>
    <m/>
    <m/>
    <m/>
    <m/>
    <m/>
    <m/>
    <m/>
    <m/>
    <m/>
    <m/>
    <n v="0"/>
    <n v="0"/>
    <n v="0"/>
    <n v="0"/>
    <n v="0"/>
    <n v="0"/>
    <n v="0"/>
    <n v="0"/>
    <n v="0"/>
    <n v="0"/>
    <n v="0"/>
    <n v="0"/>
    <n v="0"/>
    <n v="0"/>
    <s v="MMR012CMP023"/>
    <x v="0"/>
    <m/>
  </r>
  <r>
    <x v="96"/>
    <x v="4"/>
    <x v="96"/>
    <x v="13"/>
    <s v="LWF"/>
    <x v="0"/>
    <x v="0"/>
    <s v="Ohn Taw Gyi (South)"/>
    <m/>
    <n v="200"/>
    <m/>
    <m/>
    <m/>
    <m/>
    <m/>
    <m/>
    <m/>
    <m/>
    <m/>
    <m/>
    <m/>
    <m/>
    <n v="0"/>
    <n v="0"/>
    <n v="0"/>
    <n v="0"/>
    <n v="0"/>
    <n v="0"/>
    <n v="0"/>
    <n v="0"/>
    <n v="0"/>
    <n v="0"/>
    <n v="0"/>
    <n v="0"/>
    <n v="0"/>
    <n v="0"/>
    <s v="MMR012CMP116"/>
    <x v="0"/>
    <m/>
  </r>
  <r>
    <x v="96"/>
    <x v="4"/>
    <x v="96"/>
    <x v="13"/>
    <s v="LWF"/>
    <x v="0"/>
    <x v="0"/>
    <s v="Ohn Taw Gyi (South)"/>
    <m/>
    <n v="103"/>
    <m/>
    <m/>
    <m/>
    <m/>
    <m/>
    <m/>
    <m/>
    <m/>
    <m/>
    <m/>
    <m/>
    <m/>
    <n v="0"/>
    <n v="0"/>
    <n v="0"/>
    <n v="0"/>
    <n v="0"/>
    <n v="0"/>
    <n v="0"/>
    <n v="0"/>
    <n v="0"/>
    <n v="0"/>
    <n v="0"/>
    <n v="0"/>
    <n v="0"/>
    <n v="0"/>
    <s v="MMR012CMP116"/>
    <x v="0"/>
    <m/>
  </r>
  <r>
    <x v="96"/>
    <x v="4"/>
    <x v="96"/>
    <x v="2"/>
    <s v="UNHCR"/>
    <x v="0"/>
    <x v="5"/>
    <s v="Shwe Hlaing"/>
    <n v="340"/>
    <m/>
    <m/>
    <m/>
    <m/>
    <m/>
    <m/>
    <m/>
    <m/>
    <m/>
    <m/>
    <m/>
    <m/>
    <m/>
    <n v="0"/>
    <n v="0"/>
    <n v="0"/>
    <n v="0"/>
    <n v="0"/>
    <n v="0"/>
    <n v="0"/>
    <n v="0"/>
    <n v="0"/>
    <n v="0"/>
    <n v="0"/>
    <n v="0"/>
    <n v="0"/>
    <n v="0"/>
    <s v="MMR012CMP029"/>
    <x v="2"/>
    <m/>
  </r>
  <r>
    <x v="97"/>
    <x v="4"/>
    <x v="97"/>
    <x v="2"/>
    <s v="UNHCR"/>
    <x v="0"/>
    <x v="5"/>
    <s v="Ah Lel Kyun"/>
    <n v="36"/>
    <m/>
    <m/>
    <n v="28"/>
    <n v="83"/>
    <n v="28"/>
    <n v="14"/>
    <n v="14"/>
    <n v="14"/>
    <m/>
    <n v="28"/>
    <m/>
    <m/>
    <m/>
    <n v="0"/>
    <n v="0"/>
    <n v="0"/>
    <n v="0"/>
    <n v="0"/>
    <n v="0"/>
    <n v="0"/>
    <n v="0"/>
    <n v="0"/>
    <n v="0"/>
    <n v="0"/>
    <n v="0"/>
    <n v="0"/>
    <n v="0"/>
    <s v="MMR012CMP025"/>
    <x v="2"/>
    <m/>
  </r>
  <r>
    <x v="97"/>
    <x v="4"/>
    <x v="97"/>
    <x v="13"/>
    <s v="LWF"/>
    <x v="0"/>
    <x v="0"/>
    <s v="Basare"/>
    <m/>
    <n v="395"/>
    <m/>
    <m/>
    <m/>
    <m/>
    <m/>
    <m/>
    <m/>
    <m/>
    <m/>
    <m/>
    <m/>
    <m/>
    <n v="0"/>
    <n v="0"/>
    <n v="0"/>
    <n v="0"/>
    <n v="0"/>
    <n v="0"/>
    <n v="0"/>
    <n v="0"/>
    <n v="0"/>
    <n v="0"/>
    <n v="0"/>
    <n v="0"/>
    <n v="0"/>
    <n v="0"/>
    <s v="MMR012CMP039"/>
    <x v="0"/>
    <m/>
  </r>
  <r>
    <x v="97"/>
    <x v="4"/>
    <x v="97"/>
    <x v="2"/>
    <s v="UNHCR"/>
    <x v="0"/>
    <x v="5"/>
    <s v="Khaung Htoke"/>
    <n v="220"/>
    <m/>
    <m/>
    <m/>
    <m/>
    <m/>
    <m/>
    <m/>
    <m/>
    <m/>
    <m/>
    <m/>
    <m/>
    <m/>
    <n v="0"/>
    <n v="0"/>
    <n v="0"/>
    <n v="0"/>
    <n v="0"/>
    <n v="0"/>
    <n v="0"/>
    <n v="0"/>
    <n v="0"/>
    <n v="0"/>
    <n v="0"/>
    <n v="0"/>
    <n v="0"/>
    <n v="0"/>
    <s v="MMR012CMP030"/>
    <x v="1"/>
    <m/>
  </r>
  <r>
    <x v="97"/>
    <x v="4"/>
    <x v="97"/>
    <x v="2"/>
    <s v="UNHCR"/>
    <x v="0"/>
    <x v="5"/>
    <s v="Taung Bwe"/>
    <n v="250"/>
    <m/>
    <m/>
    <m/>
    <m/>
    <m/>
    <m/>
    <m/>
    <m/>
    <m/>
    <m/>
    <m/>
    <m/>
    <m/>
    <n v="0"/>
    <n v="0"/>
    <n v="0"/>
    <n v="0"/>
    <n v="0"/>
    <n v="0"/>
    <n v="0"/>
    <n v="0"/>
    <n v="0"/>
    <n v="0"/>
    <n v="0"/>
    <n v="0"/>
    <n v="0"/>
    <n v="0"/>
    <s v="MMR012CMP021"/>
    <x v="2"/>
    <m/>
  </r>
  <r>
    <x v="98"/>
    <x v="4"/>
    <x v="98"/>
    <x v="2"/>
    <s v="UNHCR"/>
    <x v="0"/>
    <x v="5"/>
    <s v="Goke Pi Htaunt"/>
    <n v="280"/>
    <m/>
    <m/>
    <m/>
    <m/>
    <m/>
    <m/>
    <m/>
    <m/>
    <m/>
    <m/>
    <m/>
    <m/>
    <m/>
    <n v="0"/>
    <n v="0"/>
    <n v="0"/>
    <n v="0"/>
    <n v="0"/>
    <n v="0"/>
    <n v="0"/>
    <n v="0"/>
    <n v="0"/>
    <n v="0"/>
    <n v="0"/>
    <n v="0"/>
    <n v="0"/>
    <n v="0"/>
    <s v="MMR012CMP027"/>
    <x v="2"/>
    <m/>
  </r>
  <r>
    <x v="98"/>
    <x v="4"/>
    <x v="98"/>
    <x v="2"/>
    <s v="UNHCR"/>
    <x v="0"/>
    <x v="5"/>
    <s v="In Bar Yi"/>
    <n v="380"/>
    <m/>
    <m/>
    <m/>
    <m/>
    <m/>
    <m/>
    <m/>
    <m/>
    <m/>
    <m/>
    <m/>
    <m/>
    <m/>
    <n v="0"/>
    <n v="0"/>
    <n v="0"/>
    <n v="0"/>
    <n v="0"/>
    <n v="0"/>
    <n v="0"/>
    <n v="0"/>
    <n v="0"/>
    <n v="0"/>
    <n v="0"/>
    <n v="0"/>
    <n v="0"/>
    <n v="0"/>
    <s v="MMR012CMP026"/>
    <x v="2"/>
    <m/>
  </r>
  <r>
    <x v="99"/>
    <x v="4"/>
    <x v="99"/>
    <x v="2"/>
    <s v="UNHCR"/>
    <x v="0"/>
    <x v="5"/>
    <s v="Ah Pauk Wa "/>
    <n v="230"/>
    <m/>
    <m/>
    <m/>
    <m/>
    <m/>
    <m/>
    <m/>
    <m/>
    <m/>
    <m/>
    <m/>
    <m/>
    <m/>
    <n v="0"/>
    <n v="0"/>
    <n v="0"/>
    <n v="0"/>
    <n v="0"/>
    <n v="0"/>
    <n v="0"/>
    <n v="0"/>
    <n v="0"/>
    <n v="0"/>
    <n v="0"/>
    <n v="0"/>
    <n v="0"/>
    <n v="0"/>
    <s v="MMR012CMP024"/>
    <x v="2"/>
    <m/>
  </r>
  <r>
    <x v="99"/>
    <x v="4"/>
    <x v="99"/>
    <x v="2"/>
    <s v="UNHCR"/>
    <x v="0"/>
    <x v="5"/>
    <s v="Yun Nyar"/>
    <n v="300"/>
    <m/>
    <m/>
    <m/>
    <m/>
    <m/>
    <m/>
    <m/>
    <m/>
    <m/>
    <m/>
    <m/>
    <m/>
    <m/>
    <n v="0"/>
    <n v="0"/>
    <n v="0"/>
    <n v="0"/>
    <n v="0"/>
    <n v="0"/>
    <n v="0"/>
    <n v="0"/>
    <n v="0"/>
    <n v="0"/>
    <n v="0"/>
    <n v="0"/>
    <n v="0"/>
    <n v="0"/>
    <s v="MMR012CMP028"/>
    <x v="2"/>
    <m/>
  </r>
  <r>
    <x v="100"/>
    <x v="4"/>
    <x v="100"/>
    <x v="2"/>
    <s v="UNHCR"/>
    <x v="0"/>
    <x v="0"/>
    <s v="Set Yone Su"/>
    <m/>
    <m/>
    <m/>
    <m/>
    <m/>
    <m/>
    <m/>
    <n v="250"/>
    <m/>
    <m/>
    <m/>
    <m/>
    <m/>
    <m/>
    <n v="0"/>
    <n v="0"/>
    <n v="0"/>
    <n v="0"/>
    <n v="0"/>
    <n v="0"/>
    <n v="0"/>
    <n v="0"/>
    <n v="0"/>
    <n v="0"/>
    <n v="0"/>
    <n v="0"/>
    <n v="0"/>
    <n v="0"/>
    <s v="MMR012CMP056"/>
    <x v="1"/>
    <m/>
  </r>
  <r>
    <x v="101"/>
    <x v="4"/>
    <x v="101"/>
    <x v="13"/>
    <s v="LWF"/>
    <x v="0"/>
    <x v="0"/>
    <s v="Ohn Taw Gyi (South)"/>
    <m/>
    <n v="948"/>
    <m/>
    <m/>
    <m/>
    <m/>
    <m/>
    <m/>
    <m/>
    <m/>
    <m/>
    <m/>
    <m/>
    <m/>
    <n v="0"/>
    <n v="0"/>
    <n v="0"/>
    <n v="0"/>
    <n v="0"/>
    <n v="0"/>
    <n v="0"/>
    <n v="0"/>
    <n v="0"/>
    <n v="0"/>
    <n v="0"/>
    <n v="0"/>
    <n v="0"/>
    <n v="0"/>
    <s v="MMR012CMP116"/>
    <x v="0"/>
    <m/>
  </r>
  <r>
    <x v="102"/>
    <x v="4"/>
    <x v="102"/>
    <x v="2"/>
    <s v="UNHCR"/>
    <x v="0"/>
    <x v="0"/>
    <s v="Sat Roe Kya 1"/>
    <m/>
    <m/>
    <m/>
    <m/>
    <m/>
    <m/>
    <m/>
    <n v="631"/>
    <m/>
    <m/>
    <m/>
    <m/>
    <m/>
    <m/>
    <n v="0"/>
    <n v="0"/>
    <n v="0"/>
    <n v="0"/>
    <n v="0"/>
    <n v="0"/>
    <n v="0"/>
    <n v="0"/>
    <n v="0"/>
    <n v="0"/>
    <n v="0"/>
    <n v="0"/>
    <n v="0"/>
    <n v="0"/>
    <s v="MMR012CMP111"/>
    <x v="1"/>
    <m/>
  </r>
  <r>
    <x v="103"/>
    <x v="4"/>
    <x v="103"/>
    <x v="2"/>
    <s v="UNHCR"/>
    <x v="0"/>
    <x v="2"/>
    <s v="Ba Wan Chaung Wa Su"/>
    <m/>
    <m/>
    <m/>
    <n v="42"/>
    <m/>
    <n v="42"/>
    <n v="21"/>
    <n v="21"/>
    <n v="21"/>
    <m/>
    <n v="42"/>
    <m/>
    <m/>
    <m/>
    <n v="0"/>
    <n v="0"/>
    <n v="0"/>
    <n v="0"/>
    <n v="0"/>
    <n v="0"/>
    <n v="0"/>
    <n v="0"/>
    <n v="0"/>
    <n v="0"/>
    <n v="0"/>
    <n v="0"/>
    <n v="0"/>
    <n v="0"/>
    <s v="MMR012CMP015"/>
    <x v="1"/>
    <m/>
  </r>
  <r>
    <x v="104"/>
    <x v="4"/>
    <x v="104"/>
    <x v="2"/>
    <s v="UNHCR"/>
    <x v="0"/>
    <x v="2"/>
    <s v="Kyein Ni Pyin"/>
    <m/>
    <m/>
    <m/>
    <n v="2658"/>
    <n v="940"/>
    <n v="1880"/>
    <n v="940"/>
    <n v="1718"/>
    <n v="940"/>
    <m/>
    <n v="1880"/>
    <m/>
    <m/>
    <m/>
    <n v="0"/>
    <n v="0"/>
    <n v="0"/>
    <n v="0"/>
    <n v="0"/>
    <n v="0"/>
    <n v="0"/>
    <n v="0"/>
    <n v="0"/>
    <n v="0"/>
    <n v="0"/>
    <n v="0"/>
    <n v="0"/>
    <n v="0"/>
    <s v="MMR012CMP018"/>
    <x v="0"/>
    <m/>
  </r>
  <r>
    <x v="105"/>
    <x v="4"/>
    <x v="105"/>
    <x v="2"/>
    <s v="UNHCR"/>
    <x v="0"/>
    <x v="7"/>
    <s v="Thi Kyar"/>
    <m/>
    <m/>
    <m/>
    <n v="62"/>
    <m/>
    <n v="62"/>
    <n v="31"/>
    <n v="31"/>
    <n v="31"/>
    <m/>
    <n v="62"/>
    <m/>
    <m/>
    <m/>
    <n v="0"/>
    <n v="0"/>
    <n v="0"/>
    <n v="0"/>
    <n v="0"/>
    <n v="0"/>
    <n v="0"/>
    <n v="0"/>
    <n v="0"/>
    <n v="0"/>
    <n v="0"/>
    <n v="0"/>
    <n v="0"/>
    <n v="0"/>
    <s v="MMR012CMP117"/>
    <x v="1"/>
    <m/>
  </r>
  <r>
    <x v="106"/>
    <x v="4"/>
    <x v="106"/>
    <x v="2"/>
    <s v="UNHCR"/>
    <x v="0"/>
    <x v="2"/>
    <s v="Ah Nauk Ywe"/>
    <m/>
    <m/>
    <m/>
    <n v="1652"/>
    <n v="99"/>
    <n v="1652"/>
    <n v="826"/>
    <n v="826"/>
    <n v="826"/>
    <m/>
    <n v="1652"/>
    <m/>
    <m/>
    <m/>
    <n v="0"/>
    <n v="0"/>
    <n v="0"/>
    <n v="0"/>
    <n v="0"/>
    <n v="0"/>
    <n v="0"/>
    <n v="0"/>
    <n v="0"/>
    <n v="0"/>
    <n v="0"/>
    <n v="0"/>
    <n v="0"/>
    <n v="0"/>
    <s v="MMR012CMP016"/>
    <x v="0"/>
    <m/>
  </r>
  <r>
    <x v="107"/>
    <x v="4"/>
    <x v="107"/>
    <x v="2"/>
    <s v="UNHCR"/>
    <x v="0"/>
    <x v="2"/>
    <s v="Nget Chaung"/>
    <m/>
    <m/>
    <m/>
    <n v="0"/>
    <n v="203"/>
    <n v="0"/>
    <m/>
    <m/>
    <m/>
    <m/>
    <n v="448"/>
    <m/>
    <m/>
    <m/>
    <n v="0"/>
    <n v="0"/>
    <n v="0"/>
    <n v="0"/>
    <n v="0"/>
    <n v="0"/>
    <n v="0"/>
    <n v="0"/>
    <n v="0"/>
    <n v="0"/>
    <n v="0"/>
    <n v="0"/>
    <n v="0"/>
    <n v="0"/>
    <s v=""/>
    <x v="3"/>
    <m/>
  </r>
  <r>
    <x v="108"/>
    <x v="4"/>
    <x v="108"/>
    <x v="2"/>
    <s v="UNHCR"/>
    <x v="0"/>
    <x v="1"/>
    <s v="Kan Thar Htwat Wa"/>
    <m/>
    <n v="44"/>
    <m/>
    <n v="88"/>
    <n v="44"/>
    <n v="88"/>
    <n v="44"/>
    <n v="44"/>
    <n v="44"/>
    <m/>
    <n v="88"/>
    <m/>
    <m/>
    <m/>
    <n v="0"/>
    <n v="0"/>
    <n v="0"/>
    <n v="0"/>
    <n v="0"/>
    <n v="0"/>
    <n v="0"/>
    <n v="0"/>
    <n v="0"/>
    <n v="0"/>
    <n v="0"/>
    <n v="0"/>
    <n v="0"/>
    <n v="0"/>
    <s v="MMR012CMP013"/>
    <x v="1"/>
    <m/>
  </r>
  <r>
    <x v="108"/>
    <x v="4"/>
    <x v="108"/>
    <x v="2"/>
    <s v="UNHCR"/>
    <x v="0"/>
    <x v="1"/>
    <s v="Taung Paw "/>
    <m/>
    <n v="755"/>
    <m/>
    <n v="1510"/>
    <n v="755"/>
    <n v="1510"/>
    <n v="755"/>
    <n v="755"/>
    <n v="755"/>
    <m/>
    <n v="1510"/>
    <m/>
    <m/>
    <m/>
    <n v="0"/>
    <n v="0"/>
    <n v="0"/>
    <n v="0"/>
    <n v="0"/>
    <n v="0"/>
    <n v="0"/>
    <n v="0"/>
    <n v="0"/>
    <n v="0"/>
    <n v="0"/>
    <n v="0"/>
    <n v="0"/>
    <n v="0"/>
    <s v="MMR012CMP014"/>
    <x v="0"/>
    <m/>
  </r>
  <r>
    <x v="109"/>
    <x v="4"/>
    <x v="109"/>
    <x v="2"/>
    <s v="UNHCR"/>
    <x v="0"/>
    <x v="6"/>
    <s v="San Htoe Tan"/>
    <m/>
    <m/>
    <m/>
    <n v="240"/>
    <m/>
    <n v="240"/>
    <n v="120"/>
    <n v="120"/>
    <n v="120"/>
    <m/>
    <n v="240"/>
    <m/>
    <m/>
    <m/>
    <n v="0"/>
    <n v="0"/>
    <n v="0"/>
    <n v="0"/>
    <n v="0"/>
    <n v="0"/>
    <n v="0"/>
    <n v="0"/>
    <n v="0"/>
    <n v="0"/>
    <n v="0"/>
    <n v="0"/>
    <n v="0"/>
    <n v="0"/>
    <s v="MMR012CMP003"/>
    <x v="2"/>
    <m/>
  </r>
  <r>
    <x v="109"/>
    <x v="4"/>
    <x v="109"/>
    <x v="2"/>
    <s v="UNHCR"/>
    <x v="0"/>
    <x v="6"/>
    <s v="Tha Dar"/>
    <m/>
    <m/>
    <m/>
    <n v="428"/>
    <m/>
    <n v="428"/>
    <n v="214"/>
    <n v="214"/>
    <n v="214"/>
    <m/>
    <n v="428"/>
    <m/>
    <m/>
    <m/>
    <n v="0"/>
    <n v="0"/>
    <n v="0"/>
    <n v="0"/>
    <n v="0"/>
    <n v="0"/>
    <n v="0"/>
    <n v="0"/>
    <n v="0"/>
    <n v="0"/>
    <n v="0"/>
    <n v="0"/>
    <n v="0"/>
    <n v="0"/>
    <s v="MMR012CMP002"/>
    <x v="2"/>
    <m/>
  </r>
  <r>
    <x v="110"/>
    <x v="4"/>
    <x v="110"/>
    <x v="2"/>
    <s v="UNHCR"/>
    <x v="0"/>
    <x v="6"/>
    <s v="Aung Taing"/>
    <m/>
    <m/>
    <m/>
    <n v="290"/>
    <n v="1312"/>
    <n v="290"/>
    <n v="145"/>
    <n v="145"/>
    <n v="145"/>
    <m/>
    <n v="290"/>
    <m/>
    <m/>
    <m/>
    <n v="0"/>
    <n v="0"/>
    <n v="0"/>
    <n v="0"/>
    <n v="0"/>
    <n v="0"/>
    <n v="0"/>
    <n v="0"/>
    <n v="0"/>
    <n v="0"/>
    <n v="0"/>
    <n v="0"/>
    <n v="0"/>
    <n v="0"/>
    <s v="MMR012CMP006"/>
    <x v="2"/>
    <m/>
  </r>
  <r>
    <x v="110"/>
    <x v="4"/>
    <x v="110"/>
    <x v="2"/>
    <s v="UNHCR"/>
    <x v="0"/>
    <x v="6"/>
    <s v="Paik Thay"/>
    <m/>
    <m/>
    <m/>
    <n v="130"/>
    <n v="108"/>
    <n v="130"/>
    <n v="65"/>
    <n v="65"/>
    <n v="65"/>
    <m/>
    <n v="130"/>
    <m/>
    <m/>
    <m/>
    <n v="0"/>
    <n v="0"/>
    <n v="0"/>
    <n v="0"/>
    <n v="0"/>
    <n v="0"/>
    <n v="0"/>
    <n v="0"/>
    <n v="0"/>
    <n v="0"/>
    <n v="0"/>
    <n v="0"/>
    <n v="0"/>
    <n v="0"/>
    <s v="MMR012CMP001"/>
    <x v="2"/>
    <m/>
  </r>
  <r>
    <x v="110"/>
    <x v="4"/>
    <x v="110"/>
    <x v="2"/>
    <s v="UNHCR"/>
    <x v="0"/>
    <x v="6"/>
    <s v="Sam Ba Le"/>
    <m/>
    <m/>
    <m/>
    <n v="490"/>
    <m/>
    <n v="490"/>
    <n v="245"/>
    <n v="245"/>
    <n v="245"/>
    <m/>
    <n v="490"/>
    <m/>
    <m/>
    <m/>
    <n v="0"/>
    <n v="0"/>
    <n v="0"/>
    <n v="0"/>
    <n v="0"/>
    <n v="0"/>
    <n v="0"/>
    <n v="0"/>
    <n v="0"/>
    <n v="0"/>
    <n v="0"/>
    <n v="0"/>
    <n v="0"/>
    <n v="0"/>
    <s v="MMR012CMP008"/>
    <x v="2"/>
    <m/>
  </r>
  <r>
    <x v="110"/>
    <x v="4"/>
    <x v="110"/>
    <x v="2"/>
    <s v="UNHCR"/>
    <x v="0"/>
    <x v="6"/>
    <s v="Thay Kan"/>
    <m/>
    <n v="33"/>
    <m/>
    <n v="66"/>
    <n v="33"/>
    <n v="66"/>
    <n v="33"/>
    <n v="33"/>
    <n v="33"/>
    <m/>
    <n v="66"/>
    <m/>
    <m/>
    <m/>
    <n v="0"/>
    <n v="0"/>
    <n v="0"/>
    <n v="0"/>
    <n v="0"/>
    <n v="0"/>
    <n v="0"/>
    <n v="0"/>
    <n v="0"/>
    <n v="0"/>
    <n v="0"/>
    <n v="0"/>
    <n v="0"/>
    <n v="0"/>
    <s v="MMR012CMP007"/>
    <x v="4"/>
    <m/>
  </r>
  <r>
    <x v="110"/>
    <x v="4"/>
    <x v="110"/>
    <x v="2"/>
    <s v="UNHCR"/>
    <x v="0"/>
    <x v="6"/>
    <s v="Thay Kan"/>
    <m/>
    <m/>
    <m/>
    <m/>
    <m/>
    <m/>
    <m/>
    <m/>
    <m/>
    <m/>
    <m/>
    <m/>
    <m/>
    <m/>
    <n v="0"/>
    <n v="0"/>
    <n v="0"/>
    <n v="0"/>
    <n v="0"/>
    <n v="0"/>
    <n v="0"/>
    <n v="0"/>
    <n v="0"/>
    <n v="0"/>
    <n v="0"/>
    <n v="0"/>
    <n v="0"/>
    <n v="0"/>
    <s v="MMR012CMP007"/>
    <x v="4"/>
    <m/>
  </r>
  <r>
    <x v="111"/>
    <x v="4"/>
    <x v="111"/>
    <x v="2"/>
    <s v="UNHCR"/>
    <x v="0"/>
    <x v="7"/>
    <s v="Pa Rein"/>
    <m/>
    <m/>
    <m/>
    <n v="600"/>
    <n v="5"/>
    <n v="600"/>
    <n v="300"/>
    <n v="300"/>
    <n v="300"/>
    <m/>
    <n v="600"/>
    <m/>
    <m/>
    <m/>
    <n v="0"/>
    <n v="0"/>
    <n v="0"/>
    <n v="0"/>
    <n v="0"/>
    <n v="0"/>
    <n v="0"/>
    <n v="0"/>
    <n v="0"/>
    <n v="0"/>
    <n v="0"/>
    <n v="0"/>
    <n v="0"/>
    <n v="0"/>
    <s v="MMR012CMP009"/>
    <x v="2"/>
    <m/>
  </r>
  <r>
    <x v="111"/>
    <x v="4"/>
    <x v="111"/>
    <x v="2"/>
    <s v="UNHCR"/>
    <x v="0"/>
    <x v="6"/>
    <s v="Tha Yet Oak"/>
    <m/>
    <m/>
    <m/>
    <n v="458"/>
    <m/>
    <n v="458"/>
    <n v="229"/>
    <n v="229"/>
    <n v="229"/>
    <m/>
    <n v="458"/>
    <m/>
    <m/>
    <m/>
    <n v="0"/>
    <n v="0"/>
    <n v="0"/>
    <n v="0"/>
    <n v="0"/>
    <n v="0"/>
    <n v="0"/>
    <n v="0"/>
    <n v="0"/>
    <n v="0"/>
    <n v="0"/>
    <n v="0"/>
    <n v="0"/>
    <n v="0"/>
    <s v="MMR012CMP005"/>
    <x v="2"/>
    <m/>
  </r>
  <r>
    <x v="111"/>
    <x v="4"/>
    <x v="111"/>
    <x v="2"/>
    <s v="UNHCR"/>
    <x v="0"/>
    <x v="7"/>
    <s v="Yai Thei-Muslim"/>
    <m/>
    <m/>
    <m/>
    <n v="730"/>
    <m/>
    <n v="730"/>
    <n v="365"/>
    <n v="365"/>
    <n v="365"/>
    <m/>
    <n v="730"/>
    <m/>
    <m/>
    <m/>
    <n v="0"/>
    <n v="0"/>
    <n v="0"/>
    <n v="0"/>
    <n v="0"/>
    <n v="0"/>
    <n v="0"/>
    <n v="0"/>
    <n v="0"/>
    <n v="0"/>
    <n v="0"/>
    <n v="0"/>
    <n v="0"/>
    <n v="0"/>
    <s v="MMR012CMP010"/>
    <x v="2"/>
    <m/>
  </r>
  <r>
    <x v="112"/>
    <x v="4"/>
    <x v="112"/>
    <x v="2"/>
    <s v="UNHCR"/>
    <x v="0"/>
    <x v="5"/>
    <s v="Ah Pauk Wa "/>
    <m/>
    <m/>
    <m/>
    <n v="224"/>
    <n v="400"/>
    <n v="224"/>
    <n v="112"/>
    <n v="112"/>
    <n v="112"/>
    <m/>
    <n v="224"/>
    <m/>
    <m/>
    <m/>
    <n v="0"/>
    <n v="0"/>
    <n v="0"/>
    <n v="0"/>
    <n v="0"/>
    <n v="0"/>
    <n v="0"/>
    <n v="0"/>
    <n v="0"/>
    <n v="0"/>
    <n v="0"/>
    <n v="0"/>
    <n v="0"/>
    <n v="0"/>
    <s v="MMR012CMP024"/>
    <x v="2"/>
    <m/>
  </r>
  <r>
    <x v="112"/>
    <x v="4"/>
    <x v="112"/>
    <x v="2"/>
    <s v="UNHCR"/>
    <x v="0"/>
    <x v="5"/>
    <s v="Goke Pi Htaunt"/>
    <m/>
    <m/>
    <m/>
    <n v="232"/>
    <n v="220"/>
    <n v="232"/>
    <n v="116"/>
    <n v="116"/>
    <n v="116"/>
    <m/>
    <n v="232"/>
    <m/>
    <m/>
    <m/>
    <n v="0"/>
    <n v="0"/>
    <n v="0"/>
    <n v="0"/>
    <n v="0"/>
    <n v="0"/>
    <n v="0"/>
    <n v="0"/>
    <n v="0"/>
    <n v="0"/>
    <n v="0"/>
    <n v="0"/>
    <n v="0"/>
    <n v="0"/>
    <s v="MMR012CMP027"/>
    <x v="2"/>
    <m/>
  </r>
  <r>
    <x v="112"/>
    <x v="4"/>
    <x v="112"/>
    <x v="2"/>
    <s v="UNHCR"/>
    <x v="0"/>
    <x v="5"/>
    <s v="In Bar Yi"/>
    <m/>
    <m/>
    <m/>
    <n v="460"/>
    <n v="145"/>
    <n v="460"/>
    <n v="230"/>
    <n v="230"/>
    <n v="230"/>
    <m/>
    <n v="460"/>
    <m/>
    <m/>
    <m/>
    <n v="0"/>
    <n v="0"/>
    <n v="0"/>
    <n v="0"/>
    <n v="0"/>
    <n v="0"/>
    <n v="0"/>
    <n v="0"/>
    <n v="0"/>
    <n v="0"/>
    <n v="0"/>
    <n v="0"/>
    <n v="0"/>
    <n v="0"/>
    <s v="MMR012CMP026"/>
    <x v="2"/>
    <m/>
  </r>
  <r>
    <x v="112"/>
    <x v="4"/>
    <x v="112"/>
    <x v="2"/>
    <s v="UNHCR"/>
    <x v="0"/>
    <x v="5"/>
    <s v="Khaung Htoke"/>
    <m/>
    <m/>
    <m/>
    <n v="318"/>
    <n v="4"/>
    <n v="318"/>
    <n v="159"/>
    <n v="159"/>
    <n v="159"/>
    <m/>
    <n v="318"/>
    <m/>
    <m/>
    <m/>
    <n v="0"/>
    <n v="0"/>
    <n v="0"/>
    <n v="0"/>
    <n v="0"/>
    <n v="0"/>
    <n v="0"/>
    <n v="0"/>
    <n v="0"/>
    <n v="0"/>
    <n v="0"/>
    <n v="0"/>
    <n v="0"/>
    <n v="0"/>
    <s v="MMR012CMP030"/>
    <x v="1"/>
    <m/>
  </r>
  <r>
    <x v="112"/>
    <x v="4"/>
    <x v="112"/>
    <x v="17"/>
    <s v="UNHCR"/>
    <x v="0"/>
    <x v="5"/>
    <s v="Let Saung Kauk"/>
    <m/>
    <m/>
    <n v="60"/>
    <m/>
    <m/>
    <m/>
    <m/>
    <m/>
    <m/>
    <m/>
    <m/>
    <m/>
    <m/>
    <m/>
    <n v="0"/>
    <n v="0"/>
    <n v="0"/>
    <n v="0"/>
    <n v="0"/>
    <n v="0"/>
    <n v="0"/>
    <n v="0"/>
    <n v="0"/>
    <n v="0"/>
    <n v="0"/>
    <n v="0"/>
    <n v="0"/>
    <n v="0"/>
    <s v="MMR012CMP020"/>
    <x v="2"/>
    <m/>
  </r>
  <r>
    <x v="112"/>
    <x v="4"/>
    <x v="112"/>
    <x v="2"/>
    <s v="UNHCR"/>
    <x v="0"/>
    <x v="5"/>
    <s v="Let Saung Kauk"/>
    <m/>
    <m/>
    <m/>
    <n v="166"/>
    <n v="81"/>
    <n v="166"/>
    <n v="83"/>
    <n v="83"/>
    <n v="83"/>
    <m/>
    <n v="166"/>
    <m/>
    <m/>
    <m/>
    <n v="0"/>
    <n v="0"/>
    <n v="0"/>
    <n v="0"/>
    <n v="0"/>
    <n v="0"/>
    <n v="0"/>
    <n v="0"/>
    <n v="0"/>
    <n v="0"/>
    <n v="0"/>
    <n v="0"/>
    <n v="0"/>
    <n v="0"/>
    <s v="MMR012CMP020"/>
    <x v="2"/>
    <m/>
  </r>
  <r>
    <x v="112"/>
    <x v="4"/>
    <x v="112"/>
    <x v="2"/>
    <s v="UNHCR"/>
    <x v="0"/>
    <x v="5"/>
    <s v="Nidin"/>
    <m/>
    <m/>
    <m/>
    <n v="326"/>
    <n v="326"/>
    <n v="326"/>
    <n v="163"/>
    <n v="163"/>
    <n v="163"/>
    <m/>
    <n v="326"/>
    <m/>
    <m/>
    <m/>
    <n v="0"/>
    <n v="0"/>
    <n v="0"/>
    <n v="0"/>
    <n v="0"/>
    <n v="0"/>
    <n v="0"/>
    <n v="0"/>
    <n v="0"/>
    <n v="0"/>
    <n v="0"/>
    <n v="0"/>
    <n v="0"/>
    <n v="0"/>
    <s v="MMR012CMP023"/>
    <x v="0"/>
    <m/>
  </r>
  <r>
    <x v="112"/>
    <x v="4"/>
    <x v="112"/>
    <x v="2"/>
    <s v="UNHCR"/>
    <x v="0"/>
    <x v="5"/>
    <s v="Shwe Hlaing"/>
    <m/>
    <m/>
    <m/>
    <n v="290"/>
    <m/>
    <n v="290"/>
    <n v="145"/>
    <n v="145"/>
    <n v="145"/>
    <m/>
    <n v="290"/>
    <m/>
    <m/>
    <m/>
    <n v="0"/>
    <n v="0"/>
    <n v="0"/>
    <n v="0"/>
    <n v="0"/>
    <n v="0"/>
    <n v="0"/>
    <n v="0"/>
    <n v="0"/>
    <n v="0"/>
    <n v="0"/>
    <n v="0"/>
    <n v="0"/>
    <n v="0"/>
    <s v="MMR012CMP029"/>
    <x v="2"/>
    <m/>
  </r>
  <r>
    <x v="112"/>
    <x v="4"/>
    <x v="112"/>
    <x v="2"/>
    <s v="UNHCR"/>
    <x v="0"/>
    <x v="5"/>
    <s v="Taung Bwe"/>
    <m/>
    <m/>
    <m/>
    <n v="190"/>
    <m/>
    <n v="190"/>
    <n v="95"/>
    <n v="95"/>
    <n v="95"/>
    <m/>
    <n v="190"/>
    <m/>
    <m/>
    <m/>
    <n v="0"/>
    <n v="0"/>
    <n v="0"/>
    <n v="0"/>
    <n v="0"/>
    <n v="0"/>
    <n v="0"/>
    <n v="0"/>
    <n v="0"/>
    <n v="0"/>
    <n v="0"/>
    <n v="0"/>
    <n v="0"/>
    <n v="0"/>
    <s v="MMR012CMP021"/>
    <x v="2"/>
    <m/>
  </r>
  <r>
    <x v="112"/>
    <x v="4"/>
    <x v="112"/>
    <x v="2"/>
    <s v="UNHCR"/>
    <x v="0"/>
    <x v="5"/>
    <s v="Yun Nyar"/>
    <m/>
    <m/>
    <m/>
    <n v="216"/>
    <m/>
    <n v="216"/>
    <n v="108"/>
    <n v="108"/>
    <n v="108"/>
    <m/>
    <n v="216"/>
    <m/>
    <m/>
    <m/>
    <n v="0"/>
    <n v="0"/>
    <n v="0"/>
    <n v="0"/>
    <n v="0"/>
    <n v="0"/>
    <n v="0"/>
    <n v="0"/>
    <n v="0"/>
    <n v="0"/>
    <n v="0"/>
    <n v="0"/>
    <n v="0"/>
    <n v="0"/>
    <s v="MMR012CMP028"/>
    <x v="2"/>
    <m/>
  </r>
  <r>
    <x v="112"/>
    <x v="4"/>
    <x v="112"/>
    <x v="2"/>
    <s v="UNHCR"/>
    <x v="0"/>
    <x v="5"/>
    <s v="Yun Nyar"/>
    <m/>
    <m/>
    <m/>
    <m/>
    <m/>
    <m/>
    <m/>
    <m/>
    <m/>
    <m/>
    <m/>
    <m/>
    <m/>
    <m/>
    <n v="0"/>
    <n v="0"/>
    <n v="0"/>
    <n v="0"/>
    <n v="0"/>
    <n v="0"/>
    <n v="0"/>
    <n v="0"/>
    <n v="0"/>
    <n v="0"/>
    <n v="0"/>
    <n v="0"/>
    <n v="0"/>
    <n v="0"/>
    <s v="MMR012CMP028"/>
    <x v="2"/>
    <m/>
  </r>
  <r>
    <x v="113"/>
    <x v="4"/>
    <x v="113"/>
    <x v="18"/>
    <s v="Muslim Aid"/>
    <x v="0"/>
    <x v="0"/>
    <s v="Ohn Taw Gyi 1"/>
    <m/>
    <m/>
    <m/>
    <n v="273"/>
    <n v="273"/>
    <n v="273"/>
    <m/>
    <m/>
    <n v="273"/>
    <m/>
    <n v="273"/>
    <m/>
    <m/>
    <m/>
    <n v="0"/>
    <n v="0"/>
    <n v="0"/>
    <n v="0"/>
    <n v="0"/>
    <n v="0"/>
    <n v="0"/>
    <n v="0"/>
    <n v="0"/>
    <n v="0"/>
    <n v="0"/>
    <n v="0"/>
    <n v="0"/>
    <n v="0"/>
    <s v="MMR012CMP043"/>
    <x v="4"/>
    <m/>
  </r>
  <r>
    <x v="113"/>
    <x v="4"/>
    <x v="113"/>
    <x v="18"/>
    <s v="Muslim Aid"/>
    <x v="0"/>
    <x v="0"/>
    <s v="Set Yone Su"/>
    <m/>
    <m/>
    <m/>
    <n v="20"/>
    <n v="20"/>
    <n v="20"/>
    <m/>
    <m/>
    <n v="20"/>
    <m/>
    <n v="20"/>
    <m/>
    <m/>
    <m/>
    <n v="0"/>
    <n v="0"/>
    <n v="0"/>
    <n v="0"/>
    <n v="0"/>
    <n v="0"/>
    <n v="0"/>
    <n v="0"/>
    <n v="0"/>
    <n v="0"/>
    <n v="0"/>
    <n v="0"/>
    <n v="0"/>
    <n v="0"/>
    <s v="MMR012CMP056"/>
    <x v="1"/>
    <m/>
  </r>
  <r>
    <x v="113"/>
    <x v="4"/>
    <x v="113"/>
    <x v="18"/>
    <s v="Muslim Aid"/>
    <x v="0"/>
    <x v="0"/>
    <s v="Thae Chaung"/>
    <m/>
    <m/>
    <m/>
    <n v="2797"/>
    <n v="2797"/>
    <n v="2797"/>
    <m/>
    <m/>
    <n v="2797"/>
    <m/>
    <n v="2797"/>
    <m/>
    <m/>
    <m/>
    <n v="0"/>
    <n v="0"/>
    <n v="0"/>
    <n v="0"/>
    <n v="0"/>
    <n v="0"/>
    <n v="0"/>
    <n v="0"/>
    <n v="0"/>
    <n v="0"/>
    <n v="0"/>
    <n v="0"/>
    <n v="0"/>
    <n v="0"/>
    <s v="MMR012CMP046"/>
    <x v="0"/>
    <m/>
  </r>
  <r>
    <x v="114"/>
    <x v="4"/>
    <x v="114"/>
    <x v="15"/>
    <s v="Save the Children"/>
    <x v="0"/>
    <x v="2"/>
    <s v="Ah Nauk Ywe"/>
    <n v="773"/>
    <m/>
    <m/>
    <m/>
    <m/>
    <m/>
    <m/>
    <m/>
    <m/>
    <m/>
    <m/>
    <m/>
    <m/>
    <m/>
    <n v="0"/>
    <n v="0"/>
    <n v="0"/>
    <n v="0"/>
    <n v="0"/>
    <n v="0"/>
    <n v="0"/>
    <n v="0"/>
    <n v="0"/>
    <n v="0"/>
    <n v="0"/>
    <n v="0"/>
    <n v="0"/>
    <n v="0"/>
    <s v="MMR012CMP016"/>
    <x v="0"/>
    <m/>
  </r>
  <r>
    <x v="114"/>
    <x v="4"/>
    <x v="114"/>
    <x v="15"/>
    <s v="Save the Children"/>
    <x v="0"/>
    <x v="0"/>
    <s v="Bu May Ohn Taw"/>
    <n v="502"/>
    <m/>
    <m/>
    <m/>
    <m/>
    <m/>
    <m/>
    <m/>
    <m/>
    <m/>
    <m/>
    <m/>
    <m/>
    <m/>
    <n v="0"/>
    <n v="0"/>
    <n v="0"/>
    <n v="0"/>
    <n v="0"/>
    <n v="0"/>
    <n v="0"/>
    <n v="0"/>
    <n v="0"/>
    <n v="0"/>
    <n v="0"/>
    <n v="0"/>
    <n v="0"/>
    <n v="0"/>
    <s v="MMR012CMP051"/>
    <x v="4"/>
    <m/>
  </r>
  <r>
    <x v="114"/>
    <x v="4"/>
    <x v="114"/>
    <x v="15"/>
    <s v="Save the Children"/>
    <x v="0"/>
    <x v="0"/>
    <s v="Hmanzi Junction"/>
    <n v="203"/>
    <m/>
    <m/>
    <m/>
    <m/>
    <m/>
    <m/>
    <m/>
    <m/>
    <m/>
    <m/>
    <m/>
    <m/>
    <m/>
    <n v="0"/>
    <n v="0"/>
    <n v="0"/>
    <n v="0"/>
    <n v="0"/>
    <n v="0"/>
    <n v="0"/>
    <n v="0"/>
    <n v="0"/>
    <n v="0"/>
    <n v="0"/>
    <n v="0"/>
    <n v="0"/>
    <n v="0"/>
    <s v="MMR012CMP049"/>
    <x v="4"/>
    <m/>
  </r>
  <r>
    <x v="114"/>
    <x v="4"/>
    <x v="114"/>
    <x v="15"/>
    <s v="Save the Children"/>
    <x v="0"/>
    <x v="2"/>
    <s v="Nget Chaung"/>
    <n v="173"/>
    <m/>
    <m/>
    <m/>
    <m/>
    <m/>
    <m/>
    <m/>
    <m/>
    <m/>
    <m/>
    <m/>
    <m/>
    <m/>
    <n v="0"/>
    <n v="0"/>
    <n v="0"/>
    <n v="0"/>
    <n v="0"/>
    <n v="0"/>
    <n v="0"/>
    <n v="0"/>
    <n v="0"/>
    <n v="0"/>
    <n v="0"/>
    <n v="0"/>
    <n v="0"/>
    <n v="0"/>
    <s v=""/>
    <x v="3"/>
    <m/>
  </r>
  <r>
    <x v="114"/>
    <x v="4"/>
    <x v="114"/>
    <x v="2"/>
    <m/>
    <x v="0"/>
    <x v="7"/>
    <s v="Raw Ma Ni Sin Oe"/>
    <n v="0"/>
    <m/>
    <m/>
    <n v="82"/>
    <m/>
    <n v="82"/>
    <n v="41"/>
    <n v="41"/>
    <n v="10"/>
    <m/>
    <n v="20"/>
    <m/>
    <m/>
    <m/>
    <n v="0"/>
    <n v="0"/>
    <n v="0"/>
    <n v="0"/>
    <n v="0"/>
    <n v="0"/>
    <n v="0"/>
    <n v="0"/>
    <n v="0"/>
    <n v="0"/>
    <n v="0"/>
    <n v="0"/>
    <n v="0"/>
    <n v="0"/>
    <s v="MMR012CMP012"/>
    <x v="1"/>
    <m/>
  </r>
  <r>
    <x v="114"/>
    <x v="4"/>
    <x v="114"/>
    <x v="2"/>
    <s v="Solidarities International"/>
    <x v="0"/>
    <x v="0"/>
    <m/>
    <m/>
    <m/>
    <m/>
    <m/>
    <n v="1520"/>
    <m/>
    <m/>
    <m/>
    <m/>
    <m/>
    <m/>
    <m/>
    <m/>
    <m/>
    <n v="0"/>
    <n v="0"/>
    <n v="0"/>
    <n v="0"/>
    <n v="0"/>
    <n v="0"/>
    <n v="0"/>
    <n v="0"/>
    <n v="0"/>
    <n v="0"/>
    <n v="0"/>
    <n v="0"/>
    <n v="0"/>
    <n v="0"/>
    <s v=""/>
    <x v="3"/>
    <m/>
  </r>
  <r>
    <x v="115"/>
    <x v="4"/>
    <x v="115"/>
    <x v="2"/>
    <m/>
    <x v="0"/>
    <x v="0"/>
    <s v="Bu May Ohn Taw"/>
    <m/>
    <m/>
    <m/>
    <m/>
    <n v="1315"/>
    <m/>
    <m/>
    <m/>
    <m/>
    <m/>
    <m/>
    <m/>
    <m/>
    <m/>
    <n v="0"/>
    <n v="0"/>
    <n v="0"/>
    <n v="0"/>
    <n v="0"/>
    <n v="0"/>
    <n v="0"/>
    <n v="0"/>
    <n v="0"/>
    <n v="0"/>
    <n v="0"/>
    <n v="0"/>
    <n v="0"/>
    <n v="0"/>
    <s v="MMR012CMP051"/>
    <x v="4"/>
    <m/>
  </r>
  <r>
    <x v="115"/>
    <x v="4"/>
    <x v="115"/>
    <x v="2"/>
    <s v="UNHCR"/>
    <x v="0"/>
    <x v="0"/>
    <s v="Mingan"/>
    <m/>
    <m/>
    <m/>
    <m/>
    <n v="358"/>
    <m/>
    <m/>
    <m/>
    <m/>
    <m/>
    <m/>
    <m/>
    <m/>
    <m/>
    <n v="0"/>
    <n v="0"/>
    <n v="0"/>
    <n v="0"/>
    <n v="0"/>
    <n v="0"/>
    <n v="0"/>
    <n v="0"/>
    <n v="0"/>
    <n v="0"/>
    <n v="0"/>
    <n v="0"/>
    <n v="0"/>
    <n v="0"/>
    <s v="MMR012CMP054"/>
    <x v="4"/>
    <m/>
  </r>
  <r>
    <x v="116"/>
    <x v="4"/>
    <x v="116"/>
    <x v="2"/>
    <s v="UNHCR"/>
    <x v="0"/>
    <x v="0"/>
    <s v="Hmanzi Junction"/>
    <m/>
    <m/>
    <m/>
    <m/>
    <n v="246"/>
    <m/>
    <m/>
    <m/>
    <m/>
    <m/>
    <m/>
    <m/>
    <m/>
    <m/>
    <n v="0"/>
    <n v="0"/>
    <n v="0"/>
    <n v="0"/>
    <n v="0"/>
    <n v="0"/>
    <n v="0"/>
    <n v="0"/>
    <n v="0"/>
    <n v="0"/>
    <n v="0"/>
    <n v="0"/>
    <n v="0"/>
    <n v="0"/>
    <s v="MMR012CMP049"/>
    <x v="4"/>
    <m/>
  </r>
  <r>
    <x v="116"/>
    <x v="4"/>
    <x v="116"/>
    <x v="2"/>
    <m/>
    <x v="0"/>
    <x v="0"/>
    <s v="Khaung Doke Khar "/>
    <m/>
    <m/>
    <m/>
    <m/>
    <n v="86"/>
    <m/>
    <m/>
    <m/>
    <m/>
    <m/>
    <m/>
    <m/>
    <m/>
    <m/>
    <n v="0"/>
    <n v="0"/>
    <n v="0"/>
    <n v="0"/>
    <n v="0"/>
    <n v="0"/>
    <n v="0"/>
    <n v="0"/>
    <n v="0"/>
    <n v="0"/>
    <n v="0"/>
    <n v="0"/>
    <n v="0"/>
    <n v="0"/>
    <s v="MMR012CMP042"/>
    <x v="0"/>
    <m/>
  </r>
  <r>
    <x v="117"/>
    <x v="4"/>
    <x v="117"/>
    <x v="15"/>
    <s v="Save the Children"/>
    <x v="0"/>
    <x v="0"/>
    <s v="Thet Kae Pyin "/>
    <n v="4795"/>
    <m/>
    <m/>
    <m/>
    <m/>
    <m/>
    <m/>
    <m/>
    <m/>
    <m/>
    <m/>
    <m/>
    <m/>
    <m/>
    <n v="0"/>
    <n v="0"/>
    <n v="0"/>
    <n v="0"/>
    <n v="0"/>
    <n v="0"/>
    <n v="0"/>
    <n v="0"/>
    <n v="0"/>
    <n v="0"/>
    <n v="0"/>
    <n v="0"/>
    <n v="0"/>
    <n v="0"/>
    <s v="MMR012CMP048"/>
    <x v="0"/>
    <m/>
  </r>
  <r>
    <x v="118"/>
    <x v="4"/>
    <x v="118"/>
    <x v="15"/>
    <s v="Save the Children"/>
    <x v="0"/>
    <x v="2"/>
    <s v="Kyein Ni Pyin"/>
    <n v="903"/>
    <m/>
    <m/>
    <m/>
    <m/>
    <m/>
    <m/>
    <m/>
    <m/>
    <m/>
    <m/>
    <m/>
    <m/>
    <m/>
    <n v="0"/>
    <n v="0"/>
    <n v="0"/>
    <n v="0"/>
    <n v="0"/>
    <n v="0"/>
    <n v="0"/>
    <n v="0"/>
    <n v="0"/>
    <n v="0"/>
    <n v="0"/>
    <n v="0"/>
    <n v="0"/>
    <n v="0"/>
    <s v="MMR012CMP018"/>
    <x v="0"/>
    <m/>
  </r>
  <r>
    <x v="119"/>
    <x v="4"/>
    <x v="119"/>
    <x v="2"/>
    <m/>
    <x v="0"/>
    <x v="2"/>
    <m/>
    <m/>
    <m/>
    <m/>
    <m/>
    <m/>
    <n v="1"/>
    <m/>
    <m/>
    <m/>
    <m/>
    <m/>
    <m/>
    <m/>
    <m/>
    <n v="0"/>
    <n v="0"/>
    <n v="0"/>
    <n v="0"/>
    <n v="0"/>
    <n v="0"/>
    <n v="0"/>
    <n v="0"/>
    <n v="0"/>
    <n v="0"/>
    <n v="0"/>
    <n v="0"/>
    <n v="0"/>
    <n v="0"/>
    <s v=""/>
    <x v="3"/>
    <m/>
  </r>
  <r>
    <x v="120"/>
    <x v="4"/>
    <x v="120"/>
    <x v="2"/>
    <m/>
    <x v="0"/>
    <x v="3"/>
    <s v="Nyaung Pin Gyi"/>
    <n v="0"/>
    <n v="64"/>
    <m/>
    <n v="128"/>
    <n v="64"/>
    <n v="128"/>
    <n v="64"/>
    <n v="64"/>
    <n v="64"/>
    <m/>
    <n v="128"/>
    <m/>
    <m/>
    <m/>
    <n v="0"/>
    <n v="0"/>
    <n v="0"/>
    <n v="0"/>
    <n v="0"/>
    <n v="0"/>
    <n v="0"/>
    <n v="0"/>
    <n v="0"/>
    <n v="0"/>
    <n v="0"/>
    <n v="0"/>
    <n v="0"/>
    <n v="0"/>
    <s v="MMR012CMP031"/>
    <x v="2"/>
    <m/>
  </r>
  <r>
    <x v="120"/>
    <x v="4"/>
    <x v="120"/>
    <x v="2"/>
    <m/>
    <x v="0"/>
    <x v="3"/>
    <s v="Nyaung Pin Gyi"/>
    <n v="0"/>
    <m/>
    <n v="128"/>
    <n v="128"/>
    <n v="64"/>
    <n v="0"/>
    <m/>
    <m/>
    <m/>
    <m/>
    <m/>
    <m/>
    <m/>
    <m/>
    <n v="0"/>
    <n v="0"/>
    <n v="0"/>
    <n v="0"/>
    <n v="0"/>
    <n v="0"/>
    <n v="0"/>
    <n v="0"/>
    <n v="0"/>
    <n v="0"/>
    <n v="0"/>
    <n v="0"/>
    <n v="0"/>
    <n v="0"/>
    <s v="MMR012CMP031"/>
    <x v="2"/>
    <m/>
  </r>
  <r>
    <x v="121"/>
    <x v="4"/>
    <x v="121"/>
    <x v="15"/>
    <s v="Save the Children"/>
    <x v="0"/>
    <x v="2"/>
    <s v="Kyein Ni Pyin"/>
    <n v="1028"/>
    <m/>
    <m/>
    <m/>
    <m/>
    <m/>
    <m/>
    <m/>
    <m/>
    <m/>
    <m/>
    <m/>
    <m/>
    <m/>
    <n v="0"/>
    <n v="0"/>
    <n v="0"/>
    <n v="0"/>
    <n v="0"/>
    <n v="0"/>
    <n v="0"/>
    <n v="0"/>
    <n v="0"/>
    <n v="0"/>
    <n v="0"/>
    <n v="0"/>
    <n v="0"/>
    <n v="0"/>
    <s v="MMR012CMP018"/>
    <x v="0"/>
    <m/>
  </r>
  <r>
    <x v="122"/>
    <x v="4"/>
    <x v="122"/>
    <x v="15"/>
    <s v="Save the Children"/>
    <x v="0"/>
    <x v="2"/>
    <s v="Nget Chaung"/>
    <n v="1338"/>
    <m/>
    <m/>
    <m/>
    <m/>
    <m/>
    <m/>
    <m/>
    <m/>
    <m/>
    <m/>
    <m/>
    <m/>
    <m/>
    <n v="0"/>
    <n v="0"/>
    <n v="0"/>
    <n v="0"/>
    <n v="0"/>
    <n v="0"/>
    <n v="0"/>
    <n v="0"/>
    <n v="0"/>
    <n v="0"/>
    <n v="0"/>
    <n v="0"/>
    <n v="0"/>
    <n v="0"/>
    <s v=""/>
    <x v="3"/>
    <m/>
  </r>
  <r>
    <x v="123"/>
    <x v="4"/>
    <x v="123"/>
    <x v="2"/>
    <m/>
    <x v="0"/>
    <x v="0"/>
    <s v="Bu May Ohn Taw"/>
    <m/>
    <m/>
    <m/>
    <m/>
    <m/>
    <n v="54"/>
    <m/>
    <m/>
    <m/>
    <m/>
    <m/>
    <m/>
    <m/>
    <m/>
    <n v="0"/>
    <n v="0"/>
    <n v="0"/>
    <n v="0"/>
    <n v="0"/>
    <n v="0"/>
    <n v="0"/>
    <n v="0"/>
    <n v="0"/>
    <n v="0"/>
    <n v="0"/>
    <n v="0"/>
    <n v="0"/>
    <n v="0"/>
    <s v="MMR012CMP051"/>
    <x v="4"/>
    <m/>
  </r>
  <r>
    <x v="124"/>
    <x v="4"/>
    <x v="124"/>
    <x v="2"/>
    <m/>
    <x v="0"/>
    <x v="0"/>
    <s v="Bu May Ohn Taw"/>
    <m/>
    <m/>
    <m/>
    <m/>
    <m/>
    <n v="90"/>
    <m/>
    <m/>
    <m/>
    <m/>
    <m/>
    <m/>
    <m/>
    <m/>
    <n v="0"/>
    <n v="0"/>
    <n v="0"/>
    <n v="0"/>
    <n v="0"/>
    <n v="0"/>
    <n v="0"/>
    <n v="0"/>
    <n v="0"/>
    <n v="0"/>
    <n v="0"/>
    <n v="0"/>
    <n v="0"/>
    <n v="0"/>
    <s v="MMR012CMP051"/>
    <x v="4"/>
    <m/>
  </r>
  <r>
    <x v="125"/>
    <x v="4"/>
    <x v="125"/>
    <x v="2"/>
    <m/>
    <x v="0"/>
    <x v="0"/>
    <s v="Bu May Ohn Taw"/>
    <m/>
    <m/>
    <m/>
    <m/>
    <m/>
    <n v="90"/>
    <m/>
    <m/>
    <m/>
    <m/>
    <m/>
    <m/>
    <m/>
    <m/>
    <n v="0"/>
    <n v="0"/>
    <n v="0"/>
    <n v="0"/>
    <n v="0"/>
    <n v="0"/>
    <n v="0"/>
    <n v="0"/>
    <n v="0"/>
    <n v="0"/>
    <n v="0"/>
    <n v="0"/>
    <n v="0"/>
    <n v="0"/>
    <s v="MMR012CMP051"/>
    <x v="4"/>
    <m/>
  </r>
  <r>
    <x v="125"/>
    <x v="4"/>
    <x v="125"/>
    <x v="19"/>
    <s v="Solidarities International"/>
    <x v="0"/>
    <x v="0"/>
    <s v="Dar Pai"/>
    <n v="186"/>
    <m/>
    <m/>
    <m/>
    <m/>
    <m/>
    <m/>
    <m/>
    <m/>
    <m/>
    <m/>
    <m/>
    <m/>
    <m/>
    <n v="0"/>
    <n v="0"/>
    <n v="0"/>
    <n v="0"/>
    <n v="0"/>
    <n v="0"/>
    <n v="0"/>
    <n v="0"/>
    <n v="0"/>
    <n v="0"/>
    <n v="0"/>
    <n v="0"/>
    <n v="0"/>
    <n v="0"/>
    <s v="MMR012CMP041"/>
    <x v="0"/>
    <m/>
  </r>
  <r>
    <x v="126"/>
    <x v="4"/>
    <x v="126"/>
    <x v="2"/>
    <m/>
    <x v="0"/>
    <x v="0"/>
    <s v="Bu May Ohn Taw"/>
    <m/>
    <m/>
    <m/>
    <m/>
    <m/>
    <n v="90"/>
    <m/>
    <m/>
    <m/>
    <m/>
    <m/>
    <m/>
    <m/>
    <m/>
    <n v="0"/>
    <n v="0"/>
    <n v="0"/>
    <n v="0"/>
    <n v="0"/>
    <n v="0"/>
    <n v="0"/>
    <n v="0"/>
    <n v="0"/>
    <n v="0"/>
    <n v="0"/>
    <n v="0"/>
    <n v="0"/>
    <n v="0"/>
    <s v="MMR012CMP051"/>
    <x v="4"/>
    <m/>
  </r>
  <r>
    <x v="127"/>
    <x v="4"/>
    <x v="127"/>
    <x v="2"/>
    <m/>
    <x v="0"/>
    <x v="0"/>
    <s v="Bu May Ohn Taw"/>
    <m/>
    <m/>
    <m/>
    <m/>
    <m/>
    <n v="45"/>
    <m/>
    <m/>
    <m/>
    <m/>
    <m/>
    <m/>
    <m/>
    <m/>
    <n v="0"/>
    <n v="0"/>
    <n v="0"/>
    <n v="0"/>
    <n v="0"/>
    <n v="0"/>
    <n v="0"/>
    <n v="0"/>
    <n v="0"/>
    <n v="0"/>
    <n v="0"/>
    <n v="0"/>
    <n v="0"/>
    <n v="0"/>
    <s v="MMR012CMP051"/>
    <x v="4"/>
    <m/>
  </r>
  <r>
    <x v="128"/>
    <x v="4"/>
    <x v="128"/>
    <x v="2"/>
    <m/>
    <x v="0"/>
    <x v="0"/>
    <s v="Bu May Ohn Taw"/>
    <m/>
    <m/>
    <m/>
    <m/>
    <m/>
    <n v="45"/>
    <m/>
    <m/>
    <m/>
    <m/>
    <m/>
    <m/>
    <m/>
    <m/>
    <n v="0"/>
    <n v="0"/>
    <n v="0"/>
    <n v="0"/>
    <n v="0"/>
    <n v="0"/>
    <n v="0"/>
    <n v="0"/>
    <n v="0"/>
    <n v="0"/>
    <n v="0"/>
    <n v="0"/>
    <n v="0"/>
    <n v="0"/>
    <s v="MMR012CMP051"/>
    <x v="4"/>
    <m/>
  </r>
  <r>
    <x v="129"/>
    <x v="4"/>
    <x v="129"/>
    <x v="15"/>
    <s v="Save the Children"/>
    <x v="0"/>
    <x v="0"/>
    <s v="Thet Kae Pyin "/>
    <n v="3100"/>
    <m/>
    <m/>
    <m/>
    <m/>
    <m/>
    <m/>
    <m/>
    <m/>
    <m/>
    <m/>
    <m/>
    <m/>
    <m/>
    <n v="0"/>
    <n v="0"/>
    <n v="0"/>
    <n v="0"/>
    <n v="0"/>
    <n v="0"/>
    <n v="0"/>
    <n v="0"/>
    <n v="0"/>
    <n v="0"/>
    <n v="0"/>
    <n v="0"/>
    <n v="0"/>
    <n v="0"/>
    <s v="MMR012CMP048"/>
    <x v="0"/>
    <m/>
  </r>
  <r>
    <x v="130"/>
    <x v="4"/>
    <x v="130"/>
    <x v="2"/>
    <m/>
    <x v="0"/>
    <x v="3"/>
    <s v="Ah Nauk Pyin"/>
    <n v="0"/>
    <n v="68"/>
    <m/>
    <n v="136"/>
    <n v="68"/>
    <n v="136"/>
    <n v="68"/>
    <n v="68"/>
    <n v="68"/>
    <m/>
    <n v="136"/>
    <m/>
    <m/>
    <m/>
    <n v="0"/>
    <n v="0"/>
    <n v="0"/>
    <n v="0"/>
    <n v="0"/>
    <n v="0"/>
    <n v="0"/>
    <n v="0"/>
    <n v="0"/>
    <n v="0"/>
    <n v="0"/>
    <n v="0"/>
    <n v="0"/>
    <n v="0"/>
    <s v="MMR012CMP032"/>
    <x v="2"/>
    <m/>
  </r>
  <r>
    <x v="130"/>
    <x v="4"/>
    <x v="130"/>
    <x v="2"/>
    <m/>
    <x v="0"/>
    <x v="3"/>
    <s v="Ah Nauk Pyin"/>
    <n v="0"/>
    <m/>
    <n v="136"/>
    <n v="136"/>
    <n v="68"/>
    <n v="0"/>
    <m/>
    <m/>
    <m/>
    <m/>
    <m/>
    <m/>
    <m/>
    <m/>
    <n v="0"/>
    <n v="0"/>
    <n v="0"/>
    <n v="0"/>
    <n v="0"/>
    <n v="0"/>
    <n v="0"/>
    <n v="0"/>
    <n v="0"/>
    <n v="0"/>
    <n v="0"/>
    <n v="0"/>
    <n v="0"/>
    <n v="0"/>
    <s v="MMR012CMP032"/>
    <x v="2"/>
    <m/>
  </r>
  <r>
    <x v="130"/>
    <x v="4"/>
    <x v="130"/>
    <x v="2"/>
    <m/>
    <x v="0"/>
    <x v="8"/>
    <s v="Bomu Ywa"/>
    <n v="0"/>
    <n v="79"/>
    <m/>
    <n v="158"/>
    <n v="79"/>
    <n v="158"/>
    <n v="79"/>
    <n v="79"/>
    <n v="79"/>
    <m/>
    <n v="158"/>
    <m/>
    <m/>
    <m/>
    <n v="0"/>
    <n v="0"/>
    <n v="0"/>
    <n v="0"/>
    <n v="0"/>
    <n v="0"/>
    <n v="0"/>
    <n v="0"/>
    <n v="0"/>
    <n v="0"/>
    <n v="0"/>
    <n v="0"/>
    <n v="0"/>
    <n v="0"/>
    <s v="MMR012CMP084"/>
    <x v="0"/>
    <m/>
  </r>
  <r>
    <x v="130"/>
    <x v="4"/>
    <x v="130"/>
    <x v="2"/>
    <m/>
    <x v="0"/>
    <x v="8"/>
    <s v="Bomu Ywa"/>
    <n v="0"/>
    <m/>
    <n v="158"/>
    <n v="292"/>
    <n v="79"/>
    <n v="0"/>
    <m/>
    <m/>
    <m/>
    <m/>
    <m/>
    <m/>
    <m/>
    <m/>
    <n v="0"/>
    <n v="0"/>
    <n v="0"/>
    <n v="0"/>
    <n v="0"/>
    <n v="0"/>
    <n v="0"/>
    <n v="0"/>
    <n v="0"/>
    <n v="0"/>
    <n v="0"/>
    <n v="0"/>
    <n v="0"/>
    <n v="0"/>
    <s v="MMR012CMP084"/>
    <x v="0"/>
    <m/>
  </r>
  <r>
    <x v="130"/>
    <x v="4"/>
    <x v="130"/>
    <x v="11"/>
    <s v="DRC"/>
    <x v="0"/>
    <x v="0"/>
    <s v="Say Tha Mar Gyi"/>
    <n v="2907"/>
    <m/>
    <m/>
    <m/>
    <m/>
    <m/>
    <m/>
    <m/>
    <m/>
    <m/>
    <m/>
    <m/>
    <m/>
    <m/>
    <n v="0"/>
    <n v="0"/>
    <n v="0"/>
    <n v="0"/>
    <n v="0"/>
    <n v="0"/>
    <n v="0"/>
    <n v="0"/>
    <n v="0"/>
    <n v="0"/>
    <n v="0"/>
    <n v="0"/>
    <n v="0"/>
    <n v="0"/>
    <s v="MMR012CMP045"/>
    <x v="0"/>
    <m/>
  </r>
  <r>
    <x v="131"/>
    <x v="4"/>
    <x v="131"/>
    <x v="2"/>
    <m/>
    <x v="0"/>
    <x v="8"/>
    <s v="Myoma Myauk"/>
    <n v="0"/>
    <n v="0"/>
    <n v="0"/>
    <n v="34"/>
    <n v="0"/>
    <n v="0"/>
    <m/>
    <m/>
    <m/>
    <m/>
    <m/>
    <m/>
    <m/>
    <m/>
    <n v="0"/>
    <n v="0"/>
    <n v="0"/>
    <n v="0"/>
    <n v="0"/>
    <n v="0"/>
    <n v="0"/>
    <n v="0"/>
    <n v="0"/>
    <n v="0"/>
    <n v="0"/>
    <n v="0"/>
    <n v="0"/>
    <n v="0"/>
    <s v=""/>
    <x v="3"/>
    <m/>
  </r>
  <r>
    <x v="132"/>
    <x v="4"/>
    <x v="132"/>
    <x v="2"/>
    <m/>
    <x v="0"/>
    <x v="6"/>
    <s v="Thay Kan"/>
    <m/>
    <m/>
    <m/>
    <m/>
    <m/>
    <n v="33"/>
    <m/>
    <m/>
    <m/>
    <m/>
    <m/>
    <m/>
    <m/>
    <m/>
    <n v="0"/>
    <n v="0"/>
    <n v="0"/>
    <n v="0"/>
    <n v="0"/>
    <n v="0"/>
    <n v="0"/>
    <n v="0"/>
    <n v="0"/>
    <n v="0"/>
    <n v="0"/>
    <n v="0"/>
    <n v="0"/>
    <n v="0"/>
    <s v="MMR012CMP007"/>
    <x v="4"/>
    <m/>
  </r>
  <r>
    <x v="133"/>
    <x v="4"/>
    <x v="133"/>
    <x v="2"/>
    <m/>
    <x v="0"/>
    <x v="8"/>
    <s v="Thaung Paing Nyar"/>
    <n v="0"/>
    <n v="51"/>
    <m/>
    <n v="102"/>
    <n v="51"/>
    <n v="102"/>
    <n v="51"/>
    <n v="51"/>
    <n v="51"/>
    <m/>
    <n v="102"/>
    <m/>
    <m/>
    <m/>
    <n v="0"/>
    <n v="0"/>
    <n v="0"/>
    <n v="0"/>
    <n v="0"/>
    <n v="0"/>
    <n v="0"/>
    <n v="0"/>
    <n v="0"/>
    <n v="0"/>
    <n v="0"/>
    <n v="0"/>
    <n v="0"/>
    <n v="0"/>
    <s v="MMR012CMP086"/>
    <x v="0"/>
    <m/>
  </r>
  <r>
    <x v="133"/>
    <x v="4"/>
    <x v="133"/>
    <x v="2"/>
    <m/>
    <x v="0"/>
    <x v="8"/>
    <s v="Thaung Paing Nyar"/>
    <n v="0"/>
    <m/>
    <n v="102"/>
    <n v="156"/>
    <n v="51"/>
    <n v="0"/>
    <m/>
    <m/>
    <m/>
    <m/>
    <m/>
    <m/>
    <m/>
    <m/>
    <n v="0"/>
    <n v="0"/>
    <n v="0"/>
    <n v="0"/>
    <n v="0"/>
    <n v="0"/>
    <n v="0"/>
    <n v="0"/>
    <n v="0"/>
    <n v="0"/>
    <n v="0"/>
    <n v="0"/>
    <n v="0"/>
    <n v="0"/>
    <s v="MMR012CMP086"/>
    <x v="0"/>
    <m/>
  </r>
  <r>
    <x v="134"/>
    <x v="4"/>
    <x v="134"/>
    <x v="2"/>
    <m/>
    <x v="0"/>
    <x v="8"/>
    <s v="Bomu Ywa"/>
    <n v="0"/>
    <n v="50"/>
    <m/>
    <n v="100"/>
    <n v="50"/>
    <n v="100"/>
    <n v="50"/>
    <n v="50"/>
    <n v="50"/>
    <m/>
    <n v="100"/>
    <m/>
    <m/>
    <m/>
    <n v="0"/>
    <n v="0"/>
    <n v="0"/>
    <n v="0"/>
    <n v="0"/>
    <n v="0"/>
    <n v="0"/>
    <n v="0"/>
    <n v="0"/>
    <n v="0"/>
    <n v="0"/>
    <n v="0"/>
    <n v="0"/>
    <n v="0"/>
    <s v="MMR012CMP084"/>
    <x v="0"/>
    <m/>
  </r>
  <r>
    <x v="134"/>
    <x v="4"/>
    <x v="134"/>
    <x v="2"/>
    <m/>
    <x v="0"/>
    <x v="8"/>
    <s v="Bomu Ywa"/>
    <n v="0"/>
    <m/>
    <n v="100"/>
    <n v="171"/>
    <n v="50"/>
    <n v="0"/>
    <m/>
    <m/>
    <m/>
    <m/>
    <m/>
    <m/>
    <m/>
    <m/>
    <n v="0"/>
    <n v="0"/>
    <n v="0"/>
    <n v="0"/>
    <n v="0"/>
    <n v="0"/>
    <n v="0"/>
    <n v="0"/>
    <n v="0"/>
    <n v="0"/>
    <n v="0"/>
    <n v="0"/>
    <n v="0"/>
    <n v="0"/>
    <s v="MMR012CMP084"/>
    <x v="0"/>
    <m/>
  </r>
  <r>
    <x v="134"/>
    <x v="4"/>
    <x v="134"/>
    <x v="18"/>
    <m/>
    <x v="0"/>
    <x v="0"/>
    <s v="Ohn Taw Gyi 1"/>
    <n v="0"/>
    <n v="800"/>
    <m/>
    <n v="1600"/>
    <n v="800"/>
    <n v="1600"/>
    <n v="800"/>
    <n v="800"/>
    <n v="800"/>
    <m/>
    <n v="1600"/>
    <m/>
    <m/>
    <m/>
    <n v="0"/>
    <n v="0"/>
    <n v="0"/>
    <n v="0"/>
    <n v="0"/>
    <n v="0"/>
    <n v="0"/>
    <n v="0"/>
    <n v="0"/>
    <n v="0"/>
    <n v="0"/>
    <n v="0"/>
    <n v="0"/>
    <n v="0"/>
    <s v="MMR012CMP043"/>
    <x v="4"/>
    <m/>
  </r>
  <r>
    <x v="134"/>
    <x v="4"/>
    <x v="134"/>
    <x v="18"/>
    <m/>
    <x v="0"/>
    <x v="0"/>
    <s v="Ohn Taw Gyi 1"/>
    <n v="0"/>
    <m/>
    <m/>
    <m/>
    <m/>
    <m/>
    <m/>
    <m/>
    <m/>
    <m/>
    <m/>
    <m/>
    <m/>
    <m/>
    <n v="0"/>
    <n v="0"/>
    <n v="0"/>
    <n v="0"/>
    <n v="0"/>
    <n v="0"/>
    <n v="0"/>
    <n v="0"/>
    <n v="0"/>
    <n v="0"/>
    <n v="0"/>
    <n v="0"/>
    <n v="0"/>
    <n v="0"/>
    <s v="MMR012CMP043"/>
    <x v="4"/>
    <m/>
  </r>
  <r>
    <x v="134"/>
    <x v="4"/>
    <x v="134"/>
    <x v="18"/>
    <m/>
    <x v="0"/>
    <x v="0"/>
    <s v="Set Yone Su"/>
    <n v="0"/>
    <n v="200"/>
    <m/>
    <n v="400"/>
    <n v="200"/>
    <n v="400"/>
    <n v="200"/>
    <n v="200"/>
    <n v="200"/>
    <m/>
    <n v="400"/>
    <m/>
    <m/>
    <m/>
    <n v="0"/>
    <n v="0"/>
    <n v="0"/>
    <n v="0"/>
    <n v="0"/>
    <n v="0"/>
    <n v="0"/>
    <n v="0"/>
    <n v="0"/>
    <n v="0"/>
    <n v="0"/>
    <n v="0"/>
    <n v="0"/>
    <n v="0"/>
    <s v="MMR012CMP056"/>
    <x v="1"/>
    <m/>
  </r>
  <r>
    <x v="134"/>
    <x v="4"/>
    <x v="134"/>
    <x v="18"/>
    <m/>
    <x v="0"/>
    <x v="0"/>
    <s v="Set Yone Su"/>
    <n v="0"/>
    <m/>
    <m/>
    <m/>
    <m/>
    <m/>
    <m/>
    <m/>
    <m/>
    <m/>
    <m/>
    <m/>
    <m/>
    <m/>
    <n v="0"/>
    <n v="0"/>
    <n v="0"/>
    <n v="0"/>
    <n v="0"/>
    <n v="0"/>
    <n v="0"/>
    <n v="0"/>
    <n v="0"/>
    <n v="0"/>
    <n v="0"/>
    <n v="0"/>
    <n v="0"/>
    <n v="0"/>
    <s v="MMR012CMP056"/>
    <x v="1"/>
    <m/>
  </r>
  <r>
    <x v="135"/>
    <x v="4"/>
    <x v="135"/>
    <x v="20"/>
    <m/>
    <x v="0"/>
    <x v="2"/>
    <s v="Ba Wan Chaung Wa Su"/>
    <n v="23"/>
    <n v="0"/>
    <m/>
    <m/>
    <m/>
    <m/>
    <m/>
    <m/>
    <m/>
    <m/>
    <m/>
    <m/>
    <m/>
    <m/>
    <n v="0"/>
    <n v="0"/>
    <n v="0"/>
    <n v="0"/>
    <n v="0"/>
    <n v="0"/>
    <n v="0"/>
    <n v="0"/>
    <n v="0"/>
    <n v="0"/>
    <n v="0"/>
    <n v="0"/>
    <n v="0"/>
    <n v="0"/>
    <s v="MMR012CMP015"/>
    <x v="1"/>
    <m/>
  </r>
  <r>
    <x v="135"/>
    <x v="4"/>
    <x v="135"/>
    <x v="20"/>
    <m/>
    <x v="0"/>
    <x v="2"/>
    <s v="Nget Chaung"/>
    <n v="1306"/>
    <n v="0"/>
    <m/>
    <m/>
    <m/>
    <m/>
    <m/>
    <m/>
    <m/>
    <m/>
    <m/>
    <m/>
    <m/>
    <m/>
    <n v="0"/>
    <n v="0"/>
    <n v="0"/>
    <n v="0"/>
    <n v="0"/>
    <n v="0"/>
    <n v="0"/>
    <n v="0"/>
    <n v="0"/>
    <n v="0"/>
    <n v="0"/>
    <n v="0"/>
    <n v="0"/>
    <n v="0"/>
    <s v=""/>
    <x v="3"/>
    <m/>
  </r>
  <r>
    <x v="135"/>
    <x v="4"/>
    <x v="135"/>
    <x v="2"/>
    <m/>
    <x v="0"/>
    <x v="8"/>
    <s v="Nyaung Pin Hla"/>
    <n v="0"/>
    <n v="15"/>
    <m/>
    <n v="30"/>
    <n v="15"/>
    <n v="30"/>
    <n v="15"/>
    <n v="15"/>
    <n v="15"/>
    <m/>
    <n v="30"/>
    <m/>
    <m/>
    <m/>
    <n v="0"/>
    <n v="0"/>
    <n v="0"/>
    <n v="0"/>
    <n v="0"/>
    <n v="0"/>
    <n v="0"/>
    <n v="0"/>
    <n v="0"/>
    <n v="0"/>
    <n v="0"/>
    <n v="0"/>
    <n v="0"/>
    <n v="0"/>
    <s v="MMR012CMP082"/>
    <x v="2"/>
    <m/>
  </r>
  <r>
    <x v="135"/>
    <x v="4"/>
    <x v="135"/>
    <x v="2"/>
    <m/>
    <x v="0"/>
    <x v="8"/>
    <s v="Nyaung Pin Hla"/>
    <n v="0"/>
    <m/>
    <n v="30"/>
    <n v="52"/>
    <n v="15"/>
    <n v="0"/>
    <m/>
    <m/>
    <m/>
    <m/>
    <m/>
    <m/>
    <m/>
    <m/>
    <n v="0"/>
    <n v="0"/>
    <n v="0"/>
    <n v="0"/>
    <n v="0"/>
    <n v="0"/>
    <n v="0"/>
    <n v="0"/>
    <n v="0"/>
    <n v="0"/>
    <n v="0"/>
    <n v="0"/>
    <n v="0"/>
    <n v="0"/>
    <s v="MMR012CMP082"/>
    <x v="2"/>
    <m/>
  </r>
  <r>
    <x v="136"/>
    <x v="4"/>
    <x v="136"/>
    <x v="19"/>
    <s v="Solidarities International"/>
    <x v="0"/>
    <x v="0"/>
    <s v="Thae Chaung"/>
    <n v="1542"/>
    <m/>
    <m/>
    <m/>
    <m/>
    <m/>
    <m/>
    <m/>
    <m/>
    <m/>
    <m/>
    <m/>
    <m/>
    <m/>
    <n v="0"/>
    <n v="0"/>
    <n v="0"/>
    <n v="0"/>
    <n v="0"/>
    <n v="0"/>
    <n v="0"/>
    <n v="0"/>
    <n v="0"/>
    <n v="0"/>
    <n v="0"/>
    <n v="0"/>
    <n v="0"/>
    <n v="0"/>
    <s v="MMR012CMP046"/>
    <x v="0"/>
    <m/>
  </r>
  <r>
    <x v="137"/>
    <x v="4"/>
    <x v="137"/>
    <x v="20"/>
    <m/>
    <x v="0"/>
    <x v="6"/>
    <s v="Aung Taing"/>
    <n v="90"/>
    <m/>
    <m/>
    <m/>
    <m/>
    <m/>
    <m/>
    <m/>
    <m/>
    <m/>
    <m/>
    <m/>
    <m/>
    <m/>
    <n v="0"/>
    <n v="0"/>
    <n v="0"/>
    <n v="0"/>
    <n v="0"/>
    <n v="0"/>
    <n v="0"/>
    <n v="0"/>
    <n v="0"/>
    <n v="0"/>
    <n v="0"/>
    <n v="0"/>
    <n v="0"/>
    <n v="0"/>
    <s v="MMR012CMP006"/>
    <x v="2"/>
    <m/>
  </r>
  <r>
    <x v="137"/>
    <x v="4"/>
    <x v="137"/>
    <x v="20"/>
    <m/>
    <x v="0"/>
    <x v="7"/>
    <s v="Myat Buddha Mandine Monastery"/>
    <n v="35"/>
    <m/>
    <m/>
    <m/>
    <m/>
    <m/>
    <m/>
    <m/>
    <m/>
    <m/>
    <m/>
    <m/>
    <m/>
    <m/>
    <n v="0"/>
    <n v="0"/>
    <n v="0"/>
    <n v="0"/>
    <n v="0"/>
    <n v="0"/>
    <n v="0"/>
    <n v="0"/>
    <n v="0"/>
    <n v="0"/>
    <n v="0"/>
    <n v="0"/>
    <n v="0"/>
    <n v="0"/>
    <s v="MMR012CMP011"/>
    <x v="4"/>
    <m/>
  </r>
  <r>
    <x v="137"/>
    <x v="4"/>
    <x v="137"/>
    <x v="20"/>
    <m/>
    <x v="0"/>
    <x v="6"/>
    <s v="Nagara Pauktaw"/>
    <n v="230"/>
    <m/>
    <m/>
    <m/>
    <m/>
    <m/>
    <m/>
    <m/>
    <m/>
    <m/>
    <m/>
    <m/>
    <m/>
    <m/>
    <n v="0"/>
    <n v="0"/>
    <n v="0"/>
    <n v="0"/>
    <n v="0"/>
    <n v="0"/>
    <n v="0"/>
    <n v="0"/>
    <n v="0"/>
    <n v="0"/>
    <n v="0"/>
    <n v="0"/>
    <n v="0"/>
    <n v="0"/>
    <s v="MMR012CMP004"/>
    <x v="4"/>
    <m/>
  </r>
  <r>
    <x v="137"/>
    <x v="4"/>
    <x v="137"/>
    <x v="20"/>
    <m/>
    <x v="0"/>
    <x v="7"/>
    <s v="Pa Rein"/>
    <n v="245"/>
    <m/>
    <m/>
    <m/>
    <m/>
    <m/>
    <m/>
    <m/>
    <m/>
    <m/>
    <m/>
    <m/>
    <m/>
    <m/>
    <n v="0"/>
    <n v="0"/>
    <n v="0"/>
    <n v="0"/>
    <n v="0"/>
    <n v="0"/>
    <n v="0"/>
    <n v="0"/>
    <n v="0"/>
    <n v="0"/>
    <n v="0"/>
    <n v="0"/>
    <n v="0"/>
    <n v="0"/>
    <s v="MMR012CMP009"/>
    <x v="2"/>
    <m/>
  </r>
  <r>
    <x v="137"/>
    <x v="4"/>
    <x v="137"/>
    <x v="20"/>
    <m/>
    <x v="0"/>
    <x v="6"/>
    <s v="Paik Thay"/>
    <n v="20"/>
    <m/>
    <m/>
    <m/>
    <m/>
    <m/>
    <m/>
    <m/>
    <m/>
    <m/>
    <m/>
    <m/>
    <m/>
    <m/>
    <n v="0"/>
    <n v="0"/>
    <n v="0"/>
    <n v="0"/>
    <n v="0"/>
    <n v="0"/>
    <n v="0"/>
    <n v="0"/>
    <n v="0"/>
    <n v="0"/>
    <n v="0"/>
    <n v="0"/>
    <n v="0"/>
    <n v="0"/>
    <s v="MMR012CMP001"/>
    <x v="2"/>
    <m/>
  </r>
  <r>
    <x v="137"/>
    <x v="4"/>
    <x v="137"/>
    <x v="20"/>
    <m/>
    <x v="0"/>
    <x v="6"/>
    <s v="Sam Ba Le"/>
    <n v="230"/>
    <m/>
    <m/>
    <m/>
    <m/>
    <m/>
    <m/>
    <m/>
    <m/>
    <m/>
    <m/>
    <m/>
    <m/>
    <m/>
    <n v="0"/>
    <n v="0"/>
    <n v="0"/>
    <n v="0"/>
    <n v="0"/>
    <n v="0"/>
    <n v="0"/>
    <n v="0"/>
    <n v="0"/>
    <n v="0"/>
    <n v="0"/>
    <n v="0"/>
    <n v="0"/>
    <n v="0"/>
    <s v="MMR012CMP008"/>
    <x v="2"/>
    <m/>
  </r>
  <r>
    <x v="137"/>
    <x v="4"/>
    <x v="137"/>
    <x v="20"/>
    <m/>
    <x v="0"/>
    <x v="6"/>
    <s v="San Htoe Tan"/>
    <n v="90"/>
    <m/>
    <m/>
    <m/>
    <m/>
    <m/>
    <m/>
    <m/>
    <m/>
    <m/>
    <m/>
    <m/>
    <m/>
    <m/>
    <n v="0"/>
    <n v="0"/>
    <n v="0"/>
    <n v="0"/>
    <n v="0"/>
    <n v="0"/>
    <n v="0"/>
    <n v="0"/>
    <n v="0"/>
    <n v="0"/>
    <n v="0"/>
    <n v="0"/>
    <n v="0"/>
    <n v="0"/>
    <s v="MMR012CMP003"/>
    <x v="2"/>
    <m/>
  </r>
  <r>
    <x v="137"/>
    <x v="4"/>
    <x v="137"/>
    <x v="20"/>
    <m/>
    <x v="0"/>
    <x v="6"/>
    <s v="Tha Dar"/>
    <n v="205"/>
    <m/>
    <m/>
    <m/>
    <m/>
    <m/>
    <m/>
    <m/>
    <m/>
    <m/>
    <m/>
    <m/>
    <m/>
    <m/>
    <n v="0"/>
    <n v="0"/>
    <n v="0"/>
    <n v="0"/>
    <n v="0"/>
    <n v="0"/>
    <n v="0"/>
    <n v="0"/>
    <n v="0"/>
    <n v="0"/>
    <n v="0"/>
    <n v="0"/>
    <n v="0"/>
    <n v="0"/>
    <s v="MMR012CMP002"/>
    <x v="2"/>
    <m/>
  </r>
  <r>
    <x v="137"/>
    <x v="4"/>
    <x v="137"/>
    <x v="20"/>
    <m/>
    <x v="0"/>
    <x v="6"/>
    <s v="Thay Kan"/>
    <n v="35"/>
    <m/>
    <m/>
    <m/>
    <m/>
    <m/>
    <m/>
    <m/>
    <m/>
    <m/>
    <m/>
    <m/>
    <m/>
    <m/>
    <n v="0"/>
    <n v="0"/>
    <n v="0"/>
    <n v="0"/>
    <n v="0"/>
    <n v="0"/>
    <n v="0"/>
    <n v="0"/>
    <n v="0"/>
    <n v="0"/>
    <n v="0"/>
    <n v="0"/>
    <n v="0"/>
    <n v="0"/>
    <s v="MMR012CMP007"/>
    <x v="4"/>
    <m/>
  </r>
  <r>
    <x v="137"/>
    <x v="4"/>
    <x v="137"/>
    <x v="20"/>
    <m/>
    <x v="0"/>
    <x v="7"/>
    <s v="Yai Thei-Muslim"/>
    <n v="360"/>
    <m/>
    <m/>
    <m/>
    <m/>
    <m/>
    <m/>
    <m/>
    <m/>
    <m/>
    <m/>
    <m/>
    <m/>
    <m/>
    <n v="0"/>
    <n v="0"/>
    <n v="0"/>
    <n v="0"/>
    <n v="0"/>
    <n v="0"/>
    <n v="0"/>
    <n v="0"/>
    <n v="0"/>
    <n v="0"/>
    <n v="0"/>
    <n v="0"/>
    <n v="0"/>
    <n v="0"/>
    <s v="MMR012CMP010"/>
    <x v="2"/>
    <m/>
  </r>
  <r>
    <x v="138"/>
    <x v="4"/>
    <x v="138"/>
    <x v="2"/>
    <m/>
    <x v="0"/>
    <x v="8"/>
    <s v="Ywa thit Kay"/>
    <m/>
    <n v="20"/>
    <m/>
    <n v="40"/>
    <n v="20"/>
    <n v="40"/>
    <n v="20"/>
    <n v="20"/>
    <n v="20"/>
    <m/>
    <n v="40"/>
    <m/>
    <m/>
    <m/>
    <n v="0"/>
    <n v="0"/>
    <n v="0"/>
    <n v="0"/>
    <n v="0"/>
    <n v="0"/>
    <n v="0"/>
    <n v="0"/>
    <n v="0"/>
    <n v="0"/>
    <n v="0"/>
    <n v="0"/>
    <n v="0"/>
    <n v="0"/>
    <s v="MMR012CMP085"/>
    <x v="0"/>
    <m/>
  </r>
  <r>
    <x v="138"/>
    <x v="4"/>
    <x v="138"/>
    <x v="2"/>
    <m/>
    <x v="0"/>
    <x v="8"/>
    <s v="Ywa thit Kay"/>
    <m/>
    <m/>
    <n v="40"/>
    <n v="81"/>
    <n v="20"/>
    <m/>
    <m/>
    <m/>
    <m/>
    <m/>
    <m/>
    <m/>
    <m/>
    <m/>
    <n v="0"/>
    <n v="0"/>
    <n v="0"/>
    <n v="0"/>
    <n v="0"/>
    <n v="0"/>
    <n v="0"/>
    <n v="0"/>
    <n v="0"/>
    <n v="0"/>
    <n v="0"/>
    <n v="0"/>
    <n v="0"/>
    <n v="0"/>
    <s v="MMR012CMP085"/>
    <x v="0"/>
    <m/>
  </r>
  <r>
    <x v="139"/>
    <x v="4"/>
    <x v="139"/>
    <x v="20"/>
    <m/>
    <x v="0"/>
    <x v="4"/>
    <s v="Ka Nyin Taw"/>
    <n v="71"/>
    <m/>
    <m/>
    <m/>
    <m/>
    <m/>
    <m/>
    <m/>
    <m/>
    <m/>
    <m/>
    <m/>
    <m/>
    <m/>
    <n v="0"/>
    <n v="0"/>
    <n v="0"/>
    <n v="0"/>
    <n v="0"/>
    <n v="0"/>
    <n v="0"/>
    <n v="0"/>
    <n v="0"/>
    <n v="0"/>
    <n v="0"/>
    <n v="0"/>
    <n v="0"/>
    <n v="0"/>
    <s v="MMR012CMP036"/>
    <x v="0"/>
    <m/>
  </r>
  <r>
    <x v="139"/>
    <x v="4"/>
    <x v="139"/>
    <x v="20"/>
    <m/>
    <x v="0"/>
    <x v="1"/>
    <s v="Kan Thar Htwat Wa"/>
    <n v="45"/>
    <m/>
    <m/>
    <m/>
    <m/>
    <m/>
    <m/>
    <m/>
    <m/>
    <m/>
    <m/>
    <m/>
    <m/>
    <m/>
    <n v="0"/>
    <n v="0"/>
    <n v="0"/>
    <n v="0"/>
    <n v="0"/>
    <n v="0"/>
    <n v="0"/>
    <n v="0"/>
    <n v="0"/>
    <n v="0"/>
    <n v="0"/>
    <n v="0"/>
    <n v="0"/>
    <n v="0"/>
    <s v="MMR012CMP013"/>
    <x v="1"/>
    <m/>
  </r>
  <r>
    <x v="139"/>
    <x v="4"/>
    <x v="139"/>
    <x v="20"/>
    <m/>
    <x v="0"/>
    <x v="4"/>
    <s v="Kyauk Ta Lone"/>
    <n v="418"/>
    <m/>
    <m/>
    <m/>
    <m/>
    <m/>
    <m/>
    <m/>
    <m/>
    <m/>
    <m/>
    <m/>
    <m/>
    <m/>
    <n v="0"/>
    <n v="0"/>
    <n v="0"/>
    <n v="0"/>
    <n v="0"/>
    <n v="0"/>
    <n v="0"/>
    <n v="0"/>
    <n v="0"/>
    <n v="0"/>
    <n v="0"/>
    <n v="0"/>
    <n v="0"/>
    <n v="0"/>
    <s v="MMR012CMP035"/>
    <x v="0"/>
    <m/>
  </r>
  <r>
    <x v="139"/>
    <x v="4"/>
    <x v="139"/>
    <x v="20"/>
    <m/>
    <x v="0"/>
    <x v="9"/>
    <s v="Ramree Town"/>
    <n v="24"/>
    <m/>
    <m/>
    <m/>
    <m/>
    <m/>
    <m/>
    <m/>
    <m/>
    <m/>
    <m/>
    <m/>
    <m/>
    <m/>
    <n v="0"/>
    <n v="0"/>
    <n v="0"/>
    <n v="0"/>
    <n v="0"/>
    <n v="0"/>
    <n v="0"/>
    <n v="0"/>
    <n v="0"/>
    <n v="0"/>
    <n v="0"/>
    <n v="0"/>
    <n v="0"/>
    <n v="0"/>
    <s v="MMR012CMP038"/>
    <x v="0"/>
    <m/>
  </r>
  <r>
    <x v="139"/>
    <x v="4"/>
    <x v="139"/>
    <x v="20"/>
    <m/>
    <x v="0"/>
    <x v="9"/>
    <s v="Ramree Ward 6"/>
    <n v="97"/>
    <m/>
    <m/>
    <m/>
    <m/>
    <m/>
    <m/>
    <m/>
    <m/>
    <m/>
    <m/>
    <m/>
    <m/>
    <m/>
    <n v="0"/>
    <n v="0"/>
    <n v="0"/>
    <n v="0"/>
    <n v="0"/>
    <n v="0"/>
    <n v="0"/>
    <n v="0"/>
    <n v="0"/>
    <n v="0"/>
    <n v="0"/>
    <n v="0"/>
    <n v="0"/>
    <n v="0"/>
    <s v="MMR012CMP037"/>
    <x v="0"/>
    <m/>
  </r>
  <r>
    <x v="139"/>
    <x v="4"/>
    <x v="139"/>
    <x v="20"/>
    <m/>
    <x v="0"/>
    <x v="1"/>
    <s v="Taung Paw "/>
    <n v="705"/>
    <m/>
    <m/>
    <m/>
    <m/>
    <m/>
    <m/>
    <m/>
    <m/>
    <m/>
    <m/>
    <m/>
    <m/>
    <m/>
    <n v="0"/>
    <n v="0"/>
    <n v="0"/>
    <n v="0"/>
    <n v="0"/>
    <n v="0"/>
    <n v="0"/>
    <n v="0"/>
    <n v="0"/>
    <n v="0"/>
    <n v="0"/>
    <n v="0"/>
    <n v="0"/>
    <n v="0"/>
    <s v="MMR012CMP014"/>
    <x v="0"/>
    <m/>
  </r>
  <r>
    <x v="140"/>
    <x v="4"/>
    <x v="140"/>
    <x v="15"/>
    <s v="Save the Children"/>
    <x v="0"/>
    <x v="2"/>
    <s v="Ah Nauk Ywe"/>
    <n v="803"/>
    <m/>
    <m/>
    <m/>
    <m/>
    <m/>
    <m/>
    <m/>
    <m/>
    <m/>
    <m/>
    <m/>
    <m/>
    <m/>
    <n v="0"/>
    <n v="0"/>
    <n v="0"/>
    <n v="0"/>
    <n v="0"/>
    <n v="0"/>
    <n v="0"/>
    <n v="0"/>
    <n v="0"/>
    <n v="0"/>
    <n v="0"/>
    <n v="0"/>
    <n v="0"/>
    <n v="0"/>
    <s v="MMR012CMP016"/>
    <x v="0"/>
    <m/>
  </r>
  <r>
    <x v="140"/>
    <x v="4"/>
    <x v="140"/>
    <x v="15"/>
    <s v="Save the Children"/>
    <x v="0"/>
    <x v="2"/>
    <s v="Kyein Ni Pyin"/>
    <n v="858"/>
    <m/>
    <m/>
    <m/>
    <m/>
    <m/>
    <m/>
    <m/>
    <m/>
    <m/>
    <m/>
    <m/>
    <m/>
    <m/>
    <n v="0"/>
    <n v="0"/>
    <n v="0"/>
    <n v="0"/>
    <n v="0"/>
    <n v="0"/>
    <n v="0"/>
    <n v="0"/>
    <n v="0"/>
    <n v="0"/>
    <n v="0"/>
    <n v="0"/>
    <n v="0"/>
    <n v="0"/>
    <s v="MMR012CMP018"/>
    <x v="0"/>
    <m/>
  </r>
  <r>
    <x v="141"/>
    <x v="4"/>
    <x v="141"/>
    <x v="15"/>
    <s v="Save the Children"/>
    <x v="0"/>
    <x v="2"/>
    <s v="Sin Tet Maw"/>
    <n v="810"/>
    <m/>
    <m/>
    <m/>
    <m/>
    <m/>
    <m/>
    <m/>
    <m/>
    <m/>
    <m/>
    <m/>
    <m/>
    <m/>
    <n v="0"/>
    <n v="0"/>
    <n v="0"/>
    <n v="0"/>
    <n v="0"/>
    <n v="0"/>
    <n v="0"/>
    <n v="0"/>
    <n v="0"/>
    <n v="0"/>
    <n v="0"/>
    <n v="0"/>
    <n v="0"/>
    <n v="0"/>
    <s v="MMR012CMP019"/>
    <x v="0"/>
    <m/>
  </r>
  <r>
    <x v="142"/>
    <x v="4"/>
    <x v="142"/>
    <x v="15"/>
    <s v="Save the Children"/>
    <x v="0"/>
    <x v="0"/>
    <s v="Thet Kae Pyin "/>
    <n v="3100"/>
    <m/>
    <m/>
    <m/>
    <m/>
    <m/>
    <m/>
    <m/>
    <m/>
    <m/>
    <m/>
    <m/>
    <m/>
    <m/>
    <n v="0"/>
    <n v="0"/>
    <n v="0"/>
    <n v="0"/>
    <n v="0"/>
    <n v="0"/>
    <n v="0"/>
    <n v="0"/>
    <n v="0"/>
    <n v="0"/>
    <n v="0"/>
    <n v="0"/>
    <n v="0"/>
    <n v="0"/>
    <s v="MMR012CMP048"/>
    <x v="0"/>
    <m/>
  </r>
  <r>
    <x v="143"/>
    <x v="4"/>
    <x v="143"/>
    <x v="21"/>
    <s v="UNHCR"/>
    <x v="0"/>
    <x v="0"/>
    <s v="Ohn Taw Gyi 3"/>
    <m/>
    <m/>
    <m/>
    <m/>
    <m/>
    <n v="38"/>
    <m/>
    <m/>
    <m/>
    <m/>
    <m/>
    <m/>
    <m/>
    <m/>
    <n v="0"/>
    <n v="0"/>
    <n v="0"/>
    <n v="0"/>
    <n v="0"/>
    <n v="0"/>
    <n v="0"/>
    <n v="0"/>
    <n v="0"/>
    <n v="0"/>
    <n v="0"/>
    <n v="0"/>
    <n v="0"/>
    <n v="0"/>
    <s v="MMR012CMP090"/>
    <x v="4"/>
    <m/>
  </r>
  <r>
    <x v="144"/>
    <x v="4"/>
    <x v="144"/>
    <x v="2"/>
    <m/>
    <x v="0"/>
    <x v="8"/>
    <s v="Du Than Dar"/>
    <m/>
    <n v="63"/>
    <m/>
    <n v="126"/>
    <n v="63"/>
    <n v="126"/>
    <n v="63"/>
    <n v="63"/>
    <n v="63"/>
    <m/>
    <n v="126"/>
    <m/>
    <m/>
    <m/>
    <n v="0"/>
    <n v="0"/>
    <n v="0"/>
    <n v="0"/>
    <n v="0"/>
    <n v="0"/>
    <n v="0"/>
    <n v="0"/>
    <n v="0"/>
    <n v="0"/>
    <n v="0"/>
    <n v="0"/>
    <n v="0"/>
    <n v="0"/>
    <s v="MMR012CMP088"/>
    <x v="0"/>
    <m/>
  </r>
  <r>
    <x v="144"/>
    <x v="4"/>
    <x v="144"/>
    <x v="2"/>
    <m/>
    <x v="0"/>
    <x v="8"/>
    <s v="Du Than Dar"/>
    <m/>
    <m/>
    <n v="63"/>
    <n v="126"/>
    <n v="63"/>
    <n v="0"/>
    <m/>
    <m/>
    <m/>
    <m/>
    <m/>
    <m/>
    <m/>
    <m/>
    <n v="0"/>
    <n v="0"/>
    <n v="0"/>
    <n v="0"/>
    <n v="0"/>
    <n v="0"/>
    <n v="0"/>
    <n v="0"/>
    <n v="0"/>
    <n v="0"/>
    <n v="0"/>
    <n v="0"/>
    <n v="0"/>
    <n v="0"/>
    <s v="MMR012CMP088"/>
    <x v="0"/>
    <m/>
  </r>
  <r>
    <x v="144"/>
    <x v="4"/>
    <x v="144"/>
    <x v="21"/>
    <s v="UNHCR"/>
    <x v="0"/>
    <x v="0"/>
    <s v="Ohn Taw Gyi 3"/>
    <m/>
    <m/>
    <m/>
    <m/>
    <m/>
    <n v="50"/>
    <m/>
    <m/>
    <m/>
    <m/>
    <m/>
    <m/>
    <m/>
    <m/>
    <n v="0"/>
    <n v="0"/>
    <n v="0"/>
    <n v="0"/>
    <n v="0"/>
    <n v="0"/>
    <n v="0"/>
    <n v="0"/>
    <n v="0"/>
    <n v="0"/>
    <n v="0"/>
    <n v="0"/>
    <n v="0"/>
    <n v="0"/>
    <s v="MMR012CMP090"/>
    <x v="4"/>
    <m/>
  </r>
  <r>
    <x v="145"/>
    <x v="4"/>
    <x v="145"/>
    <x v="21"/>
    <s v="UNHCR"/>
    <x v="0"/>
    <x v="0"/>
    <s v="Ohn Taw Gyi 3"/>
    <m/>
    <m/>
    <m/>
    <m/>
    <m/>
    <n v="50"/>
    <m/>
    <m/>
    <m/>
    <m/>
    <m/>
    <m/>
    <m/>
    <m/>
    <n v="0"/>
    <n v="0"/>
    <n v="0"/>
    <n v="0"/>
    <n v="0"/>
    <n v="0"/>
    <n v="0"/>
    <n v="0"/>
    <n v="0"/>
    <n v="0"/>
    <n v="0"/>
    <n v="0"/>
    <n v="0"/>
    <n v="0"/>
    <s v="MMR012CMP090"/>
    <x v="4"/>
    <m/>
  </r>
  <r>
    <x v="146"/>
    <x v="4"/>
    <x v="146"/>
    <x v="2"/>
    <m/>
    <x v="0"/>
    <x v="8"/>
    <s v="Lamber Gone Nah"/>
    <m/>
    <n v="56"/>
    <m/>
    <n v="112"/>
    <n v="56"/>
    <n v="112"/>
    <n v="56"/>
    <n v="56"/>
    <n v="56"/>
    <m/>
    <n v="112"/>
    <m/>
    <m/>
    <m/>
    <n v="0"/>
    <n v="0"/>
    <n v="0"/>
    <n v="0"/>
    <n v="0"/>
    <n v="0"/>
    <n v="0"/>
    <n v="0"/>
    <n v="0"/>
    <n v="0"/>
    <n v="0"/>
    <n v="0"/>
    <n v="0"/>
    <n v="0"/>
    <s v="MMR012CMP087"/>
    <x v="4"/>
    <m/>
  </r>
  <r>
    <x v="146"/>
    <x v="4"/>
    <x v="146"/>
    <x v="2"/>
    <m/>
    <x v="0"/>
    <x v="8"/>
    <s v="Lamber Gone Nah"/>
    <m/>
    <m/>
    <n v="112"/>
    <n v="112"/>
    <n v="56"/>
    <n v="0"/>
    <m/>
    <m/>
    <m/>
    <m/>
    <m/>
    <m/>
    <m/>
    <m/>
    <n v="0"/>
    <n v="0"/>
    <n v="0"/>
    <n v="0"/>
    <n v="0"/>
    <n v="0"/>
    <n v="0"/>
    <n v="0"/>
    <n v="0"/>
    <n v="0"/>
    <n v="0"/>
    <n v="0"/>
    <n v="0"/>
    <n v="0"/>
    <s v="MMR012CMP087"/>
    <x v="4"/>
    <m/>
  </r>
  <r>
    <x v="146"/>
    <x v="4"/>
    <x v="146"/>
    <x v="21"/>
    <s v="UNHCR"/>
    <x v="0"/>
    <x v="0"/>
    <s v="Ohn Taw Gyi 3"/>
    <m/>
    <m/>
    <m/>
    <m/>
    <m/>
    <n v="45"/>
    <m/>
    <m/>
    <m/>
    <m/>
    <m/>
    <m/>
    <m/>
    <m/>
    <n v="0"/>
    <n v="0"/>
    <n v="0"/>
    <n v="0"/>
    <n v="0"/>
    <n v="0"/>
    <n v="0"/>
    <n v="0"/>
    <n v="0"/>
    <n v="0"/>
    <n v="0"/>
    <n v="0"/>
    <n v="0"/>
    <n v="0"/>
    <s v="MMR012CMP090"/>
    <x v="4"/>
    <m/>
  </r>
  <r>
    <x v="147"/>
    <x v="4"/>
    <x v="147"/>
    <x v="21"/>
    <s v="UNHCR"/>
    <x v="0"/>
    <x v="0"/>
    <s v="Ohn Taw Gyi 3"/>
    <m/>
    <m/>
    <m/>
    <m/>
    <m/>
    <n v="50"/>
    <m/>
    <m/>
    <m/>
    <m/>
    <m/>
    <m/>
    <m/>
    <m/>
    <n v="0"/>
    <n v="0"/>
    <n v="0"/>
    <n v="0"/>
    <n v="0"/>
    <n v="0"/>
    <n v="0"/>
    <n v="0"/>
    <n v="0"/>
    <n v="0"/>
    <n v="0"/>
    <n v="0"/>
    <n v="0"/>
    <n v="0"/>
    <s v="MMR012CMP090"/>
    <x v="4"/>
    <m/>
  </r>
  <r>
    <x v="148"/>
    <x v="4"/>
    <x v="148"/>
    <x v="2"/>
    <m/>
    <x v="0"/>
    <x v="3"/>
    <s v="Ah Htet Nan Yar"/>
    <m/>
    <n v="228"/>
    <m/>
    <n v="456"/>
    <n v="228"/>
    <n v="456"/>
    <n v="228"/>
    <n v="228"/>
    <n v="228"/>
    <m/>
    <n v="456"/>
    <m/>
    <m/>
    <m/>
    <n v="0"/>
    <n v="0"/>
    <n v="0"/>
    <n v="0"/>
    <n v="0"/>
    <n v="0"/>
    <n v="0"/>
    <n v="0"/>
    <n v="0"/>
    <n v="0"/>
    <n v="0"/>
    <n v="0"/>
    <n v="0"/>
    <n v="0"/>
    <s v="MMR012CMP034"/>
    <x v="0"/>
    <m/>
  </r>
  <r>
    <x v="148"/>
    <x v="4"/>
    <x v="148"/>
    <x v="2"/>
    <m/>
    <x v="0"/>
    <x v="3"/>
    <s v="Ah Htet Nan Yar"/>
    <m/>
    <m/>
    <n v="228"/>
    <n v="443"/>
    <n v="228"/>
    <n v="0"/>
    <m/>
    <m/>
    <m/>
    <m/>
    <m/>
    <m/>
    <m/>
    <m/>
    <n v="0"/>
    <n v="0"/>
    <n v="0"/>
    <n v="0"/>
    <n v="0"/>
    <n v="0"/>
    <n v="0"/>
    <n v="0"/>
    <n v="0"/>
    <n v="0"/>
    <n v="0"/>
    <n v="0"/>
    <n v="0"/>
    <n v="0"/>
    <s v="MMR012CMP034"/>
    <x v="0"/>
    <m/>
  </r>
  <r>
    <x v="148"/>
    <x v="4"/>
    <x v="148"/>
    <x v="2"/>
    <m/>
    <x v="0"/>
    <x v="8"/>
    <s v="Myoma Myauk"/>
    <m/>
    <n v="93"/>
    <m/>
    <n v="186"/>
    <n v="93"/>
    <n v="186"/>
    <n v="93"/>
    <n v="93"/>
    <n v="93"/>
    <m/>
    <n v="186"/>
    <m/>
    <m/>
    <m/>
    <n v="0"/>
    <n v="0"/>
    <n v="0"/>
    <n v="0"/>
    <n v="0"/>
    <n v="0"/>
    <n v="0"/>
    <n v="0"/>
    <n v="0"/>
    <n v="0"/>
    <n v="0"/>
    <n v="0"/>
    <n v="0"/>
    <n v="0"/>
    <s v=""/>
    <x v="3"/>
    <m/>
  </r>
  <r>
    <x v="148"/>
    <x v="4"/>
    <x v="148"/>
    <x v="2"/>
    <m/>
    <x v="0"/>
    <x v="8"/>
    <s v="Myoma Myauk"/>
    <m/>
    <m/>
    <n v="186"/>
    <n v="186"/>
    <n v="93"/>
    <n v="0"/>
    <m/>
    <m/>
    <m/>
    <m/>
    <m/>
    <m/>
    <m/>
    <m/>
    <n v="0"/>
    <n v="0"/>
    <n v="0"/>
    <n v="0"/>
    <n v="0"/>
    <n v="0"/>
    <n v="0"/>
    <n v="0"/>
    <n v="0"/>
    <n v="0"/>
    <n v="0"/>
    <n v="0"/>
    <n v="0"/>
    <n v="0"/>
    <s v=""/>
    <x v="3"/>
    <m/>
  </r>
  <r>
    <x v="149"/>
    <x v="4"/>
    <x v="149"/>
    <x v="7"/>
    <s v="CDN"/>
    <x v="0"/>
    <x v="0"/>
    <s v="Basare"/>
    <n v="20"/>
    <m/>
    <m/>
    <m/>
    <m/>
    <m/>
    <m/>
    <m/>
    <m/>
    <m/>
    <m/>
    <m/>
    <m/>
    <m/>
    <n v="0"/>
    <n v="0"/>
    <n v="0"/>
    <n v="0"/>
    <n v="0"/>
    <n v="0"/>
    <n v="0"/>
    <n v="0"/>
    <n v="0"/>
    <n v="0"/>
    <n v="0"/>
    <n v="0"/>
    <n v="0"/>
    <n v="0"/>
    <s v="MMR012CMP039"/>
    <x v="0"/>
    <m/>
  </r>
  <r>
    <x v="149"/>
    <x v="4"/>
    <x v="149"/>
    <x v="19"/>
    <s v="Solidarities International"/>
    <x v="0"/>
    <x v="0"/>
    <s v="Baw Du Pha"/>
    <n v="4390"/>
    <m/>
    <m/>
    <m/>
    <m/>
    <m/>
    <m/>
    <m/>
    <m/>
    <m/>
    <m/>
    <m/>
    <m/>
    <m/>
    <n v="0"/>
    <n v="0"/>
    <n v="0"/>
    <n v="0"/>
    <n v="0"/>
    <n v="0"/>
    <n v="0"/>
    <n v="0"/>
    <n v="0"/>
    <n v="0"/>
    <n v="0"/>
    <n v="0"/>
    <n v="0"/>
    <n v="0"/>
    <s v="MMR012CMP040"/>
    <x v="4"/>
    <m/>
  </r>
  <r>
    <x v="149"/>
    <x v="4"/>
    <x v="149"/>
    <x v="19"/>
    <s v="Solidarities International"/>
    <x v="0"/>
    <x v="0"/>
    <s v="Dar Pai"/>
    <n v="3758"/>
    <m/>
    <m/>
    <m/>
    <m/>
    <m/>
    <m/>
    <m/>
    <m/>
    <m/>
    <m/>
    <m/>
    <m/>
    <m/>
    <n v="0"/>
    <n v="0"/>
    <n v="0"/>
    <n v="0"/>
    <n v="0"/>
    <n v="0"/>
    <n v="0"/>
    <n v="0"/>
    <n v="0"/>
    <n v="0"/>
    <n v="0"/>
    <n v="0"/>
    <n v="0"/>
    <n v="0"/>
    <s v="MMR012CMP041"/>
    <x v="0"/>
    <m/>
  </r>
  <r>
    <x v="149"/>
    <x v="4"/>
    <x v="149"/>
    <x v="7"/>
    <s v="CDN"/>
    <x v="0"/>
    <x v="0"/>
    <s v="Khaung Doke Khar "/>
    <n v="722"/>
    <m/>
    <m/>
    <m/>
    <m/>
    <m/>
    <m/>
    <m/>
    <m/>
    <m/>
    <m/>
    <m/>
    <m/>
    <m/>
    <n v="0"/>
    <n v="0"/>
    <n v="0"/>
    <n v="0"/>
    <n v="0"/>
    <n v="0"/>
    <n v="0"/>
    <n v="0"/>
    <n v="0"/>
    <n v="0"/>
    <n v="0"/>
    <n v="0"/>
    <n v="0"/>
    <n v="0"/>
    <s v="MMR012CMP042"/>
    <x v="0"/>
    <m/>
  </r>
  <r>
    <x v="149"/>
    <x v="4"/>
    <x v="149"/>
    <x v="22"/>
    <s v="ABCD"/>
    <x v="0"/>
    <x v="0"/>
    <s v="Mingan"/>
    <n v="80"/>
    <m/>
    <m/>
    <m/>
    <m/>
    <m/>
    <m/>
    <m/>
    <m/>
    <m/>
    <m/>
    <m/>
    <m/>
    <m/>
    <n v="0"/>
    <n v="0"/>
    <n v="0"/>
    <n v="0"/>
    <n v="0"/>
    <n v="0"/>
    <n v="0"/>
    <n v="0"/>
    <n v="0"/>
    <n v="0"/>
    <n v="0"/>
    <n v="0"/>
    <n v="0"/>
    <n v="0"/>
    <s v="MMR012CMP054"/>
    <x v="4"/>
    <m/>
  </r>
  <r>
    <x v="149"/>
    <x v="4"/>
    <x v="149"/>
    <x v="22"/>
    <s v="ABCD"/>
    <x v="0"/>
    <x v="6"/>
    <s v="Myat Buddha Mandine Monastery"/>
    <n v="50"/>
    <m/>
    <m/>
    <m/>
    <m/>
    <m/>
    <m/>
    <m/>
    <m/>
    <m/>
    <m/>
    <m/>
    <m/>
    <m/>
    <n v="0"/>
    <n v="0"/>
    <n v="0"/>
    <n v="0"/>
    <n v="0"/>
    <n v="0"/>
    <n v="0"/>
    <n v="0"/>
    <n v="0"/>
    <n v="0"/>
    <n v="0"/>
    <n v="0"/>
    <n v="0"/>
    <n v="0"/>
    <s v="MMR012CMP011"/>
    <x v="4"/>
    <m/>
  </r>
  <r>
    <x v="149"/>
    <x v="4"/>
    <x v="149"/>
    <x v="22"/>
    <s v="ABCD"/>
    <x v="0"/>
    <x v="0"/>
    <s v="Set Yone Su"/>
    <n v="220"/>
    <m/>
    <m/>
    <m/>
    <m/>
    <m/>
    <m/>
    <m/>
    <m/>
    <m/>
    <m/>
    <m/>
    <m/>
    <m/>
    <n v="0"/>
    <n v="0"/>
    <n v="0"/>
    <n v="0"/>
    <n v="0"/>
    <n v="0"/>
    <n v="0"/>
    <n v="0"/>
    <n v="0"/>
    <n v="0"/>
    <n v="0"/>
    <n v="0"/>
    <n v="0"/>
    <n v="0"/>
    <s v="MMR012CMP056"/>
    <x v="1"/>
    <m/>
  </r>
  <r>
    <x v="149"/>
    <x v="4"/>
    <x v="149"/>
    <x v="19"/>
    <s v="Solidarities International"/>
    <x v="0"/>
    <x v="0"/>
    <s v="Set Yone Su"/>
    <n v="220"/>
    <m/>
    <m/>
    <m/>
    <m/>
    <m/>
    <m/>
    <m/>
    <m/>
    <m/>
    <m/>
    <m/>
    <m/>
    <m/>
    <n v="0"/>
    <n v="0"/>
    <n v="0"/>
    <n v="0"/>
    <n v="0"/>
    <n v="0"/>
    <n v="0"/>
    <n v="0"/>
    <n v="0"/>
    <n v="0"/>
    <n v="0"/>
    <n v="0"/>
    <n v="0"/>
    <n v="0"/>
    <s v="MMR012CMP056"/>
    <x v="1"/>
    <m/>
  </r>
  <r>
    <x v="149"/>
    <x v="4"/>
    <x v="149"/>
    <x v="19"/>
    <s v="Solidarities International"/>
    <x v="0"/>
    <x v="0"/>
    <s v="Thae Chaung"/>
    <n v="2939"/>
    <m/>
    <m/>
    <m/>
    <m/>
    <m/>
    <m/>
    <m/>
    <m/>
    <m/>
    <m/>
    <m/>
    <m/>
    <m/>
    <n v="0"/>
    <n v="0"/>
    <n v="0"/>
    <n v="0"/>
    <n v="0"/>
    <n v="0"/>
    <n v="0"/>
    <n v="0"/>
    <n v="0"/>
    <n v="0"/>
    <n v="0"/>
    <n v="0"/>
    <n v="0"/>
    <n v="0"/>
    <s v="MMR012CMP046"/>
    <x v="0"/>
    <m/>
  </r>
  <r>
    <x v="150"/>
    <x v="5"/>
    <x v="150"/>
    <x v="2"/>
    <m/>
    <x v="0"/>
    <x v="2"/>
    <s v="Ah Nauk Ywe"/>
    <m/>
    <m/>
    <m/>
    <m/>
    <n v="758"/>
    <m/>
    <m/>
    <m/>
    <m/>
    <m/>
    <m/>
    <m/>
    <m/>
    <m/>
    <n v="0"/>
    <n v="0"/>
    <n v="0"/>
    <n v="0"/>
    <n v="0"/>
    <n v="0"/>
    <n v="0"/>
    <n v="0"/>
    <n v="0"/>
    <n v="0"/>
    <n v="0"/>
    <n v="0"/>
    <n v="0"/>
    <n v="0"/>
    <s v="MMR012CMP016"/>
    <x v="0"/>
    <m/>
  </r>
  <r>
    <x v="150"/>
    <x v="5"/>
    <x v="150"/>
    <x v="2"/>
    <m/>
    <x v="0"/>
    <x v="2"/>
    <s v="Nget Chaung"/>
    <m/>
    <m/>
    <m/>
    <m/>
    <n v="1306"/>
    <m/>
    <m/>
    <m/>
    <m/>
    <m/>
    <m/>
    <m/>
    <m/>
    <m/>
    <n v="0"/>
    <n v="0"/>
    <n v="0"/>
    <n v="0"/>
    <n v="0"/>
    <n v="0"/>
    <n v="0"/>
    <n v="0"/>
    <n v="0"/>
    <n v="0"/>
    <n v="0"/>
    <n v="0"/>
    <n v="0"/>
    <n v="0"/>
    <s v=""/>
    <x v="3"/>
    <m/>
  </r>
  <r>
    <x v="150"/>
    <x v="5"/>
    <x v="150"/>
    <x v="2"/>
    <m/>
    <x v="0"/>
    <x v="2"/>
    <s v="Sin Tet Maw"/>
    <m/>
    <m/>
    <m/>
    <m/>
    <n v="796"/>
    <m/>
    <m/>
    <m/>
    <m/>
    <m/>
    <m/>
    <m/>
    <m/>
    <m/>
    <n v="0"/>
    <n v="0"/>
    <n v="0"/>
    <n v="0"/>
    <n v="0"/>
    <n v="0"/>
    <n v="0"/>
    <n v="0"/>
    <n v="0"/>
    <n v="0"/>
    <n v="0"/>
    <n v="0"/>
    <n v="0"/>
    <n v="0"/>
    <s v="MMR012CMP019"/>
    <x v="0"/>
    <m/>
  </r>
  <r>
    <x v="151"/>
    <x v="5"/>
    <x v="151"/>
    <x v="2"/>
    <m/>
    <x v="0"/>
    <x v="8"/>
    <m/>
    <m/>
    <m/>
    <n v="3000"/>
    <m/>
    <m/>
    <m/>
    <m/>
    <m/>
    <m/>
    <m/>
    <m/>
    <m/>
    <m/>
    <m/>
    <n v="0"/>
    <n v="0"/>
    <n v="0"/>
    <n v="0"/>
    <n v="0"/>
    <n v="0"/>
    <n v="0"/>
    <n v="0"/>
    <n v="0"/>
    <n v="0"/>
    <n v="0"/>
    <n v="0"/>
    <n v="0"/>
    <n v="0"/>
    <s v=""/>
    <x v="3"/>
    <m/>
  </r>
  <r>
    <x v="151"/>
    <x v="5"/>
    <x v="151"/>
    <x v="2"/>
    <m/>
    <x v="0"/>
    <x v="8"/>
    <m/>
    <m/>
    <m/>
    <m/>
    <m/>
    <n v="1180"/>
    <m/>
    <m/>
    <m/>
    <m/>
    <m/>
    <m/>
    <m/>
    <m/>
    <m/>
    <n v="0"/>
    <n v="0"/>
    <n v="0"/>
    <n v="0"/>
    <n v="0"/>
    <n v="0"/>
    <n v="0"/>
    <n v="0"/>
    <n v="0"/>
    <n v="0"/>
    <n v="0"/>
    <n v="0"/>
    <n v="0"/>
    <n v="0"/>
    <s v=""/>
    <x v="3"/>
    <m/>
  </r>
  <r>
    <x v="152"/>
    <x v="5"/>
    <x v="152"/>
    <x v="2"/>
    <m/>
    <x v="0"/>
    <x v="5"/>
    <s v="Nidin"/>
    <m/>
    <m/>
    <m/>
    <n v="160"/>
    <n v="80"/>
    <n v="160"/>
    <n v="80"/>
    <n v="80"/>
    <m/>
    <m/>
    <m/>
    <m/>
    <m/>
    <m/>
    <n v="0"/>
    <n v="0"/>
    <n v="0"/>
    <n v="0"/>
    <n v="0"/>
    <n v="0"/>
    <n v="0"/>
    <n v="0"/>
    <n v="0"/>
    <n v="0"/>
    <n v="0"/>
    <n v="0"/>
    <n v="0"/>
    <n v="0"/>
    <s v="MMR012CMP023"/>
    <x v="0"/>
    <m/>
  </r>
  <r>
    <x v="152"/>
    <x v="5"/>
    <x v="152"/>
    <x v="2"/>
    <m/>
    <x v="0"/>
    <x v="5"/>
    <s v="Taung Bwe"/>
    <m/>
    <m/>
    <m/>
    <n v="174"/>
    <m/>
    <n v="174"/>
    <m/>
    <m/>
    <m/>
    <m/>
    <m/>
    <m/>
    <m/>
    <m/>
    <n v="0"/>
    <n v="0"/>
    <n v="0"/>
    <n v="0"/>
    <n v="0"/>
    <n v="0"/>
    <n v="0"/>
    <n v="0"/>
    <n v="0"/>
    <n v="0"/>
    <n v="0"/>
    <n v="0"/>
    <n v="0"/>
    <n v="0"/>
    <s v="MMR012CMP021"/>
    <x v="2"/>
    <m/>
  </r>
  <r>
    <x v="153"/>
    <x v="5"/>
    <x v="153"/>
    <x v="2"/>
    <m/>
    <x v="0"/>
    <x v="1"/>
    <s v="Taung Paw "/>
    <m/>
    <m/>
    <m/>
    <n v="632"/>
    <m/>
    <n v="632"/>
    <m/>
    <m/>
    <m/>
    <m/>
    <m/>
    <m/>
    <m/>
    <m/>
    <n v="0"/>
    <n v="0"/>
    <n v="0"/>
    <n v="0"/>
    <n v="0"/>
    <n v="0"/>
    <n v="0"/>
    <n v="0"/>
    <n v="0"/>
    <n v="0"/>
    <n v="0"/>
    <n v="0"/>
    <n v="0"/>
    <n v="0"/>
    <s v="MMR012CMP014"/>
    <x v="0"/>
    <m/>
  </r>
  <r>
    <x v="153"/>
    <x v="5"/>
    <x v="153"/>
    <x v="2"/>
    <m/>
    <x v="0"/>
    <x v="6"/>
    <s v="Tha Dar"/>
    <m/>
    <m/>
    <m/>
    <n v="406"/>
    <m/>
    <m/>
    <m/>
    <m/>
    <m/>
    <m/>
    <m/>
    <m/>
    <m/>
    <m/>
    <n v="0"/>
    <n v="0"/>
    <n v="0"/>
    <n v="0"/>
    <n v="0"/>
    <n v="0"/>
    <n v="0"/>
    <n v="0"/>
    <n v="0"/>
    <n v="0"/>
    <n v="0"/>
    <n v="0"/>
    <n v="0"/>
    <n v="0"/>
    <s v="MMR012CMP002"/>
    <x v="2"/>
    <m/>
  </r>
  <r>
    <x v="154"/>
    <x v="5"/>
    <x v="154"/>
    <x v="21"/>
    <s v="UNHCR"/>
    <x v="0"/>
    <x v="0"/>
    <s v="Hmanzi Junction"/>
    <m/>
    <m/>
    <m/>
    <m/>
    <m/>
    <n v="49"/>
    <m/>
    <m/>
    <m/>
    <m/>
    <m/>
    <m/>
    <m/>
    <m/>
    <n v="0"/>
    <n v="0"/>
    <n v="0"/>
    <n v="0"/>
    <n v="0"/>
    <n v="0"/>
    <n v="0"/>
    <n v="0"/>
    <n v="0"/>
    <n v="0"/>
    <n v="0"/>
    <n v="0"/>
    <n v="0"/>
    <n v="0"/>
    <s v="MMR012CMP049"/>
    <x v="4"/>
    <m/>
  </r>
  <r>
    <x v="154"/>
    <x v="5"/>
    <x v="154"/>
    <x v="21"/>
    <s v="UNHCR"/>
    <x v="0"/>
    <x v="0"/>
    <s v="Hmanzi Junction"/>
    <m/>
    <m/>
    <m/>
    <m/>
    <m/>
    <n v="11"/>
    <m/>
    <m/>
    <m/>
    <m/>
    <m/>
    <m/>
    <m/>
    <m/>
    <n v="0"/>
    <n v="0"/>
    <n v="0"/>
    <n v="0"/>
    <n v="0"/>
    <n v="0"/>
    <n v="0"/>
    <n v="0"/>
    <n v="0"/>
    <n v="0"/>
    <n v="0"/>
    <n v="0"/>
    <n v="0"/>
    <n v="0"/>
    <s v="MMR012CMP049"/>
    <x v="4"/>
    <m/>
  </r>
  <r>
    <x v="155"/>
    <x v="5"/>
    <x v="155"/>
    <x v="2"/>
    <m/>
    <x v="0"/>
    <x v="6"/>
    <s v="Aung Taing"/>
    <m/>
    <m/>
    <m/>
    <n v="172"/>
    <m/>
    <m/>
    <m/>
    <m/>
    <m/>
    <m/>
    <m/>
    <m/>
    <m/>
    <m/>
    <n v="0"/>
    <n v="0"/>
    <n v="0"/>
    <n v="0"/>
    <n v="0"/>
    <n v="0"/>
    <n v="0"/>
    <n v="0"/>
    <n v="0"/>
    <n v="0"/>
    <n v="0"/>
    <n v="0"/>
    <n v="0"/>
    <n v="0"/>
    <s v="MMR012CMP006"/>
    <x v="2"/>
    <m/>
  </r>
  <r>
    <x v="155"/>
    <x v="5"/>
    <x v="155"/>
    <x v="2"/>
    <m/>
    <x v="0"/>
    <x v="6"/>
    <s v="Nagara Pauktaw"/>
    <m/>
    <m/>
    <m/>
    <m/>
    <m/>
    <n v="156"/>
    <m/>
    <m/>
    <m/>
    <m/>
    <m/>
    <m/>
    <m/>
    <m/>
    <n v="0"/>
    <n v="0"/>
    <n v="0"/>
    <n v="0"/>
    <n v="0"/>
    <n v="0"/>
    <n v="0"/>
    <n v="0"/>
    <n v="0"/>
    <n v="0"/>
    <n v="0"/>
    <n v="0"/>
    <n v="0"/>
    <n v="0"/>
    <s v="MMR012CMP004"/>
    <x v="4"/>
    <m/>
  </r>
  <r>
    <x v="155"/>
    <x v="5"/>
    <x v="155"/>
    <x v="2"/>
    <m/>
    <x v="0"/>
    <x v="7"/>
    <s v="Pa Rein"/>
    <m/>
    <m/>
    <m/>
    <n v="240"/>
    <m/>
    <m/>
    <m/>
    <m/>
    <m/>
    <m/>
    <m/>
    <m/>
    <m/>
    <m/>
    <n v="0"/>
    <n v="0"/>
    <n v="0"/>
    <n v="0"/>
    <n v="0"/>
    <n v="0"/>
    <n v="0"/>
    <n v="0"/>
    <n v="0"/>
    <n v="0"/>
    <n v="0"/>
    <n v="0"/>
    <n v="0"/>
    <n v="0"/>
    <s v="MMR012CMP009"/>
    <x v="2"/>
    <m/>
  </r>
  <r>
    <x v="155"/>
    <x v="5"/>
    <x v="155"/>
    <x v="2"/>
    <m/>
    <x v="0"/>
    <x v="6"/>
    <s v="Sam Ba Le"/>
    <m/>
    <m/>
    <m/>
    <n v="200"/>
    <m/>
    <m/>
    <m/>
    <m/>
    <m/>
    <m/>
    <m/>
    <m/>
    <m/>
    <m/>
    <n v="0"/>
    <n v="0"/>
    <n v="0"/>
    <n v="0"/>
    <n v="0"/>
    <n v="0"/>
    <n v="0"/>
    <n v="0"/>
    <n v="0"/>
    <n v="0"/>
    <n v="0"/>
    <n v="0"/>
    <n v="0"/>
    <n v="0"/>
    <s v="MMR012CMP008"/>
    <x v="2"/>
    <m/>
  </r>
  <r>
    <x v="155"/>
    <x v="5"/>
    <x v="155"/>
    <x v="2"/>
    <m/>
    <x v="0"/>
    <x v="6"/>
    <s v="San Htoe Tan"/>
    <m/>
    <m/>
    <m/>
    <m/>
    <m/>
    <m/>
    <n v="86"/>
    <m/>
    <m/>
    <m/>
    <m/>
    <m/>
    <m/>
    <m/>
    <n v="0"/>
    <n v="0"/>
    <n v="0"/>
    <n v="0"/>
    <n v="0"/>
    <n v="0"/>
    <n v="0"/>
    <n v="0"/>
    <n v="0"/>
    <n v="0"/>
    <n v="0"/>
    <n v="0"/>
    <n v="0"/>
    <n v="0"/>
    <s v="MMR012CMP003"/>
    <x v="2"/>
    <m/>
  </r>
  <r>
    <x v="155"/>
    <x v="5"/>
    <x v="155"/>
    <x v="2"/>
    <m/>
    <x v="0"/>
    <x v="6"/>
    <s v="Tha Dar"/>
    <m/>
    <m/>
    <m/>
    <m/>
    <m/>
    <n v="406"/>
    <m/>
    <m/>
    <m/>
    <m/>
    <m/>
    <m/>
    <m/>
    <m/>
    <n v="0"/>
    <n v="0"/>
    <n v="0"/>
    <n v="0"/>
    <n v="0"/>
    <n v="0"/>
    <n v="0"/>
    <n v="0"/>
    <n v="0"/>
    <n v="0"/>
    <n v="0"/>
    <n v="0"/>
    <n v="0"/>
    <n v="0"/>
    <s v="MMR012CMP002"/>
    <x v="2"/>
    <m/>
  </r>
  <r>
    <x v="156"/>
    <x v="5"/>
    <x v="156"/>
    <x v="21"/>
    <s v="UNHCR"/>
    <x v="0"/>
    <x v="0"/>
    <s v="Hmanzi Junction"/>
    <m/>
    <m/>
    <m/>
    <m/>
    <m/>
    <n v="55"/>
    <m/>
    <m/>
    <m/>
    <m/>
    <m/>
    <m/>
    <m/>
    <m/>
    <n v="0"/>
    <n v="0"/>
    <n v="0"/>
    <n v="0"/>
    <n v="0"/>
    <n v="0"/>
    <n v="0"/>
    <n v="0"/>
    <n v="0"/>
    <n v="0"/>
    <n v="0"/>
    <n v="0"/>
    <n v="0"/>
    <n v="0"/>
    <s v="MMR012CMP049"/>
    <x v="4"/>
    <m/>
  </r>
  <r>
    <x v="157"/>
    <x v="5"/>
    <x v="157"/>
    <x v="2"/>
    <m/>
    <x v="0"/>
    <x v="5"/>
    <s v="Ah Lel Kyun"/>
    <m/>
    <m/>
    <m/>
    <n v="180"/>
    <m/>
    <n v="180"/>
    <n v="90"/>
    <m/>
    <m/>
    <m/>
    <m/>
    <m/>
    <m/>
    <m/>
    <n v="0"/>
    <n v="0"/>
    <n v="0"/>
    <n v="0"/>
    <n v="0"/>
    <n v="0"/>
    <n v="0"/>
    <n v="0"/>
    <n v="0"/>
    <n v="0"/>
    <n v="0"/>
    <n v="0"/>
    <n v="0"/>
    <n v="0"/>
    <s v="MMR012CMP025"/>
    <x v="2"/>
    <m/>
  </r>
  <r>
    <x v="157"/>
    <x v="5"/>
    <x v="157"/>
    <x v="2"/>
    <m/>
    <x v="0"/>
    <x v="5"/>
    <s v="Ah Pauk Wa "/>
    <m/>
    <m/>
    <m/>
    <m/>
    <m/>
    <m/>
    <m/>
    <n v="90"/>
    <m/>
    <m/>
    <m/>
    <m/>
    <m/>
    <m/>
    <n v="0"/>
    <n v="0"/>
    <n v="0"/>
    <n v="0"/>
    <n v="0"/>
    <n v="0"/>
    <n v="0"/>
    <n v="0"/>
    <n v="0"/>
    <n v="0"/>
    <n v="0"/>
    <n v="0"/>
    <n v="0"/>
    <n v="0"/>
    <s v="MMR012CMP024"/>
    <x v="2"/>
    <m/>
  </r>
  <r>
    <x v="157"/>
    <x v="5"/>
    <x v="157"/>
    <x v="2"/>
    <m/>
    <x v="0"/>
    <x v="0"/>
    <s v="Basare"/>
    <m/>
    <m/>
    <n v="302"/>
    <m/>
    <m/>
    <m/>
    <m/>
    <m/>
    <m/>
    <m/>
    <m/>
    <m/>
    <m/>
    <m/>
    <n v="0"/>
    <n v="0"/>
    <n v="0"/>
    <n v="0"/>
    <n v="0"/>
    <n v="0"/>
    <n v="0"/>
    <n v="0"/>
    <n v="0"/>
    <n v="0"/>
    <n v="0"/>
    <n v="0"/>
    <n v="0"/>
    <n v="0"/>
    <s v="MMR012CMP039"/>
    <x v="0"/>
    <m/>
  </r>
  <r>
    <x v="157"/>
    <x v="5"/>
    <x v="157"/>
    <x v="2"/>
    <m/>
    <x v="0"/>
    <x v="0"/>
    <s v="Baw Du Pha"/>
    <m/>
    <m/>
    <n v="2142"/>
    <m/>
    <m/>
    <m/>
    <m/>
    <m/>
    <m/>
    <m/>
    <m/>
    <m/>
    <m/>
    <m/>
    <n v="0"/>
    <n v="0"/>
    <n v="0"/>
    <n v="0"/>
    <n v="0"/>
    <n v="0"/>
    <n v="0"/>
    <n v="0"/>
    <n v="0"/>
    <n v="0"/>
    <n v="0"/>
    <n v="0"/>
    <n v="0"/>
    <n v="0"/>
    <s v="MMR012CMP040"/>
    <x v="4"/>
    <m/>
  </r>
  <r>
    <x v="157"/>
    <x v="5"/>
    <x v="157"/>
    <x v="2"/>
    <m/>
    <x v="0"/>
    <x v="0"/>
    <s v="Dar Pai"/>
    <m/>
    <m/>
    <n v="1707"/>
    <m/>
    <m/>
    <m/>
    <m/>
    <m/>
    <m/>
    <m/>
    <m/>
    <m/>
    <m/>
    <m/>
    <n v="0"/>
    <n v="0"/>
    <n v="0"/>
    <n v="0"/>
    <n v="0"/>
    <n v="0"/>
    <n v="0"/>
    <n v="0"/>
    <n v="0"/>
    <n v="0"/>
    <n v="0"/>
    <n v="0"/>
    <n v="0"/>
    <n v="0"/>
    <s v="MMR012CMP041"/>
    <x v="0"/>
    <m/>
  </r>
  <r>
    <x v="157"/>
    <x v="5"/>
    <x v="157"/>
    <x v="2"/>
    <m/>
    <x v="0"/>
    <x v="5"/>
    <s v="Goke Pi Htaunt"/>
    <m/>
    <m/>
    <m/>
    <n v="232"/>
    <m/>
    <n v="232"/>
    <n v="105"/>
    <n v="116"/>
    <m/>
    <m/>
    <m/>
    <m/>
    <m/>
    <m/>
    <n v="0"/>
    <n v="0"/>
    <n v="0"/>
    <n v="0"/>
    <n v="0"/>
    <n v="0"/>
    <n v="0"/>
    <n v="0"/>
    <n v="0"/>
    <n v="0"/>
    <n v="0"/>
    <n v="0"/>
    <n v="0"/>
    <n v="0"/>
    <s v="MMR012CMP027"/>
    <x v="2"/>
    <m/>
  </r>
  <r>
    <x v="157"/>
    <x v="5"/>
    <x v="157"/>
    <x v="2"/>
    <m/>
    <x v="0"/>
    <x v="5"/>
    <s v="In Bar Yi"/>
    <m/>
    <m/>
    <m/>
    <n v="460"/>
    <m/>
    <n v="460"/>
    <n v="145"/>
    <m/>
    <m/>
    <m/>
    <m/>
    <m/>
    <m/>
    <m/>
    <n v="0"/>
    <n v="0"/>
    <n v="0"/>
    <n v="0"/>
    <n v="0"/>
    <n v="0"/>
    <n v="0"/>
    <n v="0"/>
    <n v="0"/>
    <n v="0"/>
    <n v="0"/>
    <n v="0"/>
    <n v="0"/>
    <n v="0"/>
    <s v="MMR012CMP026"/>
    <x v="2"/>
    <m/>
  </r>
  <r>
    <x v="157"/>
    <x v="5"/>
    <x v="157"/>
    <x v="2"/>
    <m/>
    <x v="0"/>
    <x v="0"/>
    <s v="Khaung Doke Khar "/>
    <m/>
    <m/>
    <n v="310"/>
    <m/>
    <m/>
    <m/>
    <m/>
    <m/>
    <m/>
    <m/>
    <m/>
    <m/>
    <m/>
    <m/>
    <n v="0"/>
    <n v="0"/>
    <n v="0"/>
    <n v="0"/>
    <n v="0"/>
    <n v="0"/>
    <n v="0"/>
    <n v="0"/>
    <n v="0"/>
    <n v="0"/>
    <n v="0"/>
    <n v="0"/>
    <n v="0"/>
    <n v="0"/>
    <s v="MMR012CMP042"/>
    <x v="0"/>
    <m/>
  </r>
  <r>
    <x v="157"/>
    <x v="5"/>
    <x v="157"/>
    <x v="2"/>
    <m/>
    <x v="0"/>
    <x v="5"/>
    <s v="Let Saung Kauk"/>
    <m/>
    <m/>
    <m/>
    <n v="36"/>
    <m/>
    <n v="36"/>
    <n v="18"/>
    <n v="18"/>
    <m/>
    <m/>
    <m/>
    <m/>
    <m/>
    <m/>
    <n v="0"/>
    <n v="0"/>
    <n v="0"/>
    <n v="0"/>
    <n v="0"/>
    <n v="0"/>
    <n v="0"/>
    <n v="0"/>
    <n v="0"/>
    <n v="0"/>
    <n v="0"/>
    <n v="0"/>
    <n v="0"/>
    <n v="0"/>
    <s v="MMR012CMP020"/>
    <x v="2"/>
    <m/>
  </r>
  <r>
    <x v="157"/>
    <x v="5"/>
    <x v="157"/>
    <x v="2"/>
    <m/>
    <x v="0"/>
    <x v="0"/>
    <s v="Ohn Taw Gyi 1"/>
    <m/>
    <m/>
    <n v="65"/>
    <m/>
    <m/>
    <m/>
    <m/>
    <m/>
    <m/>
    <m/>
    <m/>
    <m/>
    <m/>
    <m/>
    <n v="0"/>
    <n v="0"/>
    <n v="0"/>
    <n v="0"/>
    <n v="0"/>
    <n v="0"/>
    <n v="0"/>
    <n v="0"/>
    <n v="0"/>
    <n v="0"/>
    <n v="0"/>
    <n v="0"/>
    <n v="0"/>
    <n v="0"/>
    <s v="MMR012CMP043"/>
    <x v="4"/>
    <m/>
  </r>
  <r>
    <x v="157"/>
    <x v="5"/>
    <x v="157"/>
    <x v="2"/>
    <m/>
    <x v="0"/>
    <x v="6"/>
    <s v="Paik Thay"/>
    <m/>
    <m/>
    <m/>
    <n v="38"/>
    <m/>
    <n v="38"/>
    <n v="19"/>
    <m/>
    <m/>
    <m/>
    <m/>
    <m/>
    <m/>
    <m/>
    <n v="0"/>
    <n v="0"/>
    <n v="0"/>
    <n v="0"/>
    <n v="0"/>
    <n v="0"/>
    <n v="0"/>
    <n v="0"/>
    <n v="0"/>
    <n v="0"/>
    <n v="0"/>
    <n v="0"/>
    <n v="0"/>
    <n v="0"/>
    <s v="MMR012CMP001"/>
    <x v="2"/>
    <m/>
  </r>
  <r>
    <x v="157"/>
    <x v="5"/>
    <x v="157"/>
    <x v="2"/>
    <m/>
    <x v="0"/>
    <x v="0"/>
    <s v="Phwe Yar Kone"/>
    <m/>
    <m/>
    <n v="374"/>
    <m/>
    <m/>
    <m/>
    <m/>
    <m/>
    <m/>
    <m/>
    <m/>
    <m/>
    <m/>
    <m/>
    <n v="0"/>
    <n v="0"/>
    <n v="0"/>
    <n v="0"/>
    <n v="0"/>
    <n v="0"/>
    <n v="0"/>
    <n v="0"/>
    <n v="0"/>
    <n v="0"/>
    <n v="0"/>
    <n v="0"/>
    <n v="0"/>
    <n v="0"/>
    <s v="MMR012CMP044"/>
    <x v="4"/>
    <m/>
  </r>
  <r>
    <x v="157"/>
    <x v="5"/>
    <x v="157"/>
    <x v="2"/>
    <m/>
    <x v="0"/>
    <x v="0"/>
    <s v="Say Tha Mar Gyi"/>
    <m/>
    <m/>
    <n v="1460"/>
    <m/>
    <m/>
    <m/>
    <m/>
    <m/>
    <m/>
    <m/>
    <m/>
    <m/>
    <m/>
    <m/>
    <n v="0"/>
    <n v="0"/>
    <n v="0"/>
    <n v="0"/>
    <n v="0"/>
    <n v="0"/>
    <n v="0"/>
    <n v="0"/>
    <n v="0"/>
    <n v="0"/>
    <n v="0"/>
    <n v="0"/>
    <n v="0"/>
    <n v="0"/>
    <s v="MMR012CMP045"/>
    <x v="0"/>
    <m/>
  </r>
  <r>
    <x v="157"/>
    <x v="5"/>
    <x v="157"/>
    <x v="2"/>
    <m/>
    <x v="0"/>
    <x v="5"/>
    <s v="Shwe Hlaing"/>
    <m/>
    <m/>
    <m/>
    <n v="290"/>
    <m/>
    <m/>
    <m/>
    <m/>
    <m/>
    <m/>
    <m/>
    <m/>
    <m/>
    <m/>
    <n v="0"/>
    <n v="0"/>
    <n v="0"/>
    <n v="0"/>
    <n v="0"/>
    <n v="0"/>
    <n v="0"/>
    <n v="0"/>
    <n v="0"/>
    <n v="0"/>
    <n v="0"/>
    <n v="0"/>
    <n v="0"/>
    <n v="0"/>
    <s v="MMR012CMP029"/>
    <x v="2"/>
    <m/>
  </r>
  <r>
    <x v="157"/>
    <x v="5"/>
    <x v="157"/>
    <x v="2"/>
    <m/>
    <x v="0"/>
    <x v="5"/>
    <s v="Taung Bwe"/>
    <m/>
    <m/>
    <m/>
    <m/>
    <m/>
    <m/>
    <n v="87"/>
    <m/>
    <m/>
    <m/>
    <m/>
    <m/>
    <m/>
    <m/>
    <n v="0"/>
    <n v="0"/>
    <n v="0"/>
    <n v="0"/>
    <n v="0"/>
    <n v="0"/>
    <n v="0"/>
    <n v="0"/>
    <n v="0"/>
    <n v="0"/>
    <n v="0"/>
    <n v="0"/>
    <n v="0"/>
    <n v="0"/>
    <s v="MMR012CMP021"/>
    <x v="2"/>
    <m/>
  </r>
  <r>
    <x v="157"/>
    <x v="5"/>
    <x v="157"/>
    <x v="2"/>
    <m/>
    <x v="0"/>
    <x v="6"/>
    <s v="Tha Dar"/>
    <m/>
    <m/>
    <m/>
    <m/>
    <m/>
    <m/>
    <n v="203"/>
    <m/>
    <m/>
    <m/>
    <m/>
    <m/>
    <m/>
    <m/>
    <n v="0"/>
    <n v="0"/>
    <n v="0"/>
    <n v="0"/>
    <n v="0"/>
    <n v="0"/>
    <n v="0"/>
    <n v="0"/>
    <n v="0"/>
    <n v="0"/>
    <n v="0"/>
    <n v="0"/>
    <n v="0"/>
    <n v="0"/>
    <s v="MMR012CMP002"/>
    <x v="2"/>
    <m/>
  </r>
  <r>
    <x v="157"/>
    <x v="5"/>
    <x v="157"/>
    <x v="2"/>
    <m/>
    <x v="0"/>
    <x v="0"/>
    <s v="Thae Chaung"/>
    <m/>
    <m/>
    <n v="2813"/>
    <m/>
    <m/>
    <m/>
    <m/>
    <m/>
    <m/>
    <m/>
    <m/>
    <m/>
    <m/>
    <m/>
    <n v="0"/>
    <n v="0"/>
    <n v="0"/>
    <n v="0"/>
    <n v="0"/>
    <n v="0"/>
    <n v="0"/>
    <n v="0"/>
    <n v="0"/>
    <n v="0"/>
    <n v="0"/>
    <n v="0"/>
    <n v="0"/>
    <n v="0"/>
    <s v="MMR012CMP046"/>
    <x v="0"/>
    <m/>
  </r>
  <r>
    <x v="157"/>
    <x v="5"/>
    <x v="157"/>
    <x v="2"/>
    <m/>
    <x v="0"/>
    <x v="0"/>
    <s v="Thet Kae Pyin "/>
    <m/>
    <m/>
    <n v="1900"/>
    <m/>
    <m/>
    <m/>
    <m/>
    <m/>
    <m/>
    <m/>
    <m/>
    <m/>
    <m/>
    <m/>
    <n v="0"/>
    <n v="0"/>
    <n v="0"/>
    <n v="0"/>
    <n v="0"/>
    <n v="0"/>
    <n v="0"/>
    <n v="0"/>
    <n v="0"/>
    <n v="0"/>
    <n v="0"/>
    <n v="0"/>
    <n v="0"/>
    <n v="0"/>
    <s v="MMR012CMP048"/>
    <x v="0"/>
    <m/>
  </r>
  <r>
    <x v="157"/>
    <x v="5"/>
    <x v="157"/>
    <x v="2"/>
    <m/>
    <x v="0"/>
    <x v="5"/>
    <s v="Yun Nyar"/>
    <m/>
    <m/>
    <m/>
    <n v="214"/>
    <m/>
    <n v="214"/>
    <n v="107"/>
    <n v="107"/>
    <m/>
    <m/>
    <m/>
    <m/>
    <m/>
    <m/>
    <n v="0"/>
    <n v="0"/>
    <n v="0"/>
    <n v="0"/>
    <n v="0"/>
    <n v="0"/>
    <n v="0"/>
    <n v="0"/>
    <n v="0"/>
    <n v="0"/>
    <n v="0"/>
    <n v="0"/>
    <n v="0"/>
    <n v="0"/>
    <s v="MMR012CMP028"/>
    <x v="2"/>
    <m/>
  </r>
  <r>
    <x v="158"/>
    <x v="5"/>
    <x v="158"/>
    <x v="21"/>
    <s v="UNHCR"/>
    <x v="0"/>
    <x v="0"/>
    <s v="Hmanzi Junction"/>
    <m/>
    <m/>
    <m/>
    <m/>
    <m/>
    <n v="50"/>
    <m/>
    <m/>
    <m/>
    <m/>
    <m/>
    <m/>
    <m/>
    <m/>
    <n v="0"/>
    <n v="0"/>
    <n v="0"/>
    <n v="0"/>
    <n v="0"/>
    <n v="0"/>
    <n v="0"/>
    <n v="0"/>
    <n v="0"/>
    <n v="0"/>
    <n v="0"/>
    <n v="0"/>
    <n v="0"/>
    <n v="0"/>
    <s v="MMR012CMP049"/>
    <x v="4"/>
    <m/>
  </r>
  <r>
    <x v="158"/>
    <x v="5"/>
    <x v="158"/>
    <x v="2"/>
    <m/>
    <x v="0"/>
    <x v="0"/>
    <s v="Ma Gyi Myaing"/>
    <m/>
    <m/>
    <n v="85"/>
    <m/>
    <m/>
    <m/>
    <m/>
    <m/>
    <m/>
    <m/>
    <m/>
    <m/>
    <m/>
    <m/>
    <n v="0"/>
    <n v="0"/>
    <n v="0"/>
    <n v="0"/>
    <n v="0"/>
    <n v="0"/>
    <n v="0"/>
    <n v="0"/>
    <n v="0"/>
    <n v="0"/>
    <n v="0"/>
    <n v="0"/>
    <n v="0"/>
    <n v="0"/>
    <s v="MMR012CMP053"/>
    <x v="4"/>
    <m/>
  </r>
  <r>
    <x v="158"/>
    <x v="5"/>
    <x v="158"/>
    <x v="2"/>
    <m/>
    <x v="0"/>
    <x v="0"/>
    <s v="Mingan"/>
    <m/>
    <m/>
    <n v="53"/>
    <m/>
    <m/>
    <m/>
    <m/>
    <m/>
    <m/>
    <m/>
    <m/>
    <m/>
    <m/>
    <m/>
    <n v="0"/>
    <n v="0"/>
    <n v="0"/>
    <n v="0"/>
    <n v="0"/>
    <n v="0"/>
    <n v="0"/>
    <n v="0"/>
    <n v="0"/>
    <n v="0"/>
    <n v="0"/>
    <n v="0"/>
    <n v="0"/>
    <n v="0"/>
    <s v="MMR012CMP054"/>
    <x v="4"/>
    <m/>
  </r>
  <r>
    <x v="158"/>
    <x v="5"/>
    <x v="158"/>
    <x v="2"/>
    <m/>
    <x v="0"/>
    <x v="0"/>
    <s v="Set Yone Su"/>
    <m/>
    <m/>
    <n v="195"/>
    <m/>
    <m/>
    <m/>
    <m/>
    <m/>
    <m/>
    <m/>
    <m/>
    <m/>
    <m/>
    <m/>
    <n v="0"/>
    <n v="0"/>
    <n v="0"/>
    <n v="0"/>
    <n v="0"/>
    <n v="0"/>
    <n v="0"/>
    <n v="0"/>
    <n v="0"/>
    <n v="0"/>
    <n v="0"/>
    <n v="0"/>
    <n v="0"/>
    <n v="0"/>
    <s v="MMR012CMP056"/>
    <x v="1"/>
    <m/>
  </r>
  <r>
    <x v="159"/>
    <x v="5"/>
    <x v="159"/>
    <x v="2"/>
    <m/>
    <x v="0"/>
    <x v="4"/>
    <s v="Ka Nyin Taw"/>
    <m/>
    <m/>
    <m/>
    <n v="170"/>
    <n v="85"/>
    <n v="170"/>
    <n v="85"/>
    <m/>
    <m/>
    <m/>
    <m/>
    <m/>
    <m/>
    <m/>
    <n v="0"/>
    <n v="0"/>
    <n v="0"/>
    <n v="0"/>
    <n v="0"/>
    <n v="0"/>
    <n v="0"/>
    <n v="0"/>
    <n v="0"/>
    <n v="0"/>
    <n v="0"/>
    <n v="0"/>
    <n v="0"/>
    <n v="0"/>
    <s v="MMR012CMP036"/>
    <x v="0"/>
    <m/>
  </r>
  <r>
    <x v="159"/>
    <x v="5"/>
    <x v="159"/>
    <x v="2"/>
    <m/>
    <x v="0"/>
    <x v="4"/>
    <s v="Kyauk Ta Lone"/>
    <m/>
    <m/>
    <m/>
    <n v="826"/>
    <n v="213"/>
    <n v="826"/>
    <n v="413"/>
    <m/>
    <m/>
    <m/>
    <m/>
    <m/>
    <m/>
    <m/>
    <n v="0"/>
    <n v="0"/>
    <n v="0"/>
    <n v="0"/>
    <n v="0"/>
    <n v="0"/>
    <n v="0"/>
    <n v="0"/>
    <n v="0"/>
    <n v="0"/>
    <n v="0"/>
    <n v="0"/>
    <n v="0"/>
    <n v="0"/>
    <s v="MMR012CMP035"/>
    <x v="0"/>
    <m/>
  </r>
  <r>
    <x v="160"/>
    <x v="5"/>
    <x v="160"/>
    <x v="21"/>
    <s v="UNHCR"/>
    <x v="0"/>
    <x v="0"/>
    <s v="Hmanzi Junction"/>
    <m/>
    <m/>
    <m/>
    <m/>
    <m/>
    <n v="50"/>
    <m/>
    <m/>
    <m/>
    <m/>
    <m/>
    <m/>
    <m/>
    <m/>
    <n v="0"/>
    <n v="0"/>
    <n v="0"/>
    <n v="0"/>
    <n v="0"/>
    <n v="0"/>
    <n v="0"/>
    <n v="0"/>
    <n v="0"/>
    <n v="0"/>
    <n v="0"/>
    <n v="0"/>
    <n v="0"/>
    <n v="0"/>
    <s v="MMR012CMP049"/>
    <x v="4"/>
    <m/>
  </r>
  <r>
    <x v="161"/>
    <x v="5"/>
    <x v="161"/>
    <x v="21"/>
    <s v="UNHCR"/>
    <x v="0"/>
    <x v="0"/>
    <s v="Thet Kae Pyin "/>
    <m/>
    <m/>
    <m/>
    <m/>
    <m/>
    <n v="92"/>
    <m/>
    <m/>
    <m/>
    <m/>
    <m/>
    <m/>
    <m/>
    <m/>
    <n v="0"/>
    <n v="0"/>
    <n v="0"/>
    <n v="0"/>
    <n v="0"/>
    <n v="0"/>
    <n v="0"/>
    <n v="0"/>
    <n v="0"/>
    <n v="0"/>
    <n v="0"/>
    <n v="0"/>
    <n v="0"/>
    <n v="0"/>
    <s v="MMR012CMP048"/>
    <x v="0"/>
    <m/>
  </r>
  <r>
    <x v="162"/>
    <x v="5"/>
    <x v="162"/>
    <x v="2"/>
    <m/>
    <x v="0"/>
    <x v="6"/>
    <s v="Aung Taing"/>
    <m/>
    <m/>
    <m/>
    <m/>
    <m/>
    <n v="172"/>
    <n v="46"/>
    <m/>
    <m/>
    <m/>
    <m/>
    <m/>
    <m/>
    <m/>
    <n v="0"/>
    <n v="0"/>
    <n v="0"/>
    <n v="0"/>
    <n v="0"/>
    <n v="0"/>
    <n v="0"/>
    <n v="0"/>
    <n v="0"/>
    <n v="0"/>
    <n v="0"/>
    <n v="0"/>
    <n v="0"/>
    <n v="0"/>
    <s v="MMR012CMP006"/>
    <x v="2"/>
    <m/>
  </r>
  <r>
    <x v="162"/>
    <x v="5"/>
    <x v="162"/>
    <x v="2"/>
    <m/>
    <x v="0"/>
    <x v="0"/>
    <s v="Bu May Ohn Taw"/>
    <m/>
    <m/>
    <m/>
    <m/>
    <n v="130"/>
    <m/>
    <m/>
    <m/>
    <m/>
    <m/>
    <m/>
    <m/>
    <m/>
    <m/>
    <n v="0"/>
    <n v="0"/>
    <n v="0"/>
    <n v="0"/>
    <n v="0"/>
    <n v="0"/>
    <n v="0"/>
    <n v="0"/>
    <n v="0"/>
    <n v="0"/>
    <n v="0"/>
    <n v="0"/>
    <n v="0"/>
    <n v="0"/>
    <s v="MMR012CMP051"/>
    <x v="4"/>
    <m/>
  </r>
  <r>
    <x v="162"/>
    <x v="5"/>
    <x v="162"/>
    <x v="2"/>
    <m/>
    <x v="0"/>
    <x v="0"/>
    <s v="Bu May Ohn Taw"/>
    <m/>
    <m/>
    <m/>
    <m/>
    <n v="314"/>
    <m/>
    <m/>
    <m/>
    <m/>
    <m/>
    <m/>
    <m/>
    <m/>
    <m/>
    <n v="0"/>
    <n v="0"/>
    <n v="0"/>
    <n v="0"/>
    <n v="0"/>
    <n v="0"/>
    <n v="0"/>
    <n v="0"/>
    <n v="0"/>
    <n v="0"/>
    <n v="0"/>
    <n v="0"/>
    <n v="0"/>
    <n v="0"/>
    <s v="MMR012CMP051"/>
    <x v="4"/>
    <m/>
  </r>
  <r>
    <x v="162"/>
    <x v="5"/>
    <x v="162"/>
    <x v="2"/>
    <m/>
    <x v="0"/>
    <x v="1"/>
    <s v="Kan Thar Htwat Wa"/>
    <m/>
    <m/>
    <m/>
    <n v="88"/>
    <n v="44"/>
    <n v="88"/>
    <n v="44"/>
    <n v="44"/>
    <m/>
    <m/>
    <m/>
    <m/>
    <m/>
    <m/>
    <n v="0"/>
    <n v="0"/>
    <n v="0"/>
    <n v="0"/>
    <n v="0"/>
    <n v="0"/>
    <n v="0"/>
    <n v="0"/>
    <n v="0"/>
    <n v="0"/>
    <n v="0"/>
    <n v="0"/>
    <n v="0"/>
    <n v="0"/>
    <s v="MMR012CMP013"/>
    <x v="1"/>
    <m/>
  </r>
  <r>
    <x v="162"/>
    <x v="5"/>
    <x v="162"/>
    <x v="2"/>
    <m/>
    <x v="0"/>
    <x v="0"/>
    <s v="Pa Lin Pyin Ywar Thit"/>
    <m/>
    <m/>
    <m/>
    <m/>
    <n v="822"/>
    <m/>
    <m/>
    <m/>
    <m/>
    <m/>
    <m/>
    <m/>
    <m/>
    <m/>
    <n v="0"/>
    <n v="0"/>
    <n v="0"/>
    <n v="0"/>
    <n v="0"/>
    <n v="0"/>
    <n v="0"/>
    <n v="0"/>
    <n v="0"/>
    <n v="0"/>
    <n v="0"/>
    <n v="0"/>
    <n v="0"/>
    <n v="0"/>
    <s v="MMR012CMP050"/>
    <x v="4"/>
    <m/>
  </r>
  <r>
    <x v="162"/>
    <x v="5"/>
    <x v="162"/>
    <x v="2"/>
    <m/>
    <x v="0"/>
    <x v="1"/>
    <s v="Taung Paw "/>
    <m/>
    <m/>
    <m/>
    <m/>
    <m/>
    <m/>
    <m/>
    <n v="705"/>
    <m/>
    <m/>
    <m/>
    <m/>
    <m/>
    <m/>
    <n v="0"/>
    <n v="0"/>
    <n v="0"/>
    <n v="0"/>
    <n v="0"/>
    <n v="0"/>
    <n v="0"/>
    <n v="0"/>
    <n v="0"/>
    <n v="0"/>
    <n v="0"/>
    <n v="0"/>
    <n v="0"/>
    <n v="0"/>
    <s v="MMR012CMP014"/>
    <x v="0"/>
    <m/>
  </r>
  <r>
    <x v="162"/>
    <x v="5"/>
    <x v="162"/>
    <x v="21"/>
    <s v="UNHCR"/>
    <x v="0"/>
    <x v="0"/>
    <s v="Thet Kae Pyin "/>
    <m/>
    <m/>
    <m/>
    <m/>
    <m/>
    <n v="100"/>
    <m/>
    <m/>
    <m/>
    <m/>
    <m/>
    <m/>
    <m/>
    <m/>
    <n v="0"/>
    <n v="0"/>
    <n v="0"/>
    <n v="0"/>
    <n v="0"/>
    <n v="0"/>
    <n v="0"/>
    <n v="0"/>
    <n v="0"/>
    <n v="0"/>
    <n v="0"/>
    <n v="0"/>
    <n v="0"/>
    <n v="0"/>
    <s v="MMR012CMP048"/>
    <x v="0"/>
    <m/>
  </r>
  <r>
    <x v="163"/>
    <x v="5"/>
    <x v="163"/>
    <x v="2"/>
    <m/>
    <x v="0"/>
    <x v="6"/>
    <s v="Nagara Pauktaw"/>
    <m/>
    <m/>
    <m/>
    <m/>
    <n v="129"/>
    <m/>
    <m/>
    <m/>
    <m/>
    <m/>
    <m/>
    <m/>
    <m/>
    <m/>
    <n v="0"/>
    <n v="0"/>
    <n v="0"/>
    <n v="0"/>
    <n v="0"/>
    <n v="0"/>
    <n v="0"/>
    <n v="0"/>
    <n v="0"/>
    <n v="0"/>
    <n v="0"/>
    <n v="0"/>
    <n v="0"/>
    <n v="0"/>
    <s v="MMR012CMP004"/>
    <x v="4"/>
    <m/>
  </r>
  <r>
    <x v="163"/>
    <x v="5"/>
    <x v="163"/>
    <x v="2"/>
    <m/>
    <x v="0"/>
    <x v="7"/>
    <s v="Pa Rein"/>
    <m/>
    <m/>
    <m/>
    <m/>
    <n v="140"/>
    <m/>
    <m/>
    <m/>
    <m/>
    <m/>
    <m/>
    <m/>
    <m/>
    <m/>
    <n v="0"/>
    <n v="0"/>
    <n v="0"/>
    <n v="0"/>
    <n v="0"/>
    <n v="0"/>
    <n v="0"/>
    <n v="0"/>
    <n v="0"/>
    <n v="0"/>
    <n v="0"/>
    <n v="0"/>
    <n v="0"/>
    <n v="0"/>
    <s v="MMR012CMP009"/>
    <x v="2"/>
    <m/>
  </r>
  <r>
    <x v="163"/>
    <x v="5"/>
    <x v="163"/>
    <x v="2"/>
    <m/>
    <x v="0"/>
    <x v="6"/>
    <s v="Sam Ba Le"/>
    <m/>
    <m/>
    <m/>
    <n v="27"/>
    <n v="2"/>
    <m/>
    <m/>
    <m/>
    <m/>
    <m/>
    <m/>
    <m/>
    <m/>
    <m/>
    <n v="0"/>
    <n v="0"/>
    <n v="0"/>
    <n v="0"/>
    <n v="0"/>
    <n v="0"/>
    <n v="0"/>
    <n v="0"/>
    <n v="0"/>
    <n v="0"/>
    <n v="0"/>
    <n v="0"/>
    <n v="0"/>
    <n v="0"/>
    <s v="MMR012CMP008"/>
    <x v="2"/>
    <m/>
  </r>
  <r>
    <x v="163"/>
    <x v="5"/>
    <x v="163"/>
    <x v="2"/>
    <m/>
    <x v="0"/>
    <x v="6"/>
    <s v="San Htoe Tan"/>
    <m/>
    <m/>
    <m/>
    <n v="172"/>
    <n v="10"/>
    <n v="172"/>
    <m/>
    <m/>
    <m/>
    <m/>
    <m/>
    <m/>
    <m/>
    <m/>
    <n v="0"/>
    <n v="0"/>
    <n v="0"/>
    <n v="0"/>
    <n v="0"/>
    <n v="0"/>
    <n v="0"/>
    <n v="0"/>
    <n v="0"/>
    <n v="0"/>
    <n v="0"/>
    <n v="0"/>
    <n v="0"/>
    <n v="0"/>
    <s v="MMR012CMP003"/>
    <x v="2"/>
    <m/>
  </r>
  <r>
    <x v="163"/>
    <x v="5"/>
    <x v="163"/>
    <x v="2"/>
    <m/>
    <x v="0"/>
    <x v="6"/>
    <s v="Tha Dar"/>
    <m/>
    <m/>
    <m/>
    <m/>
    <n v="145"/>
    <m/>
    <m/>
    <m/>
    <m/>
    <m/>
    <m/>
    <m/>
    <m/>
    <m/>
    <n v="0"/>
    <n v="0"/>
    <n v="0"/>
    <n v="0"/>
    <n v="0"/>
    <n v="0"/>
    <n v="0"/>
    <n v="0"/>
    <n v="0"/>
    <n v="0"/>
    <n v="0"/>
    <n v="0"/>
    <n v="0"/>
    <n v="0"/>
    <s v="MMR012CMP002"/>
    <x v="2"/>
    <m/>
  </r>
  <r>
    <x v="163"/>
    <x v="5"/>
    <x v="163"/>
    <x v="2"/>
    <m/>
    <x v="0"/>
    <x v="7"/>
    <s v="Yai Thei-Muslim"/>
    <m/>
    <m/>
    <m/>
    <m/>
    <n v="83"/>
    <m/>
    <m/>
    <m/>
    <m/>
    <m/>
    <m/>
    <m/>
    <m/>
    <m/>
    <n v="0"/>
    <n v="0"/>
    <n v="0"/>
    <n v="0"/>
    <n v="0"/>
    <n v="0"/>
    <n v="0"/>
    <n v="0"/>
    <n v="0"/>
    <n v="0"/>
    <n v="0"/>
    <n v="0"/>
    <n v="0"/>
    <n v="0"/>
    <s v="MMR012CMP010"/>
    <x v="2"/>
    <m/>
  </r>
  <r>
    <x v="164"/>
    <x v="5"/>
    <x v="164"/>
    <x v="2"/>
    <m/>
    <x v="0"/>
    <x v="2"/>
    <s v="Ah Nauk Ywe"/>
    <m/>
    <m/>
    <m/>
    <m/>
    <n v="458"/>
    <n v="148"/>
    <m/>
    <m/>
    <m/>
    <m/>
    <m/>
    <m/>
    <m/>
    <m/>
    <n v="0"/>
    <n v="0"/>
    <n v="0"/>
    <n v="0"/>
    <n v="0"/>
    <n v="0"/>
    <n v="0"/>
    <n v="0"/>
    <n v="0"/>
    <n v="0"/>
    <n v="0"/>
    <n v="0"/>
    <n v="0"/>
    <n v="0"/>
    <s v="MMR012CMP016"/>
    <x v="0"/>
    <m/>
  </r>
  <r>
    <x v="164"/>
    <x v="5"/>
    <x v="164"/>
    <x v="2"/>
    <m/>
    <x v="0"/>
    <x v="2"/>
    <s v="Kyein Ni Pyin"/>
    <m/>
    <m/>
    <m/>
    <n v="769"/>
    <n v="369"/>
    <n v="1538"/>
    <n v="769"/>
    <m/>
    <m/>
    <m/>
    <m/>
    <m/>
    <m/>
    <m/>
    <n v="0"/>
    <n v="0"/>
    <n v="0"/>
    <n v="0"/>
    <n v="0"/>
    <n v="0"/>
    <n v="0"/>
    <n v="0"/>
    <n v="0"/>
    <n v="0"/>
    <n v="0"/>
    <n v="0"/>
    <n v="0"/>
    <n v="0"/>
    <s v="MMR012CMP018"/>
    <x v="0"/>
    <m/>
  </r>
  <r>
    <x v="164"/>
    <x v="5"/>
    <x v="164"/>
    <x v="2"/>
    <m/>
    <x v="0"/>
    <x v="2"/>
    <s v="Nget Chaung"/>
    <m/>
    <m/>
    <m/>
    <n v="1306"/>
    <n v="506"/>
    <n v="1306"/>
    <n v="1306"/>
    <m/>
    <m/>
    <m/>
    <m/>
    <m/>
    <m/>
    <m/>
    <n v="0"/>
    <n v="0"/>
    <n v="0"/>
    <n v="0"/>
    <n v="0"/>
    <n v="0"/>
    <n v="0"/>
    <n v="0"/>
    <n v="0"/>
    <n v="0"/>
    <n v="0"/>
    <n v="0"/>
    <n v="0"/>
    <n v="0"/>
    <s v=""/>
    <x v="3"/>
    <m/>
  </r>
  <r>
    <x v="164"/>
    <x v="5"/>
    <x v="164"/>
    <x v="2"/>
    <m/>
    <x v="0"/>
    <x v="9"/>
    <s v="Ramree Town"/>
    <m/>
    <m/>
    <m/>
    <n v="26"/>
    <n v="13"/>
    <n v="26"/>
    <n v="13"/>
    <m/>
    <m/>
    <m/>
    <m/>
    <m/>
    <m/>
    <m/>
    <n v="0"/>
    <n v="0"/>
    <n v="0"/>
    <n v="0"/>
    <n v="0"/>
    <n v="0"/>
    <n v="0"/>
    <n v="0"/>
    <n v="0"/>
    <n v="0"/>
    <n v="0"/>
    <n v="0"/>
    <n v="0"/>
    <n v="0"/>
    <s v="MMR012CMP038"/>
    <x v="0"/>
    <m/>
  </r>
  <r>
    <x v="164"/>
    <x v="5"/>
    <x v="164"/>
    <x v="2"/>
    <m/>
    <x v="0"/>
    <x v="9"/>
    <s v="Ramree Ward 6"/>
    <m/>
    <m/>
    <m/>
    <n v="194"/>
    <n v="97"/>
    <n v="194"/>
    <n v="97"/>
    <m/>
    <m/>
    <m/>
    <m/>
    <m/>
    <m/>
    <m/>
    <n v="0"/>
    <n v="0"/>
    <n v="0"/>
    <n v="0"/>
    <n v="0"/>
    <n v="0"/>
    <n v="0"/>
    <n v="0"/>
    <n v="0"/>
    <n v="0"/>
    <n v="0"/>
    <n v="0"/>
    <n v="0"/>
    <n v="0"/>
    <s v="MMR012CMP037"/>
    <x v="0"/>
    <m/>
  </r>
  <r>
    <x v="164"/>
    <x v="5"/>
    <x v="164"/>
    <x v="2"/>
    <m/>
    <x v="0"/>
    <x v="2"/>
    <s v="Sin Tet Maw"/>
    <m/>
    <m/>
    <m/>
    <m/>
    <n v="362"/>
    <m/>
    <m/>
    <m/>
    <m/>
    <m/>
    <m/>
    <m/>
    <m/>
    <m/>
    <n v="0"/>
    <n v="0"/>
    <n v="0"/>
    <n v="0"/>
    <n v="0"/>
    <n v="0"/>
    <n v="0"/>
    <n v="0"/>
    <n v="0"/>
    <n v="0"/>
    <n v="0"/>
    <n v="0"/>
    <n v="0"/>
    <n v="0"/>
    <s v="MMR012CMP019"/>
    <x v="0"/>
    <m/>
  </r>
  <r>
    <x v="165"/>
    <x v="5"/>
    <x v="165"/>
    <x v="2"/>
    <m/>
    <x v="0"/>
    <x v="2"/>
    <s v="Sin Tet Maw"/>
    <m/>
    <m/>
    <m/>
    <n v="862"/>
    <n v="500"/>
    <n v="862"/>
    <n v="862"/>
    <m/>
    <m/>
    <m/>
    <m/>
    <m/>
    <m/>
    <m/>
    <n v="0"/>
    <n v="0"/>
    <n v="0"/>
    <n v="0"/>
    <n v="0"/>
    <n v="0"/>
    <n v="0"/>
    <n v="0"/>
    <n v="0"/>
    <n v="0"/>
    <n v="0"/>
    <n v="0"/>
    <n v="0"/>
    <n v="0"/>
    <s v="MMR012CMP019"/>
    <x v="0"/>
    <m/>
  </r>
  <r>
    <x v="166"/>
    <x v="5"/>
    <x v="166"/>
    <x v="2"/>
    <m/>
    <x v="0"/>
    <x v="5"/>
    <s v="Ah Lel Kyun"/>
    <m/>
    <m/>
    <m/>
    <m/>
    <n v="85"/>
    <m/>
    <m/>
    <m/>
    <m/>
    <m/>
    <m/>
    <m/>
    <m/>
    <m/>
    <n v="0"/>
    <n v="0"/>
    <n v="0"/>
    <n v="0"/>
    <n v="0"/>
    <n v="0"/>
    <n v="0"/>
    <n v="0"/>
    <n v="0"/>
    <n v="0"/>
    <n v="0"/>
    <n v="0"/>
    <n v="0"/>
    <n v="0"/>
    <s v="MMR012CMP025"/>
    <x v="2"/>
    <m/>
  </r>
  <r>
    <x v="167"/>
    <x v="5"/>
    <x v="167"/>
    <x v="2"/>
    <m/>
    <x v="0"/>
    <x v="1"/>
    <s v="Taung Paw "/>
    <m/>
    <m/>
    <m/>
    <m/>
    <n v="146"/>
    <m/>
    <n v="146"/>
    <m/>
    <m/>
    <m/>
    <m/>
    <m/>
    <m/>
    <m/>
    <n v="0"/>
    <n v="0"/>
    <n v="0"/>
    <n v="0"/>
    <n v="0"/>
    <n v="0"/>
    <n v="0"/>
    <n v="0"/>
    <n v="0"/>
    <n v="0"/>
    <n v="0"/>
    <n v="0"/>
    <n v="0"/>
    <n v="0"/>
    <s v="MMR012CMP014"/>
    <x v="0"/>
    <m/>
  </r>
  <r>
    <x v="168"/>
    <x v="5"/>
    <x v="168"/>
    <x v="2"/>
    <m/>
    <x v="0"/>
    <x v="6"/>
    <s v="Aung Taing"/>
    <m/>
    <m/>
    <m/>
    <m/>
    <n v="40"/>
    <m/>
    <m/>
    <m/>
    <m/>
    <m/>
    <m/>
    <m/>
    <m/>
    <m/>
    <n v="0"/>
    <n v="0"/>
    <n v="0"/>
    <n v="0"/>
    <n v="0"/>
    <n v="0"/>
    <n v="0"/>
    <n v="0"/>
    <n v="0"/>
    <n v="0"/>
    <n v="0"/>
    <n v="0"/>
    <n v="0"/>
    <n v="0"/>
    <s v="MMR012CMP006"/>
    <x v="2"/>
    <m/>
  </r>
  <r>
    <x v="168"/>
    <x v="5"/>
    <x v="168"/>
    <x v="2"/>
    <m/>
    <x v="0"/>
    <x v="6"/>
    <s v="Nagara Pauktaw"/>
    <m/>
    <m/>
    <m/>
    <m/>
    <n v="100"/>
    <m/>
    <m/>
    <m/>
    <m/>
    <m/>
    <m/>
    <m/>
    <m/>
    <m/>
    <n v="0"/>
    <n v="0"/>
    <n v="0"/>
    <n v="0"/>
    <n v="0"/>
    <n v="0"/>
    <n v="0"/>
    <n v="0"/>
    <n v="0"/>
    <n v="0"/>
    <n v="0"/>
    <n v="0"/>
    <n v="0"/>
    <n v="0"/>
    <s v="MMR012CMP004"/>
    <x v="4"/>
    <m/>
  </r>
  <r>
    <x v="168"/>
    <x v="5"/>
    <x v="168"/>
    <x v="2"/>
    <m/>
    <x v="0"/>
    <x v="7"/>
    <s v="Pa Rein"/>
    <m/>
    <m/>
    <m/>
    <m/>
    <n v="100"/>
    <m/>
    <m/>
    <m/>
    <m/>
    <m/>
    <m/>
    <m/>
    <m/>
    <m/>
    <n v="0"/>
    <n v="0"/>
    <n v="0"/>
    <n v="0"/>
    <n v="0"/>
    <n v="0"/>
    <n v="0"/>
    <n v="0"/>
    <n v="0"/>
    <n v="0"/>
    <n v="0"/>
    <n v="0"/>
    <n v="0"/>
    <n v="0"/>
    <s v="MMR012CMP009"/>
    <x v="2"/>
    <m/>
  </r>
  <r>
    <x v="169"/>
    <x v="5"/>
    <x v="169"/>
    <x v="2"/>
    <m/>
    <x v="0"/>
    <x v="5"/>
    <s v="Ah Pauk Wa "/>
    <m/>
    <m/>
    <m/>
    <m/>
    <n v="90"/>
    <m/>
    <m/>
    <m/>
    <m/>
    <m/>
    <m/>
    <m/>
    <m/>
    <m/>
    <n v="0"/>
    <n v="0"/>
    <n v="0"/>
    <n v="0"/>
    <n v="0"/>
    <n v="0"/>
    <n v="0"/>
    <n v="0"/>
    <n v="0"/>
    <n v="0"/>
    <n v="0"/>
    <n v="0"/>
    <n v="0"/>
    <n v="0"/>
    <s v="MMR012CMP024"/>
    <x v="2"/>
    <m/>
  </r>
  <r>
    <x v="169"/>
    <x v="5"/>
    <x v="169"/>
    <x v="2"/>
    <m/>
    <x v="0"/>
    <x v="5"/>
    <s v="San Gar Taung"/>
    <m/>
    <m/>
    <m/>
    <m/>
    <n v="97"/>
    <m/>
    <m/>
    <m/>
    <m/>
    <m/>
    <m/>
    <m/>
    <m/>
    <m/>
    <n v="0"/>
    <n v="0"/>
    <n v="0"/>
    <n v="0"/>
    <n v="0"/>
    <n v="0"/>
    <n v="0"/>
    <n v="0"/>
    <n v="0"/>
    <n v="0"/>
    <n v="0"/>
    <n v="0"/>
    <n v="0"/>
    <n v="0"/>
    <s v=""/>
    <x v="3"/>
    <m/>
  </r>
  <r>
    <x v="170"/>
    <x v="5"/>
    <x v="170"/>
    <x v="2"/>
    <m/>
    <x v="0"/>
    <x v="0"/>
    <s v="Thet Kay Pyin School"/>
    <m/>
    <m/>
    <m/>
    <m/>
    <n v="100"/>
    <m/>
    <m/>
    <m/>
    <m/>
    <m/>
    <m/>
    <m/>
    <m/>
    <m/>
    <n v="0"/>
    <n v="0"/>
    <n v="0"/>
    <n v="0"/>
    <n v="0"/>
    <n v="0"/>
    <n v="0"/>
    <n v="0"/>
    <n v="0"/>
    <n v="0"/>
    <n v="0"/>
    <n v="0"/>
    <n v="0"/>
    <n v="0"/>
    <s v=""/>
    <x v="3"/>
    <m/>
  </r>
  <r>
    <x v="171"/>
    <x v="5"/>
    <x v="171"/>
    <x v="2"/>
    <m/>
    <x v="0"/>
    <x v="0"/>
    <s v="Baw Du Pha"/>
    <m/>
    <m/>
    <m/>
    <m/>
    <n v="55"/>
    <m/>
    <m/>
    <m/>
    <m/>
    <m/>
    <m/>
    <m/>
    <m/>
    <m/>
    <n v="0"/>
    <n v="0"/>
    <n v="0"/>
    <n v="0"/>
    <n v="0"/>
    <n v="0"/>
    <n v="0"/>
    <n v="0"/>
    <n v="0"/>
    <n v="0"/>
    <n v="0"/>
    <n v="0"/>
    <n v="0"/>
    <n v="0"/>
    <s v="MMR012CMP040"/>
    <x v="4"/>
    <m/>
  </r>
  <r>
    <x v="172"/>
    <x v="5"/>
    <x v="172"/>
    <x v="2"/>
    <m/>
    <x v="0"/>
    <x v="0"/>
    <s v="Baw Du Pha"/>
    <m/>
    <m/>
    <m/>
    <m/>
    <m/>
    <n v="65"/>
    <m/>
    <m/>
    <m/>
    <m/>
    <m/>
    <m/>
    <m/>
    <m/>
    <n v="0"/>
    <n v="0"/>
    <n v="0"/>
    <n v="0"/>
    <n v="0"/>
    <n v="0"/>
    <n v="0"/>
    <n v="0"/>
    <n v="0"/>
    <n v="0"/>
    <n v="0"/>
    <n v="0"/>
    <n v="0"/>
    <n v="0"/>
    <s v="MMR012CMP040"/>
    <x v="4"/>
    <m/>
  </r>
  <r>
    <x v="173"/>
    <x v="5"/>
    <x v="173"/>
    <x v="21"/>
    <s v="UNHCR"/>
    <x v="0"/>
    <x v="0"/>
    <s v="Ohn Taw Gyi 1"/>
    <m/>
    <m/>
    <m/>
    <m/>
    <m/>
    <n v="60"/>
    <m/>
    <m/>
    <m/>
    <m/>
    <m/>
    <m/>
    <m/>
    <m/>
    <n v="0"/>
    <n v="0"/>
    <n v="0"/>
    <n v="0"/>
    <n v="0"/>
    <n v="0"/>
    <n v="0"/>
    <n v="0"/>
    <n v="0"/>
    <n v="0"/>
    <n v="0"/>
    <n v="0"/>
    <n v="0"/>
    <n v="0"/>
    <s v="MMR012CMP043"/>
    <x v="4"/>
    <m/>
  </r>
  <r>
    <x v="174"/>
    <x v="5"/>
    <x v="174"/>
    <x v="2"/>
    <m/>
    <x v="0"/>
    <x v="5"/>
    <s v="Goke Pi Htaunt"/>
    <m/>
    <m/>
    <m/>
    <m/>
    <n v="114"/>
    <m/>
    <m/>
    <m/>
    <m/>
    <m/>
    <m/>
    <m/>
    <m/>
    <m/>
    <n v="0"/>
    <n v="0"/>
    <n v="0"/>
    <n v="0"/>
    <n v="0"/>
    <n v="0"/>
    <n v="0"/>
    <n v="0"/>
    <n v="0"/>
    <n v="0"/>
    <n v="0"/>
    <n v="0"/>
    <n v="0"/>
    <n v="0"/>
    <s v="MMR012CMP027"/>
    <x v="2"/>
    <m/>
  </r>
  <r>
    <x v="174"/>
    <x v="5"/>
    <x v="174"/>
    <x v="2"/>
    <m/>
    <x v="0"/>
    <x v="5"/>
    <s v="In Bar Yi"/>
    <m/>
    <m/>
    <m/>
    <m/>
    <n v="230"/>
    <m/>
    <m/>
    <n v="230"/>
    <m/>
    <m/>
    <m/>
    <m/>
    <m/>
    <m/>
    <n v="0"/>
    <n v="0"/>
    <n v="0"/>
    <n v="0"/>
    <n v="0"/>
    <n v="0"/>
    <n v="0"/>
    <n v="0"/>
    <n v="0"/>
    <n v="0"/>
    <n v="0"/>
    <n v="0"/>
    <n v="0"/>
    <n v="0"/>
    <s v="MMR012CMP026"/>
    <x v="2"/>
    <m/>
  </r>
  <r>
    <x v="174"/>
    <x v="5"/>
    <x v="174"/>
    <x v="2"/>
    <m/>
    <x v="0"/>
    <x v="5"/>
    <s v="Shwe Hlaing"/>
    <m/>
    <m/>
    <m/>
    <m/>
    <n v="144"/>
    <n v="290"/>
    <n v="40"/>
    <m/>
    <m/>
    <m/>
    <m/>
    <m/>
    <m/>
    <m/>
    <n v="0"/>
    <n v="0"/>
    <n v="0"/>
    <n v="0"/>
    <n v="0"/>
    <n v="0"/>
    <n v="0"/>
    <n v="0"/>
    <n v="0"/>
    <n v="0"/>
    <n v="0"/>
    <n v="0"/>
    <n v="0"/>
    <n v="0"/>
    <s v="MMR012CMP029"/>
    <x v="2"/>
    <m/>
  </r>
  <r>
    <x v="174"/>
    <x v="5"/>
    <x v="174"/>
    <x v="2"/>
    <m/>
    <x v="0"/>
    <x v="5"/>
    <s v="Yun Nyar"/>
    <m/>
    <m/>
    <m/>
    <m/>
    <n v="107"/>
    <m/>
    <m/>
    <m/>
    <m/>
    <m/>
    <m/>
    <m/>
    <m/>
    <m/>
    <n v="0"/>
    <n v="0"/>
    <n v="0"/>
    <n v="0"/>
    <n v="0"/>
    <n v="0"/>
    <n v="0"/>
    <n v="0"/>
    <n v="0"/>
    <n v="0"/>
    <n v="0"/>
    <n v="0"/>
    <n v="0"/>
    <n v="0"/>
    <s v="MMR012CMP028"/>
    <x v="2"/>
    <m/>
  </r>
  <r>
    <x v="175"/>
    <x v="5"/>
    <x v="175"/>
    <x v="2"/>
    <m/>
    <x v="0"/>
    <x v="0"/>
    <s v="Dar Pai"/>
    <m/>
    <m/>
    <m/>
    <m/>
    <n v="805"/>
    <m/>
    <m/>
    <m/>
    <m/>
    <m/>
    <m/>
    <m/>
    <m/>
    <m/>
    <n v="0"/>
    <n v="0"/>
    <n v="0"/>
    <n v="0"/>
    <n v="0"/>
    <n v="0"/>
    <n v="0"/>
    <n v="0"/>
    <n v="0"/>
    <n v="0"/>
    <n v="0"/>
    <n v="0"/>
    <n v="0"/>
    <n v="0"/>
    <s v="MMR012CMP041"/>
    <x v="0"/>
    <m/>
  </r>
  <r>
    <x v="176"/>
    <x v="5"/>
    <x v="176"/>
    <x v="2"/>
    <m/>
    <x v="0"/>
    <x v="0"/>
    <s v="Thet Kae Pyin "/>
    <m/>
    <m/>
    <m/>
    <m/>
    <n v="98"/>
    <m/>
    <m/>
    <m/>
    <m/>
    <m/>
    <m/>
    <m/>
    <m/>
    <m/>
    <n v="0"/>
    <n v="0"/>
    <n v="0"/>
    <n v="0"/>
    <n v="0"/>
    <n v="0"/>
    <n v="0"/>
    <n v="0"/>
    <n v="0"/>
    <n v="0"/>
    <n v="0"/>
    <n v="0"/>
    <n v="0"/>
    <n v="0"/>
    <s v="MMR012CMP048"/>
    <x v="0"/>
    <m/>
  </r>
  <r>
    <x v="177"/>
    <x v="5"/>
    <x v="177"/>
    <x v="2"/>
    <m/>
    <x v="0"/>
    <x v="0"/>
    <s v="Say Tha Mar Gyi"/>
    <m/>
    <m/>
    <m/>
    <m/>
    <n v="461"/>
    <m/>
    <m/>
    <m/>
    <m/>
    <m/>
    <m/>
    <m/>
    <m/>
    <m/>
    <n v="0"/>
    <n v="0"/>
    <n v="0"/>
    <n v="0"/>
    <n v="0"/>
    <n v="0"/>
    <n v="0"/>
    <n v="0"/>
    <n v="0"/>
    <n v="0"/>
    <n v="0"/>
    <n v="0"/>
    <n v="0"/>
    <n v="0"/>
    <s v="MMR012CMP045"/>
    <x v="0"/>
    <m/>
  </r>
  <r>
    <x v="177"/>
    <x v="5"/>
    <x v="177"/>
    <x v="2"/>
    <m/>
    <x v="0"/>
    <x v="0"/>
    <s v="Thet Kae Pyin "/>
    <m/>
    <m/>
    <m/>
    <m/>
    <n v="11"/>
    <m/>
    <m/>
    <m/>
    <m/>
    <m/>
    <m/>
    <m/>
    <m/>
    <m/>
    <n v="0"/>
    <n v="0"/>
    <n v="0"/>
    <n v="0"/>
    <n v="0"/>
    <n v="0"/>
    <n v="0"/>
    <n v="0"/>
    <n v="0"/>
    <n v="0"/>
    <n v="0"/>
    <n v="0"/>
    <n v="0"/>
    <n v="0"/>
    <s v="MMR012CMP048"/>
    <x v="0"/>
    <m/>
  </r>
  <r>
    <x v="178"/>
    <x v="5"/>
    <x v="178"/>
    <x v="2"/>
    <m/>
    <x v="0"/>
    <x v="0"/>
    <s v="Khaung Doke Khar "/>
    <m/>
    <m/>
    <m/>
    <m/>
    <n v="22"/>
    <m/>
    <m/>
    <m/>
    <m/>
    <m/>
    <m/>
    <m/>
    <m/>
    <m/>
    <n v="0"/>
    <n v="0"/>
    <n v="0"/>
    <n v="0"/>
    <n v="0"/>
    <n v="0"/>
    <n v="0"/>
    <n v="0"/>
    <n v="0"/>
    <n v="0"/>
    <n v="0"/>
    <n v="0"/>
    <n v="0"/>
    <n v="0"/>
    <s v="MMR012CMP042"/>
    <x v="0"/>
    <m/>
  </r>
  <r>
    <x v="178"/>
    <x v="5"/>
    <x v="178"/>
    <x v="2"/>
    <m/>
    <x v="0"/>
    <x v="0"/>
    <s v="Say Tha Mar Gyi"/>
    <m/>
    <m/>
    <m/>
    <m/>
    <n v="456"/>
    <m/>
    <m/>
    <m/>
    <m/>
    <m/>
    <m/>
    <m/>
    <m/>
    <m/>
    <n v="0"/>
    <n v="0"/>
    <n v="0"/>
    <n v="0"/>
    <n v="0"/>
    <n v="0"/>
    <n v="0"/>
    <n v="0"/>
    <n v="0"/>
    <n v="0"/>
    <n v="0"/>
    <n v="0"/>
    <n v="0"/>
    <n v="0"/>
    <s v="MMR012CMP045"/>
    <x v="0"/>
    <m/>
  </r>
  <r>
    <x v="179"/>
    <x v="5"/>
    <x v="179"/>
    <x v="2"/>
    <m/>
    <x v="0"/>
    <x v="0"/>
    <s v="Say Tha Mar Gyi"/>
    <m/>
    <m/>
    <m/>
    <m/>
    <n v="117"/>
    <m/>
    <m/>
    <m/>
    <m/>
    <m/>
    <m/>
    <m/>
    <m/>
    <m/>
    <n v="0"/>
    <n v="0"/>
    <n v="0"/>
    <n v="0"/>
    <n v="0"/>
    <n v="0"/>
    <n v="0"/>
    <n v="0"/>
    <n v="0"/>
    <n v="0"/>
    <n v="0"/>
    <n v="0"/>
    <n v="0"/>
    <n v="0"/>
    <s v="MMR012CMP045"/>
    <x v="0"/>
    <m/>
  </r>
  <r>
    <x v="180"/>
    <x v="5"/>
    <x v="180"/>
    <x v="2"/>
    <m/>
    <x v="0"/>
    <x v="0"/>
    <s v="Basare"/>
    <m/>
    <m/>
    <m/>
    <m/>
    <n v="383"/>
    <m/>
    <m/>
    <m/>
    <m/>
    <m/>
    <m/>
    <m/>
    <m/>
    <m/>
    <n v="0"/>
    <n v="0"/>
    <n v="0"/>
    <n v="0"/>
    <n v="0"/>
    <n v="0"/>
    <n v="0"/>
    <n v="0"/>
    <n v="0"/>
    <n v="0"/>
    <n v="0"/>
    <n v="0"/>
    <n v="0"/>
    <n v="0"/>
    <s v="MMR012CMP039"/>
    <x v="0"/>
    <m/>
  </r>
  <r>
    <x v="181"/>
    <x v="5"/>
    <x v="181"/>
    <x v="2"/>
    <m/>
    <x v="0"/>
    <x v="0"/>
    <s v="Thet Kae Pyin "/>
    <m/>
    <m/>
    <m/>
    <m/>
    <n v="572"/>
    <m/>
    <m/>
    <m/>
    <m/>
    <m/>
    <m/>
    <m/>
    <m/>
    <m/>
    <n v="0"/>
    <n v="0"/>
    <n v="0"/>
    <n v="0"/>
    <n v="0"/>
    <n v="0"/>
    <n v="0"/>
    <n v="0"/>
    <n v="0"/>
    <n v="0"/>
    <n v="0"/>
    <n v="0"/>
    <n v="0"/>
    <n v="0"/>
    <s v="MMR012CMP048"/>
    <x v="0"/>
    <m/>
  </r>
  <r>
    <x v="182"/>
    <x v="5"/>
    <x v="182"/>
    <x v="2"/>
    <m/>
    <x v="0"/>
    <x v="0"/>
    <s v="Baw Du Pha"/>
    <m/>
    <m/>
    <m/>
    <m/>
    <n v="248"/>
    <m/>
    <m/>
    <m/>
    <m/>
    <m/>
    <m/>
    <m/>
    <m/>
    <m/>
    <n v="0"/>
    <n v="0"/>
    <n v="0"/>
    <n v="0"/>
    <n v="0"/>
    <n v="0"/>
    <n v="0"/>
    <n v="0"/>
    <n v="0"/>
    <n v="0"/>
    <n v="0"/>
    <n v="0"/>
    <n v="0"/>
    <n v="0"/>
    <s v="MMR012CMP040"/>
    <x v="4"/>
    <m/>
  </r>
  <r>
    <x v="182"/>
    <x v="5"/>
    <x v="182"/>
    <x v="2"/>
    <m/>
    <x v="0"/>
    <x v="0"/>
    <s v="Khaung Doke Khar "/>
    <m/>
    <m/>
    <m/>
    <m/>
    <n v="121"/>
    <m/>
    <m/>
    <m/>
    <m/>
    <m/>
    <m/>
    <m/>
    <m/>
    <m/>
    <n v="0"/>
    <n v="0"/>
    <n v="0"/>
    <n v="0"/>
    <n v="0"/>
    <n v="0"/>
    <n v="0"/>
    <n v="0"/>
    <n v="0"/>
    <n v="0"/>
    <n v="0"/>
    <n v="0"/>
    <n v="0"/>
    <n v="0"/>
    <s v="MMR012CMP042"/>
    <x v="0"/>
    <m/>
  </r>
  <r>
    <x v="183"/>
    <x v="5"/>
    <x v="183"/>
    <x v="2"/>
    <m/>
    <x v="0"/>
    <x v="0"/>
    <s v="Baw Du Pha"/>
    <m/>
    <m/>
    <m/>
    <m/>
    <n v="630"/>
    <m/>
    <m/>
    <m/>
    <m/>
    <m/>
    <m/>
    <m/>
    <m/>
    <m/>
    <n v="0"/>
    <n v="0"/>
    <n v="0"/>
    <n v="0"/>
    <n v="0"/>
    <n v="0"/>
    <n v="0"/>
    <n v="0"/>
    <n v="0"/>
    <n v="0"/>
    <n v="0"/>
    <n v="0"/>
    <n v="0"/>
    <n v="0"/>
    <s v="MMR012CMP040"/>
    <x v="4"/>
    <m/>
  </r>
  <r>
    <x v="184"/>
    <x v="5"/>
    <x v="184"/>
    <x v="2"/>
    <m/>
    <x v="0"/>
    <x v="0"/>
    <s v="Baw Du Pha"/>
    <m/>
    <m/>
    <m/>
    <m/>
    <n v="120"/>
    <m/>
    <m/>
    <m/>
    <m/>
    <m/>
    <m/>
    <m/>
    <m/>
    <m/>
    <n v="0"/>
    <n v="0"/>
    <n v="0"/>
    <n v="0"/>
    <n v="0"/>
    <n v="0"/>
    <n v="0"/>
    <n v="0"/>
    <n v="0"/>
    <n v="0"/>
    <n v="0"/>
    <n v="0"/>
    <n v="0"/>
    <n v="0"/>
    <s v="MMR012CMP040"/>
    <x v="4"/>
    <m/>
  </r>
  <r>
    <x v="185"/>
    <x v="5"/>
    <x v="185"/>
    <x v="2"/>
    <m/>
    <x v="0"/>
    <x v="0"/>
    <s v="Baw Du Pha"/>
    <m/>
    <m/>
    <m/>
    <m/>
    <n v="150"/>
    <m/>
    <m/>
    <m/>
    <m/>
    <m/>
    <m/>
    <m/>
    <m/>
    <m/>
    <n v="0"/>
    <n v="0"/>
    <n v="0"/>
    <n v="0"/>
    <n v="0"/>
    <n v="0"/>
    <n v="0"/>
    <n v="0"/>
    <n v="0"/>
    <n v="0"/>
    <n v="0"/>
    <n v="0"/>
    <n v="0"/>
    <n v="0"/>
    <s v="MMR012CMP040"/>
    <x v="4"/>
    <m/>
  </r>
  <r>
    <x v="185"/>
    <x v="5"/>
    <x v="185"/>
    <x v="2"/>
    <m/>
    <x v="0"/>
    <x v="0"/>
    <s v="Thet Kae Pyin "/>
    <m/>
    <m/>
    <m/>
    <m/>
    <n v="200"/>
    <m/>
    <m/>
    <m/>
    <m/>
    <m/>
    <m/>
    <m/>
    <m/>
    <m/>
    <n v="0"/>
    <n v="0"/>
    <n v="0"/>
    <n v="0"/>
    <n v="0"/>
    <n v="0"/>
    <n v="0"/>
    <n v="0"/>
    <n v="0"/>
    <n v="0"/>
    <n v="0"/>
    <n v="0"/>
    <n v="0"/>
    <n v="0"/>
    <s v="MMR012CMP048"/>
    <x v="0"/>
    <m/>
  </r>
  <r>
    <x v="186"/>
    <x v="5"/>
    <x v="186"/>
    <x v="2"/>
    <m/>
    <x v="0"/>
    <x v="0"/>
    <s v="Khaymarmandine"/>
    <m/>
    <m/>
    <m/>
    <m/>
    <n v="4"/>
    <m/>
    <m/>
    <m/>
    <m/>
    <m/>
    <m/>
    <m/>
    <m/>
    <m/>
    <n v="0"/>
    <n v="0"/>
    <n v="0"/>
    <n v="0"/>
    <n v="0"/>
    <n v="0"/>
    <n v="0"/>
    <n v="0"/>
    <n v="0"/>
    <n v="0"/>
    <n v="0"/>
    <n v="0"/>
    <n v="0"/>
    <n v="0"/>
    <s v=""/>
    <x v="3"/>
    <m/>
  </r>
  <r>
    <x v="187"/>
    <x v="5"/>
    <x v="187"/>
    <x v="2"/>
    <m/>
    <x v="0"/>
    <x v="0"/>
    <s v="MinnGanHighSchool"/>
    <m/>
    <m/>
    <m/>
    <m/>
    <n v="492"/>
    <m/>
    <m/>
    <m/>
    <m/>
    <m/>
    <m/>
    <m/>
    <m/>
    <m/>
    <n v="0"/>
    <n v="0"/>
    <n v="0"/>
    <n v="0"/>
    <n v="0"/>
    <n v="0"/>
    <n v="0"/>
    <n v="0"/>
    <n v="0"/>
    <n v="0"/>
    <n v="0"/>
    <n v="0"/>
    <n v="0"/>
    <n v="0"/>
    <s v=""/>
    <x v="3"/>
    <m/>
  </r>
  <r>
    <x v="188"/>
    <x v="5"/>
    <x v="188"/>
    <x v="2"/>
    <m/>
    <x v="0"/>
    <x v="0"/>
    <s v="DamaYeikThar"/>
    <m/>
    <m/>
    <m/>
    <m/>
    <n v="32"/>
    <m/>
    <m/>
    <m/>
    <m/>
    <m/>
    <m/>
    <m/>
    <m/>
    <m/>
    <n v="0"/>
    <n v="0"/>
    <n v="0"/>
    <n v="0"/>
    <n v="0"/>
    <n v="0"/>
    <n v="0"/>
    <n v="0"/>
    <n v="0"/>
    <n v="0"/>
    <n v="0"/>
    <n v="0"/>
    <n v="0"/>
    <n v="0"/>
    <s v=""/>
    <x v="3"/>
    <m/>
  </r>
  <r>
    <x v="188"/>
    <x v="5"/>
    <x v="188"/>
    <x v="2"/>
    <m/>
    <x v="0"/>
    <x v="0"/>
    <s v="MyaTheinTan"/>
    <m/>
    <m/>
    <m/>
    <m/>
    <n v="5"/>
    <m/>
    <m/>
    <m/>
    <m/>
    <m/>
    <m/>
    <m/>
    <m/>
    <m/>
    <n v="0"/>
    <n v="0"/>
    <n v="0"/>
    <n v="0"/>
    <n v="0"/>
    <n v="0"/>
    <n v="0"/>
    <n v="0"/>
    <n v="0"/>
    <n v="0"/>
    <n v="0"/>
    <n v="0"/>
    <n v="0"/>
    <n v="0"/>
    <s v=""/>
    <x v="3"/>
    <m/>
  </r>
  <r>
    <x v="188"/>
    <x v="5"/>
    <x v="188"/>
    <x v="2"/>
    <m/>
    <x v="0"/>
    <x v="0"/>
    <s v="OhnTaPin"/>
    <m/>
    <m/>
    <m/>
    <m/>
    <n v="16"/>
    <m/>
    <m/>
    <m/>
    <m/>
    <m/>
    <m/>
    <m/>
    <m/>
    <m/>
    <n v="0"/>
    <n v="0"/>
    <n v="0"/>
    <n v="0"/>
    <n v="0"/>
    <n v="0"/>
    <n v="0"/>
    <n v="0"/>
    <n v="0"/>
    <n v="0"/>
    <n v="0"/>
    <n v="0"/>
    <n v="0"/>
    <n v="0"/>
    <s v=""/>
    <x v="3"/>
    <m/>
  </r>
  <r>
    <x v="188"/>
    <x v="5"/>
    <x v="188"/>
    <x v="2"/>
    <m/>
    <x v="0"/>
    <x v="0"/>
    <s v="Tayzindayama"/>
    <m/>
    <m/>
    <m/>
    <m/>
    <n v="11"/>
    <m/>
    <m/>
    <m/>
    <m/>
    <m/>
    <m/>
    <m/>
    <m/>
    <m/>
    <n v="0"/>
    <n v="0"/>
    <n v="0"/>
    <n v="0"/>
    <n v="0"/>
    <n v="0"/>
    <n v="0"/>
    <n v="0"/>
    <n v="0"/>
    <n v="0"/>
    <n v="0"/>
    <n v="0"/>
    <n v="0"/>
    <n v="0"/>
    <s v=""/>
    <x v="3"/>
    <m/>
  </r>
  <r>
    <x v="188"/>
    <x v="5"/>
    <x v="188"/>
    <x v="2"/>
    <m/>
    <x v="0"/>
    <x v="0"/>
    <s v="Weikzar Thaikdi Monastery"/>
    <m/>
    <m/>
    <m/>
    <m/>
    <n v="20"/>
    <m/>
    <m/>
    <m/>
    <m/>
    <m/>
    <m/>
    <m/>
    <m/>
    <m/>
    <n v="0"/>
    <n v="0"/>
    <n v="0"/>
    <n v="0"/>
    <n v="0"/>
    <n v="0"/>
    <n v="0"/>
    <n v="0"/>
    <n v="0"/>
    <n v="0"/>
    <n v="0"/>
    <n v="0"/>
    <n v="0"/>
    <n v="0"/>
    <s v="MMR012CMP075"/>
    <x v="4"/>
    <m/>
  </r>
  <r>
    <x v="188"/>
    <x v="5"/>
    <x v="188"/>
    <x v="2"/>
    <m/>
    <x v="0"/>
    <x v="0"/>
    <s v="YadaNarMinDaing"/>
    <m/>
    <m/>
    <m/>
    <m/>
    <n v="2"/>
    <m/>
    <m/>
    <m/>
    <m/>
    <m/>
    <m/>
    <m/>
    <m/>
    <m/>
    <n v="0"/>
    <n v="0"/>
    <n v="0"/>
    <n v="0"/>
    <n v="0"/>
    <n v="0"/>
    <n v="0"/>
    <n v="0"/>
    <n v="0"/>
    <n v="0"/>
    <n v="0"/>
    <n v="0"/>
    <n v="0"/>
    <n v="0"/>
    <s v=""/>
    <x v="3"/>
    <m/>
  </r>
  <r>
    <x v="189"/>
    <x v="5"/>
    <x v="189"/>
    <x v="2"/>
    <m/>
    <x v="0"/>
    <x v="0"/>
    <s v="Bamgalar A Wa Kune"/>
    <m/>
    <m/>
    <m/>
    <m/>
    <n v="5"/>
    <m/>
    <m/>
    <m/>
    <m/>
    <m/>
    <m/>
    <m/>
    <m/>
    <m/>
    <n v="0"/>
    <n v="0"/>
    <n v="0"/>
    <n v="0"/>
    <n v="0"/>
    <n v="0"/>
    <n v="0"/>
    <n v="0"/>
    <n v="0"/>
    <n v="0"/>
    <n v="0"/>
    <n v="0"/>
    <n v="0"/>
    <n v="0"/>
    <s v=""/>
    <x v="3"/>
    <m/>
  </r>
  <r>
    <x v="189"/>
    <x v="5"/>
    <x v="189"/>
    <x v="2"/>
    <m/>
    <x v="0"/>
    <x v="0"/>
    <s v="Dama Yar Ma"/>
    <m/>
    <m/>
    <m/>
    <m/>
    <n v="10"/>
    <m/>
    <m/>
    <m/>
    <m/>
    <m/>
    <m/>
    <m/>
    <m/>
    <m/>
    <n v="0"/>
    <n v="0"/>
    <n v="0"/>
    <n v="0"/>
    <n v="0"/>
    <n v="0"/>
    <n v="0"/>
    <n v="0"/>
    <n v="0"/>
    <n v="0"/>
    <n v="0"/>
    <n v="0"/>
    <n v="0"/>
    <n v="0"/>
    <s v=""/>
    <x v="3"/>
    <m/>
  </r>
  <r>
    <x v="189"/>
    <x v="5"/>
    <x v="189"/>
    <x v="2"/>
    <m/>
    <x v="0"/>
    <x v="0"/>
    <s v="Ka Yu Chaung"/>
    <m/>
    <m/>
    <m/>
    <m/>
    <n v="26"/>
    <m/>
    <m/>
    <m/>
    <m/>
    <m/>
    <m/>
    <m/>
    <m/>
    <m/>
    <n v="0"/>
    <n v="0"/>
    <n v="0"/>
    <n v="0"/>
    <n v="0"/>
    <n v="0"/>
    <n v="0"/>
    <n v="0"/>
    <n v="0"/>
    <n v="0"/>
    <n v="0"/>
    <n v="0"/>
    <n v="0"/>
    <n v="0"/>
    <s v=""/>
    <x v="3"/>
    <m/>
  </r>
  <r>
    <x v="189"/>
    <x v="5"/>
    <x v="189"/>
    <x v="2"/>
    <m/>
    <x v="0"/>
    <x v="0"/>
    <s v="Kha Maung Taw"/>
    <m/>
    <m/>
    <m/>
    <m/>
    <n v="12"/>
    <m/>
    <m/>
    <m/>
    <m/>
    <m/>
    <m/>
    <m/>
    <m/>
    <m/>
    <n v="0"/>
    <n v="0"/>
    <n v="0"/>
    <n v="0"/>
    <n v="0"/>
    <n v="0"/>
    <n v="0"/>
    <n v="0"/>
    <n v="0"/>
    <n v="0"/>
    <n v="0"/>
    <n v="0"/>
    <n v="0"/>
    <n v="0"/>
    <s v=""/>
    <x v="3"/>
    <m/>
  </r>
  <r>
    <x v="189"/>
    <x v="5"/>
    <x v="189"/>
    <x v="2"/>
    <m/>
    <x v="0"/>
    <x v="0"/>
    <s v="KyaungGyiLan"/>
    <m/>
    <m/>
    <m/>
    <m/>
    <n v="23"/>
    <m/>
    <m/>
    <m/>
    <m/>
    <m/>
    <m/>
    <m/>
    <m/>
    <m/>
    <n v="0"/>
    <n v="0"/>
    <n v="0"/>
    <n v="0"/>
    <n v="0"/>
    <n v="0"/>
    <n v="0"/>
    <n v="0"/>
    <n v="0"/>
    <n v="0"/>
    <n v="0"/>
    <n v="0"/>
    <n v="0"/>
    <n v="0"/>
    <s v=""/>
    <x v="3"/>
    <m/>
  </r>
  <r>
    <x v="189"/>
    <x v="5"/>
    <x v="189"/>
    <x v="2"/>
    <m/>
    <x v="0"/>
    <x v="0"/>
    <s v="MaYarMaGyi-old"/>
    <m/>
    <m/>
    <m/>
    <m/>
    <n v="36"/>
    <m/>
    <m/>
    <m/>
    <m/>
    <m/>
    <m/>
    <m/>
    <m/>
    <m/>
    <n v="0"/>
    <n v="0"/>
    <n v="0"/>
    <n v="0"/>
    <n v="0"/>
    <n v="0"/>
    <n v="0"/>
    <n v="0"/>
    <n v="0"/>
    <n v="0"/>
    <n v="0"/>
    <n v="0"/>
    <n v="0"/>
    <n v="0"/>
    <s v=""/>
    <x v="3"/>
    <m/>
  </r>
  <r>
    <x v="189"/>
    <x v="5"/>
    <x v="189"/>
    <x v="2"/>
    <m/>
    <x v="0"/>
    <x v="0"/>
    <s v="PyinNyarLinkarya"/>
    <m/>
    <m/>
    <m/>
    <m/>
    <n v="33"/>
    <m/>
    <m/>
    <m/>
    <m/>
    <m/>
    <m/>
    <m/>
    <m/>
    <m/>
    <n v="0"/>
    <n v="0"/>
    <n v="0"/>
    <n v="0"/>
    <n v="0"/>
    <n v="0"/>
    <n v="0"/>
    <n v="0"/>
    <n v="0"/>
    <n v="0"/>
    <n v="0"/>
    <n v="0"/>
    <n v="0"/>
    <n v="0"/>
    <s v=""/>
    <x v="3"/>
    <m/>
  </r>
  <r>
    <x v="189"/>
    <x v="5"/>
    <x v="189"/>
    <x v="2"/>
    <m/>
    <x v="0"/>
    <x v="0"/>
    <s v="Shwe Pyar"/>
    <m/>
    <m/>
    <m/>
    <m/>
    <n v="3"/>
    <m/>
    <m/>
    <m/>
    <m/>
    <m/>
    <m/>
    <m/>
    <m/>
    <m/>
    <n v="0"/>
    <n v="0"/>
    <n v="0"/>
    <n v="0"/>
    <n v="0"/>
    <n v="0"/>
    <n v="0"/>
    <n v="0"/>
    <n v="0"/>
    <n v="0"/>
    <n v="0"/>
    <n v="0"/>
    <n v="0"/>
    <n v="0"/>
    <s v=""/>
    <x v="3"/>
    <m/>
  </r>
  <r>
    <x v="189"/>
    <x v="5"/>
    <x v="189"/>
    <x v="2"/>
    <m/>
    <x v="0"/>
    <x v="0"/>
    <s v="Theit Di Kar Yone Monastery"/>
    <m/>
    <m/>
    <m/>
    <m/>
    <n v="27"/>
    <m/>
    <m/>
    <m/>
    <m/>
    <m/>
    <m/>
    <m/>
    <m/>
    <m/>
    <n v="0"/>
    <n v="0"/>
    <n v="0"/>
    <n v="0"/>
    <n v="0"/>
    <n v="0"/>
    <n v="0"/>
    <n v="0"/>
    <n v="0"/>
    <n v="0"/>
    <n v="0"/>
    <n v="0"/>
    <n v="0"/>
    <n v="0"/>
    <s v="MMR012CMP067"/>
    <x v="4"/>
    <m/>
  </r>
  <r>
    <x v="189"/>
    <x v="5"/>
    <x v="189"/>
    <x v="2"/>
    <m/>
    <x v="0"/>
    <x v="0"/>
    <s v="Uwa Ya Ma"/>
    <m/>
    <m/>
    <m/>
    <m/>
    <n v="19"/>
    <m/>
    <m/>
    <m/>
    <m/>
    <m/>
    <m/>
    <m/>
    <m/>
    <m/>
    <n v="0"/>
    <n v="0"/>
    <n v="0"/>
    <n v="0"/>
    <n v="0"/>
    <n v="0"/>
    <n v="0"/>
    <n v="0"/>
    <n v="0"/>
    <n v="0"/>
    <n v="0"/>
    <n v="0"/>
    <n v="0"/>
    <n v="0"/>
    <s v=""/>
    <x v="3"/>
    <m/>
  </r>
  <r>
    <x v="190"/>
    <x v="5"/>
    <x v="190"/>
    <x v="2"/>
    <m/>
    <x v="0"/>
    <x v="0"/>
    <s v="Kyar Yoke"/>
    <m/>
    <m/>
    <m/>
    <m/>
    <n v="33"/>
    <m/>
    <m/>
    <m/>
    <m/>
    <m/>
    <m/>
    <m/>
    <m/>
    <m/>
    <n v="0"/>
    <n v="0"/>
    <n v="0"/>
    <n v="0"/>
    <n v="0"/>
    <n v="0"/>
    <n v="0"/>
    <n v="0"/>
    <n v="0"/>
    <n v="0"/>
    <n v="0"/>
    <n v="0"/>
    <n v="0"/>
    <n v="0"/>
    <s v=""/>
    <x v="3"/>
    <m/>
  </r>
  <r>
    <x v="190"/>
    <x v="5"/>
    <x v="190"/>
    <x v="2"/>
    <m/>
    <x v="0"/>
    <x v="0"/>
    <s v="Layaungwin Monastery"/>
    <m/>
    <m/>
    <m/>
    <m/>
    <n v="9"/>
    <m/>
    <m/>
    <m/>
    <m/>
    <m/>
    <m/>
    <m/>
    <m/>
    <m/>
    <n v="0"/>
    <n v="0"/>
    <n v="0"/>
    <n v="0"/>
    <n v="0"/>
    <n v="0"/>
    <n v="0"/>
    <n v="0"/>
    <n v="0"/>
    <n v="0"/>
    <n v="0"/>
    <n v="0"/>
    <n v="0"/>
    <n v="0"/>
    <s v="MMR012CMP062"/>
    <x v="4"/>
    <m/>
  </r>
  <r>
    <x v="190"/>
    <x v="5"/>
    <x v="190"/>
    <x v="2"/>
    <m/>
    <x v="0"/>
    <x v="0"/>
    <s v="Shwe Zay Ti Monastery"/>
    <m/>
    <m/>
    <m/>
    <m/>
    <n v="201"/>
    <m/>
    <m/>
    <m/>
    <m/>
    <m/>
    <m/>
    <m/>
    <m/>
    <m/>
    <n v="0"/>
    <n v="0"/>
    <n v="0"/>
    <n v="0"/>
    <n v="0"/>
    <n v="0"/>
    <n v="0"/>
    <n v="0"/>
    <n v="0"/>
    <n v="0"/>
    <n v="0"/>
    <n v="0"/>
    <n v="0"/>
    <n v="0"/>
    <s v="MMR012CMP065"/>
    <x v="4"/>
    <m/>
  </r>
  <r>
    <x v="190"/>
    <x v="5"/>
    <x v="190"/>
    <x v="2"/>
    <m/>
    <x v="0"/>
    <x v="0"/>
    <s v="Ya Tayar Monastery"/>
    <m/>
    <m/>
    <m/>
    <m/>
    <n v="52"/>
    <m/>
    <m/>
    <m/>
    <m/>
    <m/>
    <m/>
    <m/>
    <m/>
    <m/>
    <n v="0"/>
    <n v="0"/>
    <n v="0"/>
    <n v="0"/>
    <n v="0"/>
    <n v="0"/>
    <n v="0"/>
    <n v="0"/>
    <n v="0"/>
    <n v="0"/>
    <n v="0"/>
    <n v="0"/>
    <n v="0"/>
    <n v="0"/>
    <s v="MMR012CMP074"/>
    <x v="4"/>
    <m/>
  </r>
  <r>
    <x v="191"/>
    <x v="5"/>
    <x v="191"/>
    <x v="2"/>
    <m/>
    <x v="0"/>
    <x v="0"/>
    <s v="Ar Thaw Ka Yone Monastery"/>
    <m/>
    <m/>
    <m/>
    <m/>
    <n v="43"/>
    <m/>
    <m/>
    <m/>
    <m/>
    <m/>
    <m/>
    <m/>
    <m/>
    <m/>
    <n v="0"/>
    <n v="0"/>
    <n v="0"/>
    <n v="0"/>
    <n v="0"/>
    <n v="0"/>
    <n v="0"/>
    <n v="0"/>
    <n v="0"/>
    <n v="0"/>
    <n v="0"/>
    <n v="0"/>
    <n v="0"/>
    <n v="0"/>
    <s v="MMR012CMP069"/>
    <x v="4"/>
    <m/>
  </r>
  <r>
    <x v="191"/>
    <x v="5"/>
    <x v="191"/>
    <x v="2"/>
    <m/>
    <x v="0"/>
    <x v="0"/>
    <s v="Boke Daw Maw"/>
    <m/>
    <m/>
    <m/>
    <m/>
    <n v="171"/>
    <m/>
    <m/>
    <m/>
    <m/>
    <m/>
    <m/>
    <m/>
    <m/>
    <m/>
    <n v="0"/>
    <n v="0"/>
    <n v="0"/>
    <n v="0"/>
    <n v="0"/>
    <n v="0"/>
    <n v="0"/>
    <n v="0"/>
    <n v="0"/>
    <n v="0"/>
    <n v="0"/>
    <n v="0"/>
    <n v="0"/>
    <n v="0"/>
    <s v=""/>
    <x v="3"/>
    <m/>
  </r>
  <r>
    <x v="191"/>
    <x v="5"/>
    <x v="191"/>
    <x v="2"/>
    <m/>
    <x v="0"/>
    <x v="0"/>
    <s v="Dar Pai"/>
    <m/>
    <m/>
    <m/>
    <m/>
    <n v="18"/>
    <m/>
    <m/>
    <m/>
    <m/>
    <m/>
    <m/>
    <m/>
    <m/>
    <m/>
    <n v="0"/>
    <n v="0"/>
    <n v="0"/>
    <n v="0"/>
    <n v="0"/>
    <n v="0"/>
    <n v="0"/>
    <n v="0"/>
    <n v="0"/>
    <n v="0"/>
    <n v="0"/>
    <n v="0"/>
    <n v="0"/>
    <n v="0"/>
    <s v="MMR012CMP041"/>
    <x v="0"/>
    <m/>
  </r>
  <r>
    <x v="191"/>
    <x v="5"/>
    <x v="191"/>
    <x v="2"/>
    <m/>
    <x v="0"/>
    <x v="0"/>
    <s v="Gyit Bak Monastery"/>
    <m/>
    <m/>
    <m/>
    <m/>
    <n v="36"/>
    <m/>
    <m/>
    <m/>
    <m/>
    <m/>
    <m/>
    <m/>
    <m/>
    <m/>
    <n v="0"/>
    <n v="0"/>
    <n v="0"/>
    <n v="0"/>
    <n v="0"/>
    <n v="0"/>
    <n v="0"/>
    <n v="0"/>
    <n v="0"/>
    <n v="0"/>
    <n v="0"/>
    <n v="0"/>
    <n v="0"/>
    <n v="0"/>
    <s v="MMR012CMP073"/>
    <x v="4"/>
    <m/>
  </r>
  <r>
    <x v="191"/>
    <x v="5"/>
    <x v="191"/>
    <x v="2"/>
    <m/>
    <x v="0"/>
    <x v="0"/>
    <s v="Gyit Chay Monastery"/>
    <m/>
    <m/>
    <m/>
    <m/>
    <n v="69"/>
    <m/>
    <m/>
    <m/>
    <m/>
    <m/>
    <m/>
    <m/>
    <m/>
    <m/>
    <n v="0"/>
    <n v="0"/>
    <n v="0"/>
    <n v="0"/>
    <n v="0"/>
    <n v="0"/>
    <n v="0"/>
    <n v="0"/>
    <n v="0"/>
    <n v="0"/>
    <n v="0"/>
    <n v="0"/>
    <n v="0"/>
    <n v="0"/>
    <s v="MMR012CMP061"/>
    <x v="4"/>
    <m/>
  </r>
  <r>
    <x v="191"/>
    <x v="5"/>
    <x v="191"/>
    <x v="2"/>
    <m/>
    <x v="0"/>
    <x v="0"/>
    <s v="Khaung Doke Khar "/>
    <m/>
    <m/>
    <m/>
    <m/>
    <n v="132"/>
    <m/>
    <m/>
    <m/>
    <m/>
    <m/>
    <m/>
    <m/>
    <m/>
    <m/>
    <n v="0"/>
    <n v="0"/>
    <n v="0"/>
    <n v="0"/>
    <n v="0"/>
    <n v="0"/>
    <n v="0"/>
    <n v="0"/>
    <n v="0"/>
    <n v="0"/>
    <n v="0"/>
    <n v="0"/>
    <n v="0"/>
    <n v="0"/>
    <s v="MMR012CMP042"/>
    <x v="0"/>
    <m/>
  </r>
  <r>
    <x v="191"/>
    <x v="5"/>
    <x v="191"/>
    <x v="2"/>
    <m/>
    <x v="0"/>
    <x v="0"/>
    <s v="Su Taung Pyae Monastery"/>
    <m/>
    <m/>
    <m/>
    <m/>
    <n v="280"/>
    <m/>
    <m/>
    <m/>
    <m/>
    <m/>
    <m/>
    <m/>
    <m/>
    <m/>
    <n v="0"/>
    <n v="0"/>
    <n v="0"/>
    <n v="0"/>
    <n v="0"/>
    <n v="0"/>
    <n v="0"/>
    <n v="0"/>
    <n v="0"/>
    <n v="0"/>
    <n v="0"/>
    <n v="0"/>
    <n v="0"/>
    <n v="0"/>
    <s v="MMR012CMP066"/>
    <x v="4"/>
    <m/>
  </r>
  <r>
    <x v="192"/>
    <x v="5"/>
    <x v="192"/>
    <x v="2"/>
    <m/>
    <x v="0"/>
    <x v="0"/>
    <s v="Danyawaddy Baw Lone Kwin"/>
    <m/>
    <m/>
    <m/>
    <m/>
    <n v="103"/>
    <m/>
    <m/>
    <m/>
    <m/>
    <m/>
    <m/>
    <m/>
    <m/>
    <m/>
    <n v="0"/>
    <n v="0"/>
    <n v="0"/>
    <n v="0"/>
    <n v="0"/>
    <n v="0"/>
    <n v="0"/>
    <n v="0"/>
    <n v="0"/>
    <n v="0"/>
    <n v="0"/>
    <n v="0"/>
    <n v="0"/>
    <n v="0"/>
    <s v="MMR012CMP055"/>
    <x v="4"/>
    <m/>
  </r>
  <r>
    <x v="192"/>
    <x v="5"/>
    <x v="192"/>
    <x v="2"/>
    <m/>
    <x v="0"/>
    <x v="0"/>
    <s v="Khaung Laung"/>
    <m/>
    <m/>
    <m/>
    <m/>
    <n v="36"/>
    <m/>
    <m/>
    <m/>
    <m/>
    <m/>
    <m/>
    <m/>
    <m/>
    <m/>
    <n v="0"/>
    <n v="0"/>
    <n v="0"/>
    <n v="0"/>
    <n v="0"/>
    <n v="0"/>
    <n v="0"/>
    <n v="0"/>
    <n v="0"/>
    <n v="0"/>
    <n v="0"/>
    <n v="0"/>
    <n v="0"/>
    <n v="0"/>
    <s v=""/>
    <x v="3"/>
    <m/>
  </r>
  <r>
    <x v="192"/>
    <x v="5"/>
    <x v="192"/>
    <x v="2"/>
    <m/>
    <x v="0"/>
    <x v="0"/>
    <s v="Nyar Ni Kar Ya Ma"/>
    <m/>
    <m/>
    <m/>
    <m/>
    <n v="36"/>
    <m/>
    <m/>
    <m/>
    <m/>
    <m/>
    <m/>
    <m/>
    <m/>
    <m/>
    <n v="0"/>
    <n v="0"/>
    <n v="0"/>
    <n v="0"/>
    <n v="0"/>
    <n v="0"/>
    <n v="0"/>
    <n v="0"/>
    <n v="0"/>
    <n v="0"/>
    <n v="0"/>
    <n v="0"/>
    <n v="0"/>
    <n v="0"/>
    <s v=""/>
    <x v="3"/>
    <m/>
  </r>
  <r>
    <x v="192"/>
    <x v="5"/>
    <x v="192"/>
    <x v="2"/>
    <m/>
    <x v="0"/>
    <x v="0"/>
    <s v="Pyin Nyar Mandine Monastery"/>
    <m/>
    <m/>
    <m/>
    <m/>
    <n v="9"/>
    <m/>
    <m/>
    <m/>
    <m/>
    <m/>
    <m/>
    <m/>
    <m/>
    <m/>
    <n v="0"/>
    <n v="0"/>
    <n v="0"/>
    <n v="0"/>
    <n v="0"/>
    <n v="0"/>
    <n v="0"/>
    <n v="0"/>
    <n v="0"/>
    <n v="0"/>
    <n v="0"/>
    <n v="0"/>
    <n v="0"/>
    <n v="0"/>
    <s v="MMR012CMP064"/>
    <x v="4"/>
    <m/>
  </r>
  <r>
    <x v="192"/>
    <x v="5"/>
    <x v="192"/>
    <x v="2"/>
    <m/>
    <x v="0"/>
    <x v="0"/>
    <s v="TanTan"/>
    <m/>
    <m/>
    <m/>
    <m/>
    <n v="20"/>
    <m/>
    <m/>
    <m/>
    <m/>
    <m/>
    <m/>
    <m/>
    <m/>
    <m/>
    <n v="0"/>
    <n v="0"/>
    <n v="0"/>
    <n v="0"/>
    <n v="0"/>
    <n v="0"/>
    <n v="0"/>
    <n v="0"/>
    <n v="0"/>
    <n v="0"/>
    <n v="0"/>
    <n v="0"/>
    <n v="0"/>
    <n v="0"/>
    <s v=""/>
    <x v="3"/>
    <m/>
  </r>
  <r>
    <x v="192"/>
    <x v="5"/>
    <x v="192"/>
    <x v="2"/>
    <m/>
    <x v="0"/>
    <x v="0"/>
    <s v="Tha Ma Da ZTK"/>
    <m/>
    <m/>
    <m/>
    <m/>
    <n v="35"/>
    <m/>
    <m/>
    <m/>
    <m/>
    <m/>
    <m/>
    <m/>
    <m/>
    <m/>
    <n v="0"/>
    <n v="0"/>
    <n v="0"/>
    <n v="0"/>
    <n v="0"/>
    <n v="0"/>
    <n v="0"/>
    <n v="0"/>
    <n v="0"/>
    <n v="0"/>
    <n v="0"/>
    <n v="0"/>
    <n v="0"/>
    <n v="0"/>
    <s v=""/>
    <x v="3"/>
    <m/>
  </r>
  <r>
    <x v="193"/>
    <x v="5"/>
    <x v="193"/>
    <x v="2"/>
    <m/>
    <x v="0"/>
    <x v="0"/>
    <s v="Dak Kaung Monastery"/>
    <m/>
    <m/>
    <m/>
    <m/>
    <n v="66"/>
    <m/>
    <m/>
    <m/>
    <m/>
    <m/>
    <m/>
    <m/>
    <m/>
    <m/>
    <n v="0"/>
    <n v="0"/>
    <n v="0"/>
    <n v="0"/>
    <n v="0"/>
    <n v="0"/>
    <n v="0"/>
    <n v="0"/>
    <n v="0"/>
    <n v="0"/>
    <n v="0"/>
    <n v="0"/>
    <n v="0"/>
    <n v="0"/>
    <s v="MMR012CMP059"/>
    <x v="4"/>
    <m/>
  </r>
  <r>
    <x v="193"/>
    <x v="5"/>
    <x v="193"/>
    <x v="2"/>
    <m/>
    <x v="0"/>
    <x v="0"/>
    <s v="Mahar Zay Ya Theik"/>
    <m/>
    <m/>
    <m/>
    <m/>
    <n v="37"/>
    <m/>
    <m/>
    <m/>
    <m/>
    <m/>
    <m/>
    <m/>
    <m/>
    <m/>
    <n v="0"/>
    <n v="0"/>
    <n v="0"/>
    <n v="0"/>
    <n v="0"/>
    <n v="0"/>
    <n v="0"/>
    <n v="0"/>
    <n v="0"/>
    <n v="0"/>
    <n v="0"/>
    <n v="0"/>
    <n v="0"/>
    <n v="0"/>
    <s v=""/>
    <x v="3"/>
    <m/>
  </r>
  <r>
    <x v="193"/>
    <x v="5"/>
    <x v="193"/>
    <x v="2"/>
    <m/>
    <x v="0"/>
    <x v="0"/>
    <s v="Myo Ma Monastery"/>
    <m/>
    <m/>
    <m/>
    <m/>
    <n v="66"/>
    <m/>
    <m/>
    <m/>
    <m/>
    <m/>
    <m/>
    <m/>
    <m/>
    <m/>
    <n v="0"/>
    <n v="0"/>
    <n v="0"/>
    <n v="0"/>
    <n v="0"/>
    <n v="0"/>
    <n v="0"/>
    <n v="0"/>
    <n v="0"/>
    <n v="0"/>
    <n v="0"/>
    <n v="0"/>
    <n v="0"/>
    <n v="0"/>
    <s v="MMR012CMP063"/>
    <x v="4"/>
    <m/>
  </r>
  <r>
    <x v="193"/>
    <x v="5"/>
    <x v="193"/>
    <x v="2"/>
    <m/>
    <x v="0"/>
    <x v="0"/>
    <s v="Sin Ku Lann Monastery"/>
    <m/>
    <m/>
    <m/>
    <m/>
    <n v="62"/>
    <m/>
    <m/>
    <m/>
    <m/>
    <m/>
    <m/>
    <m/>
    <m/>
    <m/>
    <n v="0"/>
    <n v="0"/>
    <n v="0"/>
    <n v="0"/>
    <n v="0"/>
    <n v="0"/>
    <n v="0"/>
    <n v="0"/>
    <n v="0"/>
    <n v="0"/>
    <n v="0"/>
    <n v="0"/>
    <n v="0"/>
    <n v="0"/>
    <s v="MMR012CMP068"/>
    <x v="4"/>
    <m/>
  </r>
  <r>
    <x v="193"/>
    <x v="5"/>
    <x v="193"/>
    <x v="2"/>
    <m/>
    <x v="0"/>
    <x v="0"/>
    <s v="Thet Kae Pyin "/>
    <m/>
    <m/>
    <m/>
    <m/>
    <n v="200"/>
    <m/>
    <m/>
    <m/>
    <m/>
    <m/>
    <m/>
    <m/>
    <m/>
    <m/>
    <n v="0"/>
    <n v="0"/>
    <n v="0"/>
    <n v="0"/>
    <n v="0"/>
    <n v="0"/>
    <n v="0"/>
    <n v="0"/>
    <n v="0"/>
    <n v="0"/>
    <n v="0"/>
    <n v="0"/>
    <n v="0"/>
    <n v="0"/>
    <s v="MMR012CMP048"/>
    <x v="0"/>
    <m/>
  </r>
  <r>
    <x v="194"/>
    <x v="5"/>
    <x v="194"/>
    <x v="2"/>
    <m/>
    <x v="0"/>
    <x v="0"/>
    <s v="Da Ma Set Kyar"/>
    <m/>
    <m/>
    <m/>
    <m/>
    <n v="52"/>
    <m/>
    <m/>
    <m/>
    <m/>
    <m/>
    <m/>
    <m/>
    <m/>
    <m/>
    <n v="0"/>
    <n v="0"/>
    <n v="0"/>
    <n v="0"/>
    <n v="0"/>
    <n v="0"/>
    <n v="0"/>
    <n v="0"/>
    <n v="0"/>
    <n v="0"/>
    <n v="0"/>
    <n v="0"/>
    <n v="0"/>
    <n v="0"/>
    <s v=""/>
    <x v="3"/>
    <m/>
  </r>
  <r>
    <x v="194"/>
    <x v="5"/>
    <x v="194"/>
    <x v="2"/>
    <m/>
    <x v="0"/>
    <x v="0"/>
    <s v="Dar Pai"/>
    <m/>
    <m/>
    <m/>
    <m/>
    <n v="300"/>
    <m/>
    <m/>
    <m/>
    <m/>
    <m/>
    <m/>
    <m/>
    <m/>
    <m/>
    <n v="0"/>
    <n v="0"/>
    <n v="0"/>
    <n v="0"/>
    <n v="0"/>
    <n v="0"/>
    <n v="0"/>
    <n v="0"/>
    <n v="0"/>
    <n v="0"/>
    <n v="0"/>
    <n v="0"/>
    <n v="0"/>
    <n v="0"/>
    <s v="MMR012CMP041"/>
    <x v="0"/>
    <m/>
  </r>
  <r>
    <x v="194"/>
    <x v="5"/>
    <x v="194"/>
    <x v="2"/>
    <m/>
    <x v="0"/>
    <x v="0"/>
    <s v="Kaw Nyar Na"/>
    <m/>
    <m/>
    <m/>
    <m/>
    <n v="9"/>
    <m/>
    <m/>
    <m/>
    <m/>
    <m/>
    <m/>
    <m/>
    <m/>
    <m/>
    <n v="0"/>
    <n v="0"/>
    <n v="0"/>
    <n v="0"/>
    <n v="0"/>
    <n v="0"/>
    <n v="0"/>
    <n v="0"/>
    <n v="0"/>
    <n v="0"/>
    <n v="0"/>
    <n v="0"/>
    <n v="0"/>
    <n v="0"/>
    <s v=""/>
    <x v="3"/>
    <m/>
  </r>
  <r>
    <x v="194"/>
    <x v="5"/>
    <x v="194"/>
    <x v="2"/>
    <m/>
    <x v="0"/>
    <x v="0"/>
    <s v="Phyin Nyar Ag Myay"/>
    <m/>
    <m/>
    <m/>
    <m/>
    <n v="11"/>
    <m/>
    <m/>
    <m/>
    <m/>
    <m/>
    <m/>
    <m/>
    <m/>
    <m/>
    <n v="0"/>
    <n v="0"/>
    <n v="0"/>
    <n v="0"/>
    <n v="0"/>
    <n v="0"/>
    <n v="0"/>
    <n v="0"/>
    <n v="0"/>
    <n v="0"/>
    <n v="0"/>
    <n v="0"/>
    <n v="0"/>
    <n v="0"/>
    <s v=""/>
    <x v="3"/>
    <m/>
  </r>
  <r>
    <x v="194"/>
    <x v="5"/>
    <x v="194"/>
    <x v="2"/>
    <m/>
    <x v="0"/>
    <x v="0"/>
    <s v="Sit Kae Taw Min"/>
    <m/>
    <m/>
    <m/>
    <m/>
    <n v="89"/>
    <m/>
    <m/>
    <m/>
    <m/>
    <m/>
    <m/>
    <m/>
    <m/>
    <m/>
    <n v="0"/>
    <n v="0"/>
    <n v="0"/>
    <n v="0"/>
    <n v="0"/>
    <n v="0"/>
    <n v="0"/>
    <n v="0"/>
    <n v="0"/>
    <n v="0"/>
    <n v="0"/>
    <n v="0"/>
    <n v="0"/>
    <n v="0"/>
    <s v=""/>
    <x v="3"/>
    <m/>
  </r>
  <r>
    <x v="195"/>
    <x v="5"/>
    <x v="195"/>
    <x v="2"/>
    <m/>
    <x v="0"/>
    <x v="0"/>
    <s v="Ma Ni Yadanar Monastery"/>
    <m/>
    <m/>
    <m/>
    <m/>
    <n v="120"/>
    <m/>
    <m/>
    <m/>
    <m/>
    <m/>
    <m/>
    <m/>
    <m/>
    <m/>
    <n v="0"/>
    <n v="0"/>
    <n v="0"/>
    <n v="0"/>
    <n v="0"/>
    <n v="0"/>
    <n v="0"/>
    <n v="0"/>
    <n v="0"/>
    <n v="0"/>
    <n v="0"/>
    <n v="0"/>
    <n v="0"/>
    <n v="0"/>
    <s v="MMR012CMP072"/>
    <x v="4"/>
    <m/>
  </r>
  <r>
    <x v="195"/>
    <x v="5"/>
    <x v="195"/>
    <x v="2"/>
    <m/>
    <x v="0"/>
    <x v="0"/>
    <s v="MahaKuthaLa"/>
    <m/>
    <m/>
    <m/>
    <m/>
    <n v="11"/>
    <m/>
    <m/>
    <m/>
    <m/>
    <m/>
    <m/>
    <m/>
    <m/>
    <m/>
    <n v="0"/>
    <n v="0"/>
    <n v="0"/>
    <n v="0"/>
    <n v="0"/>
    <n v="0"/>
    <n v="0"/>
    <n v="0"/>
    <n v="0"/>
    <n v="0"/>
    <n v="0"/>
    <n v="0"/>
    <n v="0"/>
    <n v="0"/>
    <s v=""/>
    <x v="3"/>
    <m/>
  </r>
  <r>
    <x v="195"/>
    <x v="5"/>
    <x v="195"/>
    <x v="2"/>
    <m/>
    <x v="0"/>
    <x v="0"/>
    <s v="U Ye Kyaw Thu"/>
    <m/>
    <m/>
    <m/>
    <m/>
    <n v="200"/>
    <m/>
    <m/>
    <m/>
    <m/>
    <m/>
    <m/>
    <m/>
    <m/>
    <m/>
    <n v="0"/>
    <n v="0"/>
    <n v="0"/>
    <n v="0"/>
    <n v="0"/>
    <n v="0"/>
    <n v="0"/>
    <n v="0"/>
    <n v="0"/>
    <n v="0"/>
    <n v="0"/>
    <n v="0"/>
    <n v="0"/>
    <n v="0"/>
    <s v=""/>
    <x v="3"/>
    <m/>
  </r>
  <r>
    <x v="196"/>
    <x v="6"/>
    <x v="196"/>
    <x v="23"/>
    <m/>
    <x v="1"/>
    <x v="10"/>
    <m/>
    <m/>
    <m/>
    <m/>
    <m/>
    <m/>
    <m/>
    <m/>
    <m/>
    <m/>
    <m/>
    <m/>
    <m/>
    <m/>
    <m/>
    <m/>
    <m/>
    <m/>
    <m/>
    <m/>
    <m/>
    <m/>
    <m/>
    <m/>
    <m/>
    <m/>
    <n v="0"/>
    <n v="0"/>
    <n v="0"/>
    <m/>
    <x v="5"/>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r>
    <x v="197"/>
    <x v="7"/>
    <x v="196"/>
    <x v="23"/>
    <m/>
    <x v="1"/>
    <x v="10"/>
    <m/>
    <m/>
    <m/>
    <m/>
    <m/>
    <m/>
    <m/>
    <m/>
    <m/>
    <m/>
    <m/>
    <m/>
    <m/>
    <m/>
    <m/>
    <n v="0"/>
    <n v="0"/>
    <n v="0"/>
    <n v="0"/>
    <n v="0"/>
    <n v="0"/>
    <n v="0"/>
    <n v="0"/>
    <n v="0"/>
    <n v="0"/>
    <n v="0"/>
    <n v="0"/>
    <n v="0"/>
    <n v="0"/>
    <s v=""/>
    <x v="3"/>
    <m/>
  </r>
</pivotCacheRecords>
</file>

<file path=xl/pivotCache/pivotCacheRecords4.xml><?xml version="1.0" encoding="utf-8"?>
<pivotCacheRecords xmlns="http://schemas.openxmlformats.org/spreadsheetml/2006/main" xmlns:r="http://schemas.openxmlformats.org/officeDocument/2006/relationships" count="204">
  <r>
    <x v="0"/>
    <x v="0"/>
    <s v="MMR012CMP016"/>
    <x v="0"/>
    <x v="0"/>
    <n v="392"/>
  </r>
  <r>
    <x v="0"/>
    <x v="0"/>
    <s v="MMR012CMP016"/>
    <x v="0"/>
    <x v="1"/>
    <n v="465"/>
  </r>
  <r>
    <x v="0"/>
    <x v="0"/>
    <s v="MMR012CMP016"/>
    <x v="1"/>
    <x v="0"/>
    <n v="474"/>
  </r>
  <r>
    <x v="0"/>
    <x v="0"/>
    <s v="MMR012CMP016"/>
    <x v="1"/>
    <x v="1"/>
    <n v="401"/>
  </r>
  <r>
    <x v="0"/>
    <x v="0"/>
    <s v="MMR012CMP016"/>
    <x v="2"/>
    <x v="0"/>
    <n v="260"/>
  </r>
  <r>
    <x v="0"/>
    <x v="0"/>
    <s v="MMR012CMP016"/>
    <x v="2"/>
    <x v="1"/>
    <n v="212"/>
  </r>
  <r>
    <x v="0"/>
    <x v="0"/>
    <s v="MMR012CMP016"/>
    <x v="3"/>
    <x v="0"/>
    <n v="338"/>
  </r>
  <r>
    <x v="0"/>
    <x v="0"/>
    <s v="MMR012CMP016"/>
    <x v="3"/>
    <x v="1"/>
    <n v="530"/>
  </r>
  <r>
    <x v="0"/>
    <x v="0"/>
    <s v="MMR012CMP016"/>
    <x v="4"/>
    <x v="0"/>
    <n v="507"/>
  </r>
  <r>
    <x v="0"/>
    <x v="0"/>
    <s v="MMR012CMP016"/>
    <x v="4"/>
    <x v="1"/>
    <n v="545"/>
  </r>
  <r>
    <x v="0"/>
    <x v="0"/>
    <s v="MMR012CMP016"/>
    <x v="5"/>
    <x v="0"/>
    <n v="71"/>
  </r>
  <r>
    <x v="0"/>
    <x v="0"/>
    <s v="MMR012CMP016"/>
    <x v="5"/>
    <x v="1"/>
    <n v="57"/>
  </r>
  <r>
    <x v="1"/>
    <x v="1"/>
    <s v="MMR012CMP113"/>
    <x v="0"/>
    <x v="0"/>
    <n v="395"/>
  </r>
  <r>
    <x v="1"/>
    <x v="1"/>
    <s v="MMR012CMP113"/>
    <x v="0"/>
    <x v="1"/>
    <n v="419"/>
  </r>
  <r>
    <x v="1"/>
    <x v="1"/>
    <s v="MMR012CMP113"/>
    <x v="1"/>
    <x v="0"/>
    <n v="457"/>
  </r>
  <r>
    <x v="1"/>
    <x v="1"/>
    <s v="MMR012CMP113"/>
    <x v="1"/>
    <x v="1"/>
    <n v="387"/>
  </r>
  <r>
    <x v="1"/>
    <x v="1"/>
    <s v="MMR012CMP113"/>
    <x v="2"/>
    <x v="0"/>
    <n v="360"/>
  </r>
  <r>
    <x v="1"/>
    <x v="1"/>
    <s v="MMR012CMP113"/>
    <x v="2"/>
    <x v="1"/>
    <n v="359"/>
  </r>
  <r>
    <x v="1"/>
    <x v="1"/>
    <s v="MMR012CMP113"/>
    <x v="3"/>
    <x v="0"/>
    <n v="417"/>
  </r>
  <r>
    <x v="1"/>
    <x v="1"/>
    <s v="MMR012CMP113"/>
    <x v="3"/>
    <x v="1"/>
    <n v="513"/>
  </r>
  <r>
    <x v="1"/>
    <x v="1"/>
    <s v="MMR012CMP113"/>
    <x v="4"/>
    <x v="0"/>
    <n v="686"/>
  </r>
  <r>
    <x v="1"/>
    <x v="1"/>
    <s v="MMR012CMP113"/>
    <x v="4"/>
    <x v="1"/>
    <n v="704"/>
  </r>
  <r>
    <x v="1"/>
    <x v="1"/>
    <s v="MMR012CMP113"/>
    <x v="5"/>
    <x v="0"/>
    <n v="75"/>
  </r>
  <r>
    <x v="1"/>
    <x v="1"/>
    <s v="MMR012CMP113"/>
    <x v="5"/>
    <x v="1"/>
    <n v="78"/>
  </r>
  <r>
    <x v="1"/>
    <x v="2"/>
    <s v="MMR012CMP114"/>
    <x v="0"/>
    <x v="0"/>
    <n v="699"/>
  </r>
  <r>
    <x v="1"/>
    <x v="2"/>
    <s v="MMR012CMP114"/>
    <x v="0"/>
    <x v="1"/>
    <n v="686"/>
  </r>
  <r>
    <x v="1"/>
    <x v="2"/>
    <s v="MMR012CMP114"/>
    <x v="1"/>
    <x v="0"/>
    <n v="655"/>
  </r>
  <r>
    <x v="1"/>
    <x v="2"/>
    <s v="MMR012CMP114"/>
    <x v="1"/>
    <x v="1"/>
    <n v="614"/>
  </r>
  <r>
    <x v="1"/>
    <x v="2"/>
    <s v="MMR012CMP114"/>
    <x v="2"/>
    <x v="0"/>
    <n v="504"/>
  </r>
  <r>
    <x v="1"/>
    <x v="2"/>
    <s v="MMR012CMP114"/>
    <x v="2"/>
    <x v="1"/>
    <n v="498"/>
  </r>
  <r>
    <x v="1"/>
    <x v="2"/>
    <s v="MMR012CMP114"/>
    <x v="3"/>
    <x v="0"/>
    <n v="631"/>
  </r>
  <r>
    <x v="1"/>
    <x v="2"/>
    <s v="MMR012CMP114"/>
    <x v="3"/>
    <x v="1"/>
    <n v="766"/>
  </r>
  <r>
    <x v="1"/>
    <x v="2"/>
    <s v="MMR012CMP114"/>
    <x v="4"/>
    <x v="0"/>
    <n v="843"/>
  </r>
  <r>
    <x v="1"/>
    <x v="2"/>
    <s v="MMR012CMP114"/>
    <x v="4"/>
    <x v="1"/>
    <n v="838"/>
  </r>
  <r>
    <x v="1"/>
    <x v="2"/>
    <s v="MMR012CMP114"/>
    <x v="5"/>
    <x v="0"/>
    <n v="103"/>
  </r>
  <r>
    <x v="1"/>
    <x v="2"/>
    <s v="MMR012CMP114"/>
    <x v="5"/>
    <x v="1"/>
    <n v="110"/>
  </r>
  <r>
    <x v="1"/>
    <x v="3"/>
    <s v="MMR012CMP041"/>
    <x v="0"/>
    <x v="0"/>
    <n v="652"/>
  </r>
  <r>
    <x v="1"/>
    <x v="3"/>
    <s v="MMR012CMP041"/>
    <x v="0"/>
    <x v="1"/>
    <n v="708"/>
  </r>
  <r>
    <x v="1"/>
    <x v="3"/>
    <s v="MMR012CMP041"/>
    <x v="1"/>
    <x v="0"/>
    <n v="809"/>
  </r>
  <r>
    <x v="1"/>
    <x v="3"/>
    <s v="MMR012CMP041"/>
    <x v="1"/>
    <x v="1"/>
    <n v="802"/>
  </r>
  <r>
    <x v="1"/>
    <x v="3"/>
    <s v="MMR012CMP041"/>
    <x v="2"/>
    <x v="0"/>
    <n v="648"/>
  </r>
  <r>
    <x v="1"/>
    <x v="3"/>
    <s v="MMR012CMP041"/>
    <x v="2"/>
    <x v="1"/>
    <n v="629"/>
  </r>
  <r>
    <x v="1"/>
    <x v="3"/>
    <s v="MMR012CMP041"/>
    <x v="3"/>
    <x v="0"/>
    <n v="727"/>
  </r>
  <r>
    <x v="1"/>
    <x v="3"/>
    <s v="MMR012CMP041"/>
    <x v="3"/>
    <x v="1"/>
    <n v="876"/>
  </r>
  <r>
    <x v="1"/>
    <x v="3"/>
    <s v="MMR012CMP041"/>
    <x v="4"/>
    <x v="0"/>
    <n v="971"/>
  </r>
  <r>
    <x v="1"/>
    <x v="3"/>
    <s v="MMR012CMP041"/>
    <x v="4"/>
    <x v="1"/>
    <n v="1050"/>
  </r>
  <r>
    <x v="1"/>
    <x v="3"/>
    <s v="MMR012CMP041"/>
    <x v="5"/>
    <x v="0"/>
    <n v="151"/>
  </r>
  <r>
    <x v="1"/>
    <x v="3"/>
    <s v="MMR012CMP041"/>
    <x v="5"/>
    <x v="1"/>
    <n v="159"/>
  </r>
  <r>
    <x v="1"/>
    <x v="4"/>
    <s v="MMR012CMP042"/>
    <x v="0"/>
    <x v="0"/>
    <n v="418"/>
  </r>
  <r>
    <x v="1"/>
    <x v="4"/>
    <s v="MMR012CMP042"/>
    <x v="0"/>
    <x v="1"/>
    <n v="459"/>
  </r>
  <r>
    <x v="1"/>
    <x v="4"/>
    <s v="MMR012CMP042"/>
    <x v="1"/>
    <x v="0"/>
    <n v="396"/>
  </r>
  <r>
    <x v="1"/>
    <x v="4"/>
    <s v="MMR012CMP042"/>
    <x v="1"/>
    <x v="1"/>
    <n v="356"/>
  </r>
  <r>
    <x v="1"/>
    <x v="4"/>
    <s v="MMR012CMP042"/>
    <x v="2"/>
    <x v="0"/>
    <n v="345"/>
  </r>
  <r>
    <x v="1"/>
    <x v="4"/>
    <s v="MMR012CMP042"/>
    <x v="2"/>
    <x v="1"/>
    <n v="297"/>
  </r>
  <r>
    <x v="1"/>
    <x v="4"/>
    <s v="MMR012CMP042"/>
    <x v="3"/>
    <x v="0"/>
    <n v="301"/>
  </r>
  <r>
    <x v="1"/>
    <x v="4"/>
    <s v="MMR012CMP042"/>
    <x v="3"/>
    <x v="1"/>
    <n v="473"/>
  </r>
  <r>
    <x v="1"/>
    <x v="4"/>
    <s v="MMR012CMP042"/>
    <x v="4"/>
    <x v="0"/>
    <n v="608"/>
  </r>
  <r>
    <x v="1"/>
    <x v="4"/>
    <s v="MMR012CMP042"/>
    <x v="4"/>
    <x v="1"/>
    <n v="607"/>
  </r>
  <r>
    <x v="1"/>
    <x v="4"/>
    <s v="MMR012CMP042"/>
    <x v="5"/>
    <x v="0"/>
    <n v="65"/>
  </r>
  <r>
    <x v="1"/>
    <x v="4"/>
    <s v="MMR012CMP042"/>
    <x v="5"/>
    <x v="1"/>
    <n v="79"/>
  </r>
  <r>
    <x v="0"/>
    <x v="5"/>
    <s v="MMR012CMP018"/>
    <x v="0"/>
    <x v="0"/>
    <n v="612"/>
  </r>
  <r>
    <x v="0"/>
    <x v="5"/>
    <s v="MMR012CMP018"/>
    <x v="0"/>
    <x v="1"/>
    <n v="589"/>
  </r>
  <r>
    <x v="0"/>
    <x v="5"/>
    <s v="MMR012CMP018"/>
    <x v="1"/>
    <x v="0"/>
    <n v="456"/>
  </r>
  <r>
    <x v="0"/>
    <x v="5"/>
    <s v="MMR012CMP018"/>
    <x v="1"/>
    <x v="1"/>
    <n v="523"/>
  </r>
  <r>
    <x v="0"/>
    <x v="5"/>
    <s v="MMR012CMP018"/>
    <x v="2"/>
    <x v="0"/>
    <n v="355"/>
  </r>
  <r>
    <x v="0"/>
    <x v="5"/>
    <s v="MMR012CMP018"/>
    <x v="2"/>
    <x v="1"/>
    <n v="297"/>
  </r>
  <r>
    <x v="0"/>
    <x v="5"/>
    <s v="MMR012CMP018"/>
    <x v="3"/>
    <x v="0"/>
    <n v="345"/>
  </r>
  <r>
    <x v="0"/>
    <x v="5"/>
    <s v="MMR012CMP018"/>
    <x v="3"/>
    <x v="1"/>
    <n v="482"/>
  </r>
  <r>
    <x v="0"/>
    <x v="5"/>
    <s v="MMR012CMP018"/>
    <x v="4"/>
    <x v="0"/>
    <n v="599"/>
  </r>
  <r>
    <x v="0"/>
    <x v="5"/>
    <s v="MMR012CMP018"/>
    <x v="4"/>
    <x v="1"/>
    <n v="602"/>
  </r>
  <r>
    <x v="0"/>
    <x v="5"/>
    <s v="MMR012CMP018"/>
    <x v="5"/>
    <x v="0"/>
    <n v="104"/>
  </r>
  <r>
    <x v="0"/>
    <x v="5"/>
    <s v="MMR012CMP018"/>
    <x v="5"/>
    <x v="1"/>
    <n v="96"/>
  </r>
  <r>
    <x v="1"/>
    <x v="6"/>
    <s v="MMR012CMP092"/>
    <x v="0"/>
    <x v="0"/>
    <n v="328"/>
  </r>
  <r>
    <x v="1"/>
    <x v="6"/>
    <s v="MMR012CMP092"/>
    <x v="0"/>
    <x v="1"/>
    <n v="308"/>
  </r>
  <r>
    <x v="1"/>
    <x v="6"/>
    <s v="MMR012CMP092"/>
    <x v="1"/>
    <x v="0"/>
    <n v="295"/>
  </r>
  <r>
    <x v="1"/>
    <x v="6"/>
    <s v="MMR012CMP092"/>
    <x v="1"/>
    <x v="1"/>
    <n v="285"/>
  </r>
  <r>
    <x v="1"/>
    <x v="6"/>
    <s v="MMR012CMP092"/>
    <x v="2"/>
    <x v="0"/>
    <n v="236"/>
  </r>
  <r>
    <x v="1"/>
    <x v="6"/>
    <s v="MMR012CMP092"/>
    <x v="2"/>
    <x v="1"/>
    <n v="271"/>
  </r>
  <r>
    <x v="1"/>
    <x v="6"/>
    <s v="MMR012CMP092"/>
    <x v="3"/>
    <x v="0"/>
    <n v="382"/>
  </r>
  <r>
    <x v="1"/>
    <x v="6"/>
    <s v="MMR012CMP092"/>
    <x v="3"/>
    <x v="1"/>
    <n v="285"/>
  </r>
  <r>
    <x v="1"/>
    <x v="6"/>
    <s v="MMR012CMP092"/>
    <x v="4"/>
    <x v="0"/>
    <n v="445"/>
  </r>
  <r>
    <x v="1"/>
    <x v="6"/>
    <s v="MMR012CMP092"/>
    <x v="4"/>
    <x v="1"/>
    <n v="436"/>
  </r>
  <r>
    <x v="1"/>
    <x v="6"/>
    <s v="MMR012CMP092"/>
    <x v="5"/>
    <x v="0"/>
    <n v="80"/>
  </r>
  <r>
    <x v="1"/>
    <x v="6"/>
    <s v="MMR012CMP092"/>
    <x v="5"/>
    <x v="1"/>
    <n v="72"/>
  </r>
  <r>
    <x v="0"/>
    <x v="7"/>
    <s v="MMR012CMP017"/>
    <x v="0"/>
    <x v="0"/>
    <n v="459"/>
  </r>
  <r>
    <x v="0"/>
    <x v="7"/>
    <s v="MMR012CMP017"/>
    <x v="0"/>
    <x v="1"/>
    <n v="553"/>
  </r>
  <r>
    <x v="0"/>
    <x v="7"/>
    <s v="MMR012CMP017"/>
    <x v="1"/>
    <x v="0"/>
    <n v="373"/>
  </r>
  <r>
    <x v="0"/>
    <x v="7"/>
    <s v="MMR012CMP017"/>
    <x v="1"/>
    <x v="1"/>
    <n v="329"/>
  </r>
  <r>
    <x v="0"/>
    <x v="7"/>
    <s v="MMR012CMP017"/>
    <x v="2"/>
    <x v="0"/>
    <n v="222"/>
  </r>
  <r>
    <x v="0"/>
    <x v="7"/>
    <s v="MMR012CMP017"/>
    <x v="2"/>
    <x v="1"/>
    <n v="207"/>
  </r>
  <r>
    <x v="0"/>
    <x v="7"/>
    <s v="MMR012CMP017"/>
    <x v="3"/>
    <x v="0"/>
    <n v="323"/>
  </r>
  <r>
    <x v="0"/>
    <x v="7"/>
    <s v="MMR012CMP017"/>
    <x v="3"/>
    <x v="1"/>
    <n v="449"/>
  </r>
  <r>
    <x v="0"/>
    <x v="7"/>
    <s v="MMR012CMP017"/>
    <x v="4"/>
    <x v="0"/>
    <n v="438"/>
  </r>
  <r>
    <x v="0"/>
    <x v="7"/>
    <s v="MMR012CMP017"/>
    <x v="4"/>
    <x v="1"/>
    <n v="347"/>
  </r>
  <r>
    <x v="0"/>
    <x v="7"/>
    <s v="MMR012CMP017"/>
    <x v="5"/>
    <x v="0"/>
    <n v="84"/>
  </r>
  <r>
    <x v="0"/>
    <x v="7"/>
    <s v="MMR012CMP017"/>
    <x v="5"/>
    <x v="1"/>
    <n v="65"/>
  </r>
  <r>
    <x v="1"/>
    <x v="8"/>
    <s v="MMR012CMP098"/>
    <x v="0"/>
    <x v="0"/>
    <n v="352"/>
  </r>
  <r>
    <x v="1"/>
    <x v="8"/>
    <s v="MMR012CMP098"/>
    <x v="0"/>
    <x v="1"/>
    <n v="415"/>
  </r>
  <r>
    <x v="1"/>
    <x v="8"/>
    <s v="MMR012CMP098"/>
    <x v="1"/>
    <x v="0"/>
    <n v="429"/>
  </r>
  <r>
    <x v="1"/>
    <x v="8"/>
    <s v="MMR012CMP098"/>
    <x v="1"/>
    <x v="1"/>
    <n v="365"/>
  </r>
  <r>
    <x v="1"/>
    <x v="8"/>
    <s v="MMR012CMP098"/>
    <x v="2"/>
    <x v="0"/>
    <n v="259"/>
  </r>
  <r>
    <x v="1"/>
    <x v="8"/>
    <s v="MMR012CMP098"/>
    <x v="2"/>
    <x v="1"/>
    <n v="224"/>
  </r>
  <r>
    <x v="1"/>
    <x v="8"/>
    <s v="MMR012CMP098"/>
    <x v="3"/>
    <x v="0"/>
    <n v="243"/>
  </r>
  <r>
    <x v="1"/>
    <x v="8"/>
    <s v="MMR012CMP098"/>
    <x v="3"/>
    <x v="1"/>
    <n v="291"/>
  </r>
  <r>
    <x v="1"/>
    <x v="8"/>
    <s v="MMR012CMP098"/>
    <x v="4"/>
    <x v="0"/>
    <n v="364"/>
  </r>
  <r>
    <x v="1"/>
    <x v="8"/>
    <s v="MMR012CMP098"/>
    <x v="4"/>
    <x v="1"/>
    <n v="375"/>
  </r>
  <r>
    <x v="1"/>
    <x v="8"/>
    <s v="MMR012CMP098"/>
    <x v="5"/>
    <x v="0"/>
    <n v="45"/>
  </r>
  <r>
    <x v="1"/>
    <x v="8"/>
    <s v="MMR012CMP098"/>
    <x v="5"/>
    <x v="1"/>
    <n v="27"/>
  </r>
  <r>
    <x v="1"/>
    <x v="9"/>
    <s v="MMR012CMP115"/>
    <x v="0"/>
    <x v="0"/>
    <n v="1479"/>
  </r>
  <r>
    <x v="1"/>
    <x v="9"/>
    <s v="MMR012CMP115"/>
    <x v="0"/>
    <x v="1"/>
    <n v="1429"/>
  </r>
  <r>
    <x v="1"/>
    <x v="9"/>
    <s v="MMR012CMP115"/>
    <x v="1"/>
    <x v="0"/>
    <n v="1461"/>
  </r>
  <r>
    <x v="1"/>
    <x v="9"/>
    <s v="MMR012CMP115"/>
    <x v="1"/>
    <x v="1"/>
    <n v="1300"/>
  </r>
  <r>
    <x v="1"/>
    <x v="9"/>
    <s v="MMR012CMP115"/>
    <x v="2"/>
    <x v="0"/>
    <n v="1004"/>
  </r>
  <r>
    <x v="1"/>
    <x v="9"/>
    <s v="MMR012CMP115"/>
    <x v="2"/>
    <x v="1"/>
    <n v="907"/>
  </r>
  <r>
    <x v="1"/>
    <x v="9"/>
    <s v="MMR012CMP115"/>
    <x v="3"/>
    <x v="0"/>
    <n v="1034"/>
  </r>
  <r>
    <x v="1"/>
    <x v="9"/>
    <s v="MMR012CMP115"/>
    <x v="3"/>
    <x v="1"/>
    <n v="1495"/>
  </r>
  <r>
    <x v="1"/>
    <x v="9"/>
    <s v="MMR012CMP115"/>
    <x v="4"/>
    <x v="0"/>
    <n v="1406"/>
  </r>
  <r>
    <x v="1"/>
    <x v="9"/>
    <s v="MMR012CMP115"/>
    <x v="4"/>
    <x v="1"/>
    <n v="1562"/>
  </r>
  <r>
    <x v="1"/>
    <x v="9"/>
    <s v="MMR012CMP115"/>
    <x v="5"/>
    <x v="0"/>
    <n v="259"/>
  </r>
  <r>
    <x v="1"/>
    <x v="9"/>
    <s v="MMR012CMP115"/>
    <x v="5"/>
    <x v="1"/>
    <n v="319"/>
  </r>
  <r>
    <x v="1"/>
    <x v="10"/>
    <s v="MMR012CMP116"/>
    <x v="0"/>
    <x v="0"/>
    <n v="1298"/>
  </r>
  <r>
    <x v="1"/>
    <x v="10"/>
    <s v="MMR012CMP116"/>
    <x v="0"/>
    <x v="1"/>
    <n v="1251"/>
  </r>
  <r>
    <x v="1"/>
    <x v="10"/>
    <s v="MMR012CMP116"/>
    <x v="1"/>
    <x v="0"/>
    <n v="1239"/>
  </r>
  <r>
    <x v="1"/>
    <x v="10"/>
    <s v="MMR012CMP116"/>
    <x v="1"/>
    <x v="1"/>
    <n v="1110"/>
  </r>
  <r>
    <x v="1"/>
    <x v="10"/>
    <s v="MMR012CMP116"/>
    <x v="2"/>
    <x v="0"/>
    <n v="852"/>
  </r>
  <r>
    <x v="1"/>
    <x v="10"/>
    <s v="MMR012CMP116"/>
    <x v="2"/>
    <x v="1"/>
    <n v="816"/>
  </r>
  <r>
    <x v="1"/>
    <x v="10"/>
    <s v="MMR012CMP116"/>
    <x v="3"/>
    <x v="0"/>
    <n v="734"/>
  </r>
  <r>
    <x v="1"/>
    <x v="10"/>
    <s v="MMR012CMP116"/>
    <x v="3"/>
    <x v="1"/>
    <n v="1089"/>
  </r>
  <r>
    <x v="1"/>
    <x v="10"/>
    <s v="MMR012CMP116"/>
    <x v="4"/>
    <x v="0"/>
    <n v="1338"/>
  </r>
  <r>
    <x v="1"/>
    <x v="10"/>
    <s v="MMR012CMP116"/>
    <x v="4"/>
    <x v="1"/>
    <n v="1522"/>
  </r>
  <r>
    <x v="1"/>
    <x v="10"/>
    <s v="MMR012CMP116"/>
    <x v="5"/>
    <x v="0"/>
    <n v="166"/>
  </r>
  <r>
    <x v="1"/>
    <x v="10"/>
    <s v="MMR012CMP116"/>
    <x v="5"/>
    <x v="1"/>
    <n v="171"/>
  </r>
  <r>
    <x v="1"/>
    <x v="11"/>
    <s v="MMR012CMP045"/>
    <x v="0"/>
    <x v="0"/>
    <n v="1277"/>
  </r>
  <r>
    <x v="1"/>
    <x v="11"/>
    <s v="MMR012CMP045"/>
    <x v="0"/>
    <x v="1"/>
    <n v="1293"/>
  </r>
  <r>
    <x v="1"/>
    <x v="11"/>
    <s v="MMR012CMP045"/>
    <x v="1"/>
    <x v="0"/>
    <n v="1337"/>
  </r>
  <r>
    <x v="1"/>
    <x v="11"/>
    <s v="MMR012CMP045"/>
    <x v="1"/>
    <x v="1"/>
    <n v="1218"/>
  </r>
  <r>
    <x v="1"/>
    <x v="11"/>
    <s v="MMR012CMP045"/>
    <x v="2"/>
    <x v="0"/>
    <n v="852"/>
  </r>
  <r>
    <x v="1"/>
    <x v="11"/>
    <s v="MMR012CMP045"/>
    <x v="2"/>
    <x v="1"/>
    <n v="844"/>
  </r>
  <r>
    <x v="1"/>
    <x v="11"/>
    <s v="MMR012CMP045"/>
    <x v="3"/>
    <x v="0"/>
    <n v="901"/>
  </r>
  <r>
    <x v="1"/>
    <x v="11"/>
    <s v="MMR012CMP045"/>
    <x v="3"/>
    <x v="1"/>
    <n v="1275"/>
  </r>
  <r>
    <x v="1"/>
    <x v="11"/>
    <s v="MMR012CMP045"/>
    <x v="4"/>
    <x v="0"/>
    <n v="1335"/>
  </r>
  <r>
    <x v="1"/>
    <x v="11"/>
    <s v="MMR012CMP045"/>
    <x v="4"/>
    <x v="1"/>
    <n v="1475"/>
  </r>
  <r>
    <x v="1"/>
    <x v="11"/>
    <s v="MMR012CMP045"/>
    <x v="5"/>
    <x v="0"/>
    <n v="190"/>
  </r>
  <r>
    <x v="1"/>
    <x v="11"/>
    <s v="MMR012CMP045"/>
    <x v="5"/>
    <x v="1"/>
    <n v="180"/>
  </r>
  <r>
    <x v="0"/>
    <x v="12"/>
    <s v="MMR012CMP019"/>
    <x v="0"/>
    <x v="0"/>
    <n v="206"/>
  </r>
  <r>
    <x v="0"/>
    <x v="12"/>
    <s v="MMR012CMP019"/>
    <x v="0"/>
    <x v="1"/>
    <n v="211"/>
  </r>
  <r>
    <x v="0"/>
    <x v="12"/>
    <s v="MMR012CMP019"/>
    <x v="1"/>
    <x v="0"/>
    <n v="198"/>
  </r>
  <r>
    <x v="0"/>
    <x v="12"/>
    <s v="MMR012CMP019"/>
    <x v="1"/>
    <x v="1"/>
    <n v="218"/>
  </r>
  <r>
    <x v="0"/>
    <x v="12"/>
    <s v="MMR012CMP019"/>
    <x v="2"/>
    <x v="0"/>
    <n v="135"/>
  </r>
  <r>
    <x v="0"/>
    <x v="12"/>
    <s v="MMR012CMP019"/>
    <x v="2"/>
    <x v="1"/>
    <n v="139"/>
  </r>
  <r>
    <x v="0"/>
    <x v="12"/>
    <s v="MMR012CMP019"/>
    <x v="3"/>
    <x v="0"/>
    <n v="0"/>
  </r>
  <r>
    <x v="0"/>
    <x v="12"/>
    <s v="MMR012CMP019"/>
    <x v="3"/>
    <x v="1"/>
    <n v="0"/>
  </r>
  <r>
    <x v="0"/>
    <x v="12"/>
    <s v="MMR012CMP019"/>
    <x v="4"/>
    <x v="0"/>
    <n v="575"/>
  </r>
  <r>
    <x v="0"/>
    <x v="12"/>
    <s v="MMR012CMP019"/>
    <x v="4"/>
    <x v="1"/>
    <n v="641"/>
  </r>
  <r>
    <x v="0"/>
    <x v="12"/>
    <s v="MMR012CMP019"/>
    <x v="5"/>
    <x v="0"/>
    <n v="35"/>
  </r>
  <r>
    <x v="0"/>
    <x v="12"/>
    <s v="MMR012CMP019"/>
    <x v="5"/>
    <x v="1"/>
    <n v="47"/>
  </r>
  <r>
    <x v="2"/>
    <x v="13"/>
    <s v="MMR012CMP014"/>
    <x v="0"/>
    <x v="0"/>
    <n v="228"/>
  </r>
  <r>
    <x v="2"/>
    <x v="13"/>
    <s v="MMR012CMP014"/>
    <x v="0"/>
    <x v="1"/>
    <n v="230"/>
  </r>
  <r>
    <x v="2"/>
    <x v="13"/>
    <s v="MMR012CMP014"/>
    <x v="1"/>
    <x v="0"/>
    <n v="238"/>
  </r>
  <r>
    <x v="2"/>
    <x v="13"/>
    <s v="MMR012CMP014"/>
    <x v="1"/>
    <x v="1"/>
    <n v="243"/>
  </r>
  <r>
    <x v="2"/>
    <x v="13"/>
    <s v="MMR012CMP014"/>
    <x v="2"/>
    <x v="0"/>
    <n v="203"/>
  </r>
  <r>
    <x v="2"/>
    <x v="13"/>
    <s v="MMR012CMP014"/>
    <x v="2"/>
    <x v="1"/>
    <n v="207"/>
  </r>
  <r>
    <x v="2"/>
    <x v="13"/>
    <s v="MMR012CMP014"/>
    <x v="3"/>
    <x v="0"/>
    <n v="178"/>
  </r>
  <r>
    <x v="2"/>
    <x v="13"/>
    <s v="MMR012CMP014"/>
    <x v="3"/>
    <x v="1"/>
    <n v="244"/>
  </r>
  <r>
    <x v="2"/>
    <x v="13"/>
    <s v="MMR012CMP014"/>
    <x v="4"/>
    <x v="0"/>
    <n v="341"/>
  </r>
  <r>
    <x v="2"/>
    <x v="13"/>
    <s v="MMR012CMP014"/>
    <x v="4"/>
    <x v="1"/>
    <n v="441"/>
  </r>
  <r>
    <x v="2"/>
    <x v="13"/>
    <s v="MMR012CMP014"/>
    <x v="5"/>
    <x v="0"/>
    <n v="69"/>
  </r>
  <r>
    <x v="2"/>
    <x v="13"/>
    <s v="MMR012CMP014"/>
    <x v="5"/>
    <x v="1"/>
    <n v="57"/>
  </r>
  <r>
    <x v="1"/>
    <x v="14"/>
    <s v="MMR012CMP046"/>
    <x v="0"/>
    <x v="0"/>
    <n v="916"/>
  </r>
  <r>
    <x v="1"/>
    <x v="14"/>
    <s v="MMR012CMP046"/>
    <x v="0"/>
    <x v="1"/>
    <n v="1030"/>
  </r>
  <r>
    <x v="1"/>
    <x v="14"/>
    <s v="MMR012CMP046"/>
    <x v="1"/>
    <x v="0"/>
    <n v="1024"/>
  </r>
  <r>
    <x v="1"/>
    <x v="14"/>
    <s v="MMR012CMP046"/>
    <x v="1"/>
    <x v="1"/>
    <n v="984"/>
  </r>
  <r>
    <x v="1"/>
    <x v="14"/>
    <s v="MMR012CMP046"/>
    <x v="2"/>
    <x v="0"/>
    <n v="958"/>
  </r>
  <r>
    <x v="1"/>
    <x v="14"/>
    <s v="MMR012CMP046"/>
    <x v="2"/>
    <x v="1"/>
    <n v="922"/>
  </r>
  <r>
    <x v="1"/>
    <x v="14"/>
    <s v="MMR012CMP046"/>
    <x v="3"/>
    <x v="0"/>
    <n v="998"/>
  </r>
  <r>
    <x v="1"/>
    <x v="14"/>
    <s v="MMR012CMP046"/>
    <x v="3"/>
    <x v="1"/>
    <n v="1212"/>
  </r>
  <r>
    <x v="1"/>
    <x v="14"/>
    <s v="MMR012CMP046"/>
    <x v="4"/>
    <x v="0"/>
    <n v="1546"/>
  </r>
  <r>
    <x v="1"/>
    <x v="14"/>
    <s v="MMR012CMP046"/>
    <x v="4"/>
    <x v="1"/>
    <n v="1808"/>
  </r>
  <r>
    <x v="1"/>
    <x v="14"/>
    <s v="MMR012CMP046"/>
    <x v="5"/>
    <x v="0"/>
    <n v="200"/>
  </r>
  <r>
    <x v="1"/>
    <x v="14"/>
    <s v="MMR012CMP046"/>
    <x v="5"/>
    <x v="1"/>
    <n v="166"/>
  </r>
  <r>
    <x v="1"/>
    <x v="15"/>
    <s v="MMR012CMP048"/>
    <x v="0"/>
    <x v="0"/>
    <n v="550"/>
  </r>
  <r>
    <x v="1"/>
    <x v="15"/>
    <s v="MMR012CMP048"/>
    <x v="0"/>
    <x v="1"/>
    <n v="534"/>
  </r>
  <r>
    <x v="1"/>
    <x v="15"/>
    <s v="MMR012CMP048"/>
    <x v="1"/>
    <x v="0"/>
    <n v="485"/>
  </r>
  <r>
    <x v="1"/>
    <x v="15"/>
    <s v="MMR012CMP048"/>
    <x v="1"/>
    <x v="1"/>
    <n v="535"/>
  </r>
  <r>
    <x v="1"/>
    <x v="15"/>
    <s v="MMR012CMP048"/>
    <x v="2"/>
    <x v="0"/>
    <n v="438"/>
  </r>
  <r>
    <x v="1"/>
    <x v="15"/>
    <s v="MMR012CMP048"/>
    <x v="2"/>
    <x v="1"/>
    <n v="439"/>
  </r>
  <r>
    <x v="1"/>
    <x v="15"/>
    <s v="MMR012CMP048"/>
    <x v="3"/>
    <x v="0"/>
    <n v="645"/>
  </r>
  <r>
    <x v="1"/>
    <x v="15"/>
    <s v="MMR012CMP048"/>
    <x v="3"/>
    <x v="1"/>
    <n v="460"/>
  </r>
  <r>
    <x v="1"/>
    <x v="15"/>
    <s v="MMR012CMP048"/>
    <x v="4"/>
    <x v="0"/>
    <n v="756"/>
  </r>
  <r>
    <x v="1"/>
    <x v="15"/>
    <s v="MMR012CMP048"/>
    <x v="4"/>
    <x v="1"/>
    <n v="725"/>
  </r>
  <r>
    <x v="1"/>
    <x v="15"/>
    <s v="MMR012CMP048"/>
    <x v="5"/>
    <x v="0"/>
    <n v="134"/>
  </r>
  <r>
    <x v="1"/>
    <x v="15"/>
    <s v="MMR012CMP048"/>
    <x v="5"/>
    <x v="1"/>
    <n v="129"/>
  </r>
  <r>
    <x v="1"/>
    <x v="16"/>
    <s v="MMR012CMP039"/>
    <x v="0"/>
    <x v="0"/>
    <n v="236"/>
  </r>
  <r>
    <x v="1"/>
    <x v="16"/>
    <s v="MMR012CMP039"/>
    <x v="0"/>
    <x v="1"/>
    <n v="208"/>
  </r>
  <r>
    <x v="1"/>
    <x v="16"/>
    <s v="MMR012CMP039"/>
    <x v="1"/>
    <x v="0"/>
    <n v="175"/>
  </r>
  <r>
    <x v="1"/>
    <x v="16"/>
    <s v="MMR012CMP039"/>
    <x v="1"/>
    <x v="1"/>
    <n v="161"/>
  </r>
  <r>
    <x v="1"/>
    <x v="16"/>
    <s v="MMR012CMP039"/>
    <x v="2"/>
    <x v="0"/>
    <n v="147"/>
  </r>
  <r>
    <x v="1"/>
    <x v="16"/>
    <s v="MMR012CMP039"/>
    <x v="2"/>
    <x v="1"/>
    <n v="134"/>
  </r>
  <r>
    <x v="1"/>
    <x v="16"/>
    <s v="MMR012CMP039"/>
    <x v="3"/>
    <x v="0"/>
    <n v="138"/>
  </r>
  <r>
    <x v="1"/>
    <x v="16"/>
    <s v="MMR012CMP039"/>
    <x v="3"/>
    <x v="1"/>
    <n v="218"/>
  </r>
  <r>
    <x v="1"/>
    <x v="16"/>
    <s v="MMR012CMP039"/>
    <x v="4"/>
    <x v="0"/>
    <n v="312"/>
  </r>
  <r>
    <x v="1"/>
    <x v="16"/>
    <s v="MMR012CMP039"/>
    <x v="4"/>
    <x v="1"/>
    <n v="333"/>
  </r>
  <r>
    <x v="1"/>
    <x v="16"/>
    <s v="MMR012CMP039"/>
    <x v="5"/>
    <x v="0"/>
    <n v="51"/>
  </r>
  <r>
    <x v="1"/>
    <x v="16"/>
    <s v="MMR012CMP039"/>
    <x v="5"/>
    <x v="1"/>
    <n v="62"/>
  </r>
</pivotCacheRecords>
</file>

<file path=xl/pivotCache/pivotCacheRecords5.xml><?xml version="1.0" encoding="utf-8"?>
<pivotCacheRecords xmlns="http://schemas.openxmlformats.org/spreadsheetml/2006/main" xmlns:r="http://schemas.openxmlformats.org/officeDocument/2006/relationships" count="204">
  <r>
    <s v="Rakhine"/>
    <x v="0"/>
    <x v="0"/>
    <s v="MMR012CMP016"/>
    <x v="0"/>
    <x v="0"/>
    <n v="392"/>
    <n v="-392"/>
    <s v="LWF"/>
    <d v="2017-03-31T00:00:00"/>
  </r>
  <r>
    <s v="Rakhine"/>
    <x v="0"/>
    <x v="0"/>
    <s v="MMR012CMP016"/>
    <x v="0"/>
    <x v="1"/>
    <n v="465"/>
    <n v="465"/>
    <s v="LWF"/>
    <d v="2017-03-31T00:00:00"/>
  </r>
  <r>
    <s v="Rakhine"/>
    <x v="0"/>
    <x v="0"/>
    <s v="MMR012CMP016"/>
    <x v="1"/>
    <x v="0"/>
    <n v="474"/>
    <n v="-474"/>
    <s v="LWF"/>
    <d v="2017-03-31T00:00:00"/>
  </r>
  <r>
    <s v="Rakhine"/>
    <x v="0"/>
    <x v="0"/>
    <s v="MMR012CMP016"/>
    <x v="1"/>
    <x v="1"/>
    <n v="401"/>
    <n v="401"/>
    <s v="LWF"/>
    <d v="2017-03-31T00:00:00"/>
  </r>
  <r>
    <s v="Rakhine"/>
    <x v="0"/>
    <x v="0"/>
    <s v="MMR012CMP016"/>
    <x v="2"/>
    <x v="0"/>
    <n v="260"/>
    <n v="-260"/>
    <s v="LWF"/>
    <d v="2017-03-31T00:00:00"/>
  </r>
  <r>
    <s v="Rakhine"/>
    <x v="0"/>
    <x v="0"/>
    <s v="MMR012CMP016"/>
    <x v="2"/>
    <x v="1"/>
    <n v="212"/>
    <n v="212"/>
    <s v="LWF"/>
    <d v="2017-03-31T00:00:00"/>
  </r>
  <r>
    <s v="Rakhine"/>
    <x v="0"/>
    <x v="0"/>
    <s v="MMR012CMP016"/>
    <x v="3"/>
    <x v="0"/>
    <n v="338"/>
    <n v="-338"/>
    <s v="LWF"/>
    <d v="2017-03-31T00:00:00"/>
  </r>
  <r>
    <s v="Rakhine"/>
    <x v="0"/>
    <x v="0"/>
    <s v="MMR012CMP016"/>
    <x v="3"/>
    <x v="1"/>
    <n v="530"/>
    <n v="530"/>
    <s v="LWF"/>
    <d v="2017-03-31T00:00:00"/>
  </r>
  <r>
    <s v="Rakhine"/>
    <x v="0"/>
    <x v="0"/>
    <s v="MMR012CMP016"/>
    <x v="4"/>
    <x v="0"/>
    <n v="507"/>
    <n v="-507"/>
    <s v="LWF"/>
    <d v="2017-03-31T00:00:00"/>
  </r>
  <r>
    <s v="Rakhine"/>
    <x v="0"/>
    <x v="0"/>
    <s v="MMR012CMP016"/>
    <x v="4"/>
    <x v="1"/>
    <n v="545"/>
    <n v="545"/>
    <s v="LWF"/>
    <d v="2017-03-31T00:00:00"/>
  </r>
  <r>
    <s v="Rakhine"/>
    <x v="0"/>
    <x v="0"/>
    <s v="MMR012CMP016"/>
    <x v="5"/>
    <x v="0"/>
    <n v="71"/>
    <n v="-71"/>
    <s v="LWF"/>
    <d v="2017-03-31T00:00:00"/>
  </r>
  <r>
    <s v="Rakhine"/>
    <x v="0"/>
    <x v="0"/>
    <s v="MMR012CMP016"/>
    <x v="5"/>
    <x v="1"/>
    <n v="57"/>
    <n v="57"/>
    <s v="LWF"/>
    <d v="2017-03-31T00:00:00"/>
  </r>
  <r>
    <s v="Rakhine"/>
    <x v="1"/>
    <x v="1"/>
    <s v="MMR012CMP113"/>
    <x v="0"/>
    <x v="0"/>
    <n v="395"/>
    <n v="-395"/>
    <s v="DRC"/>
    <d v="2017-03-31T00:00:00"/>
  </r>
  <r>
    <s v="Rakhine"/>
    <x v="1"/>
    <x v="1"/>
    <s v="MMR012CMP113"/>
    <x v="0"/>
    <x v="1"/>
    <n v="419"/>
    <n v="419"/>
    <s v="DRC"/>
    <d v="2017-03-31T00:00:00"/>
  </r>
  <r>
    <s v="Rakhine"/>
    <x v="1"/>
    <x v="1"/>
    <s v="MMR012CMP113"/>
    <x v="1"/>
    <x v="0"/>
    <n v="457"/>
    <n v="-457"/>
    <s v="DRC"/>
    <d v="2017-03-31T00:00:00"/>
  </r>
  <r>
    <s v="Rakhine"/>
    <x v="1"/>
    <x v="1"/>
    <s v="MMR012CMP113"/>
    <x v="1"/>
    <x v="1"/>
    <n v="387"/>
    <n v="387"/>
    <s v="DRC"/>
    <d v="2017-03-31T00:00:00"/>
  </r>
  <r>
    <s v="Rakhine"/>
    <x v="1"/>
    <x v="1"/>
    <s v="MMR012CMP113"/>
    <x v="2"/>
    <x v="0"/>
    <n v="360"/>
    <n v="-360"/>
    <s v="DRC"/>
    <d v="2017-03-31T00:00:00"/>
  </r>
  <r>
    <s v="Rakhine"/>
    <x v="1"/>
    <x v="1"/>
    <s v="MMR012CMP113"/>
    <x v="2"/>
    <x v="1"/>
    <n v="359"/>
    <n v="359"/>
    <s v="DRC"/>
    <d v="2017-03-31T00:00:00"/>
  </r>
  <r>
    <s v="Rakhine"/>
    <x v="1"/>
    <x v="1"/>
    <s v="MMR012CMP113"/>
    <x v="3"/>
    <x v="0"/>
    <n v="417"/>
    <n v="-417"/>
    <s v="DRC"/>
    <d v="2017-03-31T00:00:00"/>
  </r>
  <r>
    <s v="Rakhine"/>
    <x v="1"/>
    <x v="1"/>
    <s v="MMR012CMP113"/>
    <x v="3"/>
    <x v="1"/>
    <n v="513"/>
    <n v="513"/>
    <s v="DRC"/>
    <d v="2017-03-31T00:00:00"/>
  </r>
  <r>
    <s v="Rakhine"/>
    <x v="1"/>
    <x v="1"/>
    <s v="MMR012CMP113"/>
    <x v="4"/>
    <x v="0"/>
    <n v="686"/>
    <n v="-686"/>
    <s v="DRC"/>
    <d v="2017-03-31T00:00:00"/>
  </r>
  <r>
    <s v="Rakhine"/>
    <x v="1"/>
    <x v="1"/>
    <s v="MMR012CMP113"/>
    <x v="4"/>
    <x v="1"/>
    <n v="704"/>
    <n v="704"/>
    <s v="DRC"/>
    <d v="2017-03-31T00:00:00"/>
  </r>
  <r>
    <s v="Rakhine"/>
    <x v="1"/>
    <x v="1"/>
    <s v="MMR012CMP113"/>
    <x v="5"/>
    <x v="0"/>
    <n v="75"/>
    <n v="-75"/>
    <s v="DRC"/>
    <d v="2017-03-31T00:00:00"/>
  </r>
  <r>
    <s v="Rakhine"/>
    <x v="1"/>
    <x v="1"/>
    <s v="MMR012CMP113"/>
    <x v="5"/>
    <x v="1"/>
    <n v="78"/>
    <n v="78"/>
    <s v="DRC"/>
    <d v="2017-03-31T00:00:00"/>
  </r>
  <r>
    <s v="Rakhine"/>
    <x v="1"/>
    <x v="2"/>
    <s v="MMR012CMP114"/>
    <x v="0"/>
    <x v="0"/>
    <n v="699"/>
    <n v="-699"/>
    <s v="DRC"/>
    <d v="2017-03-31T00:00:00"/>
  </r>
  <r>
    <s v="Rakhine"/>
    <x v="1"/>
    <x v="2"/>
    <s v="MMR012CMP114"/>
    <x v="0"/>
    <x v="1"/>
    <n v="686"/>
    <n v="686"/>
    <s v="DRC"/>
    <d v="2017-03-31T00:00:00"/>
  </r>
  <r>
    <s v="Rakhine"/>
    <x v="1"/>
    <x v="2"/>
    <s v="MMR012CMP114"/>
    <x v="1"/>
    <x v="0"/>
    <n v="655"/>
    <n v="-655"/>
    <s v="DRC"/>
    <d v="2017-03-31T00:00:00"/>
  </r>
  <r>
    <s v="Rakhine"/>
    <x v="1"/>
    <x v="2"/>
    <s v="MMR012CMP114"/>
    <x v="1"/>
    <x v="1"/>
    <n v="614"/>
    <n v="614"/>
    <s v="DRC"/>
    <d v="2017-03-31T00:00:00"/>
  </r>
  <r>
    <s v="Rakhine"/>
    <x v="1"/>
    <x v="2"/>
    <s v="MMR012CMP114"/>
    <x v="2"/>
    <x v="0"/>
    <n v="504"/>
    <n v="-504"/>
    <s v="DRC"/>
    <d v="2017-03-31T00:00:00"/>
  </r>
  <r>
    <s v="Rakhine"/>
    <x v="1"/>
    <x v="2"/>
    <s v="MMR012CMP114"/>
    <x v="2"/>
    <x v="1"/>
    <n v="498"/>
    <n v="498"/>
    <s v="DRC"/>
    <d v="2017-03-31T00:00:00"/>
  </r>
  <r>
    <s v="Rakhine"/>
    <x v="1"/>
    <x v="2"/>
    <s v="MMR012CMP114"/>
    <x v="3"/>
    <x v="0"/>
    <n v="631"/>
    <n v="-631"/>
    <s v="DRC"/>
    <d v="2017-03-31T00:00:00"/>
  </r>
  <r>
    <s v="Rakhine"/>
    <x v="1"/>
    <x v="2"/>
    <s v="MMR012CMP114"/>
    <x v="3"/>
    <x v="1"/>
    <n v="766"/>
    <n v="766"/>
    <s v="DRC"/>
    <d v="2017-03-31T00:00:00"/>
  </r>
  <r>
    <s v="Rakhine"/>
    <x v="1"/>
    <x v="2"/>
    <s v="MMR012CMP114"/>
    <x v="4"/>
    <x v="0"/>
    <n v="843"/>
    <n v="-843"/>
    <s v="DRC"/>
    <d v="2017-03-31T00:00:00"/>
  </r>
  <r>
    <s v="Rakhine"/>
    <x v="1"/>
    <x v="2"/>
    <s v="MMR012CMP114"/>
    <x v="4"/>
    <x v="1"/>
    <n v="838"/>
    <n v="838"/>
    <s v="DRC"/>
    <d v="2017-03-31T00:00:00"/>
  </r>
  <r>
    <s v="Rakhine"/>
    <x v="1"/>
    <x v="2"/>
    <s v="MMR012CMP114"/>
    <x v="5"/>
    <x v="0"/>
    <n v="103"/>
    <n v="-103"/>
    <s v="DRC"/>
    <d v="2017-03-31T00:00:00"/>
  </r>
  <r>
    <s v="Rakhine"/>
    <x v="1"/>
    <x v="2"/>
    <s v="MMR012CMP114"/>
    <x v="5"/>
    <x v="1"/>
    <n v="110"/>
    <n v="110"/>
    <s v="DRC"/>
    <d v="2017-03-31T00:00:00"/>
  </r>
  <r>
    <s v="Rakhine"/>
    <x v="1"/>
    <x v="3"/>
    <s v="MMR012CMP041"/>
    <x v="0"/>
    <x v="0"/>
    <n v="652"/>
    <n v="-652"/>
    <s v="DRC"/>
    <d v="2017-03-31T00:00:00"/>
  </r>
  <r>
    <s v="Rakhine"/>
    <x v="1"/>
    <x v="3"/>
    <s v="MMR012CMP041"/>
    <x v="0"/>
    <x v="1"/>
    <n v="708"/>
    <n v="708"/>
    <s v="DRC"/>
    <d v="2017-03-31T00:00:00"/>
  </r>
  <r>
    <s v="Rakhine"/>
    <x v="1"/>
    <x v="3"/>
    <s v="MMR012CMP041"/>
    <x v="1"/>
    <x v="0"/>
    <n v="809"/>
    <n v="-809"/>
    <s v="DRC"/>
    <d v="2017-03-31T00:00:00"/>
  </r>
  <r>
    <s v="Rakhine"/>
    <x v="1"/>
    <x v="3"/>
    <s v="MMR012CMP041"/>
    <x v="1"/>
    <x v="1"/>
    <n v="802"/>
    <n v="802"/>
    <s v="DRC"/>
    <d v="2017-03-31T00:00:00"/>
  </r>
  <r>
    <s v="Rakhine"/>
    <x v="1"/>
    <x v="3"/>
    <s v="MMR012CMP041"/>
    <x v="2"/>
    <x v="0"/>
    <n v="648"/>
    <n v="-648"/>
    <s v="DRC"/>
    <d v="2017-03-31T00:00:00"/>
  </r>
  <r>
    <s v="Rakhine"/>
    <x v="1"/>
    <x v="3"/>
    <s v="MMR012CMP041"/>
    <x v="2"/>
    <x v="1"/>
    <n v="629"/>
    <n v="629"/>
    <s v="DRC"/>
    <d v="2017-03-31T00:00:00"/>
  </r>
  <r>
    <s v="Rakhine"/>
    <x v="1"/>
    <x v="3"/>
    <s v="MMR012CMP041"/>
    <x v="3"/>
    <x v="0"/>
    <n v="727"/>
    <n v="-727"/>
    <s v="DRC"/>
    <d v="2017-03-31T00:00:00"/>
  </r>
  <r>
    <s v="Rakhine"/>
    <x v="1"/>
    <x v="3"/>
    <s v="MMR012CMP041"/>
    <x v="3"/>
    <x v="1"/>
    <n v="876"/>
    <n v="876"/>
    <s v="DRC"/>
    <d v="2017-03-31T00:00:00"/>
  </r>
  <r>
    <s v="Rakhine"/>
    <x v="1"/>
    <x v="3"/>
    <s v="MMR012CMP041"/>
    <x v="4"/>
    <x v="0"/>
    <n v="971"/>
    <n v="-971"/>
    <s v="DRC"/>
    <d v="2017-03-31T00:00:00"/>
  </r>
  <r>
    <s v="Rakhine"/>
    <x v="1"/>
    <x v="3"/>
    <s v="MMR012CMP041"/>
    <x v="4"/>
    <x v="1"/>
    <n v="1050"/>
    <n v="1050"/>
    <s v="DRC"/>
    <d v="2017-03-31T00:00:00"/>
  </r>
  <r>
    <s v="Rakhine"/>
    <x v="1"/>
    <x v="3"/>
    <s v="MMR012CMP041"/>
    <x v="5"/>
    <x v="0"/>
    <n v="151"/>
    <n v="-151"/>
    <s v="DRC"/>
    <d v="2017-03-31T00:00:00"/>
  </r>
  <r>
    <s v="Rakhine"/>
    <x v="1"/>
    <x v="3"/>
    <s v="MMR012CMP041"/>
    <x v="5"/>
    <x v="1"/>
    <n v="159"/>
    <n v="159"/>
    <s v="DRC"/>
    <d v="2017-03-31T00:00:00"/>
  </r>
  <r>
    <s v="Rakhine"/>
    <x v="1"/>
    <x v="4"/>
    <s v="MMR012CMP042"/>
    <x v="0"/>
    <x v="0"/>
    <n v="418"/>
    <n v="-418"/>
    <s v="LWF"/>
    <d v="2017-03-31T00:00:00"/>
  </r>
  <r>
    <s v="Rakhine"/>
    <x v="1"/>
    <x v="4"/>
    <s v="MMR012CMP042"/>
    <x v="0"/>
    <x v="1"/>
    <n v="459"/>
    <n v="459"/>
    <s v="LWF"/>
    <d v="2017-03-31T00:00:00"/>
  </r>
  <r>
    <s v="Rakhine"/>
    <x v="1"/>
    <x v="4"/>
    <s v="MMR012CMP042"/>
    <x v="1"/>
    <x v="0"/>
    <n v="396"/>
    <n v="-396"/>
    <s v="LWF"/>
    <d v="2017-03-31T00:00:00"/>
  </r>
  <r>
    <s v="Rakhine"/>
    <x v="1"/>
    <x v="4"/>
    <s v="MMR012CMP042"/>
    <x v="1"/>
    <x v="1"/>
    <n v="356"/>
    <n v="356"/>
    <s v="LWF"/>
    <d v="2017-03-31T00:00:00"/>
  </r>
  <r>
    <s v="Rakhine"/>
    <x v="1"/>
    <x v="4"/>
    <s v="MMR012CMP042"/>
    <x v="2"/>
    <x v="0"/>
    <n v="345"/>
    <n v="-345"/>
    <s v="LWF"/>
    <d v="2017-03-31T00:00:00"/>
  </r>
  <r>
    <s v="Rakhine"/>
    <x v="1"/>
    <x v="4"/>
    <s v="MMR012CMP042"/>
    <x v="2"/>
    <x v="1"/>
    <n v="297"/>
    <n v="297"/>
    <s v="LWF"/>
    <d v="2017-03-31T00:00:00"/>
  </r>
  <r>
    <s v="Rakhine"/>
    <x v="1"/>
    <x v="4"/>
    <s v="MMR012CMP042"/>
    <x v="3"/>
    <x v="0"/>
    <n v="301"/>
    <n v="-301"/>
    <s v="LWF"/>
    <d v="2017-03-31T00:00:00"/>
  </r>
  <r>
    <s v="Rakhine"/>
    <x v="1"/>
    <x v="4"/>
    <s v="MMR012CMP042"/>
    <x v="3"/>
    <x v="1"/>
    <n v="473"/>
    <n v="473"/>
    <s v="LWF"/>
    <d v="2017-03-31T00:00:00"/>
  </r>
  <r>
    <s v="Rakhine"/>
    <x v="1"/>
    <x v="4"/>
    <s v="MMR012CMP042"/>
    <x v="4"/>
    <x v="0"/>
    <n v="608"/>
    <n v="-608"/>
    <s v="LWF"/>
    <d v="2017-03-31T00:00:00"/>
  </r>
  <r>
    <s v="Rakhine"/>
    <x v="1"/>
    <x v="4"/>
    <s v="MMR012CMP042"/>
    <x v="4"/>
    <x v="1"/>
    <n v="607"/>
    <n v="607"/>
    <s v="LWF"/>
    <d v="2017-03-31T00:00:00"/>
  </r>
  <r>
    <s v="Rakhine"/>
    <x v="1"/>
    <x v="4"/>
    <s v="MMR012CMP042"/>
    <x v="5"/>
    <x v="0"/>
    <n v="65"/>
    <n v="-65"/>
    <s v="LWF"/>
    <d v="2017-03-31T00:00:00"/>
  </r>
  <r>
    <s v="Rakhine"/>
    <x v="1"/>
    <x v="4"/>
    <s v="MMR012CMP042"/>
    <x v="5"/>
    <x v="1"/>
    <n v="79"/>
    <n v="79"/>
    <s v="LWF"/>
    <d v="2017-03-31T00:00:00"/>
  </r>
  <r>
    <s v="Rakhine"/>
    <x v="0"/>
    <x v="5"/>
    <s v="MMR012CMP018"/>
    <x v="0"/>
    <x v="0"/>
    <n v="612"/>
    <n v="-612"/>
    <s v="DRC"/>
    <d v="2017-03-31T00:00:00"/>
  </r>
  <r>
    <s v="Rakhine"/>
    <x v="0"/>
    <x v="5"/>
    <s v="MMR012CMP018"/>
    <x v="0"/>
    <x v="1"/>
    <n v="589"/>
    <n v="589"/>
    <s v="DRC"/>
    <d v="2017-03-31T00:00:00"/>
  </r>
  <r>
    <s v="Rakhine"/>
    <x v="0"/>
    <x v="5"/>
    <s v="MMR012CMP018"/>
    <x v="1"/>
    <x v="0"/>
    <n v="456"/>
    <n v="-456"/>
    <s v="DRC"/>
    <d v="2017-03-31T00:00:00"/>
  </r>
  <r>
    <s v="Rakhine"/>
    <x v="0"/>
    <x v="5"/>
    <s v="MMR012CMP018"/>
    <x v="1"/>
    <x v="1"/>
    <n v="523"/>
    <n v="523"/>
    <s v="DRC"/>
    <d v="2017-03-31T00:00:00"/>
  </r>
  <r>
    <s v="Rakhine"/>
    <x v="0"/>
    <x v="5"/>
    <s v="MMR012CMP018"/>
    <x v="2"/>
    <x v="0"/>
    <n v="355"/>
    <n v="-355"/>
    <s v="DRC"/>
    <d v="2017-03-31T00:00:00"/>
  </r>
  <r>
    <s v="Rakhine"/>
    <x v="0"/>
    <x v="5"/>
    <s v="MMR012CMP018"/>
    <x v="2"/>
    <x v="1"/>
    <n v="297"/>
    <n v="297"/>
    <s v="DRC"/>
    <d v="2017-03-31T00:00:00"/>
  </r>
  <r>
    <s v="Rakhine"/>
    <x v="0"/>
    <x v="5"/>
    <s v="MMR012CMP018"/>
    <x v="3"/>
    <x v="0"/>
    <n v="345"/>
    <n v="-345"/>
    <s v="DRC"/>
    <d v="2017-03-31T00:00:00"/>
  </r>
  <r>
    <s v="Rakhine"/>
    <x v="0"/>
    <x v="5"/>
    <s v="MMR012CMP018"/>
    <x v="3"/>
    <x v="1"/>
    <n v="482"/>
    <n v="482"/>
    <s v="DRC"/>
    <d v="2017-03-31T00:00:00"/>
  </r>
  <r>
    <s v="Rakhine"/>
    <x v="0"/>
    <x v="5"/>
    <s v="MMR012CMP018"/>
    <x v="4"/>
    <x v="0"/>
    <n v="599"/>
    <n v="-599"/>
    <s v="DRC"/>
    <d v="2017-03-31T00:00:00"/>
  </r>
  <r>
    <s v="Rakhine"/>
    <x v="0"/>
    <x v="5"/>
    <s v="MMR012CMP018"/>
    <x v="4"/>
    <x v="1"/>
    <n v="602"/>
    <n v="602"/>
    <s v="DRC"/>
    <d v="2017-03-31T00:00:00"/>
  </r>
  <r>
    <s v="Rakhine"/>
    <x v="0"/>
    <x v="5"/>
    <s v="MMR012CMP018"/>
    <x v="5"/>
    <x v="0"/>
    <n v="104"/>
    <n v="-104"/>
    <s v="DRC"/>
    <d v="2017-03-31T00:00:00"/>
  </r>
  <r>
    <s v="Rakhine"/>
    <x v="0"/>
    <x v="5"/>
    <s v="MMR012CMP018"/>
    <x v="5"/>
    <x v="1"/>
    <n v="96"/>
    <n v="96"/>
    <s v="DRC"/>
    <d v="2017-03-31T00:00:00"/>
  </r>
  <r>
    <s v="Rakhine"/>
    <x v="1"/>
    <x v="6"/>
    <s v="MMR012CMP092"/>
    <x v="0"/>
    <x v="0"/>
    <n v="328"/>
    <n v="-328"/>
    <s v="NRC"/>
    <d v="2017-03-31T00:00:00"/>
  </r>
  <r>
    <s v="Rakhine"/>
    <x v="1"/>
    <x v="6"/>
    <s v="MMR012CMP092"/>
    <x v="0"/>
    <x v="1"/>
    <n v="308"/>
    <n v="308"/>
    <s v="NRC"/>
    <d v="2017-03-31T00:00:00"/>
  </r>
  <r>
    <s v="Rakhine"/>
    <x v="1"/>
    <x v="6"/>
    <s v="MMR012CMP092"/>
    <x v="1"/>
    <x v="0"/>
    <n v="295"/>
    <n v="-295"/>
    <s v="NRC"/>
    <d v="2017-03-31T00:00:00"/>
  </r>
  <r>
    <s v="Rakhine"/>
    <x v="1"/>
    <x v="6"/>
    <s v="MMR012CMP092"/>
    <x v="1"/>
    <x v="1"/>
    <n v="285"/>
    <n v="285"/>
    <s v="NRC"/>
    <d v="2017-03-31T00:00:00"/>
  </r>
  <r>
    <s v="Rakhine"/>
    <x v="1"/>
    <x v="6"/>
    <s v="MMR012CMP092"/>
    <x v="2"/>
    <x v="0"/>
    <n v="236"/>
    <n v="-236"/>
    <s v="NRC"/>
    <d v="2017-03-31T00:00:00"/>
  </r>
  <r>
    <s v="Rakhine"/>
    <x v="1"/>
    <x v="6"/>
    <s v="MMR012CMP092"/>
    <x v="2"/>
    <x v="1"/>
    <n v="271"/>
    <n v="271"/>
    <s v="NRC"/>
    <d v="2017-03-31T00:00:00"/>
  </r>
  <r>
    <s v="Rakhine"/>
    <x v="1"/>
    <x v="6"/>
    <s v="MMR012CMP092"/>
    <x v="3"/>
    <x v="0"/>
    <n v="382"/>
    <n v="-382"/>
    <s v="NRC"/>
    <d v="2017-03-31T00:00:00"/>
  </r>
  <r>
    <s v="Rakhine"/>
    <x v="1"/>
    <x v="6"/>
    <s v="MMR012CMP092"/>
    <x v="3"/>
    <x v="1"/>
    <n v="285"/>
    <n v="285"/>
    <s v="NRC"/>
    <d v="2017-03-31T00:00:00"/>
  </r>
  <r>
    <s v="Rakhine"/>
    <x v="1"/>
    <x v="6"/>
    <s v="MMR012CMP092"/>
    <x v="4"/>
    <x v="0"/>
    <n v="445"/>
    <n v="-445"/>
    <s v="NRC"/>
    <d v="2017-03-31T00:00:00"/>
  </r>
  <r>
    <s v="Rakhine"/>
    <x v="1"/>
    <x v="6"/>
    <s v="MMR012CMP092"/>
    <x v="4"/>
    <x v="1"/>
    <n v="436"/>
    <n v="436"/>
    <s v="NRC"/>
    <d v="2017-03-31T00:00:00"/>
  </r>
  <r>
    <s v="Rakhine"/>
    <x v="1"/>
    <x v="6"/>
    <s v="MMR012CMP092"/>
    <x v="5"/>
    <x v="0"/>
    <n v="80"/>
    <n v="-80"/>
    <s v="NRC"/>
    <d v="2017-03-31T00:00:00"/>
  </r>
  <r>
    <s v="Rakhine"/>
    <x v="1"/>
    <x v="6"/>
    <s v="MMR012CMP092"/>
    <x v="5"/>
    <x v="1"/>
    <n v="72"/>
    <n v="72"/>
    <s v="NRC"/>
    <d v="2017-03-31T00:00:00"/>
  </r>
  <r>
    <s v="Rakhine"/>
    <x v="0"/>
    <x v="7"/>
    <s v="MMR012CMP017"/>
    <x v="0"/>
    <x v="0"/>
    <n v="459"/>
    <n v="-459"/>
    <s v="LWF"/>
    <d v="2017-03-31T00:00:00"/>
  </r>
  <r>
    <s v="Rakhine"/>
    <x v="0"/>
    <x v="7"/>
    <s v="MMR012CMP017"/>
    <x v="0"/>
    <x v="1"/>
    <n v="553"/>
    <n v="553"/>
    <s v="LWF"/>
    <d v="2017-03-31T00:00:00"/>
  </r>
  <r>
    <s v="Rakhine"/>
    <x v="0"/>
    <x v="7"/>
    <s v="MMR012CMP017"/>
    <x v="1"/>
    <x v="0"/>
    <n v="373"/>
    <n v="-373"/>
    <s v="LWF"/>
    <d v="2017-03-31T00:00:00"/>
  </r>
  <r>
    <s v="Rakhine"/>
    <x v="0"/>
    <x v="7"/>
    <s v="MMR012CMP017"/>
    <x v="1"/>
    <x v="1"/>
    <n v="329"/>
    <n v="329"/>
    <s v="LWF"/>
    <d v="2017-03-31T00:00:00"/>
  </r>
  <r>
    <s v="Rakhine"/>
    <x v="0"/>
    <x v="7"/>
    <s v="MMR012CMP017"/>
    <x v="2"/>
    <x v="0"/>
    <n v="222"/>
    <n v="-222"/>
    <s v="LWF"/>
    <d v="2017-03-31T00:00:00"/>
  </r>
  <r>
    <s v="Rakhine"/>
    <x v="0"/>
    <x v="7"/>
    <s v="MMR012CMP017"/>
    <x v="2"/>
    <x v="1"/>
    <n v="207"/>
    <n v="207"/>
    <s v="LWF"/>
    <d v="2017-03-31T00:00:00"/>
  </r>
  <r>
    <s v="Rakhine"/>
    <x v="0"/>
    <x v="7"/>
    <s v="MMR012CMP017"/>
    <x v="3"/>
    <x v="0"/>
    <n v="323"/>
    <n v="-323"/>
    <s v="LWF"/>
    <d v="2017-03-31T00:00:00"/>
  </r>
  <r>
    <s v="Rakhine"/>
    <x v="0"/>
    <x v="7"/>
    <s v="MMR012CMP017"/>
    <x v="3"/>
    <x v="1"/>
    <n v="449"/>
    <n v="449"/>
    <s v="LWF"/>
    <d v="2017-03-31T00:00:00"/>
  </r>
  <r>
    <s v="Rakhine"/>
    <x v="0"/>
    <x v="7"/>
    <s v="MMR012CMP017"/>
    <x v="4"/>
    <x v="0"/>
    <n v="438"/>
    <n v="-438"/>
    <s v="LWF"/>
    <d v="2017-03-31T00:00:00"/>
  </r>
  <r>
    <s v="Rakhine"/>
    <x v="0"/>
    <x v="7"/>
    <s v="MMR012CMP017"/>
    <x v="4"/>
    <x v="1"/>
    <n v="347"/>
    <n v="347"/>
    <s v="LWF"/>
    <d v="2017-03-31T00:00:00"/>
  </r>
  <r>
    <s v="Rakhine"/>
    <x v="0"/>
    <x v="7"/>
    <s v="MMR012CMP017"/>
    <x v="5"/>
    <x v="0"/>
    <n v="84"/>
    <n v="-84"/>
    <s v="LWF"/>
    <d v="2017-03-31T00:00:00"/>
  </r>
  <r>
    <s v="Rakhine"/>
    <x v="0"/>
    <x v="7"/>
    <s v="MMR012CMP017"/>
    <x v="5"/>
    <x v="1"/>
    <n v="65"/>
    <n v="65"/>
    <s v="LWF"/>
    <d v="2017-03-31T00:00:00"/>
  </r>
  <r>
    <s v="Rakhine"/>
    <x v="1"/>
    <x v="8"/>
    <s v="MMR012CMP098"/>
    <x v="0"/>
    <x v="0"/>
    <n v="352"/>
    <n v="-352"/>
    <s v="DRC"/>
    <d v="2017-03-31T00:00:00"/>
  </r>
  <r>
    <s v="Rakhine"/>
    <x v="1"/>
    <x v="8"/>
    <s v="MMR012CMP098"/>
    <x v="0"/>
    <x v="1"/>
    <n v="415"/>
    <n v="415"/>
    <s v="DRC"/>
    <d v="2017-03-31T00:00:00"/>
  </r>
  <r>
    <s v="Rakhine"/>
    <x v="1"/>
    <x v="8"/>
    <s v="MMR012CMP098"/>
    <x v="1"/>
    <x v="0"/>
    <n v="429"/>
    <n v="-429"/>
    <s v="DRC"/>
    <d v="2017-03-31T00:00:00"/>
  </r>
  <r>
    <s v="Rakhine"/>
    <x v="1"/>
    <x v="8"/>
    <s v="MMR012CMP098"/>
    <x v="1"/>
    <x v="1"/>
    <n v="365"/>
    <n v="365"/>
    <s v="DRC"/>
    <d v="2017-03-31T00:00:00"/>
  </r>
  <r>
    <s v="Rakhine"/>
    <x v="1"/>
    <x v="8"/>
    <s v="MMR012CMP098"/>
    <x v="2"/>
    <x v="0"/>
    <n v="259"/>
    <n v="-259"/>
    <s v="DRC"/>
    <d v="2017-03-31T00:00:00"/>
  </r>
  <r>
    <s v="Rakhine"/>
    <x v="1"/>
    <x v="8"/>
    <s v="MMR012CMP098"/>
    <x v="2"/>
    <x v="1"/>
    <n v="224"/>
    <n v="224"/>
    <s v="DRC"/>
    <d v="2017-03-31T00:00:00"/>
  </r>
  <r>
    <s v="Rakhine"/>
    <x v="1"/>
    <x v="8"/>
    <s v="MMR012CMP098"/>
    <x v="3"/>
    <x v="0"/>
    <n v="243"/>
    <n v="-243"/>
    <s v="DRC"/>
    <d v="2017-03-31T00:00:00"/>
  </r>
  <r>
    <s v="Rakhine"/>
    <x v="1"/>
    <x v="8"/>
    <s v="MMR012CMP098"/>
    <x v="3"/>
    <x v="1"/>
    <n v="291"/>
    <n v="291"/>
    <s v="DRC"/>
    <d v="2017-03-31T00:00:00"/>
  </r>
  <r>
    <s v="Rakhine"/>
    <x v="1"/>
    <x v="8"/>
    <s v="MMR012CMP098"/>
    <x v="4"/>
    <x v="0"/>
    <n v="364"/>
    <n v="-364"/>
    <s v="DRC"/>
    <d v="2017-03-31T00:00:00"/>
  </r>
  <r>
    <s v="Rakhine"/>
    <x v="1"/>
    <x v="8"/>
    <s v="MMR012CMP098"/>
    <x v="4"/>
    <x v="1"/>
    <n v="375"/>
    <n v="375"/>
    <s v="DRC"/>
    <d v="2017-03-31T00:00:00"/>
  </r>
  <r>
    <s v="Rakhine"/>
    <x v="1"/>
    <x v="8"/>
    <s v="MMR012CMP098"/>
    <x v="5"/>
    <x v="0"/>
    <n v="45"/>
    <n v="-45"/>
    <s v="DRC"/>
    <d v="2017-03-31T00:00:00"/>
  </r>
  <r>
    <s v="Rakhine"/>
    <x v="1"/>
    <x v="8"/>
    <s v="MMR012CMP098"/>
    <x v="5"/>
    <x v="1"/>
    <n v="27"/>
    <n v="27"/>
    <s v="DRC"/>
    <d v="2017-03-31T00:00:00"/>
  </r>
  <r>
    <s v="Rakhine"/>
    <x v="1"/>
    <x v="9"/>
    <s v="MMR012CMP115"/>
    <x v="0"/>
    <x v="0"/>
    <n v="1479"/>
    <n v="-1479"/>
    <s v="DRC"/>
    <d v="2017-03-31T00:00:00"/>
  </r>
  <r>
    <s v="Rakhine"/>
    <x v="1"/>
    <x v="9"/>
    <s v="MMR012CMP115"/>
    <x v="0"/>
    <x v="1"/>
    <n v="1429"/>
    <n v="1429"/>
    <s v="DRC"/>
    <d v="2017-03-31T00:00:00"/>
  </r>
  <r>
    <s v="Rakhine"/>
    <x v="1"/>
    <x v="9"/>
    <s v="MMR012CMP115"/>
    <x v="1"/>
    <x v="0"/>
    <n v="1461"/>
    <n v="-1461"/>
    <s v="DRC"/>
    <d v="2017-03-31T00:00:00"/>
  </r>
  <r>
    <s v="Rakhine"/>
    <x v="1"/>
    <x v="9"/>
    <s v="MMR012CMP115"/>
    <x v="1"/>
    <x v="1"/>
    <n v="1300"/>
    <n v="1300"/>
    <s v="DRC"/>
    <d v="2017-03-31T00:00:00"/>
  </r>
  <r>
    <s v="Rakhine"/>
    <x v="1"/>
    <x v="9"/>
    <s v="MMR012CMP115"/>
    <x v="2"/>
    <x v="0"/>
    <n v="1004"/>
    <n v="-1004"/>
    <s v="DRC"/>
    <d v="2017-03-31T00:00:00"/>
  </r>
  <r>
    <s v="Rakhine"/>
    <x v="1"/>
    <x v="9"/>
    <s v="MMR012CMP115"/>
    <x v="2"/>
    <x v="1"/>
    <n v="907"/>
    <n v="907"/>
    <s v="DRC"/>
    <d v="2017-03-31T00:00:00"/>
  </r>
  <r>
    <s v="Rakhine"/>
    <x v="1"/>
    <x v="9"/>
    <s v="MMR012CMP115"/>
    <x v="3"/>
    <x v="0"/>
    <n v="1034"/>
    <n v="-1034"/>
    <s v="DRC"/>
    <d v="2017-03-31T00:00:00"/>
  </r>
  <r>
    <s v="Rakhine"/>
    <x v="1"/>
    <x v="9"/>
    <s v="MMR012CMP115"/>
    <x v="3"/>
    <x v="1"/>
    <n v="1495"/>
    <n v="1495"/>
    <s v="DRC"/>
    <d v="2017-03-31T00:00:00"/>
  </r>
  <r>
    <s v="Rakhine"/>
    <x v="1"/>
    <x v="9"/>
    <s v="MMR012CMP115"/>
    <x v="4"/>
    <x v="0"/>
    <n v="1406"/>
    <n v="-1406"/>
    <s v="DRC"/>
    <d v="2017-03-31T00:00:00"/>
  </r>
  <r>
    <s v="Rakhine"/>
    <x v="1"/>
    <x v="9"/>
    <s v="MMR012CMP115"/>
    <x v="4"/>
    <x v="1"/>
    <n v="1562"/>
    <n v="1562"/>
    <s v="DRC"/>
    <d v="2017-03-31T00:00:00"/>
  </r>
  <r>
    <s v="Rakhine"/>
    <x v="1"/>
    <x v="9"/>
    <s v="MMR012CMP115"/>
    <x v="5"/>
    <x v="0"/>
    <n v="259"/>
    <n v="-259"/>
    <s v="DRC"/>
    <d v="2017-03-31T00:00:00"/>
  </r>
  <r>
    <s v="Rakhine"/>
    <x v="1"/>
    <x v="9"/>
    <s v="MMR012CMP115"/>
    <x v="5"/>
    <x v="1"/>
    <n v="319"/>
    <n v="319"/>
    <s v="DRC"/>
    <d v="2017-03-31T00:00:00"/>
  </r>
  <r>
    <s v="Rakhine"/>
    <x v="1"/>
    <x v="10"/>
    <s v="MMR012CMP116"/>
    <x v="0"/>
    <x v="0"/>
    <n v="1298"/>
    <n v="-1298"/>
    <s v="LWF"/>
    <d v="2017-03-31T00:00:00"/>
  </r>
  <r>
    <s v="Rakhine"/>
    <x v="1"/>
    <x v="10"/>
    <s v="MMR012CMP116"/>
    <x v="0"/>
    <x v="1"/>
    <n v="1251"/>
    <n v="1251"/>
    <s v="LWF"/>
    <d v="2017-03-31T00:00:00"/>
  </r>
  <r>
    <s v="Rakhine"/>
    <x v="1"/>
    <x v="10"/>
    <s v="MMR012CMP116"/>
    <x v="1"/>
    <x v="0"/>
    <n v="1239"/>
    <n v="-1239"/>
    <s v="LWF"/>
    <d v="2017-03-31T00:00:00"/>
  </r>
  <r>
    <s v="Rakhine"/>
    <x v="1"/>
    <x v="10"/>
    <s v="MMR012CMP116"/>
    <x v="1"/>
    <x v="1"/>
    <n v="1110"/>
    <n v="1110"/>
    <s v="LWF"/>
    <d v="2017-03-31T00:00:00"/>
  </r>
  <r>
    <s v="Rakhine"/>
    <x v="1"/>
    <x v="10"/>
    <s v="MMR012CMP116"/>
    <x v="2"/>
    <x v="0"/>
    <n v="852"/>
    <n v="-852"/>
    <s v="LWF"/>
    <d v="2017-03-31T00:00:00"/>
  </r>
  <r>
    <s v="Rakhine"/>
    <x v="1"/>
    <x v="10"/>
    <s v="MMR012CMP116"/>
    <x v="2"/>
    <x v="1"/>
    <n v="816"/>
    <n v="816"/>
    <s v="LWF"/>
    <d v="2017-03-31T00:00:00"/>
  </r>
  <r>
    <s v="Rakhine"/>
    <x v="1"/>
    <x v="10"/>
    <s v="MMR012CMP116"/>
    <x v="3"/>
    <x v="0"/>
    <n v="734"/>
    <n v="-734"/>
    <s v="LWF"/>
    <d v="2017-03-31T00:00:00"/>
  </r>
  <r>
    <s v="Rakhine"/>
    <x v="1"/>
    <x v="10"/>
    <s v="MMR012CMP116"/>
    <x v="3"/>
    <x v="1"/>
    <n v="1089"/>
    <n v="1089"/>
    <s v="LWF"/>
    <d v="2017-03-31T00:00:00"/>
  </r>
  <r>
    <s v="Rakhine"/>
    <x v="1"/>
    <x v="10"/>
    <s v="MMR012CMP116"/>
    <x v="4"/>
    <x v="0"/>
    <n v="1338"/>
    <n v="-1338"/>
    <s v="LWF"/>
    <d v="2017-03-31T00:00:00"/>
  </r>
  <r>
    <s v="Rakhine"/>
    <x v="1"/>
    <x v="10"/>
    <s v="MMR012CMP116"/>
    <x v="4"/>
    <x v="1"/>
    <n v="1522"/>
    <n v="1522"/>
    <s v="LWF"/>
    <d v="2017-03-31T00:00:00"/>
  </r>
  <r>
    <s v="Rakhine"/>
    <x v="1"/>
    <x v="10"/>
    <s v="MMR012CMP116"/>
    <x v="5"/>
    <x v="0"/>
    <n v="166"/>
    <n v="-166"/>
    <s v="LWF"/>
    <d v="2017-03-31T00:00:00"/>
  </r>
  <r>
    <s v="Rakhine"/>
    <x v="1"/>
    <x v="10"/>
    <s v="MMR012CMP116"/>
    <x v="5"/>
    <x v="1"/>
    <n v="171"/>
    <n v="171"/>
    <s v="LWF"/>
    <d v="2017-03-31T00:00:00"/>
  </r>
  <r>
    <s v="Rakhine"/>
    <x v="1"/>
    <x v="11"/>
    <s v="MMR012CMP045"/>
    <x v="0"/>
    <x v="0"/>
    <n v="1277"/>
    <n v="-1277"/>
    <s v="DRC"/>
    <d v="2017-03-31T00:00:00"/>
  </r>
  <r>
    <s v="Rakhine"/>
    <x v="1"/>
    <x v="11"/>
    <s v="MMR012CMP045"/>
    <x v="0"/>
    <x v="1"/>
    <n v="1293"/>
    <n v="1293"/>
    <s v="DRC"/>
    <d v="2017-03-31T00:00:00"/>
  </r>
  <r>
    <s v="Rakhine"/>
    <x v="1"/>
    <x v="11"/>
    <s v="MMR012CMP045"/>
    <x v="1"/>
    <x v="0"/>
    <n v="1337"/>
    <n v="-1337"/>
    <s v="DRC"/>
    <d v="2017-03-31T00:00:00"/>
  </r>
  <r>
    <s v="Rakhine"/>
    <x v="1"/>
    <x v="11"/>
    <s v="MMR012CMP045"/>
    <x v="1"/>
    <x v="1"/>
    <n v="1218"/>
    <n v="1218"/>
    <s v="DRC"/>
    <d v="2017-03-31T00:00:00"/>
  </r>
  <r>
    <s v="Rakhine"/>
    <x v="1"/>
    <x v="11"/>
    <s v="MMR012CMP045"/>
    <x v="2"/>
    <x v="0"/>
    <n v="852"/>
    <n v="-852"/>
    <s v="DRC"/>
    <d v="2017-03-31T00:00:00"/>
  </r>
  <r>
    <s v="Rakhine"/>
    <x v="1"/>
    <x v="11"/>
    <s v="MMR012CMP045"/>
    <x v="2"/>
    <x v="1"/>
    <n v="844"/>
    <n v="844"/>
    <s v="DRC"/>
    <d v="2017-03-31T00:00:00"/>
  </r>
  <r>
    <s v="Rakhine"/>
    <x v="1"/>
    <x v="11"/>
    <s v="MMR012CMP045"/>
    <x v="3"/>
    <x v="0"/>
    <n v="901"/>
    <n v="-901"/>
    <s v="DRC"/>
    <d v="2017-03-31T00:00:00"/>
  </r>
  <r>
    <s v="Rakhine"/>
    <x v="1"/>
    <x v="11"/>
    <s v="MMR012CMP045"/>
    <x v="3"/>
    <x v="1"/>
    <n v="1275"/>
    <n v="1275"/>
    <s v="DRC"/>
    <d v="2017-03-31T00:00:00"/>
  </r>
  <r>
    <s v="Rakhine"/>
    <x v="1"/>
    <x v="11"/>
    <s v="MMR012CMP045"/>
    <x v="4"/>
    <x v="0"/>
    <n v="1335"/>
    <n v="-1335"/>
    <s v="DRC"/>
    <d v="2017-03-31T00:00:00"/>
  </r>
  <r>
    <s v="Rakhine"/>
    <x v="1"/>
    <x v="11"/>
    <s v="MMR012CMP045"/>
    <x v="4"/>
    <x v="1"/>
    <n v="1475"/>
    <n v="1475"/>
    <s v="DRC"/>
    <d v="2017-03-31T00:00:00"/>
  </r>
  <r>
    <s v="Rakhine"/>
    <x v="1"/>
    <x v="11"/>
    <s v="MMR012CMP045"/>
    <x v="5"/>
    <x v="0"/>
    <n v="190"/>
    <n v="-190"/>
    <s v="DRC"/>
    <d v="2017-03-31T00:00:00"/>
  </r>
  <r>
    <s v="Rakhine"/>
    <x v="1"/>
    <x v="11"/>
    <s v="MMR012CMP045"/>
    <x v="5"/>
    <x v="1"/>
    <n v="180"/>
    <n v="180"/>
    <s v="DRC"/>
    <d v="2017-03-31T00:00:00"/>
  </r>
  <r>
    <s v="Rakhine"/>
    <x v="0"/>
    <x v="12"/>
    <s v="MMR012CMP019"/>
    <x v="0"/>
    <x v="0"/>
    <n v="206"/>
    <n v="-206"/>
    <s v="DRC"/>
    <d v="2017-03-31T00:00:00"/>
  </r>
  <r>
    <s v="Rakhine"/>
    <x v="0"/>
    <x v="12"/>
    <s v="MMR012CMP019"/>
    <x v="0"/>
    <x v="1"/>
    <n v="211"/>
    <n v="211"/>
    <s v="DRC"/>
    <d v="2017-03-31T00:00:00"/>
  </r>
  <r>
    <s v="Rakhine"/>
    <x v="0"/>
    <x v="12"/>
    <s v="MMR012CMP019"/>
    <x v="1"/>
    <x v="0"/>
    <n v="198"/>
    <n v="-198"/>
    <s v="DRC"/>
    <d v="2017-03-31T00:00:00"/>
  </r>
  <r>
    <s v="Rakhine"/>
    <x v="0"/>
    <x v="12"/>
    <s v="MMR012CMP019"/>
    <x v="1"/>
    <x v="1"/>
    <n v="218"/>
    <n v="218"/>
    <s v="DRC"/>
    <d v="2017-03-31T00:00:00"/>
  </r>
  <r>
    <s v="Rakhine"/>
    <x v="0"/>
    <x v="12"/>
    <s v="MMR012CMP019"/>
    <x v="2"/>
    <x v="0"/>
    <n v="135"/>
    <n v="-135"/>
    <s v="DRC"/>
    <d v="2017-03-31T00:00:00"/>
  </r>
  <r>
    <s v="Rakhine"/>
    <x v="0"/>
    <x v="12"/>
    <s v="MMR012CMP019"/>
    <x v="2"/>
    <x v="1"/>
    <n v="139"/>
    <n v="139"/>
    <s v="DRC"/>
    <d v="2017-03-31T00:00:00"/>
  </r>
  <r>
    <s v="Rakhine"/>
    <x v="0"/>
    <x v="12"/>
    <s v="MMR012CMP019"/>
    <x v="3"/>
    <x v="0"/>
    <n v="0"/>
    <n v="0"/>
    <s v="DRC"/>
    <d v="2017-03-31T00:00:00"/>
  </r>
  <r>
    <s v="Rakhine"/>
    <x v="0"/>
    <x v="12"/>
    <s v="MMR012CMP019"/>
    <x v="3"/>
    <x v="1"/>
    <n v="0"/>
    <n v="0"/>
    <s v="DRC"/>
    <d v="2017-03-31T00:00:00"/>
  </r>
  <r>
    <s v="Rakhine"/>
    <x v="0"/>
    <x v="12"/>
    <s v="MMR012CMP019"/>
    <x v="4"/>
    <x v="0"/>
    <n v="575"/>
    <n v="-575"/>
    <s v="DRC"/>
    <d v="2017-03-31T00:00:00"/>
  </r>
  <r>
    <s v="Rakhine"/>
    <x v="0"/>
    <x v="12"/>
    <s v="MMR012CMP019"/>
    <x v="4"/>
    <x v="1"/>
    <n v="641"/>
    <n v="641"/>
    <s v="DRC"/>
    <d v="2017-03-31T00:00:00"/>
  </r>
  <r>
    <s v="Rakhine"/>
    <x v="0"/>
    <x v="12"/>
    <s v="MMR012CMP019"/>
    <x v="5"/>
    <x v="0"/>
    <n v="35"/>
    <n v="-35"/>
    <s v="DRC"/>
    <d v="2017-03-31T00:00:00"/>
  </r>
  <r>
    <s v="Rakhine"/>
    <x v="0"/>
    <x v="12"/>
    <s v="MMR012CMP019"/>
    <x v="5"/>
    <x v="1"/>
    <n v="47"/>
    <n v="47"/>
    <s v="DRC"/>
    <d v="2017-03-31T00:00:00"/>
  </r>
  <r>
    <s v="Rakhine"/>
    <x v="2"/>
    <x v="13"/>
    <s v="MMR012CMP014"/>
    <x v="0"/>
    <x v="0"/>
    <n v="228"/>
    <n v="-228"/>
    <s v="RI"/>
    <d v="2017-03-31T00:00:00"/>
  </r>
  <r>
    <s v="Rakhine"/>
    <x v="2"/>
    <x v="13"/>
    <s v="MMR012CMP014"/>
    <x v="0"/>
    <x v="1"/>
    <n v="230"/>
    <n v="218"/>
    <s v="RI"/>
    <d v="2017-03-31T00:00:00"/>
  </r>
  <r>
    <s v="Rakhine"/>
    <x v="2"/>
    <x v="13"/>
    <s v="MMR012CMP014"/>
    <x v="1"/>
    <x v="0"/>
    <n v="238"/>
    <n v="-238"/>
    <s v="RI"/>
    <d v="2017-03-31T00:00:00"/>
  </r>
  <r>
    <s v="Rakhine"/>
    <x v="2"/>
    <x v="13"/>
    <s v="MMR012CMP014"/>
    <x v="1"/>
    <x v="1"/>
    <n v="243"/>
    <n v="243"/>
    <s v="RI"/>
    <d v="2017-03-31T00:00:00"/>
  </r>
  <r>
    <s v="Rakhine"/>
    <x v="2"/>
    <x v="13"/>
    <s v="MMR012CMP014"/>
    <x v="2"/>
    <x v="0"/>
    <n v="203"/>
    <n v="-203"/>
    <s v="RI"/>
    <d v="2017-03-31T00:00:00"/>
  </r>
  <r>
    <s v="Rakhine"/>
    <x v="2"/>
    <x v="13"/>
    <s v="MMR012CMP014"/>
    <x v="2"/>
    <x v="1"/>
    <n v="207"/>
    <n v="207"/>
    <s v="RI"/>
    <d v="2017-03-31T00:00:00"/>
  </r>
  <r>
    <s v="Rakhine"/>
    <x v="2"/>
    <x v="13"/>
    <s v="MMR012CMP014"/>
    <x v="3"/>
    <x v="0"/>
    <n v="178"/>
    <n v="-178"/>
    <s v="RI"/>
    <d v="2017-03-31T00:00:00"/>
  </r>
  <r>
    <s v="Rakhine"/>
    <x v="2"/>
    <x v="13"/>
    <s v="MMR012CMP014"/>
    <x v="3"/>
    <x v="1"/>
    <n v="244"/>
    <n v="244"/>
    <s v="RI"/>
    <d v="2017-03-31T00:00:00"/>
  </r>
  <r>
    <s v="Rakhine"/>
    <x v="2"/>
    <x v="13"/>
    <s v="MMR012CMP014"/>
    <x v="4"/>
    <x v="0"/>
    <n v="341"/>
    <n v="-341"/>
    <s v="RI"/>
    <d v="2017-03-31T00:00:00"/>
  </r>
  <r>
    <s v="Rakhine"/>
    <x v="2"/>
    <x v="13"/>
    <s v="MMR012CMP014"/>
    <x v="4"/>
    <x v="1"/>
    <n v="441"/>
    <n v="441"/>
    <s v="RI"/>
    <d v="2017-03-31T00:00:00"/>
  </r>
  <r>
    <s v="Rakhine"/>
    <x v="2"/>
    <x v="13"/>
    <s v="MMR012CMP014"/>
    <x v="5"/>
    <x v="0"/>
    <n v="69"/>
    <n v="-69"/>
    <s v="RI"/>
    <d v="2017-03-31T00:00:00"/>
  </r>
  <r>
    <s v="Rakhine"/>
    <x v="2"/>
    <x v="13"/>
    <s v="MMR012CMP014"/>
    <x v="5"/>
    <x v="1"/>
    <n v="57"/>
    <n v="57"/>
    <s v="RI"/>
    <d v="2017-03-31T00:00:00"/>
  </r>
  <r>
    <s v="Rakhine"/>
    <x v="1"/>
    <x v="14"/>
    <s v="MMR012CMP046"/>
    <x v="0"/>
    <x v="0"/>
    <n v="916"/>
    <n v="-916"/>
    <s v="LWF"/>
    <d v="2017-03-31T00:00:00"/>
  </r>
  <r>
    <s v="Rakhine"/>
    <x v="1"/>
    <x v="14"/>
    <s v="MMR012CMP046"/>
    <x v="0"/>
    <x v="1"/>
    <n v="1030"/>
    <n v="1030"/>
    <s v="LWF"/>
    <d v="2017-03-31T00:00:00"/>
  </r>
  <r>
    <s v="Rakhine"/>
    <x v="1"/>
    <x v="14"/>
    <s v="MMR012CMP046"/>
    <x v="1"/>
    <x v="0"/>
    <n v="1024"/>
    <n v="-1024"/>
    <s v="LWF"/>
    <d v="2017-03-31T00:00:00"/>
  </r>
  <r>
    <s v="Rakhine"/>
    <x v="1"/>
    <x v="14"/>
    <s v="MMR012CMP046"/>
    <x v="1"/>
    <x v="1"/>
    <n v="984"/>
    <n v="984"/>
    <s v="LWF"/>
    <d v="2017-03-31T00:00:00"/>
  </r>
  <r>
    <s v="Rakhine"/>
    <x v="1"/>
    <x v="14"/>
    <s v="MMR012CMP046"/>
    <x v="2"/>
    <x v="0"/>
    <n v="958"/>
    <n v="-958"/>
    <s v="LWF"/>
    <d v="2017-03-31T00:00:00"/>
  </r>
  <r>
    <s v="Rakhine"/>
    <x v="1"/>
    <x v="14"/>
    <s v="MMR012CMP046"/>
    <x v="2"/>
    <x v="1"/>
    <n v="922"/>
    <n v="922"/>
    <s v="LWF"/>
    <d v="2017-03-31T00:00:00"/>
  </r>
  <r>
    <s v="Rakhine"/>
    <x v="1"/>
    <x v="14"/>
    <s v="MMR012CMP046"/>
    <x v="3"/>
    <x v="0"/>
    <n v="998"/>
    <n v="-998"/>
    <s v="LWF"/>
    <d v="2017-03-31T00:00:00"/>
  </r>
  <r>
    <s v="Rakhine"/>
    <x v="1"/>
    <x v="14"/>
    <s v="MMR012CMP046"/>
    <x v="3"/>
    <x v="1"/>
    <n v="1212"/>
    <n v="1212"/>
    <s v="LWF"/>
    <d v="2017-03-31T00:00:00"/>
  </r>
  <r>
    <s v="Rakhine"/>
    <x v="1"/>
    <x v="14"/>
    <s v="MMR012CMP046"/>
    <x v="4"/>
    <x v="0"/>
    <n v="1546"/>
    <n v="-1546"/>
    <s v="LWF"/>
    <d v="2017-03-31T00:00:00"/>
  </r>
  <r>
    <s v="Rakhine"/>
    <x v="1"/>
    <x v="14"/>
    <s v="MMR012CMP046"/>
    <x v="4"/>
    <x v="1"/>
    <n v="1808"/>
    <n v="1808"/>
    <s v="LWF"/>
    <d v="2017-03-31T00:00:00"/>
  </r>
  <r>
    <s v="Rakhine"/>
    <x v="1"/>
    <x v="14"/>
    <s v="MMR012CMP046"/>
    <x v="5"/>
    <x v="0"/>
    <n v="200"/>
    <n v="-200"/>
    <s v="LWF"/>
    <d v="2017-03-31T00:00:00"/>
  </r>
  <r>
    <s v="Rakhine"/>
    <x v="1"/>
    <x v="14"/>
    <s v="MMR012CMP046"/>
    <x v="5"/>
    <x v="1"/>
    <n v="166"/>
    <n v="166"/>
    <s v="LWF"/>
    <d v="2017-03-31T00:00:00"/>
  </r>
  <r>
    <s v="Rakhine"/>
    <x v="1"/>
    <x v="15"/>
    <s v="MMR012CMP048"/>
    <x v="0"/>
    <x v="0"/>
    <n v="550"/>
    <n v="-550"/>
    <s v="NRC"/>
    <d v="2017-03-31T00:00:00"/>
  </r>
  <r>
    <s v="Rakhine"/>
    <x v="1"/>
    <x v="15"/>
    <s v="MMR012CMP048"/>
    <x v="0"/>
    <x v="1"/>
    <n v="534"/>
    <n v="534"/>
    <s v="NRC"/>
    <d v="2017-03-31T00:00:00"/>
  </r>
  <r>
    <s v="Rakhine"/>
    <x v="1"/>
    <x v="15"/>
    <s v="MMR012CMP048"/>
    <x v="1"/>
    <x v="0"/>
    <n v="485"/>
    <n v="-485"/>
    <s v="NRC"/>
    <d v="2017-03-31T00:00:00"/>
  </r>
  <r>
    <s v="Rakhine"/>
    <x v="1"/>
    <x v="15"/>
    <s v="MMR012CMP048"/>
    <x v="1"/>
    <x v="1"/>
    <n v="535"/>
    <n v="535"/>
    <s v="NRC"/>
    <d v="2017-03-31T00:00:00"/>
  </r>
  <r>
    <s v="Rakhine"/>
    <x v="1"/>
    <x v="15"/>
    <s v="MMR012CMP048"/>
    <x v="2"/>
    <x v="0"/>
    <n v="438"/>
    <n v="-438"/>
    <s v="NRC"/>
    <d v="2017-03-31T00:00:00"/>
  </r>
  <r>
    <s v="Rakhine"/>
    <x v="1"/>
    <x v="15"/>
    <s v="MMR012CMP048"/>
    <x v="2"/>
    <x v="1"/>
    <n v="439"/>
    <n v="439"/>
    <s v="NRC"/>
    <d v="2017-03-31T00:00:00"/>
  </r>
  <r>
    <s v="Rakhine"/>
    <x v="1"/>
    <x v="15"/>
    <s v="MMR012CMP048"/>
    <x v="3"/>
    <x v="0"/>
    <n v="645"/>
    <n v="-645"/>
    <s v="NRC"/>
    <d v="2017-03-31T00:00:00"/>
  </r>
  <r>
    <s v="Rakhine"/>
    <x v="1"/>
    <x v="15"/>
    <s v="MMR012CMP048"/>
    <x v="3"/>
    <x v="1"/>
    <n v="460"/>
    <n v="460"/>
    <s v="NRC"/>
    <d v="2017-03-31T00:00:00"/>
  </r>
  <r>
    <s v="Rakhine"/>
    <x v="1"/>
    <x v="15"/>
    <s v="MMR012CMP048"/>
    <x v="4"/>
    <x v="0"/>
    <n v="756"/>
    <n v="-756"/>
    <s v="NRC"/>
    <d v="2017-03-31T00:00:00"/>
  </r>
  <r>
    <s v="Rakhine"/>
    <x v="1"/>
    <x v="15"/>
    <s v="MMR012CMP048"/>
    <x v="4"/>
    <x v="1"/>
    <n v="725"/>
    <n v="725"/>
    <s v="NRC"/>
    <d v="2017-03-31T00:00:00"/>
  </r>
  <r>
    <s v="Rakhine"/>
    <x v="1"/>
    <x v="15"/>
    <s v="MMR012CMP048"/>
    <x v="5"/>
    <x v="0"/>
    <n v="134"/>
    <n v="-134"/>
    <s v="NRC"/>
    <d v="2017-03-31T00:00:00"/>
  </r>
  <r>
    <s v="Rakhine"/>
    <x v="1"/>
    <x v="15"/>
    <s v="MMR012CMP048"/>
    <x v="5"/>
    <x v="1"/>
    <n v="129"/>
    <n v="129"/>
    <s v="NRC"/>
    <d v="2017-03-31T00:00:00"/>
  </r>
  <r>
    <s v="Rakhine"/>
    <x v="1"/>
    <x v="16"/>
    <s v="MMR012CMP039"/>
    <x v="0"/>
    <x v="0"/>
    <n v="236"/>
    <n v="-236"/>
    <s v="LWF"/>
    <d v="2017-03-31T00:00:00"/>
  </r>
  <r>
    <s v="Rakhine"/>
    <x v="1"/>
    <x v="16"/>
    <s v="MMR012CMP039"/>
    <x v="0"/>
    <x v="1"/>
    <n v="208"/>
    <n v="208"/>
    <s v="LWF"/>
    <d v="2017-03-31T00:00:00"/>
  </r>
  <r>
    <s v="Rakhine"/>
    <x v="1"/>
    <x v="16"/>
    <s v="MMR012CMP039"/>
    <x v="1"/>
    <x v="0"/>
    <n v="175"/>
    <n v="-175"/>
    <s v="LWF"/>
    <d v="2017-03-31T00:00:00"/>
  </r>
  <r>
    <s v="Rakhine"/>
    <x v="1"/>
    <x v="16"/>
    <s v="MMR012CMP039"/>
    <x v="1"/>
    <x v="1"/>
    <n v="161"/>
    <n v="161"/>
    <s v="LWF"/>
    <d v="2017-03-31T00:00:00"/>
  </r>
  <r>
    <s v="Rakhine"/>
    <x v="1"/>
    <x v="16"/>
    <s v="MMR012CMP039"/>
    <x v="2"/>
    <x v="0"/>
    <n v="147"/>
    <n v="-147"/>
    <s v="LWF"/>
    <d v="2017-03-31T00:00:00"/>
  </r>
  <r>
    <s v="Rakhine"/>
    <x v="1"/>
    <x v="16"/>
    <s v="MMR012CMP039"/>
    <x v="2"/>
    <x v="1"/>
    <n v="134"/>
    <n v="134"/>
    <s v="LWF"/>
    <d v="2017-03-31T00:00:00"/>
  </r>
  <r>
    <s v="Rakhine"/>
    <x v="1"/>
    <x v="16"/>
    <s v="MMR012CMP039"/>
    <x v="3"/>
    <x v="0"/>
    <n v="138"/>
    <n v="-138"/>
    <s v="LWF"/>
    <d v="2017-03-31T00:00:00"/>
  </r>
  <r>
    <s v="Rakhine"/>
    <x v="1"/>
    <x v="16"/>
    <s v="MMR012CMP039"/>
    <x v="3"/>
    <x v="1"/>
    <n v="218"/>
    <n v="218"/>
    <s v="LWF"/>
    <d v="2017-03-31T00:00:00"/>
  </r>
  <r>
    <s v="Rakhine"/>
    <x v="1"/>
    <x v="16"/>
    <s v="MMR012CMP039"/>
    <x v="4"/>
    <x v="0"/>
    <n v="312"/>
    <n v="-312"/>
    <s v="LWF"/>
    <d v="2017-03-31T00:00:00"/>
  </r>
  <r>
    <s v="Rakhine"/>
    <x v="1"/>
    <x v="16"/>
    <s v="MMR012CMP039"/>
    <x v="4"/>
    <x v="1"/>
    <n v="333"/>
    <n v="333"/>
    <s v="LWF"/>
    <d v="2017-03-31T00:00:00"/>
  </r>
  <r>
    <s v="Rakhine"/>
    <x v="1"/>
    <x v="16"/>
    <s v="MMR012CMP039"/>
    <x v="5"/>
    <x v="0"/>
    <n v="51"/>
    <n v="-51"/>
    <s v="LWF"/>
    <d v="2017-03-31T00:00:00"/>
  </r>
  <r>
    <s v="Rakhine"/>
    <x v="1"/>
    <x v="16"/>
    <s v="MMR012CMP039"/>
    <x v="5"/>
    <x v="1"/>
    <n v="62"/>
    <n v="62"/>
    <s v="LWF"/>
    <d v="2017-03-31T00:00:00"/>
  </r>
</pivotCacheRecords>
</file>

<file path=xl/pivotCache/pivotCacheRecords6.xml><?xml version="1.0" encoding="utf-8"?>
<pivotCacheRecords xmlns="http://schemas.openxmlformats.org/spreadsheetml/2006/main" xmlns:r="http://schemas.openxmlformats.org/officeDocument/2006/relationships" count="153">
  <r>
    <s v="Rakhine"/>
    <x v="0"/>
    <s v="Ah Nauk Ywe"/>
    <s v="MMR012CMP016"/>
    <x v="0"/>
    <n v="36"/>
    <s v="LWF"/>
    <d v="2017-03-31T00:00:00"/>
  </r>
  <r>
    <s v="Rakhine"/>
    <x v="0"/>
    <s v="Ah Nauk Ywe"/>
    <s v="MMR012CMP016"/>
    <x v="1"/>
    <n v="14"/>
    <s v="LWF"/>
    <d v="2017-03-31T00:00:00"/>
  </r>
  <r>
    <s v="Rakhine"/>
    <x v="0"/>
    <s v="Ah Nauk Ywe"/>
    <s v="MMR012CMP016"/>
    <x v="2"/>
    <n v="14"/>
    <s v="LWF"/>
    <d v="2017-03-31T00:00:00"/>
  </r>
  <r>
    <s v="Rakhine"/>
    <x v="0"/>
    <s v="Ah Nauk Ywe"/>
    <s v="MMR012CMP016"/>
    <x v="3"/>
    <n v="0"/>
    <s v="LWF"/>
    <d v="2017-03-31T00:00:00"/>
  </r>
  <r>
    <s v="Rakhine"/>
    <x v="0"/>
    <s v="Ah Nauk Ywe"/>
    <s v="MMR012CMP016"/>
    <x v="4"/>
    <n v="0"/>
    <s v="LWF"/>
    <d v="2017-03-31T00:00:00"/>
  </r>
  <r>
    <s v="Rakhine"/>
    <x v="0"/>
    <s v="Ah Nauk Ywe"/>
    <s v="MMR012CMP016"/>
    <x v="5"/>
    <n v="94"/>
    <s v="LWF"/>
    <d v="2017-03-31T00:00:00"/>
  </r>
  <r>
    <s v="Rakhine"/>
    <x v="0"/>
    <s v="Ah Nauk Ywe"/>
    <s v="MMR012CMP016"/>
    <x v="6"/>
    <n v="199"/>
    <s v="LWF"/>
    <d v="2017-03-31T00:00:00"/>
  </r>
  <r>
    <s v="Rakhine"/>
    <x v="0"/>
    <s v="Ah Nauk Ywe"/>
    <s v="MMR012CMP016"/>
    <x v="7"/>
    <n v="93"/>
    <s v="LWF"/>
    <d v="2017-03-31T00:00:00"/>
  </r>
  <r>
    <s v="Rakhine"/>
    <x v="0"/>
    <s v="Ah Nauk Ywe"/>
    <s v="MMR012CMP016"/>
    <x v="8"/>
    <n v="323"/>
    <s v="LWF"/>
    <d v="2017-03-31T00:00:00"/>
  </r>
  <r>
    <s v="Rakhine"/>
    <x v="1"/>
    <s v="Basare"/>
    <s v="MMR012CMP039"/>
    <x v="0"/>
    <n v="46"/>
    <s v="LWF"/>
    <d v="2017-03-31T00:00:00"/>
  </r>
  <r>
    <s v="Rakhine"/>
    <x v="1"/>
    <s v="Basare"/>
    <s v="MMR012CMP039"/>
    <x v="1"/>
    <n v="7"/>
    <s v="LWF"/>
    <d v="2017-03-31T00:00:00"/>
  </r>
  <r>
    <s v="Rakhine"/>
    <x v="1"/>
    <s v="Basare"/>
    <s v="MMR012CMP039"/>
    <x v="2"/>
    <n v="5"/>
    <s v="LWF"/>
    <d v="2017-03-31T00:00:00"/>
  </r>
  <r>
    <s v="Rakhine"/>
    <x v="1"/>
    <s v="Basare"/>
    <s v="MMR012CMP039"/>
    <x v="3"/>
    <n v="0"/>
    <s v="LWF"/>
    <d v="2017-03-31T00:00:00"/>
  </r>
  <r>
    <s v="Rakhine"/>
    <x v="1"/>
    <s v="Basare"/>
    <s v="MMR012CMP039"/>
    <x v="4"/>
    <n v="0"/>
    <s v="LWF"/>
    <d v="2017-03-31T00:00:00"/>
  </r>
  <r>
    <s v="Rakhine"/>
    <x v="1"/>
    <s v="Basare"/>
    <s v="MMR012CMP039"/>
    <x v="5"/>
    <n v="66"/>
    <s v="LWF"/>
    <d v="2017-03-31T00:00:00"/>
  </r>
  <r>
    <s v="Rakhine"/>
    <x v="1"/>
    <s v="Basare"/>
    <s v="MMR012CMP039"/>
    <x v="6"/>
    <n v="46"/>
    <s v="LWF"/>
    <d v="2017-03-31T00:00:00"/>
  </r>
  <r>
    <s v="Rakhine"/>
    <x v="1"/>
    <s v="Basare"/>
    <s v="MMR012CMP039"/>
    <x v="7"/>
    <n v="19"/>
    <s v="LWF"/>
    <d v="2017-03-31T00:00:00"/>
  </r>
  <r>
    <s v="Rakhine"/>
    <x v="1"/>
    <s v="Basare"/>
    <s v="MMR012CMP039"/>
    <x v="8"/>
    <n v="29"/>
    <s v="LWF"/>
    <d v="2017-03-31T00:00:00"/>
  </r>
  <r>
    <s v="Rakhine"/>
    <x v="1"/>
    <s v="Baw Du Pha 1"/>
    <s v="MMR012CMP113"/>
    <x v="0"/>
    <n v="28"/>
    <s v="DRC"/>
    <d v="2017-03-31T00:00:00"/>
  </r>
  <r>
    <s v="Rakhine"/>
    <x v="1"/>
    <s v="Baw Du Pha 1"/>
    <s v="MMR012CMP113"/>
    <x v="1"/>
    <n v="0"/>
    <s v="DRC"/>
    <d v="2017-03-31T00:00:00"/>
  </r>
  <r>
    <s v="Rakhine"/>
    <x v="1"/>
    <s v="Baw Du Pha 1"/>
    <s v="MMR012CMP113"/>
    <x v="2"/>
    <n v="40"/>
    <s v="DRC"/>
    <d v="2017-03-31T00:00:00"/>
  </r>
  <r>
    <s v="Rakhine"/>
    <x v="1"/>
    <s v="Baw Du Pha 1"/>
    <s v="MMR012CMP113"/>
    <x v="3"/>
    <n v="12"/>
    <s v="DRC"/>
    <d v="2017-03-31T00:00:00"/>
  </r>
  <r>
    <s v="Rakhine"/>
    <x v="1"/>
    <s v="Baw Du Pha 1"/>
    <s v="MMR012CMP113"/>
    <x v="4"/>
    <n v="14"/>
    <s v="DRC"/>
    <d v="2017-03-31T00:00:00"/>
  </r>
  <r>
    <s v="Rakhine"/>
    <x v="1"/>
    <s v="Baw Du Pha 1"/>
    <s v="MMR012CMP113"/>
    <x v="5"/>
    <n v="15"/>
    <s v="DRC"/>
    <d v="2017-01-31T00:00:00"/>
  </r>
  <r>
    <s v="Rakhine"/>
    <x v="1"/>
    <s v="Baw Du Pha 1"/>
    <s v="MMR012CMP113"/>
    <x v="6"/>
    <n v="125"/>
    <s v="DRC"/>
    <d v="2017-01-31T00:00:00"/>
  </r>
  <r>
    <s v="Rakhine"/>
    <x v="1"/>
    <s v="Baw Du Pha 1"/>
    <s v="MMR012CMP113"/>
    <x v="7"/>
    <n v="0"/>
    <s v="DRC"/>
    <d v="2017-01-31T00:00:00"/>
  </r>
  <r>
    <s v="Rakhine"/>
    <x v="1"/>
    <s v="Baw Du Pha 1"/>
    <s v="MMR012CMP113"/>
    <x v="8"/>
    <n v="0"/>
    <s v="DRC"/>
    <d v="2017-01-31T00:00:00"/>
  </r>
  <r>
    <s v="Rakhine"/>
    <x v="1"/>
    <s v="Baw Du Pha 2"/>
    <s v="MMR012CMP114"/>
    <x v="0"/>
    <n v="43"/>
    <s v="DRC"/>
    <d v="2017-03-31T00:00:00"/>
  </r>
  <r>
    <s v="Rakhine"/>
    <x v="1"/>
    <s v="Baw Du Pha 2"/>
    <s v="MMR012CMP114"/>
    <x v="1"/>
    <n v="0"/>
    <s v="DRC"/>
    <d v="2017-03-31T00:00:00"/>
  </r>
  <r>
    <s v="Rakhine"/>
    <x v="1"/>
    <s v="Baw Du Pha 2"/>
    <s v="MMR012CMP114"/>
    <x v="2"/>
    <n v="55"/>
    <s v="DRC"/>
    <d v="2017-03-31T00:00:00"/>
  </r>
  <r>
    <s v="Rakhine"/>
    <x v="1"/>
    <s v="Baw Du Pha 2"/>
    <s v="MMR012CMP114"/>
    <x v="3"/>
    <n v="34"/>
    <s v="DRC"/>
    <d v="2017-03-31T00:00:00"/>
  </r>
  <r>
    <s v="Rakhine"/>
    <x v="1"/>
    <s v="Baw Du Pha 2"/>
    <s v="MMR012CMP114"/>
    <x v="4"/>
    <n v="13"/>
    <s v="DRC"/>
    <d v="2017-03-31T00:00:00"/>
  </r>
  <r>
    <s v="Rakhine"/>
    <x v="1"/>
    <s v="Baw Du Pha 2"/>
    <s v="MMR012CMP114"/>
    <x v="5"/>
    <n v="26"/>
    <s v="DRC"/>
    <d v="2017-03-31T00:00:00"/>
  </r>
  <r>
    <s v="Rakhine"/>
    <x v="1"/>
    <s v="Baw Du Pha 2"/>
    <s v="MMR012CMP114"/>
    <x v="6"/>
    <n v="185"/>
    <s v="DRC"/>
    <d v="2017-03-31T00:00:00"/>
  </r>
  <r>
    <s v="Rakhine"/>
    <x v="1"/>
    <s v="Baw Du Pha 2"/>
    <s v="MMR012CMP114"/>
    <x v="7"/>
    <n v="0"/>
    <s v="DRC"/>
    <d v="2017-03-31T00:00:00"/>
  </r>
  <r>
    <s v="Rakhine"/>
    <x v="1"/>
    <s v="Baw Du Pha 2"/>
    <s v="MMR012CMP114"/>
    <x v="8"/>
    <n v="0"/>
    <s v="DRC"/>
    <d v="2017-03-31T00:00:00"/>
  </r>
  <r>
    <s v="Rakhine"/>
    <x v="1"/>
    <s v="Dar Pai"/>
    <s v="MMR012CMP041"/>
    <x v="0"/>
    <n v="94"/>
    <s v="DRC"/>
    <d v="2017-03-31T00:00:00"/>
  </r>
  <r>
    <s v="Rakhine"/>
    <x v="1"/>
    <s v="Dar Pai"/>
    <s v="MMR012CMP041"/>
    <x v="1"/>
    <n v="0"/>
    <s v="DRC"/>
    <d v="2017-03-31T00:00:00"/>
  </r>
  <r>
    <s v="Rakhine"/>
    <x v="1"/>
    <s v="Dar Pai"/>
    <s v="MMR012CMP041"/>
    <x v="2"/>
    <n v="69"/>
    <s v="DRC"/>
    <d v="2017-03-31T00:00:00"/>
  </r>
  <r>
    <s v="Rakhine"/>
    <x v="1"/>
    <s v="Dar Pai"/>
    <s v="MMR012CMP041"/>
    <x v="3"/>
    <n v="32"/>
    <s v="DRC"/>
    <d v="2017-03-31T00:00:00"/>
  </r>
  <r>
    <s v="Rakhine"/>
    <x v="1"/>
    <s v="Dar Pai"/>
    <s v="MMR012CMP041"/>
    <x v="4"/>
    <n v="40"/>
    <s v="DRC"/>
    <d v="2017-03-31T00:00:00"/>
  </r>
  <r>
    <s v="Rakhine"/>
    <x v="1"/>
    <s v="Dar Pai"/>
    <s v="MMR012CMP041"/>
    <x v="5"/>
    <n v="32"/>
    <s v="DRC"/>
    <d v="2017-03-31T00:00:00"/>
  </r>
  <r>
    <s v="Rakhine"/>
    <x v="1"/>
    <s v="Dar Pai"/>
    <s v="MMR012CMP041"/>
    <x v="6"/>
    <n v="229"/>
    <s v="DRC"/>
    <d v="2017-03-31T00:00:00"/>
  </r>
  <r>
    <s v="Rakhine"/>
    <x v="1"/>
    <s v="Dar Pai"/>
    <s v="MMR012CMP041"/>
    <x v="7"/>
    <n v="0"/>
    <s v="DRC"/>
    <d v="2017-03-31T00:00:00"/>
  </r>
  <r>
    <s v="Rakhine"/>
    <x v="1"/>
    <s v="Dar Pai"/>
    <s v="MMR012CMP041"/>
    <x v="8"/>
    <n v="21"/>
    <s v="DRC"/>
    <d v="2017-01-31T00:00:00"/>
  </r>
  <r>
    <s v="Rakhine"/>
    <x v="1"/>
    <s v="Khaung Doke Khar "/>
    <s v="MMR012CMP042"/>
    <x v="0"/>
    <n v="74"/>
    <s v="LWF"/>
    <d v="2017-01-31T00:00:00"/>
  </r>
  <r>
    <s v="Rakhine"/>
    <x v="1"/>
    <s v="Khaung Doke Khar "/>
    <s v="MMR012CMP042"/>
    <x v="1"/>
    <n v="21"/>
    <s v="LWF"/>
    <d v="2017-01-31T00:00:00"/>
  </r>
  <r>
    <s v="Rakhine"/>
    <x v="1"/>
    <s v="Khaung Doke Khar "/>
    <s v="MMR012CMP042"/>
    <x v="2"/>
    <n v="1"/>
    <s v="LWF"/>
    <d v="2017-01-31T00:00:00"/>
  </r>
  <r>
    <s v="Rakhine"/>
    <x v="1"/>
    <s v="Khaung Doke Khar "/>
    <s v="MMR012CMP042"/>
    <x v="3"/>
    <n v="0"/>
    <s v="LWF"/>
    <d v="2017-01-31T00:00:00"/>
  </r>
  <r>
    <s v="Rakhine"/>
    <x v="1"/>
    <s v="Khaung Doke Khar "/>
    <s v="MMR012CMP042"/>
    <x v="4"/>
    <n v="0"/>
    <s v="LWF"/>
    <d v="2017-01-31T00:00:00"/>
  </r>
  <r>
    <s v="Rakhine"/>
    <x v="1"/>
    <s v="Khaung Doke Khar "/>
    <s v="MMR012CMP042"/>
    <x v="5"/>
    <n v="0"/>
    <s v="LWF"/>
    <d v="2017-01-31T00:00:00"/>
  </r>
  <r>
    <s v="Rakhine"/>
    <x v="1"/>
    <s v="Khaung Doke Khar "/>
    <s v="MMR012CMP042"/>
    <x v="6"/>
    <n v="67"/>
    <s v="LWF"/>
    <d v="2017-01-31T00:00:00"/>
  </r>
  <r>
    <s v="Rakhine"/>
    <x v="1"/>
    <s v="Khaung Doke Khar "/>
    <s v="MMR012CMP042"/>
    <x v="7"/>
    <n v="75"/>
    <s v="LWF"/>
    <d v="2017-01-31T00:00:00"/>
  </r>
  <r>
    <s v="Rakhine"/>
    <x v="1"/>
    <s v="Khaung Doke Khar "/>
    <s v="MMR012CMP042"/>
    <x v="8"/>
    <n v="266"/>
    <s v="LWF"/>
    <d v="2017-01-31T00:00:00"/>
  </r>
  <r>
    <s v="Rakhine"/>
    <x v="0"/>
    <s v="Kyein Ni Pyin"/>
    <s v="MMR012CMP018"/>
    <x v="0"/>
    <n v="33"/>
    <s v="DRC"/>
    <d v="2017-03-31T00:00:00"/>
  </r>
  <r>
    <s v="Rakhine"/>
    <x v="0"/>
    <s v="Kyein Ni Pyin"/>
    <s v="MMR012CMP018"/>
    <x v="1"/>
    <n v="0"/>
    <s v="DRC"/>
    <d v="2017-03-31T00:00:00"/>
  </r>
  <r>
    <s v="Rakhine"/>
    <x v="0"/>
    <s v="Kyein Ni Pyin"/>
    <s v="MMR012CMP018"/>
    <x v="2"/>
    <n v="83"/>
    <s v="DRC"/>
    <d v="2017-03-31T00:00:00"/>
  </r>
  <r>
    <s v="Rakhine"/>
    <x v="0"/>
    <s v="Kyein Ni Pyin"/>
    <s v="MMR012CMP018"/>
    <x v="3"/>
    <n v="2"/>
    <s v="DRC"/>
    <d v="2017-03-31T00:00:00"/>
  </r>
  <r>
    <s v="Rakhine"/>
    <x v="0"/>
    <s v="Kyein Ni Pyin"/>
    <s v="MMR012CMP018"/>
    <x v="4"/>
    <n v="4"/>
    <s v="DRC"/>
    <d v="2017-03-31T00:00:00"/>
  </r>
  <r>
    <s v="Rakhine"/>
    <x v="0"/>
    <s v="Kyein Ni Pyin"/>
    <s v="MMR012CMP018"/>
    <x v="5"/>
    <n v="21"/>
    <s v="DRC"/>
    <d v="2017-03-31T00:00:00"/>
  </r>
  <r>
    <s v="Rakhine"/>
    <x v="0"/>
    <s v="Kyein Ni Pyin"/>
    <s v="MMR012CMP018"/>
    <x v="6"/>
    <n v="0"/>
    <s v="DRC"/>
    <d v="2017-03-31T00:00:00"/>
  </r>
  <r>
    <s v="Rakhine"/>
    <x v="0"/>
    <s v="Kyein Ni Pyin"/>
    <s v="MMR012CMP018"/>
    <x v="7"/>
    <n v="38"/>
    <s v="DRC"/>
    <d v="2017-03-31T00:00:00"/>
  </r>
  <r>
    <s v="Rakhine"/>
    <x v="0"/>
    <s v="Kyein Ni Pyin"/>
    <s v="MMR012CMP018"/>
    <x v="8"/>
    <n v="16"/>
    <s v="DRC"/>
    <d v="2017-03-31T00:00:00"/>
  </r>
  <r>
    <s v="Rakhine"/>
    <x v="1"/>
    <s v="Maw Ti Ngar"/>
    <s v="MMR012CMP092"/>
    <x v="0"/>
    <n v="29"/>
    <s v="NRC"/>
    <d v="2017-03-31T00:00:00"/>
  </r>
  <r>
    <s v="Rakhine"/>
    <x v="1"/>
    <s v="Maw Ti Ngar"/>
    <s v="MMR012CMP092"/>
    <x v="1"/>
    <n v="0"/>
    <s v="NRC"/>
    <d v="2017-03-31T00:00:00"/>
  </r>
  <r>
    <s v="Rakhine"/>
    <x v="1"/>
    <s v="Maw Ti Ngar"/>
    <s v="MMR012CMP092"/>
    <x v="2"/>
    <n v="30"/>
    <s v="NRC"/>
    <d v="2017-03-31T00:00:00"/>
  </r>
  <r>
    <s v="Rakhine"/>
    <x v="1"/>
    <s v="Maw Ti Ngar"/>
    <s v="MMR012CMP092"/>
    <x v="3"/>
    <n v="5"/>
    <s v="NRC"/>
    <d v="2017-03-31T00:00:00"/>
  </r>
  <r>
    <s v="Rakhine"/>
    <x v="1"/>
    <s v="Maw Ti Ngar"/>
    <s v="MMR012CMP092"/>
    <x v="4"/>
    <n v="0"/>
    <s v="NRC"/>
    <d v="2017-03-31T00:00:00"/>
  </r>
  <r>
    <s v="Rakhine"/>
    <x v="1"/>
    <s v="Maw Ti Ngar"/>
    <s v="MMR012CMP092"/>
    <x v="5"/>
    <n v="54"/>
    <s v="NRC"/>
    <d v="2017-03-31T00:00:00"/>
  </r>
  <r>
    <s v="Rakhine"/>
    <x v="1"/>
    <s v="Maw Ti Ngar"/>
    <s v="MMR012CMP092"/>
    <x v="6"/>
    <n v="9"/>
    <s v="NRC"/>
    <d v="2017-03-31T00:00:00"/>
  </r>
  <r>
    <s v="Rakhine"/>
    <x v="1"/>
    <s v="Maw Ti Ngar"/>
    <s v="MMR012CMP092"/>
    <x v="7"/>
    <n v="33"/>
    <s v="NRC"/>
    <d v="2017-03-31T00:00:00"/>
  </r>
  <r>
    <s v="Rakhine"/>
    <x v="1"/>
    <s v="Maw Ti Ngar"/>
    <s v="MMR012CMP092"/>
    <x v="8"/>
    <n v="202"/>
    <s v="NRC"/>
    <d v="2017-03-31T00:00:00"/>
  </r>
  <r>
    <s v="Rakhine"/>
    <x v="0"/>
    <s v="Nget Chaung 2"/>
    <s v="MMR012CMP017"/>
    <x v="0"/>
    <n v="38"/>
    <s v="LWF"/>
    <d v="2017-03-31T00:00:00"/>
  </r>
  <r>
    <s v="Rakhine"/>
    <x v="0"/>
    <s v="Nget Chaung 2"/>
    <s v="MMR012CMP017"/>
    <x v="1"/>
    <n v="7"/>
    <s v="LWF"/>
    <d v="2017-03-31T00:00:00"/>
  </r>
  <r>
    <s v="Rakhine"/>
    <x v="0"/>
    <s v="Nget Chaung 2"/>
    <s v="MMR012CMP017"/>
    <x v="2"/>
    <n v="14"/>
    <s v="LWF"/>
    <d v="2017-03-31T00:00:00"/>
  </r>
  <r>
    <s v="Rakhine"/>
    <x v="0"/>
    <s v="Nget Chaung 2"/>
    <s v="MMR012CMP017"/>
    <x v="3"/>
    <n v="8"/>
    <s v="LWF"/>
    <d v="2017-03-31T00:00:00"/>
  </r>
  <r>
    <s v="Rakhine"/>
    <x v="0"/>
    <s v="Nget Chaung 2"/>
    <s v="MMR012CMP017"/>
    <x v="4"/>
    <n v="14"/>
    <s v="LWF"/>
    <d v="2017-03-31T00:00:00"/>
  </r>
  <r>
    <s v="Rakhine"/>
    <x v="0"/>
    <s v="Nget Chaung 2"/>
    <s v="MMR012CMP017"/>
    <x v="5"/>
    <n v="57"/>
    <s v="LWF"/>
    <d v="2017-03-31T00:00:00"/>
  </r>
  <r>
    <s v="Rakhine"/>
    <x v="0"/>
    <s v="Nget Chaung 2"/>
    <s v="MMR012CMP017"/>
    <x v="6"/>
    <n v="116"/>
    <s v="LWF"/>
    <d v="2017-03-31T00:00:00"/>
  </r>
  <r>
    <s v="Rakhine"/>
    <x v="0"/>
    <s v="Nget Chaung 2"/>
    <s v="MMR012CMP017"/>
    <x v="7"/>
    <n v="68"/>
    <s v="LWF"/>
    <d v="2017-03-31T00:00:00"/>
  </r>
  <r>
    <s v="Rakhine"/>
    <x v="0"/>
    <s v="Nget Chaung 2"/>
    <s v="MMR012CMP017"/>
    <x v="8"/>
    <n v="234"/>
    <s v="LWF"/>
    <d v="2017-03-31T00:00:00"/>
  </r>
  <r>
    <s v="Rakhine"/>
    <x v="1"/>
    <s v="Ohn Taw Chay"/>
    <s v="MMR012CMP098"/>
    <x v="0"/>
    <n v="32"/>
    <s v="DRC"/>
    <d v="2017-03-31T00:00:00"/>
  </r>
  <r>
    <s v="Rakhine"/>
    <x v="1"/>
    <s v="Ohn Taw Chay"/>
    <s v="MMR012CMP098"/>
    <x v="1"/>
    <n v="0"/>
    <s v="DRC"/>
    <d v="2017-03-31T00:00:00"/>
  </r>
  <r>
    <s v="Rakhine"/>
    <x v="1"/>
    <s v="Ohn Taw Chay"/>
    <s v="MMR012CMP098"/>
    <x v="2"/>
    <n v="49"/>
    <s v="DRC"/>
    <d v="2017-03-31T00:00:00"/>
  </r>
  <r>
    <s v="Rakhine"/>
    <x v="1"/>
    <s v="Ohn Taw Chay"/>
    <s v="MMR012CMP098"/>
    <x v="3"/>
    <n v="1"/>
    <s v="DRC"/>
    <d v="2017-03-31T00:00:00"/>
  </r>
  <r>
    <s v="Rakhine"/>
    <x v="1"/>
    <s v="Ohn Taw Chay"/>
    <s v="MMR012CMP098"/>
    <x v="4"/>
    <n v="20"/>
    <s v="DRC"/>
    <d v="2017-03-31T00:00:00"/>
  </r>
  <r>
    <s v="Rakhine"/>
    <x v="1"/>
    <s v="Ohn Taw Chay"/>
    <s v="MMR012CMP098"/>
    <x v="5"/>
    <n v="12"/>
    <s v="DRC"/>
    <d v="2017-03-31T00:00:00"/>
  </r>
  <r>
    <s v="Rakhine"/>
    <x v="1"/>
    <s v="Ohn Taw Chay"/>
    <s v="MMR012CMP098"/>
    <x v="6"/>
    <n v="82"/>
    <s v="DRC"/>
    <d v="2017-03-31T00:00:00"/>
  </r>
  <r>
    <s v="Rakhine"/>
    <x v="1"/>
    <s v="Ohn Taw Chay"/>
    <s v="MMR012CMP098"/>
    <x v="7"/>
    <n v="0"/>
    <s v="DRC"/>
    <d v="2017-03-31T00:00:00"/>
  </r>
  <r>
    <s v="Rakhine"/>
    <x v="1"/>
    <s v="Ohn Taw Chay"/>
    <s v="MMR012CMP098"/>
    <x v="8"/>
    <n v="0"/>
    <s v="DRC"/>
    <d v="2017-03-31T00:00:00"/>
  </r>
  <r>
    <s v="Rakhine"/>
    <x v="1"/>
    <s v="Ohn Taw Gyi (North)"/>
    <s v="MMR012CMP115"/>
    <x v="0"/>
    <n v="146"/>
    <s v="DRC"/>
    <d v="2017-03-31T00:00:00"/>
  </r>
  <r>
    <s v="Rakhine"/>
    <x v="1"/>
    <s v="Ohn Taw Gyi (North)"/>
    <s v="MMR012CMP115"/>
    <x v="1"/>
    <n v="0"/>
    <s v="DRC"/>
    <d v="2017-03-31T00:00:00"/>
  </r>
  <r>
    <s v="Rakhine"/>
    <x v="1"/>
    <s v="Ohn Taw Gyi (North)"/>
    <s v="MMR012CMP115"/>
    <x v="2"/>
    <n v="161"/>
    <s v="DRC"/>
    <d v="2017-03-31T00:00:00"/>
  </r>
  <r>
    <s v="Rakhine"/>
    <x v="1"/>
    <s v="Ohn Taw Gyi (North)"/>
    <s v="MMR012CMP115"/>
    <x v="3"/>
    <n v="133"/>
    <s v="DRC"/>
    <d v="2017-01-31T00:00:00"/>
  </r>
  <r>
    <s v="Rakhine"/>
    <x v="1"/>
    <s v="Ohn Taw Gyi (North)"/>
    <s v="MMR012CMP115"/>
    <x v="4"/>
    <n v="72"/>
    <s v="DRC"/>
    <d v="2017-03-31T00:00:00"/>
  </r>
  <r>
    <s v="Rakhine"/>
    <x v="1"/>
    <s v="Ohn Taw Gyi (North)"/>
    <s v="MMR012CMP115"/>
    <x v="5"/>
    <n v="94"/>
    <s v="DRC"/>
    <d v="2017-01-31T00:00:00"/>
  </r>
  <r>
    <s v="Rakhine"/>
    <x v="1"/>
    <s v="Ohn Taw Gyi (North)"/>
    <s v="MMR012CMP115"/>
    <x v="6"/>
    <n v="587"/>
    <s v="DRC"/>
    <d v="2017-01-31T00:00:00"/>
  </r>
  <r>
    <s v="Rakhine"/>
    <x v="1"/>
    <s v="Ohn Taw Gyi (North)"/>
    <s v="MMR012CMP115"/>
    <x v="7"/>
    <n v="0"/>
    <s v="DRC"/>
    <d v="2017-01-31T00:00:00"/>
  </r>
  <r>
    <s v="Rakhine"/>
    <x v="1"/>
    <s v="Ohn Taw Gyi (North)"/>
    <s v="MMR012CMP115"/>
    <x v="8"/>
    <n v="0"/>
    <s v="DRC"/>
    <d v="2017-01-31T00:00:00"/>
  </r>
  <r>
    <s v="Rakhine"/>
    <x v="1"/>
    <s v="Ohn Taw Gyi (South)"/>
    <s v="MMR012CMP116"/>
    <x v="0"/>
    <n v="60"/>
    <s v="LWF"/>
    <d v="2017-03-31T00:00:00"/>
  </r>
  <r>
    <s v="Rakhine"/>
    <x v="1"/>
    <s v="Ohn Taw Gyi (South)"/>
    <s v="MMR012CMP116"/>
    <x v="1"/>
    <n v="28"/>
    <s v="LWF"/>
    <d v="2017-03-31T00:00:00"/>
  </r>
  <r>
    <s v="Rakhine"/>
    <x v="1"/>
    <s v="Ohn Taw Gyi (South)"/>
    <s v="MMR012CMP116"/>
    <x v="2"/>
    <n v="14"/>
    <s v="LWF"/>
    <d v="2017-03-31T00:00:00"/>
  </r>
  <r>
    <s v="Rakhine"/>
    <x v="1"/>
    <s v="Ohn Taw Gyi (South)"/>
    <s v="MMR012CMP116"/>
    <x v="3"/>
    <n v="12"/>
    <s v="LWF"/>
    <d v="2017-03-31T00:00:00"/>
  </r>
  <r>
    <s v="Rakhine"/>
    <x v="1"/>
    <s v="Ohn Taw Gyi (South)"/>
    <s v="MMR012CMP116"/>
    <x v="4"/>
    <n v="40"/>
    <s v="LWF"/>
    <d v="2017-03-31T00:00:00"/>
  </r>
  <r>
    <s v="Rakhine"/>
    <x v="1"/>
    <s v="Ohn Taw Gyi (South)"/>
    <s v="MMR012CMP116"/>
    <x v="5"/>
    <n v="147"/>
    <s v="LWF"/>
    <d v="2017-03-31T00:00:00"/>
  </r>
  <r>
    <s v="Rakhine"/>
    <x v="1"/>
    <s v="Ohn Taw Gyi (South)"/>
    <s v="MMR012CMP116"/>
    <x v="6"/>
    <n v="169"/>
    <s v="LWF"/>
    <d v="2017-03-31T00:00:00"/>
  </r>
  <r>
    <s v="Rakhine"/>
    <x v="1"/>
    <s v="Ohn Taw Gyi (South)"/>
    <s v="MMR012CMP116"/>
    <x v="7"/>
    <n v="225"/>
    <s v="LWF"/>
    <d v="2017-03-31T00:00:00"/>
  </r>
  <r>
    <s v="Rakhine"/>
    <x v="1"/>
    <s v="Ohn Taw Gyi (South)"/>
    <s v="MMR012CMP116"/>
    <x v="8"/>
    <n v="319"/>
    <s v="LWF"/>
    <d v="2017-03-31T00:00:00"/>
  </r>
  <r>
    <s v="Rakhine"/>
    <x v="1"/>
    <s v="Say Tha Mar Gyi"/>
    <s v="MMR012CMP045"/>
    <x v="0"/>
    <n v="104"/>
    <s v="DRC"/>
    <d v="2017-03-31T00:00:00"/>
  </r>
  <r>
    <s v="Rakhine"/>
    <x v="1"/>
    <s v="Say Tha Mar Gyi"/>
    <s v="MMR012CMP045"/>
    <x v="1"/>
    <n v="0"/>
    <s v="DRC"/>
    <d v="2017-03-31T00:00:00"/>
  </r>
  <r>
    <s v="Rakhine"/>
    <x v="1"/>
    <s v="Say Tha Mar Gyi"/>
    <s v="MMR012CMP045"/>
    <x v="2"/>
    <n v="144"/>
    <s v="DRC"/>
    <d v="2017-03-31T00:00:00"/>
  </r>
  <r>
    <s v="Rakhine"/>
    <x v="1"/>
    <s v="Say Tha Mar Gyi"/>
    <s v="MMR012CMP045"/>
    <x v="3"/>
    <n v="78"/>
    <s v="DRC"/>
    <d v="2017-03-31T00:00:00"/>
  </r>
  <r>
    <s v="Rakhine"/>
    <x v="1"/>
    <s v="Say Tha Mar Gyi"/>
    <s v="MMR012CMP045"/>
    <x v="4"/>
    <n v="18"/>
    <s v="DRC"/>
    <d v="2017-03-31T00:00:00"/>
  </r>
  <r>
    <s v="Rakhine"/>
    <x v="1"/>
    <s v="Say Tha Mar Gyi"/>
    <s v="MMR012CMP045"/>
    <x v="5"/>
    <n v="26"/>
    <s v="DRC"/>
    <d v="2017-03-31T00:00:00"/>
  </r>
  <r>
    <s v="Rakhine"/>
    <x v="1"/>
    <s v="Say Tha Mar Gyi"/>
    <s v="MMR012CMP045"/>
    <x v="6"/>
    <n v="467"/>
    <s v="DRC"/>
    <d v="2017-03-31T00:00:00"/>
  </r>
  <r>
    <s v="Rakhine"/>
    <x v="1"/>
    <s v="Say Tha Mar Gyi"/>
    <s v="MMR012CMP045"/>
    <x v="7"/>
    <n v="0"/>
    <s v="DRC"/>
    <d v="2017-03-31T00:00:00"/>
  </r>
  <r>
    <s v="Rakhine"/>
    <x v="1"/>
    <s v="Say Tha Mar Gyi"/>
    <s v="MMR012CMP045"/>
    <x v="8"/>
    <n v="56"/>
    <s v="DRC"/>
    <d v="2017-03-31T00:00:00"/>
  </r>
  <r>
    <s v="Rakhine"/>
    <x v="0"/>
    <s v="Sin Tet Maw"/>
    <s v="MMR012CMP019"/>
    <x v="0"/>
    <n v="10"/>
    <s v="DRC"/>
    <d v="2017-03-31T00:00:00"/>
  </r>
  <r>
    <s v="Rakhine"/>
    <x v="0"/>
    <s v="Sin Tet Maw"/>
    <s v="MMR012CMP019"/>
    <x v="1"/>
    <n v="0"/>
    <s v="DRC"/>
    <d v="2017-03-31T00:00:00"/>
  </r>
  <r>
    <s v="Rakhine"/>
    <x v="0"/>
    <s v="Sin Tet Maw"/>
    <s v="MMR012CMP019"/>
    <x v="2"/>
    <n v="37"/>
    <s v="DRC"/>
    <d v="2017-03-31T00:00:00"/>
  </r>
  <r>
    <s v="Rakhine"/>
    <x v="0"/>
    <s v="Sin Tet Maw"/>
    <s v="MMR012CMP019"/>
    <x v="3"/>
    <n v="2"/>
    <s v="DRC"/>
    <d v="2017-03-31T00:00:00"/>
  </r>
  <r>
    <s v="Rakhine"/>
    <x v="0"/>
    <s v="Sin Tet Maw"/>
    <s v="MMR012CMP019"/>
    <x v="4"/>
    <n v="3"/>
    <s v="DRC"/>
    <d v="2017-03-31T00:00:00"/>
  </r>
  <r>
    <s v="Rakhine"/>
    <x v="0"/>
    <s v="Sin Tet Maw"/>
    <s v="MMR012CMP019"/>
    <x v="5"/>
    <n v="101"/>
    <s v="DRC"/>
    <d v="2017-03-31T00:00:00"/>
  </r>
  <r>
    <s v="Rakhine"/>
    <x v="0"/>
    <s v="Sin Tet Maw"/>
    <s v="MMR012CMP019"/>
    <x v="6"/>
    <n v="1"/>
    <s v="DRC"/>
    <d v="2017-03-31T00:00:00"/>
  </r>
  <r>
    <s v="Rakhine"/>
    <x v="0"/>
    <s v="Sin Tet Maw"/>
    <s v="MMR012CMP019"/>
    <x v="7"/>
    <n v="0"/>
    <s v="DRC"/>
    <d v="2017-03-31T00:00:00"/>
  </r>
  <r>
    <s v="Rakhine"/>
    <x v="0"/>
    <s v="Sin Tet Maw"/>
    <s v="MMR012CMP019"/>
    <x v="8"/>
    <n v="0"/>
    <s v="DRC"/>
    <d v="2017-03-31T00:00:00"/>
  </r>
  <r>
    <s v="Rakhine"/>
    <x v="2"/>
    <s v="Taung Paw "/>
    <s v="MMR012CMP014"/>
    <x v="0"/>
    <n v="35"/>
    <s v="RI"/>
    <d v="2017-03-31T00:00:00"/>
  </r>
  <r>
    <s v="Rakhine"/>
    <x v="2"/>
    <s v="Taung Paw "/>
    <s v="MMR012CMP014"/>
    <x v="1"/>
    <n v="14"/>
    <s v="RI"/>
    <d v="2017-03-31T00:00:00"/>
  </r>
  <r>
    <s v="Rakhine"/>
    <x v="2"/>
    <s v="Taung Paw "/>
    <s v="MMR012CMP014"/>
    <x v="6"/>
    <n v="143"/>
    <s v="RI"/>
    <d v="2017-03-31T00:00:00"/>
  </r>
  <r>
    <s v="Rakhine"/>
    <x v="2"/>
    <s v="Taung Paw "/>
    <s v="MMR012CMP014"/>
    <x v="7"/>
    <n v="25"/>
    <s v="RI"/>
    <d v="2017-03-31T00:00:00"/>
  </r>
  <r>
    <s v="Rakhine"/>
    <x v="2"/>
    <s v="Taung Paw "/>
    <s v="MMR012CMP014"/>
    <x v="8"/>
    <n v="45"/>
    <s v="RI"/>
    <d v="2017-03-31T00:00:00"/>
  </r>
  <r>
    <s v="Rakhine"/>
    <x v="2"/>
    <s v="Taung Paw "/>
    <s v="MMR012CMP014"/>
    <x v="4"/>
    <n v="4"/>
    <s v="RI"/>
    <d v="2017-03-31T00:00:00"/>
  </r>
  <r>
    <s v="Rakhine"/>
    <x v="2"/>
    <s v="Taung Paw "/>
    <s v="MMR012CMP014"/>
    <x v="3"/>
    <n v="0"/>
    <s v="RI"/>
    <d v="2017-03-31T00:00:00"/>
  </r>
  <r>
    <s v="Rakhine"/>
    <x v="2"/>
    <s v="Taung Paw "/>
    <s v="MMR012CMP014"/>
    <x v="5"/>
    <n v="4"/>
    <s v="RI"/>
    <d v="2017-03-31T00:00:00"/>
  </r>
  <r>
    <s v="Rakhine"/>
    <x v="2"/>
    <s v="Taung Paw "/>
    <s v="MMR012CMP014"/>
    <x v="2"/>
    <n v="158"/>
    <s v="RI"/>
    <d v="2017-03-31T00:00:00"/>
  </r>
  <r>
    <s v="Rakhine"/>
    <x v="1"/>
    <s v="Thae Chaung"/>
    <s v="MMR012CMP046"/>
    <x v="0"/>
    <n v="68"/>
    <s v="LWF"/>
    <d v="2017-03-31T00:00:00"/>
  </r>
  <r>
    <s v="Rakhine"/>
    <x v="1"/>
    <s v="Thae Chaung"/>
    <s v="MMR012CMP046"/>
    <x v="1"/>
    <n v="41"/>
    <s v="LWF"/>
    <d v="2017-03-31T00:00:00"/>
  </r>
  <r>
    <s v="Rakhine"/>
    <x v="1"/>
    <s v="Thae Chaung"/>
    <s v="MMR012CMP046"/>
    <x v="2"/>
    <n v="23"/>
    <s v="LWF"/>
    <d v="2017-03-31T00:00:00"/>
  </r>
  <r>
    <s v="Rakhine"/>
    <x v="1"/>
    <s v="Thae Chaung"/>
    <s v="MMR012CMP046"/>
    <x v="3"/>
    <n v="10"/>
    <s v="LWF"/>
    <d v="2017-03-31T00:00:00"/>
  </r>
  <r>
    <s v="Rakhine"/>
    <x v="1"/>
    <s v="Thae Chaung"/>
    <s v="MMR012CMP046"/>
    <x v="4"/>
    <n v="15"/>
    <s v="LWF"/>
    <d v="2017-03-31T00:00:00"/>
  </r>
  <r>
    <s v="Rakhine"/>
    <x v="1"/>
    <s v="Thae Chaung"/>
    <s v="MMR012CMP046"/>
    <x v="5"/>
    <n v="319"/>
    <s v="LWF"/>
    <d v="2017-03-31T00:00:00"/>
  </r>
  <r>
    <s v="Rakhine"/>
    <x v="1"/>
    <s v="Thae Chaung"/>
    <s v="MMR012CMP046"/>
    <x v="6"/>
    <n v="41"/>
    <s v="LWF"/>
    <d v="2017-03-31T00:00:00"/>
  </r>
  <r>
    <s v="Rakhine"/>
    <x v="1"/>
    <s v="Thae Chaung"/>
    <s v="MMR012CMP046"/>
    <x v="7"/>
    <n v="154"/>
    <s v="LWF"/>
    <d v="2017-03-31T00:00:00"/>
  </r>
  <r>
    <s v="Rakhine"/>
    <x v="1"/>
    <s v="Thae Chaung"/>
    <s v="MMR012CMP046"/>
    <x v="8"/>
    <n v="396"/>
    <s v="LWF"/>
    <d v="2017-03-31T00:00:00"/>
  </r>
  <r>
    <s v="Rakhine"/>
    <x v="1"/>
    <s v="Thet Kae Pyin "/>
    <s v="MMR012CMP048"/>
    <x v="0"/>
    <n v="38"/>
    <s v="NRC"/>
    <d v="2017-03-31T00:00:00"/>
  </r>
  <r>
    <s v="Rakhine"/>
    <x v="1"/>
    <s v="Thet Kae Pyin "/>
    <s v="MMR012CMP048"/>
    <x v="1"/>
    <n v="0"/>
    <s v="NRC"/>
    <d v="2017-03-31T00:00:00"/>
  </r>
  <r>
    <s v="Rakhine"/>
    <x v="1"/>
    <s v="Thet Kae Pyin "/>
    <s v="MMR012CMP048"/>
    <x v="2"/>
    <n v="45"/>
    <s v="NRC"/>
    <d v="2017-03-31T00:00:00"/>
  </r>
  <r>
    <s v="Rakhine"/>
    <x v="1"/>
    <s v="Thet Kae Pyin "/>
    <s v="MMR012CMP048"/>
    <x v="3"/>
    <n v="20"/>
    <s v="NRC"/>
    <d v="2017-03-31T00:00:00"/>
  </r>
  <r>
    <s v="Rakhine"/>
    <x v="1"/>
    <s v="Thet Kae Pyin "/>
    <s v="MMR012CMP048"/>
    <x v="4"/>
    <n v="0"/>
    <s v="NRC"/>
    <d v="2017-03-31T00:00:00"/>
  </r>
  <r>
    <s v="Rakhine"/>
    <x v="1"/>
    <s v="Thet Kae Pyin "/>
    <s v="MMR012CMP048"/>
    <x v="5"/>
    <n v="29"/>
    <s v="NRC"/>
    <d v="2017-03-31T00:00:00"/>
  </r>
  <r>
    <s v="Rakhine"/>
    <x v="1"/>
    <s v="Thet Kae Pyin "/>
    <s v="MMR012CMP048"/>
    <x v="6"/>
    <n v="34"/>
    <s v="NRC"/>
    <d v="2017-03-31T00:00:00"/>
  </r>
  <r>
    <s v="Rakhine"/>
    <x v="1"/>
    <s v="Thet Kae Pyin "/>
    <s v="MMR012CMP048"/>
    <x v="7"/>
    <n v="41"/>
    <s v="NRC"/>
    <d v="2017-03-31T00:00:00"/>
  </r>
  <r>
    <s v="Rakhine"/>
    <x v="1"/>
    <s v="Thet Kae Pyin "/>
    <s v="MMR012CMP048"/>
    <x v="8"/>
    <n v="250"/>
    <s v="NRC"/>
    <d v="2017-03-31T00:00:00"/>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7-01-31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7-01-31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7-01-31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7-01-31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7-01-31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7-01-31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7-01-31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7-01-31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238"/>
    <n v="4252"/>
    <n v="3.7019064124783361"/>
    <s v="Accessible by All"/>
    <s v="IDP"/>
    <x v="1"/>
    <m/>
    <m/>
    <x v="0"/>
    <s v="Muslim"/>
    <x v="0"/>
    <s v="Rural"/>
    <x v="1"/>
    <x v="1"/>
    <s v="Individual Household"/>
    <s v="Household Headcount Survey"/>
    <d v="2017-03-31T00:00:00"/>
    <s v="Source by CCCM Site Profile-March,2017"/>
    <x v="1"/>
    <n v="0.62035541195476573"/>
  </r>
  <r>
    <x v="0"/>
    <x v="0"/>
    <s v="MMR012"/>
    <s v="Sittwe"/>
    <s v="MMR012D001"/>
    <x v="2"/>
    <s v="MMR012001"/>
    <s v="San Pya Ward"/>
    <s v="MMR012002701"/>
    <s v="Ah Nauk San Pya Ward"/>
    <s v="MMR012001701522"/>
    <x v="9"/>
    <x v="9"/>
    <n v="92.875814000000005"/>
    <n v="20.128488999999998"/>
    <m/>
    <n v="397"/>
    <n v="2175"/>
    <n v="5.1612090680100753"/>
    <s v="Accessible by All"/>
    <s v="IDP"/>
    <x v="1"/>
    <m/>
    <m/>
    <x v="0"/>
    <s v="Muslim"/>
    <x v="0"/>
    <s v="Rural"/>
    <x v="1"/>
    <x v="1"/>
    <s v="Individual Household"/>
    <s v="Household Headcount Survey"/>
    <d v="2017-03-31T00:00:00"/>
    <s v="Source by CCCM Site Profile-March,2017"/>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7-01-31T00:00:00"/>
    <m/>
    <x v="0"/>
    <n v="0"/>
  </r>
  <r>
    <x v="0"/>
    <x v="0"/>
    <s v="MMR012"/>
    <s v="Sittwe"/>
    <s v="MMR012D001"/>
    <x v="2"/>
    <s v="MMR012001"/>
    <s v="Khaung Doke Kar"/>
    <s v="MMR012001025"/>
    <s v="Baw Du Hpa"/>
    <n v="196192"/>
    <x v="11"/>
    <x v="11"/>
    <n v="92.813028000000003"/>
    <n v="20.179417000000001"/>
    <m/>
    <n v="1011"/>
    <n v="4879"/>
    <n v="4.8655967903711135"/>
    <s v="Accessible by All"/>
    <s v="IDP"/>
    <x v="1"/>
    <m/>
    <m/>
    <x v="0"/>
    <s v="Muslim"/>
    <x v="0"/>
    <s v="Rural"/>
    <x v="1"/>
    <x v="2"/>
    <s v="Individual Household"/>
    <s v="Household Headcount Survey"/>
    <d v="2017-03-31T00:00:00"/>
    <s v="Increased 5 IDPs by CCCM Site Profile-March,2017"/>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7-01-31T00:00:00"/>
    <s v="Decrease of 3HH who moved to YNG (April 2016)"/>
    <x v="0"/>
    <n v="1"/>
  </r>
  <r>
    <x v="0"/>
    <x v="0"/>
    <s v="MMR012"/>
    <s v="Sittwe"/>
    <s v="MMR012D001"/>
    <x v="2"/>
    <s v="MMR012001"/>
    <s v="Khaung Doke Kar"/>
    <s v="MMR012001025"/>
    <s v="Baw Du Hpa"/>
    <n v="196192"/>
    <x v="13"/>
    <x v="13"/>
    <n v="92.807552000000001"/>
    <n v="20.181405999999999"/>
    <m/>
    <n v="1289"/>
    <n v="6947"/>
    <n v="5.3330763299922896"/>
    <s v="Accessible by All"/>
    <s v="IDP"/>
    <x v="1"/>
    <m/>
    <m/>
    <x v="0"/>
    <s v="Muslim"/>
    <x v="0"/>
    <s v="Rural"/>
    <x v="1"/>
    <x v="2"/>
    <s v="Individual Household"/>
    <s v="Household Headcount Survey"/>
    <d v="2017-03-31T00:00:00"/>
    <s v="Increased 30 IDPs by CCCM Site Profile-March,2017"/>
    <x v="2"/>
    <n v="1"/>
  </r>
  <r>
    <x v="0"/>
    <x v="0"/>
    <s v="MMR012"/>
    <s v="Sittwe"/>
    <s v="MMR012D001"/>
    <x v="2"/>
    <s v="MMR012001"/>
    <s v="Bu May"/>
    <s v="MMR012001027"/>
    <s v="Dar Paing Ywar Thit"/>
    <n v="196206"/>
    <x v="14"/>
    <x v="14"/>
    <n v="92.827427"/>
    <n v="20.16846"/>
    <m/>
    <n v="1431"/>
    <n v="8204"/>
    <n v="5.8618468146027203"/>
    <s v="Accessible by All"/>
    <s v="IDP"/>
    <x v="1"/>
    <m/>
    <m/>
    <x v="0"/>
    <s v="Muslim"/>
    <x v="0"/>
    <s v="Rural"/>
    <x v="1"/>
    <x v="2"/>
    <s v="Individual Household"/>
    <s v="Household Headcount Survey"/>
    <d v="2017-03-31T00:00:00"/>
    <s v="Source by CCCM Site Profile-March,2017"/>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7-01-3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7-01-3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04"/>
    <n v="5.4411027568922306"/>
    <s v="Accessible by All"/>
    <s v="IDP"/>
    <x v="1"/>
    <m/>
    <m/>
    <x v="0"/>
    <s v="Muslim"/>
    <x v="0"/>
    <s v="Rural"/>
    <x v="1"/>
    <x v="1"/>
    <s v="Individual Household"/>
    <s v="Household Headcount Survey"/>
    <d v="2017-03-31T00:00:00"/>
    <s v="Source by CCCM Site Profile-March,2017"/>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7-01-31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7-01-31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7-01-31T00:00:00"/>
    <m/>
    <x v="0"/>
    <n v="0"/>
  </r>
  <r>
    <x v="0"/>
    <x v="0"/>
    <s v="MMR012"/>
    <s v="Sittwe"/>
    <s v="MMR012D001"/>
    <x v="1"/>
    <s v="MMR012007"/>
    <s v="Pein Hne Chaung"/>
    <s v="MMR012007049"/>
    <s v="Kyein Ni Pyin"/>
    <s v="197533"/>
    <x v="21"/>
    <x v="21"/>
    <n v="93.010368999999997"/>
    <n v="20.090183"/>
    <m/>
    <n v="1012"/>
    <n v="5115"/>
    <n v="4.8249227600411899"/>
    <s v="Accessible by All"/>
    <s v="IDP"/>
    <x v="1"/>
    <m/>
    <m/>
    <x v="0"/>
    <s v="Muslim"/>
    <x v="0"/>
    <s v="Rural"/>
    <x v="1"/>
    <x v="2"/>
    <m/>
    <s v="Household Headcount Survey"/>
    <d v="2017-03-31T00:00:00"/>
    <s v="Source by CCCM Site Profile-March,2017"/>
    <x v="2"/>
    <n v="0.95652173913043481"/>
  </r>
  <r>
    <x v="0"/>
    <x v="0"/>
    <s v="MMR012"/>
    <s v="Sittwe"/>
    <s v="MMR012D001"/>
    <x v="2"/>
    <s v="MMR012001"/>
    <s v="Bu May"/>
    <s v="MMR012001027"/>
    <s v="Bu May"/>
    <n v="196200"/>
    <x v="22"/>
    <x v="22"/>
    <n v="92.831000000000003"/>
    <n v="20.185917"/>
    <m/>
    <n v="622"/>
    <n v="3423"/>
    <n v="5.3717948717948714"/>
    <s v="Accessible by All"/>
    <s v="IDP"/>
    <x v="1"/>
    <m/>
    <m/>
    <x v="0"/>
    <s v="Muslim"/>
    <x v="0"/>
    <s v="Rural"/>
    <x v="1"/>
    <x v="3"/>
    <s v="Individual Household"/>
    <s v="Household Headcount Survey"/>
    <d v="2017-03-31T00:00:00"/>
    <m/>
    <x v="3"/>
    <n v="1"/>
  </r>
  <r>
    <x v="0"/>
    <x v="0"/>
    <s v="MMR012"/>
    <s v="Sittwe"/>
    <s v="MMR012D001"/>
    <x v="1"/>
    <s v="MMR012007"/>
    <s v="Pon Nar Gyi"/>
    <s v="MMR012007012"/>
    <s v="Cha Eik"/>
    <s v="197414"/>
    <x v="23"/>
    <x v="23"/>
    <n v="93.154551999999995"/>
    <n v="20.073437999999999"/>
    <m/>
    <n v="856"/>
    <n v="3939"/>
    <n v="4.7418321588725201"/>
    <s v="Accessible by All"/>
    <s v="IDP"/>
    <x v="1"/>
    <m/>
    <m/>
    <x v="0"/>
    <s v="Muslim"/>
    <x v="0"/>
    <s v="Rural"/>
    <x v="1"/>
    <x v="1"/>
    <m/>
    <s v="Household Headcount Survey"/>
    <d v="2017-03-31T00:00:00"/>
    <s v="Source by CCCM Site Profile-March,2017"/>
    <x v="1"/>
    <n v="0"/>
  </r>
  <r>
    <x v="0"/>
    <x v="0"/>
    <s v="MMR012"/>
    <s v="Sittwe"/>
    <s v="MMR012D001"/>
    <x v="2"/>
    <s v="MMR012001"/>
    <s v="Say Tha Mar"/>
    <s v="MMR012001010"/>
    <s v="Ohn Taw Shey"/>
    <n v="196158"/>
    <x v="24"/>
    <x v="24"/>
    <n v="92.774193999999994"/>
    <n v="20.206778"/>
    <m/>
    <n v="681"/>
    <n v="3408"/>
    <n v="5.221879815100154"/>
    <s v="Accessible by All"/>
    <s v="IDP"/>
    <x v="1"/>
    <m/>
    <m/>
    <x v="0"/>
    <s v="Muslim"/>
    <x v="0"/>
    <s v="Rural"/>
    <x v="1"/>
    <x v="2"/>
    <s v="Individual Household"/>
    <s v="Household Headcount Survey"/>
    <d v="2017-03-31T00:00:00"/>
    <s v="Source by CCCM Site Profile-March,2017"/>
    <x v="2"/>
    <n v="0.9397944199706314"/>
  </r>
  <r>
    <x v="0"/>
    <x v="0"/>
    <s v="MMR012"/>
    <s v="Sittwe"/>
    <s v="MMR012D001"/>
    <x v="2"/>
    <s v="MMR012001"/>
    <s v="Khaung Doke Kar"/>
    <s v="MMR012001025"/>
    <s v="Baw Du Hpa"/>
    <n v="196192"/>
    <x v="25"/>
    <x v="25"/>
    <n v="92.798880999999994"/>
    <n v="20.18994"/>
    <m/>
    <n v="2640"/>
    <n v="13705"/>
    <n v="5.1939901103081016"/>
    <s v="Accessible by All"/>
    <s v="IDP"/>
    <x v="1"/>
    <m/>
    <m/>
    <x v="0"/>
    <s v="Muslim"/>
    <x v="0"/>
    <s v="Rural"/>
    <x v="1"/>
    <x v="2"/>
    <s v="Individual Household"/>
    <s v="Household Headcount Survey"/>
    <d v="2017-03-31T00:00:00"/>
    <s v="Source by CCCM Site Profile-March,2017"/>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7-01-31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7-01-31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7-01-31T00:00:00"/>
    <m/>
    <x v="0"/>
    <n v="0"/>
  </r>
  <r>
    <x v="0"/>
    <x v="0"/>
    <s v="MMR012"/>
    <s v="Sittwe"/>
    <s v="MMR012D001"/>
    <x v="2"/>
    <s v="MMR012001"/>
    <s v="Khaung Doke Kar"/>
    <s v="MMR012001025"/>
    <s v="Baw Du Hpa"/>
    <n v="196192"/>
    <x v="29"/>
    <x v="29"/>
    <n v="92.802295999999998"/>
    <n v="20.185092000000001"/>
    <m/>
    <n v="2222"/>
    <n v="11586"/>
    <n v="5.2180115916183683"/>
    <s v="Accessible by All"/>
    <s v="IDP"/>
    <x v="1"/>
    <m/>
    <m/>
    <x v="0"/>
    <s v="Muslim"/>
    <x v="0"/>
    <s v="Rural"/>
    <x v="1"/>
    <x v="1"/>
    <s v="Individual Household"/>
    <s v="Household Headcount Survey"/>
    <d v="2017-03-31T00:00:00"/>
    <s v="Source by CCCM Site Profile-March,2017"/>
    <x v="1"/>
    <n v="1"/>
  </r>
  <r>
    <x v="0"/>
    <x v="0"/>
    <s v="MMR012"/>
    <s v="Sittwe"/>
    <s v="MMR012D001"/>
    <x v="2"/>
    <s v="MMR012001"/>
    <s v="Say Tha Mar"/>
    <s v="MMR012001010"/>
    <s v="Say Tha Mar Gyi"/>
    <n v="196154"/>
    <x v="30"/>
    <x v="30"/>
    <n v="92.792479999999998"/>
    <n v="20.202525000000001"/>
    <m/>
    <n v="2497"/>
    <n v="12273"/>
    <n v="4.9991789819376029"/>
    <s v="Accessible by All"/>
    <s v="IDP"/>
    <x v="1"/>
    <m/>
    <m/>
    <x v="0"/>
    <s v="Muslim"/>
    <x v="0"/>
    <s v="Rural"/>
    <x v="1"/>
    <x v="2"/>
    <s v="Individual Household"/>
    <s v="Household Headcount Survey"/>
    <d v="2017-03-31T00:00:00"/>
    <s v="Increased 17 IDPs by CCCM Site Profile-March,2017"/>
    <x v="2"/>
    <n v="1"/>
  </r>
  <r>
    <x v="0"/>
    <x v="0"/>
    <s v="MMR012"/>
    <s v="Sittwe"/>
    <s v="MMR012D001"/>
    <x v="1"/>
    <s v="MMR012007"/>
    <s v="Sin Tet Maw"/>
    <s v="MMR012007051"/>
    <s v="Sin Tet Maw (Ku Lar)"/>
    <n v="197548"/>
    <x v="31"/>
    <x v="31"/>
    <n v="92.993758999999997"/>
    <n v="20.064226000000001"/>
    <m/>
    <n v="523"/>
    <n v="2679"/>
    <n v="3.7519500780031203"/>
    <s v="Accessible by All"/>
    <s v="IDP"/>
    <x v="1"/>
    <m/>
    <m/>
    <x v="2"/>
    <s v="Muslim"/>
    <x v="2"/>
    <s v="Rural"/>
    <x v="1"/>
    <x v="2"/>
    <s v="Individual Household"/>
    <s v="Household Headcount Survey"/>
    <d v="2017-03-31T00:00:00"/>
    <s v="Source by CCCM Site Profile-March,2017"/>
    <x v="2"/>
    <n v="1"/>
  </r>
  <r>
    <x v="0"/>
    <x v="0"/>
    <s v="MMR012"/>
    <s v="Sittwe"/>
    <s v="MMR012D001"/>
    <x v="7"/>
    <s v="MMR012006"/>
    <s v="Ah Ngu"/>
    <s v="MMR012006001"/>
    <s v="Pyin Taw Che"/>
    <n v="217973"/>
    <x v="32"/>
    <x v="32"/>
    <n v="93.370037999999994"/>
    <n v="20.037655000000001"/>
    <m/>
    <n v="662"/>
    <n v="2679"/>
    <n v="4.043413173652695"/>
    <s v="Accessible by All"/>
    <s v="IDP"/>
    <x v="1"/>
    <m/>
    <m/>
    <x v="0"/>
    <s v="Muslim"/>
    <x v="0"/>
    <s v="Urban"/>
    <x v="0"/>
    <x v="4"/>
    <s v="Individual Household"/>
    <s v="Household Headcount Survey"/>
    <d v="2017-03-31T00:00:00"/>
    <s v="Decreased 29 HH and -64 IDPs by CCCM Site Profile-March,2017"/>
    <x v="4"/>
    <n v="1"/>
  </r>
  <r>
    <x v="0"/>
    <x v="0"/>
    <s v="MMR012"/>
    <s v="Sittwe"/>
    <s v="MMR012D001"/>
    <x v="2"/>
    <s v="MMR012001"/>
    <s v="Bu May"/>
    <s v="MMR012001027"/>
    <s v="Thea Chaung Ku Lar"/>
    <n v="196211"/>
    <x v="33"/>
    <x v="33"/>
    <n v="92.839416999999997"/>
    <n v="20.1585"/>
    <m/>
    <n v="2145"/>
    <n v="11764"/>
    <n v="5.4372960372960373"/>
    <s v="Accessible by All"/>
    <s v="IDP"/>
    <x v="0"/>
    <m/>
    <m/>
    <x v="0"/>
    <s v="Muslim"/>
    <x v="0"/>
    <s v="Rural"/>
    <x v="1"/>
    <x v="1"/>
    <s v="Individual Household"/>
    <s v="Household Headcount Survey"/>
    <d v="2017-03-31T00:00:00"/>
    <s v="Source by CCCM Site Profile-March,2017"/>
    <x v="1"/>
    <n v="0"/>
  </r>
  <r>
    <x v="0"/>
    <x v="0"/>
    <s v="MMR012"/>
    <s v="Sittwe"/>
    <s v="MMR012D001"/>
    <x v="2"/>
    <s v="MMR012001"/>
    <s v="Bu May"/>
    <s v="MMR012001027"/>
    <s v="Kha War De Ywar Haung"/>
    <n v="196186"/>
    <x v="34"/>
    <x v="34"/>
    <n v="92.831879000000001"/>
    <n v="20.179939999999998"/>
    <m/>
    <n v="997"/>
    <n v="5830"/>
    <n v="5.7479674796747968"/>
    <s v="Accessible by All"/>
    <s v="IDP"/>
    <x v="1"/>
    <m/>
    <m/>
    <x v="0"/>
    <s v="Muslim"/>
    <x v="0"/>
    <s v="Rural"/>
    <x v="1"/>
    <x v="3"/>
    <s v="Individual Household"/>
    <s v="Household Headcount Survey"/>
    <d v="2017-03-31T00:00:00"/>
    <s v="Increased 5 IDPs by CCCM Site Profile-March,2017"/>
    <x v="3"/>
    <n v="0.9869608826479439"/>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7-01-3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7-01-3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7-01-3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7-01-31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7-01-31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7-01-31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7-01-31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7-01-31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7-01-31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7-01-31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7-01-31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7-01-31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7-01-31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7-01-31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7-01-31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7-01-31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7-01-31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7-01-31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7-01-31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7-01-31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7-01-31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7-01-31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7-01-31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7-01-31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7-01-31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7-01-31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7-01-31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7-01-31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6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5"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248">
      <pivotArea type="all" dataOnly="0" outline="0" fieldPosition="0"/>
    </format>
    <format dxfId="1247">
      <pivotArea field="0" type="button" dataOnly="0" labelOnly="1" outline="0" axis="axisPage" fieldPosition="0"/>
    </format>
    <format dxfId="1246">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6"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249">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254">
      <pivotArea type="all" dataOnly="0" outline="0" fieldPosition="0"/>
    </format>
    <format dxfId="1253">
      <pivotArea field="0" type="button" dataOnly="0" labelOnly="1" outline="0" axis="axisPage" fieldPosition="0"/>
    </format>
    <format dxfId="1252">
      <pivotArea dataOnly="0" labelOnly="1" outline="0" fieldPosition="0">
        <references count="1">
          <reference field="0" count="0"/>
        </references>
      </pivotArea>
    </format>
    <format dxfId="1251">
      <pivotArea field="21" type="button" dataOnly="0" labelOnly="1" outline="0" axis="axisPage" fieldPosition="1"/>
    </format>
    <format dxfId="1250">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7"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259">
      <pivotArea field="0" type="button" dataOnly="0" labelOnly="1" outline="0" axis="axisPage" fieldPosition="0"/>
    </format>
    <format dxfId="1258">
      <pivotArea dataOnly="0" labelOnly="1" outline="0" fieldPosition="0">
        <references count="1">
          <reference field="0" count="0"/>
        </references>
      </pivotArea>
    </format>
    <format dxfId="1257">
      <pivotArea field="36" type="button" dataOnly="0" labelOnly="1" outline="0" axis="axisPage" fieldPosition="1"/>
    </format>
    <format dxfId="1256">
      <pivotArea dataOnly="0" labelOnly="1" outline="0" fieldPosition="0">
        <references count="1">
          <reference field="36" count="0"/>
        </references>
      </pivotArea>
    </format>
    <format dxfId="125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14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27" firstHeaderRow="1" firstDataRow="3" firstDataCol="1"/>
  <pivotFields count="6">
    <pivotField axis="axisRow" showAll="0">
      <items count="4">
        <item x="0"/>
        <item x="1"/>
        <item x="2"/>
        <item t="default"/>
      </items>
    </pivotField>
    <pivotField axis="axisRow" showAll="0">
      <items count="18">
        <item x="5"/>
        <item x="9"/>
        <item x="10"/>
        <item x="11"/>
        <item x="12"/>
        <item x="16"/>
        <item x="3"/>
        <item x="4"/>
        <item x="6"/>
        <item x="8"/>
        <item x="15"/>
        <item x="0"/>
        <item x="14"/>
        <item x="13"/>
        <item x="1"/>
        <item x="2"/>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1">
    <i>
      <x/>
    </i>
    <i r="1">
      <x/>
    </i>
    <i r="1">
      <x v="4"/>
    </i>
    <i r="1">
      <x v="11"/>
    </i>
    <i r="1">
      <x v="16"/>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4">
    <format dxfId="1191">
      <pivotArea outline="0" collapsedLevelsAreSubtotals="1" fieldPosition="0"/>
    </format>
    <format dxfId="1190">
      <pivotArea dataOnly="0" labelOnly="1" fieldPosition="0">
        <references count="1">
          <reference field="3" count="1" defaultSubtotal="1">
            <x v="2"/>
          </reference>
        </references>
      </pivotArea>
    </format>
    <format dxfId="1189">
      <pivotArea dataOnly="0" labelOnly="1" grandCol="1" outline="0" fieldPosition="0"/>
    </format>
    <format dxfId="1188">
      <pivotArea dataOnly="0" labelOnly="1" fieldPosition="0">
        <references count="2">
          <reference field="3" count="1" selected="0">
            <x v="2"/>
          </reference>
          <reference field="4" count="0"/>
        </references>
      </pivotArea>
    </format>
    <format dxfId="1187">
      <pivotArea type="origin" dataOnly="0" labelOnly="1" outline="0" offset="A1" fieldPosition="0"/>
    </format>
    <format dxfId="1186">
      <pivotArea field="3" type="button" dataOnly="0" labelOnly="1" outline="0" axis="axisCol" fieldPosition="0"/>
    </format>
    <format dxfId="1185">
      <pivotArea field="4" type="button" dataOnly="0" labelOnly="1" outline="0" axis="axisCol" fieldPosition="1"/>
    </format>
    <format dxfId="1184">
      <pivotArea type="topRight" dataOnly="0" labelOnly="1" outline="0" fieldPosition="0"/>
    </format>
    <format dxfId="1183">
      <pivotArea field="0" type="button" dataOnly="0" labelOnly="1" outline="0" axis="axisRow" fieldPosition="0"/>
    </format>
    <format dxfId="1182">
      <pivotArea dataOnly="0" labelOnly="1" fieldPosition="0">
        <references count="1">
          <reference field="0" count="0"/>
        </references>
      </pivotArea>
    </format>
    <format dxfId="1181">
      <pivotArea dataOnly="0" labelOnly="1" fieldPosition="0">
        <references count="2">
          <reference field="0" count="1" selected="0">
            <x v="0"/>
          </reference>
          <reference field="1" count="0"/>
        </references>
      </pivotArea>
    </format>
    <format dxfId="1180">
      <pivotArea collapsedLevelsAreSubtotals="1" fieldPosition="0">
        <references count="1">
          <reference field="0" count="1">
            <x v="0"/>
          </reference>
        </references>
      </pivotArea>
    </format>
    <format dxfId="1179">
      <pivotArea collapsedLevelsAreSubtotals="1" fieldPosition="0">
        <references count="2">
          <reference field="0" count="1" selected="0">
            <x v="0"/>
          </reference>
          <reference field="1" count="2">
            <x v="0"/>
            <x v="4"/>
          </reference>
        </references>
      </pivotArea>
    </format>
    <format dxfId="1178">
      <pivotArea collapsedLevelsAreSubtotals="1" fieldPosition="0">
        <references count="1">
          <reference field="0" count="1">
            <x v="1"/>
          </reference>
        </references>
      </pivotArea>
    </format>
    <format dxfId="1177">
      <pivotArea collapsedLevelsAreSubtotals="1" fieldPosition="0">
        <references count="2">
          <reference field="0" count="1" selected="0">
            <x v="1"/>
          </reference>
          <reference field="1" count="9">
            <x v="1"/>
            <x v="2"/>
            <x v="3"/>
            <x v="5"/>
            <x v="6"/>
            <x v="7"/>
            <x v="8"/>
            <x v="9"/>
            <x v="10"/>
          </reference>
        </references>
      </pivotArea>
    </format>
    <format dxfId="1176">
      <pivotArea dataOnly="0" labelOnly="1" fieldPosition="0">
        <references count="1">
          <reference field="0" count="0"/>
        </references>
      </pivotArea>
    </format>
    <format dxfId="1175">
      <pivotArea dataOnly="0" labelOnly="1" fieldPosition="0">
        <references count="2">
          <reference field="0" count="1" selected="0">
            <x v="0"/>
          </reference>
          <reference field="1" count="0"/>
        </references>
      </pivotArea>
    </format>
    <format dxfId="1174">
      <pivotArea grandRow="1" outline="0" collapsedLevelsAreSubtotals="1" fieldPosition="0"/>
    </format>
    <format dxfId="1173">
      <pivotArea dataOnly="0" labelOnly="1" grandRow="1" outline="0" fieldPosition="0"/>
    </format>
    <format dxfId="1172">
      <pivotArea dataOnly="0" labelOnly="1" fieldPosition="0">
        <references count="1">
          <reference field="0" count="1">
            <x v="2"/>
          </reference>
        </references>
      </pivotArea>
    </format>
    <format dxfId="1171">
      <pivotArea dataOnly="0" labelOnly="1" fieldPosition="0">
        <references count="2">
          <reference field="0" count="1" selected="0">
            <x v="1"/>
          </reference>
          <reference field="1" count="8">
            <x v="2"/>
            <x v="3"/>
            <x v="5"/>
            <x v="7"/>
            <x v="8"/>
            <x v="9"/>
            <x v="10"/>
            <x v="12"/>
          </reference>
        </references>
      </pivotArea>
    </format>
    <format dxfId="1170">
      <pivotArea collapsedLevelsAreSubtotals="1" fieldPosition="0">
        <references count="1">
          <reference field="0" count="1">
            <x v="0"/>
          </reference>
        </references>
      </pivotArea>
    </format>
    <format dxfId="1169">
      <pivotArea collapsedLevelsAreSubtotals="1" fieldPosition="0">
        <references count="2">
          <reference field="0" count="1" selected="0">
            <x v="0"/>
          </reference>
          <reference field="1" count="3">
            <x v="0"/>
            <x v="4"/>
            <x v="11"/>
          </reference>
        </references>
      </pivotArea>
    </format>
    <format dxfId="1168">
      <pivotArea collapsedLevelsAreSubtotals="1" fieldPosition="0">
        <references count="1">
          <reference field="0" count="1">
            <x v="1"/>
          </reference>
        </references>
      </pivotArea>
    </format>
    <format dxfId="1167">
      <pivotArea collapsedLevelsAreSubtotals="1" fieldPosition="0">
        <references count="2">
          <reference field="0" count="1" selected="0">
            <x v="1"/>
          </reference>
          <reference field="1" count="8">
            <x v="2"/>
            <x v="3"/>
            <x v="5"/>
            <x v="7"/>
            <x v="8"/>
            <x v="9"/>
            <x v="10"/>
            <x v="12"/>
          </reference>
        </references>
      </pivotArea>
    </format>
    <format dxfId="1166">
      <pivotArea collapsedLevelsAreSubtotals="1" fieldPosition="0">
        <references count="2">
          <reference field="0" count="1" selected="0">
            <x v="2"/>
          </reference>
          <reference field="1" count="1">
            <x v="13"/>
          </reference>
        </references>
      </pivotArea>
    </format>
    <format dxfId="1165">
      <pivotArea collapsedLevelsAreSubtotals="1" fieldPosition="0">
        <references count="2">
          <reference field="0" count="1" selected="0">
            <x v="0"/>
          </reference>
          <reference field="1" count="1">
            <x v="11"/>
          </reference>
        </references>
      </pivotArea>
    </format>
    <format dxfId="1164">
      <pivotArea collapsedLevelsAreSubtotals="1" fieldPosition="0">
        <references count="2">
          <reference field="0" count="1" selected="0">
            <x v="0"/>
          </reference>
          <reference field="1" count="1">
            <x v="11"/>
          </reference>
        </references>
      </pivotArea>
    </format>
    <format dxfId="1163">
      <pivotArea dataOnly="0" labelOnly="1" fieldPosition="0">
        <references count="2">
          <reference field="0" count="1" selected="0">
            <x v="2"/>
          </reference>
          <reference field="1" count="1">
            <x v="13"/>
          </reference>
        </references>
      </pivotArea>
    </format>
    <format dxfId="1162">
      <pivotArea collapsedLevelsAreSubtotals="1" fieldPosition="0">
        <references count="2">
          <reference field="0" count="1" selected="0">
            <x v="1"/>
          </reference>
          <reference field="1" count="1">
            <x v="12"/>
          </reference>
        </references>
      </pivotArea>
    </format>
    <format dxfId="1161">
      <pivotArea collapsedLevelsAreSubtotals="1" fieldPosition="0">
        <references count="2">
          <reference field="0" count="1" selected="0">
            <x v="2"/>
          </reference>
          <reference field="1" count="1">
            <x v="13"/>
          </reference>
        </references>
      </pivotArea>
    </format>
    <format dxfId="1160">
      <pivotArea collapsedLevelsAreSubtotals="1" fieldPosition="0">
        <references count="2">
          <reference field="0" count="1" selected="0">
            <x v="1"/>
          </reference>
          <reference field="1" count="1">
            <x v="12"/>
          </reference>
        </references>
      </pivotArea>
    </format>
    <format dxfId="1159">
      <pivotArea collapsedLevelsAreSubtotals="1" fieldPosition="0">
        <references count="1">
          <reference field="0" count="1">
            <x v="2"/>
          </reference>
        </references>
      </pivotArea>
    </format>
    <format dxfId="1158">
      <pivotArea type="all" dataOnly="0" outline="0" fieldPosition="0"/>
    </format>
    <format dxfId="1157">
      <pivotArea dataOnly="0" labelOnly="1" fieldPosition="0">
        <references count="2">
          <reference field="0" count="1" selected="0">
            <x v="1"/>
          </reference>
          <reference field="1" count="4">
            <x v="10"/>
            <x v="12"/>
            <x v="14"/>
            <x v="15"/>
          </reference>
        </references>
      </pivotArea>
    </format>
    <format dxfId="1156">
      <pivotArea collapsedLevelsAreSubtotals="1" fieldPosition="0">
        <references count="2">
          <reference field="0" count="1" selected="0">
            <x v="1"/>
          </reference>
          <reference field="1" count="2">
            <x v="14"/>
            <x v="15"/>
          </reference>
        </references>
      </pivotArea>
    </format>
    <format dxfId="1155">
      <pivotArea collapsedLevelsAreSubtotals="1" fieldPosition="0">
        <references count="1">
          <reference field="0" count="1">
            <x v="2"/>
          </reference>
        </references>
      </pivotArea>
    </format>
    <format dxfId="1154">
      <pivotArea collapsedLevelsAreSubtotals="1" fieldPosition="0">
        <references count="2">
          <reference field="0" count="1" selected="0">
            <x v="1"/>
          </reference>
          <reference field="1" count="1">
            <x v="14"/>
          </reference>
        </references>
      </pivotArea>
    </format>
    <format dxfId="1153">
      <pivotArea collapsedLevelsAreSubtotals="1" fieldPosition="0">
        <references count="1">
          <reference field="0" count="1">
            <x v="2"/>
          </reference>
        </references>
      </pivotArea>
    </format>
    <format dxfId="1152">
      <pivotArea dataOnly="0" labelOnly="1" fieldPosition="0">
        <references count="2">
          <reference field="0" count="1" selected="0">
            <x v="1"/>
          </reference>
          <reference field="1" count="1">
            <x v="5"/>
          </reference>
        </references>
      </pivotArea>
    </format>
    <format dxfId="1151">
      <pivotArea dataOnly="0" labelOnly="1" fieldPosition="0">
        <references count="2">
          <reference field="0" count="1" selected="0">
            <x v="1"/>
          </reference>
          <reference field="1" count="1">
            <x v="6"/>
          </reference>
        </references>
      </pivotArea>
    </format>
    <format dxfId="1150">
      <pivotArea grandRow="1" outline="0" collapsedLevelsAreSubtotals="1" fieldPosition="0"/>
    </format>
    <format dxfId="1149">
      <pivotArea outline="0" collapsedLevelsAreSubtotals="1" fieldPosition="0"/>
    </format>
    <format dxfId="1148">
      <pivotArea dataOnly="0" labelOnly="1" fieldPosition="0">
        <references count="1">
          <reference field="0" count="0"/>
        </references>
      </pivotArea>
    </format>
    <format dxfId="1147">
      <pivotArea dataOnly="0" labelOnly="1" grandRow="1" outline="0" fieldPosition="0"/>
    </format>
    <format dxfId="1146">
      <pivotArea dataOnly="0" labelOnly="1" fieldPosition="0">
        <references count="2">
          <reference field="0" count="1" selected="0">
            <x v="0"/>
          </reference>
          <reference field="1" count="0"/>
        </references>
      </pivotArea>
    </format>
    <format dxfId="1145">
      <pivotArea dataOnly="0" labelOnly="1" fieldPosition="0">
        <references count="1">
          <reference field="3" count="0"/>
        </references>
      </pivotArea>
    </format>
    <format dxfId="1144">
      <pivotArea dataOnly="0" labelOnly="1" fieldPosition="0">
        <references count="1">
          <reference field="3" count="0" defaultSubtotal="1"/>
        </references>
      </pivotArea>
    </format>
    <format dxfId="1143">
      <pivotArea dataOnly="0" labelOnly="1" grandCol="1" outline="0" fieldPosition="0"/>
    </format>
    <format dxfId="1142">
      <pivotArea dataOnly="0" labelOnly="1" fieldPosition="0">
        <references count="2">
          <reference field="3" count="1" selected="0">
            <x v="1"/>
          </reference>
          <reference field="4" count="0"/>
        </references>
      </pivotArea>
    </format>
    <format dxfId="1141">
      <pivotArea dataOnly="0" labelOnly="1" fieldPosition="0">
        <references count="2">
          <reference field="3" count="1" selected="0">
            <x v="2"/>
          </reference>
          <reference field="4" count="0"/>
        </references>
      </pivotArea>
    </format>
    <format dxfId="1140">
      <pivotArea dataOnly="0" labelOnly="1" fieldPosition="0">
        <references count="2">
          <reference field="3" count="1" selected="0">
            <x v="3"/>
          </reference>
          <reference field="4" count="0"/>
        </references>
      </pivotArea>
    </format>
    <format dxfId="1139">
      <pivotArea dataOnly="0" labelOnly="1" fieldPosition="0">
        <references count="2">
          <reference field="3" count="1" selected="0">
            <x v="4"/>
          </reference>
          <reference field="4" count="0"/>
        </references>
      </pivotArea>
    </format>
    <format dxfId="1138">
      <pivotArea dataOnly="0" labelOnly="1" fieldPosition="0">
        <references count="2">
          <reference field="3" count="1" selected="0">
            <x v="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14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2"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20">
        <item m="1" x="9"/>
        <item m="1" x="14"/>
        <item m="1" x="10"/>
        <item m="1" x="16"/>
        <item m="1" x="11"/>
        <item m="1" x="12"/>
        <item m="1" x="17"/>
        <item m="1" x="15"/>
        <item m="1" x="7"/>
        <item x="1"/>
        <item x="2"/>
        <item x="3"/>
        <item x="4"/>
        <item x="5"/>
        <item m="1" x="18"/>
        <item m="1" x="13"/>
        <item m="1" x="8"/>
        <item m="1" x="6"/>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0"/>
    </i>
    <i>
      <x v="11"/>
    </i>
    <i>
      <x v="12"/>
    </i>
    <i>
      <x v="13"/>
    </i>
    <i>
      <x v="18"/>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222">
      <pivotArea outline="0" collapsedLevelsAreSubtotals="1" fieldPosition="0"/>
    </format>
    <format dxfId="1221">
      <pivotArea dataOnly="0" labelOnly="1" fieldPosition="0">
        <references count="1">
          <reference field="4" count="1" defaultSubtotal="1">
            <x v="0"/>
          </reference>
        </references>
      </pivotArea>
    </format>
    <format dxfId="1220">
      <pivotArea dataOnly="0" labelOnly="1" fieldPosition="0">
        <references count="1">
          <reference field="4" count="1" defaultSubtotal="1">
            <x v="10"/>
          </reference>
        </references>
      </pivotArea>
    </format>
    <format dxfId="1219">
      <pivotArea dataOnly="0" labelOnly="1" fieldPosition="0">
        <references count="1">
          <reference field="4" count="1" defaultSubtotal="1">
            <x v="4"/>
          </reference>
        </references>
      </pivotArea>
    </format>
    <format dxfId="1218">
      <pivotArea dataOnly="0" labelOnly="1" fieldPosition="0">
        <references count="1">
          <reference field="4" count="1" defaultSubtotal="1">
            <x v="1"/>
          </reference>
        </references>
      </pivotArea>
    </format>
    <format dxfId="1217">
      <pivotArea dataOnly="0" labelOnly="1" fieldPosition="0">
        <references count="1">
          <reference field="4" count="1" defaultSubtotal="1">
            <x v="5"/>
          </reference>
        </references>
      </pivotArea>
    </format>
    <format dxfId="1216">
      <pivotArea dataOnly="0" labelOnly="1" grandCol="1" outline="0" fieldPosition="0"/>
    </format>
    <format dxfId="1215">
      <pivotArea dataOnly="0" labelOnly="1" fieldPosition="0">
        <references count="2">
          <reference field="4" count="1" selected="0">
            <x v="0"/>
          </reference>
          <reference field="5" count="0"/>
        </references>
      </pivotArea>
    </format>
    <format dxfId="1214">
      <pivotArea dataOnly="0" labelOnly="1" fieldPosition="0">
        <references count="2">
          <reference field="4" count="1" selected="0">
            <x v="10"/>
          </reference>
          <reference field="5" count="0"/>
        </references>
      </pivotArea>
    </format>
    <format dxfId="1213">
      <pivotArea dataOnly="0" labelOnly="1" fieldPosition="0">
        <references count="2">
          <reference field="4" count="1" selected="0">
            <x v="4"/>
          </reference>
          <reference field="5" count="0"/>
        </references>
      </pivotArea>
    </format>
    <format dxfId="1212">
      <pivotArea dataOnly="0" labelOnly="1" fieldPosition="0">
        <references count="2">
          <reference field="4" count="1" selected="0">
            <x v="1"/>
          </reference>
          <reference field="5" count="0"/>
        </references>
      </pivotArea>
    </format>
    <format dxfId="1211">
      <pivotArea dataOnly="0" labelOnly="1" fieldPosition="0">
        <references count="2">
          <reference field="4" count="1" selected="0">
            <x v="5"/>
          </reference>
          <reference field="5" count="0"/>
        </references>
      </pivotArea>
    </format>
    <format dxfId="1210">
      <pivotArea field="1" type="button" dataOnly="0" labelOnly="1" outline="0" axis="axisPage" fieldPosition="0"/>
    </format>
    <format dxfId="1209">
      <pivotArea dataOnly="0" labelOnly="1" outline="0" fieldPosition="0">
        <references count="1">
          <reference field="1" count="0"/>
        </references>
      </pivotArea>
    </format>
    <format dxfId="1208">
      <pivotArea field="2" type="button" dataOnly="0" labelOnly="1" outline="0" axis="axisPage" fieldPosition="1"/>
    </format>
    <format dxfId="1207">
      <pivotArea dataOnly="0" labelOnly="1" outline="0" fieldPosition="0">
        <references count="1">
          <reference field="2" count="0"/>
        </references>
      </pivotArea>
    </format>
    <format dxfId="1206">
      <pivotArea type="origin" dataOnly="0" labelOnly="1" outline="0" fieldPosition="0"/>
    </format>
    <format dxfId="1205">
      <pivotArea field="4" type="button" dataOnly="0" labelOnly="1" outline="0" axis="axisRow" fieldPosition="0"/>
    </format>
    <format dxfId="1204">
      <pivotArea field="5" type="button" dataOnly="0" labelOnly="1" outline="0" axis="axisCol" fieldPosition="0"/>
    </format>
    <format dxfId="1203">
      <pivotArea dataOnly="0" labelOnly="1" fieldPosition="0">
        <references count="1">
          <reference field="5" count="1">
            <x v="0"/>
          </reference>
        </references>
      </pivotArea>
    </format>
    <format dxfId="1202">
      <pivotArea type="topRight" dataOnly="0" labelOnly="1" outline="0" offset="A1" fieldPosition="0"/>
    </format>
    <format dxfId="1201">
      <pivotArea dataOnly="0" labelOnly="1" fieldPosition="0">
        <references count="1">
          <reference field="5" count="1">
            <x v="1"/>
          </reference>
        </references>
      </pivotArea>
    </format>
    <format dxfId="1200">
      <pivotArea type="topRight" dataOnly="0" labelOnly="1" outline="0" offset="B1" fieldPosition="0"/>
    </format>
    <format dxfId="1199">
      <pivotArea dataOnly="0" labelOnly="1" grandCol="1" outline="0" fieldPosition="0"/>
    </format>
    <format dxfId="1198">
      <pivotArea collapsedLevelsAreSubtotals="1" fieldPosition="0">
        <references count="1">
          <reference field="4" count="0"/>
        </references>
      </pivotArea>
    </format>
    <format dxfId="1197">
      <pivotArea dataOnly="0" labelOnly="1" fieldPosition="0">
        <references count="1">
          <reference field="4" count="0"/>
        </references>
      </pivotArea>
    </format>
    <format dxfId="1196">
      <pivotArea grandRow="1" outline="0" collapsedLevelsAreSubtotals="1" fieldPosition="0"/>
    </format>
    <format dxfId="1195">
      <pivotArea dataOnly="0" labelOnly="1" grandRow="1" outline="0" fieldPosition="0"/>
    </format>
    <format dxfId="1194">
      <pivotArea field="1" type="button" dataOnly="0" labelOnly="1" outline="0" axis="axisPage" fieldPosition="0"/>
    </format>
    <format dxfId="1193">
      <pivotArea dataOnly="0" labelOnly="1" outline="0" fieldPosition="0">
        <references count="1">
          <reference field="1" count="0"/>
        </references>
      </pivotArea>
    </format>
    <format dxfId="1192">
      <pivotArea dataOnly="0" labelOnly="1" fieldPosition="0">
        <references count="1">
          <reference field="5" count="1">
            <x v="2"/>
          </reference>
        </references>
      </pivotArea>
    </format>
  </formats>
  <chartFormats count="20">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 chart="0" format="31" series="1">
      <pivotArea type="data" outline="0" fieldPosition="0">
        <references count="2">
          <reference field="4294967294" count="1" selected="0">
            <x v="0"/>
          </reference>
          <reference field="5" count="1" selected="0">
            <x v="3"/>
          </reference>
        </references>
      </pivotArea>
    </chartFormat>
    <chartFormat chart="0" format="32">
      <pivotArea type="data" outline="0" fieldPosition="0">
        <references count="3">
          <reference field="4294967294" count="1" selected="0">
            <x v="0"/>
          </reference>
          <reference field="4" count="1" selected="0">
            <x v="17"/>
          </reference>
          <reference field="5" count="1" selected="0">
            <x v="1"/>
          </reference>
        </references>
      </pivotArea>
    </chartFormat>
    <chartFormat chart="0" format="33">
      <pivotArea type="data" outline="0" fieldPosition="0">
        <references count="3">
          <reference field="4294967294" count="1" selected="0">
            <x v="0"/>
          </reference>
          <reference field="4" count="1" selected="0">
            <x v="18"/>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5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1122">
      <pivotArea field="4" type="button" dataOnly="0" labelOnly="1" outline="0" axis="axisRow" fieldPosition="0"/>
    </format>
    <format dxfId="1121">
      <pivotArea dataOnly="0" labelOnly="1" outline="0" axis="axisValues" fieldPosition="0"/>
    </format>
    <format dxfId="1120">
      <pivotArea dataOnly="0" labelOnly="1" fieldPosition="0">
        <references count="1">
          <reference field="4" count="0"/>
        </references>
      </pivotArea>
    </format>
    <format dxfId="1119">
      <pivotArea collapsedLevelsAreSubtotals="1" fieldPosition="0">
        <references count="1">
          <reference field="4" count="0"/>
        </references>
      </pivotArea>
    </format>
    <format dxfId="1118">
      <pivotArea grandRow="1" outline="0" collapsedLevelsAreSubtotals="1" fieldPosition="0"/>
    </format>
    <format dxfId="1117">
      <pivotArea dataOnly="0" labelOnly="1" grandRow="1" outline="0" fieldPosition="0"/>
    </format>
    <format dxfId="1116">
      <pivotArea outline="0" collapsedLevelsAreSubtotals="1" fieldPosition="0"/>
    </format>
    <format dxfId="1115">
      <pivotArea type="origin" dataOnly="0" labelOnly="1" outline="0" fieldPosition="0"/>
    </format>
    <format dxfId="1114">
      <pivotArea field="1" type="button" dataOnly="0" labelOnly="1" outline="0" axis="axisCol" fieldPosition="0"/>
    </format>
    <format dxfId="1113">
      <pivotArea collapsedLevelsAreSubtotals="1" fieldPosition="0">
        <references count="1">
          <reference field="4" count="0"/>
        </references>
      </pivotArea>
    </format>
    <format dxfId="1112">
      <pivotArea field="4" type="button" dataOnly="0" labelOnly="1" outline="0" axis="axisRow" fieldPosition="0"/>
    </format>
    <format dxfId="1111">
      <pivotArea dataOnly="0" labelOnly="1" fieldPosition="0">
        <references count="1">
          <reference field="4" count="0"/>
        </references>
      </pivotArea>
    </format>
    <format dxfId="1110">
      <pivotArea dataOnly="0" labelOnly="1" fieldPosition="0">
        <references count="1">
          <reference field="1" count="0"/>
        </references>
      </pivotArea>
    </format>
    <format dxfId="1109">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67"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Richard Tracey, CCCM/NFI Cluster Coordinator, tracey@unhcr.org  09448027896" x="0"/>
        <item x="3"/>
        <item n="Head of Rakhine Programs" x="4"/>
        <item x="2"/>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6"/>
      <x v="44"/>
      <x v="17"/>
    </i>
    <i r="4">
      <x v="86"/>
      <x v="18"/>
    </i>
    <i r="1">
      <x v="4"/>
      <x/>
      <x v="1"/>
      <x v="4"/>
      <x v="15"/>
    </i>
    <i r="4">
      <x v="117"/>
      <x v="16"/>
    </i>
    <i t="default">
      <x v="3"/>
    </i>
    <i>
      <x v="6"/>
      <x/>
      <x v="1"/>
      <x v="3"/>
      <x v="13"/>
      <x v="101"/>
    </i>
    <i r="4">
      <x v="25"/>
      <x v="95"/>
    </i>
    <i r="4">
      <x v="102"/>
      <x v="89"/>
    </i>
    <i r="1">
      <x v="1"/>
      <x/>
      <x v="6"/>
      <x v="14"/>
      <x v="111"/>
    </i>
    <i r="4">
      <x v="15"/>
      <x v="112"/>
    </i>
    <i r="4">
      <x v="24"/>
      <x v="40"/>
    </i>
    <i r="4">
      <x v="59"/>
      <x v="96"/>
    </i>
    <i r="4">
      <x v="60"/>
      <x v="113"/>
    </i>
    <i r="4">
      <x v="79"/>
      <x v="44"/>
    </i>
    <i r="1">
      <x v="4"/>
      <x/>
      <x v="1"/>
      <x v="10"/>
      <x v="38"/>
    </i>
    <i r="4">
      <x v="38"/>
      <x v="41"/>
    </i>
    <i r="4">
      <x v="61"/>
      <x v="114"/>
    </i>
    <i r="4">
      <x v="94"/>
      <x v="45"/>
    </i>
    <i r="1">
      <x v="6"/>
      <x/>
      <x v="4"/>
      <x v="50"/>
      <x v="90"/>
    </i>
    <i r="4">
      <x v="101"/>
      <x v="47"/>
    </i>
    <i t="default">
      <x v="6"/>
    </i>
    <i>
      <x v="7"/>
      <x v="2"/>
      <x v="1"/>
      <x v="5"/>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35">
    <format dxfId="1095">
      <pivotArea dataOnly="0" outline="0" fieldPosition="0">
        <references count="1">
          <reference field="5" count="0" defaultSubtotal="1"/>
        </references>
      </pivotArea>
    </format>
    <format dxfId="1094">
      <pivotArea outline="0" fieldPosition="0">
        <references count="1">
          <reference field="4294967294" count="1">
            <x v="0"/>
          </reference>
        </references>
      </pivotArea>
    </format>
    <format dxfId="1093">
      <pivotArea field="5" type="button" dataOnly="0" labelOnly="1" outline="0" axis="axisRow" fieldPosition="0"/>
    </format>
    <format dxfId="1092">
      <pivotArea field="29" type="button" dataOnly="0" labelOnly="1" outline="0" axis="axisRow" fieldPosition="1"/>
    </format>
    <format dxfId="1091">
      <pivotArea field="28" type="button" dataOnly="0" labelOnly="1" outline="0" axis="axisRow" fieldPosition="2"/>
    </format>
    <format dxfId="1090">
      <pivotArea field="11" type="button" dataOnly="0" labelOnly="1" outline="0" axis="axisRow" fieldPosition="4"/>
    </format>
    <format dxfId="1089">
      <pivotArea dataOnly="0" labelOnly="1" outline="0" axis="axisValues" fieldPosition="0"/>
    </format>
    <format dxfId="1088">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1087">
      <pivotArea dataOnly="0" labelOnly="1" outline="0" fieldPosition="0">
        <references count="2">
          <reference field="5" count="1" selected="0">
            <x v="3"/>
          </reference>
          <reference field="29" count="1">
            <x v="0"/>
          </reference>
        </references>
      </pivotArea>
    </format>
    <format dxfId="1086">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1085">
      <pivotArea outline="0" collapsedLevelsAreSubtotals="1" fieldPosition="0">
        <references count="1">
          <reference field="5" count="1" selected="0" defaultSubtotal="1">
            <x v="3"/>
          </reference>
        </references>
      </pivotArea>
    </format>
    <format dxfId="1084">
      <pivotArea dataOnly="0" labelOnly="1" outline="0" fieldPosition="0">
        <references count="1">
          <reference field="5" count="1" defaultSubtotal="1">
            <x v="3"/>
          </reference>
        </references>
      </pivotArea>
    </format>
    <format dxfId="1083">
      <pivotArea dataOnly="0" labelOnly="1" outline="0" fieldPosition="0">
        <references count="2">
          <reference field="5" count="1" selected="0">
            <x v="6"/>
          </reference>
          <reference field="29" count="1">
            <x v="0"/>
          </reference>
        </references>
      </pivotArea>
    </format>
    <format dxfId="1082">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1081">
      <pivotArea dataOnly="0" labelOnly="1" outline="0" fieldPosition="0">
        <references count="1">
          <reference field="5" count="1" defaultSubtotal="1">
            <x v="6"/>
          </reference>
        </references>
      </pivotArea>
    </format>
    <format dxfId="1080">
      <pivotArea grandRow="1" outline="0" collapsedLevelsAreSubtotals="1" fieldPosition="0"/>
    </format>
    <format dxfId="1079">
      <pivotArea dataOnly="0" labelOnly="1" grandRow="1" outline="0" fieldPosition="0"/>
    </format>
    <format dxfId="1078">
      <pivotArea type="all" dataOnly="0" outline="0" fieldPosition="0"/>
    </format>
    <format dxfId="1077">
      <pivotArea dataOnly="0" labelOnly="1" outline="0" fieldPosition="0">
        <references count="1">
          <reference field="11" count="0"/>
        </references>
      </pivotArea>
    </format>
    <format dxfId="1076">
      <pivotArea dataOnly="0" labelOnly="1" outline="0" fieldPosition="0">
        <references count="1">
          <reference field="5" count="0"/>
        </references>
      </pivotArea>
    </format>
    <format dxfId="1075">
      <pivotArea dataOnly="0" labelOnly="1" outline="0" fieldPosition="0">
        <references count="2">
          <reference field="5" count="1" selected="0">
            <x v="3"/>
          </reference>
          <reference field="29" count="1">
            <x v="0"/>
          </reference>
        </references>
      </pivotArea>
    </format>
    <format dxfId="1074">
      <pivotArea dataOnly="0" labelOnly="1" outline="0" fieldPosition="0">
        <references count="2">
          <reference field="5" count="1" selected="0">
            <x v="6"/>
          </reference>
          <reference field="29" count="2">
            <x v="1"/>
            <x v="4"/>
          </reference>
        </references>
      </pivotArea>
    </format>
    <format dxfId="1073">
      <pivotArea dataOnly="0" labelOnly="1" outline="0" fieldPosition="0">
        <references count="3">
          <reference field="5" count="1" selected="0">
            <x v="3"/>
          </reference>
          <reference field="28" count="1" selected="0">
            <x v="1"/>
          </reference>
          <reference field="29" count="1">
            <x v="0"/>
          </reference>
        </references>
      </pivotArea>
    </format>
    <format dxfId="1072">
      <pivotArea field="11" type="button" dataOnly="0" labelOnly="1" outline="0" axis="axisRow" fieldPosition="4"/>
    </format>
    <format dxfId="1071">
      <pivotArea field="12" type="button" dataOnly="0" labelOnly="1" outline="0" axis="axisRow" fieldPosition="5"/>
    </format>
    <format dxfId="1070">
      <pivotArea outline="0" collapsedLevelsAreSubtotals="1" fieldPosition="0">
        <references count="1">
          <reference field="4294967294" count="1" selected="0">
            <x v="0"/>
          </reference>
        </references>
      </pivotArea>
    </format>
    <format dxfId="1069">
      <pivotArea dataOnly="0" labelOnly="1" outline="0" fieldPosition="0">
        <references count="1">
          <reference field="4294967294" count="1">
            <x v="0"/>
          </reference>
        </references>
      </pivotArea>
    </format>
    <format dxfId="1068">
      <pivotArea outline="0" collapsedLevelsAreSubtotals="1" fieldPosition="0">
        <references count="1">
          <reference field="4294967294" count="1" selected="0">
            <x v="0"/>
          </reference>
        </references>
      </pivotArea>
    </format>
    <format dxfId="1067">
      <pivotArea dataOnly="0" labelOnly="1" outline="0" fieldPosition="0">
        <references count="1">
          <reference field="4294967294" count="1">
            <x v="0"/>
          </reference>
        </references>
      </pivotArea>
    </format>
    <format dxfId="1066">
      <pivotArea outline="0" collapsedLevelsAreSubtotals="1" fieldPosition="0">
        <references count="1">
          <reference field="5" count="1" selected="0" defaultSubtotal="1">
            <x v="3"/>
          </reference>
        </references>
      </pivotArea>
    </format>
    <format dxfId="1065">
      <pivotArea dataOnly="0" labelOnly="1" outline="0" fieldPosition="0">
        <references count="1">
          <reference field="34" count="0"/>
        </references>
      </pivotArea>
    </format>
    <format dxfId="1064">
      <pivotArea outline="0" collapsedLevelsAreSubtotals="1" fieldPosition="0">
        <references count="1">
          <reference field="4294967294" count="1" selected="0">
            <x v="1"/>
          </reference>
        </references>
      </pivotArea>
    </format>
    <format dxfId="1063">
      <pivotArea dataOnly="0" labelOnly="1" outline="0" fieldPosition="0">
        <references count="1">
          <reference field="4294967294" count="1">
            <x v="1"/>
          </reference>
        </references>
      </pivotArea>
    </format>
    <format dxfId="1062">
      <pivotArea field="34" type="button" dataOnly="0" labelOnly="1" outline="0" axis="axisRow" fieldPosition="3"/>
    </format>
    <format dxfId="1061">
      <pivotArea outline="0" collapsedLevelsAreSubtotals="1" fieldPosition="0">
        <references count="1">
          <reference field="5" count="1" selected="0" defaultSubtotal="1">
            <x v="3"/>
          </reference>
        </references>
      </pivotArea>
    </format>
    <format dxfId="1060">
      <pivotArea dataOnly="0" labelOnly="1" grandRow="1" outline="0" fieldPosition="0"/>
    </format>
    <format dxfId="1059">
      <pivotArea grandRow="1" outline="0" collapsedLevelsAreSubtotals="1" fieldPosition="0"/>
    </format>
    <format dxfId="1058">
      <pivotArea dataOnly="0" labelOnly="1" grandRow="1" outline="0" fieldPosition="0"/>
    </format>
    <format dxfId="1057">
      <pivotArea type="all" dataOnly="0" outline="0" fieldPosition="0"/>
    </format>
    <format dxfId="1056">
      <pivotArea outline="0" collapsedLevelsAreSubtotals="1" fieldPosition="0">
        <references count="1">
          <reference field="4294967294" count="1" selected="0">
            <x v="2"/>
          </reference>
        </references>
      </pivotArea>
    </format>
    <format dxfId="1055">
      <pivotArea type="all" dataOnly="0" outline="0" fieldPosition="0"/>
    </format>
    <format dxfId="1054">
      <pivotArea dataOnly="0" labelOnly="1" outline="0" fieldPosition="0">
        <references count="1">
          <reference field="5" count="0"/>
        </references>
      </pivotArea>
    </format>
    <format dxfId="1053">
      <pivotArea dataOnly="0" labelOnly="1" outline="0" fieldPosition="0">
        <references count="1">
          <reference field="5" count="0" defaultSubtotal="1"/>
        </references>
      </pivotArea>
    </format>
    <format dxfId="1052">
      <pivotArea dataOnly="0" labelOnly="1" outline="0" fieldPosition="0">
        <references count="2">
          <reference field="5" count="1" selected="0">
            <x v="3"/>
          </reference>
          <reference field="29" count="2">
            <x v="1"/>
            <x v="4"/>
          </reference>
        </references>
      </pivotArea>
    </format>
    <format dxfId="1051">
      <pivotArea dataOnly="0" labelOnly="1" outline="0" fieldPosition="0">
        <references count="2">
          <reference field="5" count="1" selected="0">
            <x v="6"/>
          </reference>
          <reference field="29" count="4">
            <x v="0"/>
            <x v="1"/>
            <x v="4"/>
            <x v="6"/>
          </reference>
        </references>
      </pivotArea>
    </format>
    <format dxfId="1050">
      <pivotArea dataOnly="0" labelOnly="1" outline="0" fieldPosition="0">
        <references count="2">
          <reference field="5" count="1" selected="0">
            <x v="7"/>
          </reference>
          <reference field="29" count="1">
            <x v="2"/>
          </reference>
        </references>
      </pivotArea>
    </format>
    <format dxfId="1049">
      <pivotArea dataOnly="0" labelOnly="1" outline="0" fieldPosition="0">
        <references count="3">
          <reference field="5" count="1" selected="0">
            <x v="3"/>
          </reference>
          <reference field="28" count="1">
            <x v="0"/>
          </reference>
          <reference field="29" count="1" selected="0">
            <x v="1"/>
          </reference>
        </references>
      </pivotArea>
    </format>
    <format dxfId="1048">
      <pivotArea dataOnly="0" labelOnly="1" outline="0" fieldPosition="0">
        <references count="3">
          <reference field="5" count="1" selected="0">
            <x v="6"/>
          </reference>
          <reference field="28" count="1">
            <x v="1"/>
          </reference>
          <reference field="29" count="1" selected="0">
            <x v="0"/>
          </reference>
        </references>
      </pivotArea>
    </format>
    <format dxfId="1047">
      <pivotArea dataOnly="0" labelOnly="1" outline="0" fieldPosition="0">
        <references count="3">
          <reference field="5" count="1" selected="0">
            <x v="6"/>
          </reference>
          <reference field="28" count="1">
            <x v="0"/>
          </reference>
          <reference field="29" count="1" selected="0">
            <x v="1"/>
          </reference>
        </references>
      </pivotArea>
    </format>
    <format dxfId="1046">
      <pivotArea dataOnly="0" labelOnly="1" outline="0" fieldPosition="0">
        <references count="3">
          <reference field="5" count="1" selected="0">
            <x v="7"/>
          </reference>
          <reference field="28" count="1">
            <x v="1"/>
          </reference>
          <reference field="29" count="1" selected="0">
            <x v="2"/>
          </reference>
        </references>
      </pivotArea>
    </format>
    <format dxfId="104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44">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104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042">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1041">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104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103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1038">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1037">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1036">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1035">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1034">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1033">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1032">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1031">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1030">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1029">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1028">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1027">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1026">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1025">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1024">
      <pivotArea dataOnly="0" labelOnly="1" outline="0" fieldPosition="0">
        <references count="1">
          <reference field="5" count="0"/>
        </references>
      </pivotArea>
    </format>
    <format dxfId="1023">
      <pivotArea dataOnly="0" labelOnly="1" outline="0" fieldPosition="0">
        <references count="1">
          <reference field="5" count="2" defaultSubtotal="1">
            <x v="3"/>
            <x v="6"/>
          </reference>
        </references>
      </pivotArea>
    </format>
    <format dxfId="1022">
      <pivotArea dataOnly="0" labelOnly="1" outline="0" fieldPosition="0">
        <references count="2">
          <reference field="5" count="1" selected="0">
            <x v="3"/>
          </reference>
          <reference field="29" count="2">
            <x v="1"/>
            <x v="4"/>
          </reference>
        </references>
      </pivotArea>
    </format>
    <format dxfId="1021">
      <pivotArea dataOnly="0" labelOnly="1" outline="0" fieldPosition="0">
        <references count="2">
          <reference field="5" count="1" selected="0">
            <x v="6"/>
          </reference>
          <reference field="29" count="4">
            <x v="0"/>
            <x v="1"/>
            <x v="4"/>
            <x v="6"/>
          </reference>
        </references>
      </pivotArea>
    </format>
    <format dxfId="1020">
      <pivotArea dataOnly="0" labelOnly="1" outline="0" fieldPosition="0">
        <references count="2">
          <reference field="5" count="1" selected="0">
            <x v="7"/>
          </reference>
          <reference field="29" count="1">
            <x v="2"/>
          </reference>
        </references>
      </pivotArea>
    </format>
    <format dxfId="1019">
      <pivotArea dataOnly="0" labelOnly="1" outline="0" fieldPosition="0">
        <references count="3">
          <reference field="5" count="1" selected="0">
            <x v="3"/>
          </reference>
          <reference field="28" count="1">
            <x v="0"/>
          </reference>
          <reference field="29" count="1" selected="0">
            <x v="1"/>
          </reference>
        </references>
      </pivotArea>
    </format>
    <format dxfId="1018">
      <pivotArea dataOnly="0" labelOnly="1" outline="0" fieldPosition="0">
        <references count="3">
          <reference field="5" count="1" selected="0">
            <x v="6"/>
          </reference>
          <reference field="28" count="1">
            <x v="1"/>
          </reference>
          <reference field="29" count="1" selected="0">
            <x v="0"/>
          </reference>
        </references>
      </pivotArea>
    </format>
    <format dxfId="1017">
      <pivotArea dataOnly="0" labelOnly="1" outline="0" fieldPosition="0">
        <references count="3">
          <reference field="5" count="1" selected="0">
            <x v="6"/>
          </reference>
          <reference field="28" count="1">
            <x v="0"/>
          </reference>
          <reference field="29" count="1" selected="0">
            <x v="1"/>
          </reference>
        </references>
      </pivotArea>
    </format>
    <format dxfId="1016">
      <pivotArea dataOnly="0" labelOnly="1" outline="0" fieldPosition="0">
        <references count="3">
          <reference field="5" count="1" selected="0">
            <x v="7"/>
          </reference>
          <reference field="28" count="1">
            <x v="1"/>
          </reference>
          <reference field="29" count="1" selected="0">
            <x v="2"/>
          </reference>
        </references>
      </pivotArea>
    </format>
    <format dxfId="101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14">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101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012">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1011">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101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100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1008">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1007">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1006">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1005">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1004">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1003">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1002">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1001">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1000">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99">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98">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97">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996">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995">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994">
      <pivotArea type="all" dataOnly="0" outline="0" fieldPosition="0"/>
    </format>
    <format dxfId="993">
      <pivotArea outline="0" collapsedLevelsAreSubtotals="1" fieldPosition="0"/>
    </format>
    <format dxfId="992">
      <pivotArea dataOnly="0" labelOnly="1" outline="0" fieldPosition="0">
        <references count="1">
          <reference field="5" count="0"/>
        </references>
      </pivotArea>
    </format>
    <format dxfId="991">
      <pivotArea dataOnly="0" labelOnly="1" outline="0" fieldPosition="0">
        <references count="1">
          <reference field="5" count="0" defaultSubtotal="1"/>
        </references>
      </pivotArea>
    </format>
    <format dxfId="990">
      <pivotArea dataOnly="0" labelOnly="1" grandRow="1" outline="0" fieldPosition="0"/>
    </format>
    <format dxfId="989">
      <pivotArea dataOnly="0" labelOnly="1" outline="0" fieldPosition="0">
        <references count="2">
          <reference field="5" count="1" selected="0">
            <x v="3"/>
          </reference>
          <reference field="29" count="2">
            <x v="1"/>
            <x v="4"/>
          </reference>
        </references>
      </pivotArea>
    </format>
    <format dxfId="988">
      <pivotArea dataOnly="0" labelOnly="1" outline="0" fieldPosition="0">
        <references count="2">
          <reference field="5" count="1" selected="0">
            <x v="6"/>
          </reference>
          <reference field="29" count="4">
            <x v="0"/>
            <x v="1"/>
            <x v="4"/>
            <x v="6"/>
          </reference>
        </references>
      </pivotArea>
    </format>
    <format dxfId="987">
      <pivotArea dataOnly="0" labelOnly="1" outline="0" fieldPosition="0">
        <references count="2">
          <reference field="5" count="1" selected="0">
            <x v="7"/>
          </reference>
          <reference field="29" count="1">
            <x v="2"/>
          </reference>
        </references>
      </pivotArea>
    </format>
    <format dxfId="986">
      <pivotArea dataOnly="0" labelOnly="1" outline="0" fieldPosition="0">
        <references count="3">
          <reference field="5" count="1" selected="0">
            <x v="3"/>
          </reference>
          <reference field="28" count="1">
            <x v="0"/>
          </reference>
          <reference field="29" count="1" selected="0">
            <x v="1"/>
          </reference>
        </references>
      </pivotArea>
    </format>
    <format dxfId="985">
      <pivotArea dataOnly="0" labelOnly="1" outline="0" fieldPosition="0">
        <references count="3">
          <reference field="5" count="1" selected="0">
            <x v="6"/>
          </reference>
          <reference field="28" count="1">
            <x v="1"/>
          </reference>
          <reference field="29" count="1" selected="0">
            <x v="0"/>
          </reference>
        </references>
      </pivotArea>
    </format>
    <format dxfId="984">
      <pivotArea dataOnly="0" labelOnly="1" outline="0" fieldPosition="0">
        <references count="3">
          <reference field="5" count="1" selected="0">
            <x v="6"/>
          </reference>
          <reference field="28" count="1">
            <x v="0"/>
          </reference>
          <reference field="29" count="1" selected="0">
            <x v="1"/>
          </reference>
        </references>
      </pivotArea>
    </format>
    <format dxfId="983">
      <pivotArea dataOnly="0" labelOnly="1" outline="0" fieldPosition="0">
        <references count="3">
          <reference field="5" count="1" selected="0">
            <x v="7"/>
          </reference>
          <reference field="28" count="1">
            <x v="1"/>
          </reference>
          <reference field="29" count="1" selected="0">
            <x v="2"/>
          </reference>
        </references>
      </pivotArea>
    </format>
    <format dxfId="98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81">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98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79">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978">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977">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76">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975">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74">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973">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972">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71">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970">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969">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968">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67">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66">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65">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64">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963">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962">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961">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67"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67"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960">
      <pivotArea outline="0" fieldPosition="0">
        <references count="1">
          <reference field="4294967294" count="1">
            <x v="1"/>
          </reference>
        </references>
      </pivotArea>
    </format>
    <format dxfId="959">
      <pivotArea outline="0" fieldPosition="0">
        <references count="1">
          <reference field="4294967294" count="1">
            <x v="0"/>
          </reference>
        </references>
      </pivotArea>
    </format>
    <format dxfId="958">
      <pivotArea field="5" type="button" dataOnly="0" labelOnly="1" outline="0" axis="axisRow" fieldPosition="0"/>
    </format>
    <format dxfId="957">
      <pivotArea field="11" type="button" dataOnly="0" labelOnly="1" outline="0" axis="axisRow" fieldPosition="1"/>
    </format>
    <format dxfId="956">
      <pivotArea field="12" type="button" dataOnly="0" labelOnly="1" outline="0" axis="axisRow" fieldPosition="2"/>
    </format>
    <format dxfId="955">
      <pivotArea field="28" type="button" dataOnly="0" labelOnly="1" outline="0"/>
    </format>
    <format dxfId="954">
      <pivotArea field="29" type="button" dataOnly="0" labelOnly="1" outline="0"/>
    </format>
    <format dxfId="953">
      <pivotArea dataOnly="0" labelOnly="1" outline="0" fieldPosition="0">
        <references count="1">
          <reference field="4294967294" count="2">
            <x v="0"/>
            <x v="1"/>
          </reference>
        </references>
      </pivotArea>
    </format>
    <format dxfId="952">
      <pivotArea type="all" dataOnly="0" outline="0" fieldPosition="0"/>
    </format>
    <format dxfId="951">
      <pivotArea outline="0" collapsedLevelsAreSubtotals="1" fieldPosition="0"/>
    </format>
    <format dxfId="950">
      <pivotArea dataOnly="0" labelOnly="1" outline="0" fieldPosition="0">
        <references count="1">
          <reference field="5" count="7">
            <x v="0"/>
            <x v="1"/>
            <x v="3"/>
            <x v="4"/>
            <x v="5"/>
            <x v="6"/>
            <x v="7"/>
          </reference>
        </references>
      </pivotArea>
    </format>
    <format dxfId="949">
      <pivotArea dataOnly="0" labelOnly="1" outline="0" fieldPosition="0">
        <references count="1">
          <reference field="5" count="7" defaultSubtotal="1">
            <x v="0"/>
            <x v="1"/>
            <x v="3"/>
            <x v="4"/>
            <x v="5"/>
            <x v="6"/>
            <x v="7"/>
          </reference>
        </references>
      </pivotArea>
    </format>
    <format dxfId="948">
      <pivotArea dataOnly="0" labelOnly="1" grandRow="1" outline="0" fieldPosition="0"/>
    </format>
    <format dxfId="947">
      <pivotArea dataOnly="0" labelOnly="1" outline="0" fieldPosition="0">
        <references count="2">
          <reference field="5" count="1" selected="0">
            <x v="0"/>
          </reference>
          <reference field="11" count="1">
            <x v="60"/>
          </reference>
        </references>
      </pivotArea>
    </format>
    <format dxfId="946">
      <pivotArea dataOnly="0" labelOnly="1" outline="0" fieldPosition="0">
        <references count="2">
          <reference field="5" count="1" selected="0">
            <x v="1"/>
          </reference>
          <reference field="11" count="9">
            <x v="16"/>
            <x v="27"/>
            <x v="33"/>
            <x v="56"/>
            <x v="62"/>
            <x v="92"/>
            <x v="103"/>
            <x v="109"/>
            <x v="114"/>
          </reference>
        </references>
      </pivotArea>
    </format>
    <format dxfId="945">
      <pivotArea dataOnly="0" labelOnly="1" outline="0" fieldPosition="0">
        <references count="2">
          <reference field="5" count="1" selected="0">
            <x v="3"/>
          </reference>
          <reference field="11" count="3">
            <x v="4"/>
            <x v="45"/>
            <x v="90"/>
          </reference>
        </references>
      </pivotArea>
    </format>
    <format dxfId="944">
      <pivotArea dataOnly="0" labelOnly="1" outline="0" fieldPosition="0">
        <references count="2">
          <reference field="5" count="1" selected="0">
            <x v="4"/>
          </reference>
          <reference field="11" count="2">
            <x v="75"/>
            <x v="76"/>
          </reference>
        </references>
      </pivotArea>
    </format>
    <format dxfId="943">
      <pivotArea dataOnly="0" labelOnly="1" outline="0" fieldPosition="0">
        <references count="2">
          <reference field="5" count="1" selected="0">
            <x v="5"/>
          </reference>
          <reference field="11" count="3">
            <x v="0"/>
            <x v="20"/>
            <x v="42"/>
          </reference>
        </references>
      </pivotArea>
    </format>
    <format dxfId="942">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941">
      <pivotArea dataOnly="0" labelOnly="1" outline="0" fieldPosition="0">
        <references count="2">
          <reference field="5" count="1" selected="0">
            <x v="7"/>
          </reference>
          <reference field="11" count="2">
            <x v="36"/>
            <x v="95"/>
          </reference>
        </references>
      </pivotArea>
    </format>
    <format dxfId="940">
      <pivotArea dataOnly="0" labelOnly="1" outline="0" fieldPosition="0">
        <references count="3">
          <reference field="5" count="1" selected="0">
            <x v="0"/>
          </reference>
          <reference field="11" count="1" selected="0">
            <x v="60"/>
          </reference>
          <reference field="12" count="1">
            <x v="22"/>
          </reference>
        </references>
      </pivotArea>
    </format>
    <format dxfId="939">
      <pivotArea dataOnly="0" labelOnly="1" outline="0" fieldPosition="0">
        <references count="3">
          <reference field="5" count="1" selected="0">
            <x v="1"/>
          </reference>
          <reference field="11" count="1" selected="0">
            <x v="16"/>
          </reference>
          <reference field="12" count="1">
            <x v="82"/>
          </reference>
        </references>
      </pivotArea>
    </format>
    <format dxfId="938">
      <pivotArea dataOnly="0" labelOnly="1" outline="0" fieldPosition="0">
        <references count="3">
          <reference field="5" count="1" selected="0">
            <x v="1"/>
          </reference>
          <reference field="11" count="1" selected="0">
            <x v="27"/>
          </reference>
          <reference field="12" count="1">
            <x v="86"/>
          </reference>
        </references>
      </pivotArea>
    </format>
    <format dxfId="937">
      <pivotArea dataOnly="0" labelOnly="1" outline="0" fieldPosition="0">
        <references count="3">
          <reference field="5" count="1" selected="0">
            <x v="1"/>
          </reference>
          <reference field="11" count="1" selected="0">
            <x v="33"/>
          </reference>
          <reference field="12" count="1">
            <x v="108"/>
          </reference>
        </references>
      </pivotArea>
    </format>
    <format dxfId="936">
      <pivotArea dataOnly="0" labelOnly="1" outline="0" fieldPosition="0">
        <references count="3">
          <reference field="5" count="1" selected="0">
            <x v="1"/>
          </reference>
          <reference field="11" count="1" selected="0">
            <x v="56"/>
          </reference>
          <reference field="12" count="1">
            <x v="81"/>
          </reference>
        </references>
      </pivotArea>
    </format>
    <format dxfId="935">
      <pivotArea dataOnly="0" labelOnly="1" outline="0" fieldPosition="0">
        <references count="3">
          <reference field="5" count="1" selected="0">
            <x v="1"/>
          </reference>
          <reference field="11" count="1" selected="0">
            <x v="62"/>
          </reference>
          <reference field="12" count="1">
            <x v="80"/>
          </reference>
        </references>
      </pivotArea>
    </format>
    <format dxfId="934">
      <pivotArea dataOnly="0" labelOnly="1" outline="0" fieldPosition="0">
        <references count="3">
          <reference field="5" count="1" selected="0">
            <x v="1"/>
          </reference>
          <reference field="11" count="1" selected="0">
            <x v="92"/>
          </reference>
          <reference field="12" count="1">
            <x v="92"/>
          </reference>
        </references>
      </pivotArea>
    </format>
    <format dxfId="933">
      <pivotArea dataOnly="0" labelOnly="1" outline="0" fieldPosition="0">
        <references count="3">
          <reference field="5" count="1" selected="0">
            <x v="1"/>
          </reference>
          <reference field="11" count="1" selected="0">
            <x v="103"/>
          </reference>
          <reference field="12" count="1">
            <x v="84"/>
          </reference>
        </references>
      </pivotArea>
    </format>
    <format dxfId="932">
      <pivotArea dataOnly="0" labelOnly="1" outline="0" fieldPosition="0">
        <references count="3">
          <reference field="5" count="1" selected="0">
            <x v="1"/>
          </reference>
          <reference field="11" count="1" selected="0">
            <x v="109"/>
          </reference>
          <reference field="12" count="1">
            <x v="93"/>
          </reference>
        </references>
      </pivotArea>
    </format>
    <format dxfId="931">
      <pivotArea dataOnly="0" labelOnly="1" outline="0" fieldPosition="0">
        <references count="3">
          <reference field="5" count="1" selected="0">
            <x v="1"/>
          </reference>
          <reference field="11" count="1" selected="0">
            <x v="114"/>
          </reference>
          <reference field="12" count="1">
            <x v="83"/>
          </reference>
        </references>
      </pivotArea>
    </format>
    <format dxfId="930">
      <pivotArea dataOnly="0" labelOnly="1" outline="0" fieldPosition="0">
        <references count="3">
          <reference field="5" count="1" selected="0">
            <x v="3"/>
          </reference>
          <reference field="11" count="1" selected="0">
            <x v="4"/>
          </reference>
          <reference field="12" count="1">
            <x v="15"/>
          </reference>
        </references>
      </pivotArea>
    </format>
    <format dxfId="929">
      <pivotArea dataOnly="0" labelOnly="1" outline="0" fieldPosition="0">
        <references count="3">
          <reference field="5" count="1" selected="0">
            <x v="3"/>
          </reference>
          <reference field="11" count="1" selected="0">
            <x v="45"/>
          </reference>
          <reference field="12" count="1">
            <x v="17"/>
          </reference>
        </references>
      </pivotArea>
    </format>
    <format dxfId="928">
      <pivotArea dataOnly="0" labelOnly="1" outline="0" fieldPosition="0">
        <references count="3">
          <reference field="5" count="1" selected="0">
            <x v="3"/>
          </reference>
          <reference field="11" count="1" selected="0">
            <x v="90"/>
          </reference>
          <reference field="12" count="1">
            <x v="18"/>
          </reference>
        </references>
      </pivotArea>
    </format>
    <format dxfId="927">
      <pivotArea dataOnly="0" labelOnly="1" outline="0" fieldPosition="0">
        <references count="3">
          <reference field="5" count="1" selected="0">
            <x v="4"/>
          </reference>
          <reference field="11" count="1" selected="0">
            <x v="75"/>
          </reference>
          <reference field="12" count="1">
            <x v="37"/>
          </reference>
        </references>
      </pivotArea>
    </format>
    <format dxfId="926">
      <pivotArea dataOnly="0" labelOnly="1" outline="0" fieldPosition="0">
        <references count="3">
          <reference field="5" count="1" selected="0">
            <x v="4"/>
          </reference>
          <reference field="11" count="1" selected="0">
            <x v="76"/>
          </reference>
          <reference field="12" count="1">
            <x v="36"/>
          </reference>
        </references>
      </pivotArea>
    </format>
    <format dxfId="925">
      <pivotArea dataOnly="0" labelOnly="1" outline="0" fieldPosition="0">
        <references count="3">
          <reference field="5" count="1" selected="0">
            <x v="5"/>
          </reference>
          <reference field="11" count="1" selected="0">
            <x v="0"/>
          </reference>
          <reference field="12" count="1">
            <x v="33"/>
          </reference>
        </references>
      </pivotArea>
    </format>
    <format dxfId="924">
      <pivotArea dataOnly="0" labelOnly="1" outline="0" fieldPosition="0">
        <references count="3">
          <reference field="5" count="1" selected="0">
            <x v="5"/>
          </reference>
          <reference field="11" count="1" selected="0">
            <x v="20"/>
          </reference>
          <reference field="12" count="1">
            <x v="32"/>
          </reference>
        </references>
      </pivotArea>
    </format>
    <format dxfId="923">
      <pivotArea dataOnly="0" labelOnly="1" outline="0" fieldPosition="0">
        <references count="3">
          <reference field="5" count="1" selected="0">
            <x v="5"/>
          </reference>
          <reference field="11" count="1" selected="0">
            <x v="42"/>
          </reference>
          <reference field="12" count="1">
            <x v="104"/>
          </reference>
        </references>
      </pivotArea>
    </format>
    <format dxfId="922">
      <pivotArea dataOnly="0" labelOnly="1" outline="0" fieldPosition="0">
        <references count="3">
          <reference field="5" count="1" selected="0">
            <x v="6"/>
          </reference>
          <reference field="11" count="1" selected="0">
            <x v="10"/>
          </reference>
          <reference field="12" count="1">
            <x v="38"/>
          </reference>
        </references>
      </pivotArea>
    </format>
    <format dxfId="921">
      <pivotArea dataOnly="0" labelOnly="1" outline="0" fieldPosition="0">
        <references count="3">
          <reference field="5" count="1" selected="0">
            <x v="6"/>
          </reference>
          <reference field="11" count="1" selected="0">
            <x v="13"/>
          </reference>
          <reference field="12" count="1">
            <x v="101"/>
          </reference>
        </references>
      </pivotArea>
    </format>
    <format dxfId="920">
      <pivotArea dataOnly="0" labelOnly="1" outline="0" fieldPosition="0">
        <references count="3">
          <reference field="5" count="1" selected="0">
            <x v="6"/>
          </reference>
          <reference field="11" count="1" selected="0">
            <x v="14"/>
          </reference>
          <reference field="12" count="1">
            <x v="109"/>
          </reference>
        </references>
      </pivotArea>
    </format>
    <format dxfId="919">
      <pivotArea dataOnly="0" labelOnly="1" outline="0" fieldPosition="0">
        <references count="3">
          <reference field="5" count="1" selected="0">
            <x v="6"/>
          </reference>
          <reference field="11" count="1" selected="0">
            <x v="15"/>
          </reference>
          <reference field="12" count="1">
            <x v="110"/>
          </reference>
        </references>
      </pivotArea>
    </format>
    <format dxfId="918">
      <pivotArea dataOnly="0" labelOnly="1" outline="0" fieldPosition="0">
        <references count="3">
          <reference field="5" count="1" selected="0">
            <x v="6"/>
          </reference>
          <reference field="11" count="1" selected="0">
            <x v="24"/>
          </reference>
          <reference field="12" count="1">
            <x v="40"/>
          </reference>
        </references>
      </pivotArea>
    </format>
    <format dxfId="917">
      <pivotArea dataOnly="0" labelOnly="1" outline="0" fieldPosition="0">
        <references count="3">
          <reference field="5" count="1" selected="0">
            <x v="6"/>
          </reference>
          <reference field="11" count="1" selected="0">
            <x v="25"/>
          </reference>
          <reference field="12" count="1">
            <x v="95"/>
          </reference>
        </references>
      </pivotArea>
    </format>
    <format dxfId="916">
      <pivotArea dataOnly="0" labelOnly="1" outline="0" fieldPosition="0">
        <references count="3">
          <reference field="5" count="1" selected="0">
            <x v="6"/>
          </reference>
          <reference field="11" count="1" selected="0">
            <x v="39"/>
          </reference>
          <reference field="12" count="1">
            <x v="41"/>
          </reference>
        </references>
      </pivotArea>
    </format>
    <format dxfId="915">
      <pivotArea dataOnly="0" labelOnly="1" outline="0" fieldPosition="0">
        <references count="3">
          <reference field="5" count="1" selected="0">
            <x v="6"/>
          </reference>
          <reference field="11" count="1" selected="0">
            <x v="51"/>
          </reference>
          <reference field="12" count="1">
            <x v="90"/>
          </reference>
        </references>
      </pivotArea>
    </format>
    <format dxfId="914">
      <pivotArea dataOnly="0" labelOnly="1" outline="0" fieldPosition="0">
        <references count="3">
          <reference field="5" count="1" selected="0">
            <x v="6"/>
          </reference>
          <reference field="11" count="1" selected="0">
            <x v="63"/>
          </reference>
          <reference field="12" count="1">
            <x v="96"/>
          </reference>
        </references>
      </pivotArea>
    </format>
    <format dxfId="913">
      <pivotArea dataOnly="0" labelOnly="1" outline="0" fieldPosition="0">
        <references count="3">
          <reference field="5" count="1" selected="0">
            <x v="6"/>
          </reference>
          <reference field="11" count="1" selected="0">
            <x v="64"/>
          </reference>
          <reference field="12" count="1">
            <x v="111"/>
          </reference>
        </references>
      </pivotArea>
    </format>
    <format dxfId="912">
      <pivotArea dataOnly="0" labelOnly="1" outline="0" fieldPosition="0">
        <references count="3">
          <reference field="5" count="1" selected="0">
            <x v="6"/>
          </reference>
          <reference field="11" count="1" selected="0">
            <x v="65"/>
          </reference>
          <reference field="12" count="1">
            <x v="112"/>
          </reference>
        </references>
      </pivotArea>
    </format>
    <format dxfId="911">
      <pivotArea dataOnly="0" labelOnly="1" outline="0" fieldPosition="0">
        <references count="3">
          <reference field="5" count="1" selected="0">
            <x v="6"/>
          </reference>
          <reference field="11" count="1" selected="0">
            <x v="83"/>
          </reference>
          <reference field="12" count="1">
            <x v="44"/>
          </reference>
        </references>
      </pivotArea>
    </format>
    <format dxfId="910">
      <pivotArea dataOnly="0" labelOnly="1" outline="0" fieldPosition="0">
        <references count="3">
          <reference field="5" count="1" selected="0">
            <x v="6"/>
          </reference>
          <reference field="11" count="1" selected="0">
            <x v="99"/>
          </reference>
          <reference field="12" count="1">
            <x v="45"/>
          </reference>
        </references>
      </pivotArea>
    </format>
    <format dxfId="909">
      <pivotArea dataOnly="0" labelOnly="1" outline="0" fieldPosition="0">
        <references count="3">
          <reference field="5" count="1" selected="0">
            <x v="6"/>
          </reference>
          <reference field="11" count="1" selected="0">
            <x v="107"/>
          </reference>
          <reference field="12" count="1">
            <x v="89"/>
          </reference>
        </references>
      </pivotArea>
    </format>
    <format dxfId="908">
      <pivotArea dataOnly="0" labelOnly="1" outline="0" fieldPosition="0">
        <references count="3">
          <reference field="5" count="1" selected="0">
            <x v="7"/>
          </reference>
          <reference field="11" count="1" selected="0">
            <x v="36"/>
          </reference>
          <reference field="12" count="1">
            <x v="12"/>
          </reference>
        </references>
      </pivotArea>
    </format>
    <format dxfId="907">
      <pivotArea dataOnly="0" labelOnly="1" outline="0" fieldPosition="0">
        <references count="3">
          <reference field="5" count="1" selected="0">
            <x v="7"/>
          </reference>
          <reference field="11" count="1" selected="0">
            <x v="95"/>
          </reference>
          <reference field="12" count="1">
            <x v="13"/>
          </reference>
        </references>
      </pivotArea>
    </format>
    <format dxfId="906">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67"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4"/>
        <item x="2"/>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905">
      <pivotArea dataOnly="0" outline="0" fieldPosition="0">
        <references count="1">
          <reference field="5" count="0" defaultSubtotal="1"/>
        </references>
      </pivotArea>
    </format>
    <format dxfId="904">
      <pivotArea outline="0" fieldPosition="0">
        <references count="1">
          <reference field="4294967294" count="1">
            <x v="0"/>
          </reference>
        </references>
      </pivotArea>
    </format>
    <format dxfId="903">
      <pivotArea field="5" type="button" dataOnly="0" labelOnly="1" outline="0" axis="axisRow" fieldPosition="0"/>
    </format>
    <format dxfId="902">
      <pivotArea field="29" type="button" dataOnly="0" labelOnly="1" outline="0"/>
    </format>
    <format dxfId="901">
      <pivotArea field="28" type="button" dataOnly="0" labelOnly="1" outline="0"/>
    </format>
    <format dxfId="900">
      <pivotArea field="11" type="button" dataOnly="0" labelOnly="1" outline="0" axis="axisRow" fieldPosition="1"/>
    </format>
    <format dxfId="899">
      <pivotArea dataOnly="0" labelOnly="1" outline="0" axis="axisValues" fieldPosition="0"/>
    </format>
    <format dxfId="898">
      <pivotArea outline="0" collapsedLevelsAreSubtotals="1" fieldPosition="0">
        <references count="1">
          <reference field="5" count="1" selected="0" defaultSubtotal="1">
            <x v="3"/>
          </reference>
        </references>
      </pivotArea>
    </format>
    <format dxfId="897">
      <pivotArea dataOnly="0" labelOnly="1" outline="0" fieldPosition="0">
        <references count="1">
          <reference field="5" count="1" defaultSubtotal="1">
            <x v="3"/>
          </reference>
        </references>
      </pivotArea>
    </format>
    <format dxfId="896">
      <pivotArea dataOnly="0" labelOnly="1" outline="0" fieldPosition="0">
        <references count="1">
          <reference field="5" count="1" defaultSubtotal="1">
            <x v="6"/>
          </reference>
        </references>
      </pivotArea>
    </format>
    <format dxfId="895">
      <pivotArea grandRow="1" outline="0" collapsedLevelsAreSubtotals="1" fieldPosition="0"/>
    </format>
    <format dxfId="894">
      <pivotArea dataOnly="0" labelOnly="1" grandRow="1" outline="0" fieldPosition="0"/>
    </format>
    <format dxfId="893">
      <pivotArea type="all" dataOnly="0" outline="0" fieldPosition="0"/>
    </format>
    <format dxfId="892">
      <pivotArea dataOnly="0" labelOnly="1" outline="0" fieldPosition="0">
        <references count="1">
          <reference field="11" count="0"/>
        </references>
      </pivotArea>
    </format>
    <format dxfId="891">
      <pivotArea dataOnly="0" labelOnly="1" outline="0" fieldPosition="0">
        <references count="1">
          <reference field="5" count="0"/>
        </references>
      </pivotArea>
    </format>
    <format dxfId="890">
      <pivotArea dataOnly="0" labelOnly="1" outline="0" fieldPosition="0">
        <references count="1">
          <reference field="5" count="1" defaultSubtotal="1">
            <x v="3"/>
          </reference>
        </references>
      </pivotArea>
    </format>
    <format dxfId="889">
      <pivotArea field="11" type="button" dataOnly="0" labelOnly="1" outline="0" axis="axisRow" fieldPosition="1"/>
    </format>
    <format dxfId="888">
      <pivotArea field="12" type="button" dataOnly="0" labelOnly="1" outline="0" axis="axisRow" fieldPosition="2"/>
    </format>
    <format dxfId="887">
      <pivotArea outline="0" collapsedLevelsAreSubtotals="1" fieldPosition="0">
        <references count="1">
          <reference field="4294967294" count="1" selected="0">
            <x v="0"/>
          </reference>
        </references>
      </pivotArea>
    </format>
    <format dxfId="886">
      <pivotArea dataOnly="0" labelOnly="1" outline="0" fieldPosition="0">
        <references count="1">
          <reference field="4294967294" count="1">
            <x v="0"/>
          </reference>
        </references>
      </pivotArea>
    </format>
    <format dxfId="885">
      <pivotArea outline="0" collapsedLevelsAreSubtotals="1" fieldPosition="0">
        <references count="1">
          <reference field="4294967294" count="1" selected="0">
            <x v="0"/>
          </reference>
        </references>
      </pivotArea>
    </format>
    <format dxfId="884">
      <pivotArea dataOnly="0" labelOnly="1" outline="0" fieldPosition="0">
        <references count="1">
          <reference field="4294967294" count="1">
            <x v="0"/>
          </reference>
        </references>
      </pivotArea>
    </format>
    <format dxfId="883">
      <pivotArea dataOnly="0" labelOnly="1" outline="0" fieldPosition="0">
        <references count="1">
          <reference field="5" count="1" defaultSubtotal="1">
            <x v="3"/>
          </reference>
        </references>
      </pivotArea>
    </format>
    <format dxfId="882">
      <pivotArea outline="0" collapsedLevelsAreSubtotals="1" fieldPosition="0">
        <references count="1">
          <reference field="5" count="1" selected="0" defaultSubtotal="1">
            <x v="3"/>
          </reference>
        </references>
      </pivotArea>
    </format>
    <format dxfId="881">
      <pivotArea dataOnly="0" labelOnly="1" outline="0" fieldPosition="0">
        <references count="1">
          <reference field="5" count="1" defaultSubtotal="1">
            <x v="6"/>
          </reference>
        </references>
      </pivotArea>
    </format>
    <format dxfId="880">
      <pivotArea outline="0" collapsedLevelsAreSubtotals="1" fieldPosition="0">
        <references count="1">
          <reference field="4294967294" count="1" selected="0">
            <x v="1"/>
          </reference>
        </references>
      </pivotArea>
    </format>
    <format dxfId="879">
      <pivotArea dataOnly="0" labelOnly="1" outline="0" fieldPosition="0">
        <references count="1">
          <reference field="4294967294" count="1">
            <x v="1"/>
          </reference>
        </references>
      </pivotArea>
    </format>
    <format dxfId="878">
      <pivotArea field="34" type="button" dataOnly="0" labelOnly="1" outline="0"/>
    </format>
    <format dxfId="877">
      <pivotArea outline="0" collapsedLevelsAreSubtotals="1" fieldPosition="0">
        <references count="1">
          <reference field="5" count="1" selected="0" defaultSubtotal="1">
            <x v="3"/>
          </reference>
        </references>
      </pivotArea>
    </format>
    <format dxfId="876">
      <pivotArea dataOnly="0" labelOnly="1" grandRow="1" outline="0" fieldPosition="0"/>
    </format>
    <format dxfId="875">
      <pivotArea grandRow="1" outline="0" collapsedLevelsAreSubtotals="1" fieldPosition="0"/>
    </format>
    <format dxfId="874">
      <pivotArea dataOnly="0" labelOnly="1" grandRow="1" outline="0" fieldPosition="0"/>
    </format>
    <format dxfId="873">
      <pivotArea type="all" dataOnly="0" outline="0" fieldPosition="0"/>
    </format>
    <format dxfId="872">
      <pivotArea outline="0" collapsedLevelsAreSubtotals="1" fieldPosition="0"/>
    </format>
    <format dxfId="871">
      <pivotArea dataOnly="0" labelOnly="1" outline="0" fieldPosition="0">
        <references count="1">
          <reference field="5" count="0"/>
        </references>
      </pivotArea>
    </format>
    <format dxfId="870">
      <pivotArea dataOnly="0" labelOnly="1" outline="0" fieldPosition="0">
        <references count="1">
          <reference field="5" count="0" defaultSubtotal="1"/>
        </references>
      </pivotArea>
    </format>
    <format dxfId="869">
      <pivotArea dataOnly="0" labelOnly="1" grandRow="1" outline="0" fieldPosition="0"/>
    </format>
    <format dxfId="868">
      <pivotArea dataOnly="0" labelOnly="1" outline="0" fieldPosition="0">
        <references count="1">
          <reference field="4294967294" count="3">
            <x v="0"/>
            <x v="1"/>
            <x v="2"/>
          </reference>
        </references>
      </pivotArea>
    </format>
    <format dxfId="867">
      <pivotArea type="all" dataOnly="0" outline="0" fieldPosition="0"/>
    </format>
    <format dxfId="866">
      <pivotArea outline="0" collapsedLevelsAreSubtotals="1" fieldPosition="0">
        <references count="1">
          <reference field="4294967294" count="1" selected="0">
            <x v="2"/>
          </reference>
        </references>
      </pivotArea>
    </format>
    <format dxfId="865">
      <pivotArea dataOnly="0" labelOnly="1" outline="0" fieldPosition="0">
        <references count="1">
          <reference field="4294967294" count="1">
            <x v="2"/>
          </reference>
        </references>
      </pivotArea>
    </format>
    <format dxfId="864">
      <pivotArea field="5" grandRow="1" outline="0" collapsedLevelsAreSubtotals="1" axis="axisRow" fieldPosition="0">
        <references count="1">
          <reference field="4294967294" count="1" selected="0">
            <x v="2"/>
          </reference>
        </references>
      </pivotArea>
    </format>
    <format dxfId="863">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862">
      <pivotArea dataOnly="0" labelOnly="1" outline="0" fieldPosition="0">
        <references count="2">
          <reference field="5" count="1" selected="0">
            <x v="2"/>
          </reference>
          <reference field="11" count="2">
            <x v="55"/>
            <x v="99"/>
          </reference>
        </references>
      </pivotArea>
    </format>
    <format dxfId="861">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2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806">
      <pivotArea type="all" dataOnly="0" outline="0" fieldPosition="0"/>
    </format>
    <format dxfId="805">
      <pivotArea type="all" dataOnly="0" outline="0" fieldPosition="0"/>
    </format>
    <format dxfId="80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782">
      <pivotArea field="3" type="button" dataOnly="0" labelOnly="1" outline="0" axis="axisPage" fieldPosition="0"/>
    </format>
    <format dxfId="781">
      <pivotArea dataOnly="0" labelOnly="1" outline="0" fieldPosition="0">
        <references count="1">
          <reference field="3" count="0"/>
        </references>
      </pivotArea>
    </format>
    <format dxfId="780">
      <pivotArea dataOnly="0" labelOnly="1" outline="0" axis="axisValues" fieldPosition="0"/>
    </format>
    <format dxfId="779">
      <pivotArea grandRow="1" outline="0" collapsedLevelsAreSubtotals="1" fieldPosition="0"/>
    </format>
    <format dxfId="77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790">
      <pivotArea field="3" type="button" dataOnly="0" labelOnly="1" outline="0" axis="axisPage" fieldPosition="0"/>
    </format>
    <format dxfId="789">
      <pivotArea dataOnly="0" labelOnly="1" outline="0" fieldPosition="0">
        <references count="1">
          <reference field="3" count="0"/>
        </references>
      </pivotArea>
    </format>
    <format dxfId="788">
      <pivotArea field="1" type="button" dataOnly="0" labelOnly="1" outline="0" axis="axisRow" fieldPosition="0"/>
    </format>
    <format dxfId="787">
      <pivotArea dataOnly="0" labelOnly="1" outline="0" axis="axisValues" fieldPosition="0"/>
    </format>
    <format dxfId="786">
      <pivotArea collapsedLevelsAreSubtotals="1" fieldPosition="0">
        <references count="1">
          <reference field="1" count="0"/>
        </references>
      </pivotArea>
    </format>
    <format dxfId="785">
      <pivotArea dataOnly="0" labelOnly="1" fieldPosition="0">
        <references count="1">
          <reference field="1" count="0"/>
        </references>
      </pivotArea>
    </format>
    <format dxfId="784">
      <pivotArea grandRow="1" outline="0" collapsedLevelsAreSubtotals="1" fieldPosition="0"/>
    </format>
    <format dxfId="783">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770">
      <pivotArea field="4" type="button" dataOnly="0" labelOnly="1" outline="0" axis="axisRow" fieldPosition="0"/>
    </format>
    <format dxfId="769">
      <pivotArea field="4" type="button" dataOnly="0" labelOnly="1" outline="0" axis="axisRow" fieldPosition="0"/>
    </format>
    <format dxfId="768">
      <pivotArea outline="0" collapsedLevelsAreSubtotals="1" fieldPosition="0"/>
    </format>
    <format dxfId="767">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774">
      <pivotArea field="4" type="button" dataOnly="0" labelOnly="1" outline="0" axis="axisPage" fieldPosition="1"/>
    </format>
    <format dxfId="773">
      <pivotArea field="4" type="button" dataOnly="0" labelOnly="1" outline="0" axis="axisPage" fieldPosition="1"/>
    </format>
    <format dxfId="772">
      <pivotArea outline="0" collapsedLevelsAreSubtotals="1" fieldPosition="0"/>
    </format>
    <format dxfId="771">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777">
      <pivotArea field="4" type="button" dataOnly="0" labelOnly="1" outline="0"/>
    </format>
    <format dxfId="776">
      <pivotArea field="4" type="button" dataOnly="0" labelOnly="1" outline="0"/>
    </format>
    <format dxfId="77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P43:AB49" firstHeaderRow="0" firstDataRow="1" firstDataCol="1" rowPageCount="3" colPageCount="1"/>
  <pivotFields count="41">
    <pivotField axis="axisPage" numFmtId="1" multipleItemSelectionAllowed="1" showAll="0" defaultSubtotal="0">
      <items count="1366">
        <item m="1" x="387"/>
        <item m="1" x="368"/>
        <item m="1" x="425"/>
        <item m="1" x="900"/>
        <item m="1" x="219"/>
        <item m="1" x="1362"/>
        <item m="1" x="388"/>
        <item m="1" x="1169"/>
        <item m="1" x="1149"/>
        <item m="1" x="781"/>
        <item m="1" x="1128"/>
        <item m="1" x="278"/>
        <item m="1" x="1244"/>
        <item m="1" x="1222"/>
        <item x="0"/>
        <item m="1" x="1030"/>
        <item m="1" x="363"/>
        <item m="1" x="836"/>
        <item m="1" x="643"/>
        <item m="1" x="452"/>
        <item m="1" x="929"/>
        <item m="1" x="1277"/>
        <item x="1"/>
        <item x="3"/>
        <item m="1" x="1235"/>
        <item m="1" x="378"/>
        <item x="6"/>
        <item m="1" x="227"/>
        <item m="1" x="1287"/>
        <item m="1" x="198"/>
        <item m="1" x="605"/>
        <item x="7"/>
        <item m="1" x="303"/>
        <item m="1" x="1072"/>
        <item m="1" x="1306"/>
        <item m="1" x="345"/>
        <item m="1" x="922"/>
        <item m="1" x="1113"/>
        <item m="1" x="282"/>
        <item m="1" x="486"/>
        <item m="1" x="1156"/>
        <item m="1" x="673"/>
        <item m="1" x="1345"/>
        <item m="1" x="391"/>
        <item m="1" x="1053"/>
        <item x="8"/>
        <item m="1" x="767"/>
        <item m="1" x="286"/>
        <item m="1" x="961"/>
        <item m="1" x="616"/>
        <item m="1" x="1285"/>
        <item m="1" x="1178"/>
        <item m="1" x="692"/>
        <item m="1" x="204"/>
        <item x="10"/>
        <item m="1" x="226"/>
        <item x="11"/>
        <item x="12"/>
        <item m="1" x="243"/>
        <item m="1" x="1099"/>
        <item m="1" x="1294"/>
        <item m="1" x="810"/>
        <item m="1" x="466"/>
        <item m="1" x="831"/>
        <item m="1" x="355"/>
        <item m="1" x="1023"/>
        <item x="15"/>
        <item m="1" x="851"/>
        <item x="16"/>
        <item m="1" x="545"/>
        <item x="17"/>
        <item m="1" x="792"/>
        <item m="1" x="1216"/>
        <item m="1" x="1039"/>
        <item m="1" x="313"/>
        <item m="1" x="1295"/>
        <item m="1" x="986"/>
        <item m="1" x="398"/>
        <item m="1" x="516"/>
        <item m="1" x="339"/>
        <item m="1" x="750"/>
        <item m="1" x="1182"/>
        <item m="1" x="1002"/>
        <item m="1" x="269"/>
        <item m="1" x="1253"/>
        <item x="19"/>
        <item m="1" x="774"/>
        <item x="20"/>
        <item m="1" x="1024"/>
        <item m="1" x="293"/>
        <item m="1" x="712"/>
        <item m="1" x="1141"/>
        <item m="1" x="546"/>
        <item m="1" x="967"/>
        <item m="1" x="230"/>
        <item m="1" x="661"/>
        <item x="21"/>
        <item m="1" x="493"/>
        <item m="1" x="909"/>
        <item m="1" x="315"/>
        <item x="22"/>
        <item m="1" x="987"/>
        <item x="23"/>
        <item m="1" x="1102"/>
        <item m="1" x="1355"/>
        <item m="1" x="1183"/>
        <item m="1" x="662"/>
        <item m="1" x="872"/>
        <item m="1" x="270"/>
        <item m="1" x="494"/>
        <item m="1" x="696"/>
        <item m="1" x="910"/>
        <item m="1" x="1121"/>
        <item m="1" x="1333"/>
        <item m="1" x="606"/>
        <item m="1" x="947"/>
        <item m="1" x="1064"/>
        <item m="1" x="470"/>
        <item m="1" x="681"/>
        <item m="1" x="893"/>
        <item m="1" x="1103"/>
        <item m="1" x="1316"/>
        <item m="1" x="380"/>
        <item m="1" x="586"/>
        <item m="1" x="928"/>
        <item m="1" x="1356"/>
        <item m="1" x="625"/>
        <item x="24"/>
        <item m="1" x="450"/>
        <item m="1" x="663"/>
        <item m="1" x="873"/>
        <item m="1" x="1085"/>
        <item m="1" x="1299"/>
        <item m="1" x="567"/>
        <item m="1" x="911"/>
        <item m="1" x="1122"/>
        <item m="1" x="1334"/>
        <item m="1" x="816"/>
        <item m="1" x="642"/>
        <item m="1" x="854"/>
        <item m="1" x="1065"/>
        <item m="1" x="547"/>
        <item m="1" x="894"/>
        <item m="1" x="1104"/>
        <item m="1" x="1007"/>
        <item m="1" x="419"/>
        <item m="1" x="626"/>
        <item m="1" x="1257"/>
        <item m="1" x="321"/>
        <item m="1" x="874"/>
        <item m="1" x="1086"/>
        <item m="1" x="1300"/>
        <item m="1" x="360"/>
        <item m="1" x="992"/>
        <item m="1" x="1335"/>
        <item m="1" x="607"/>
        <item m="1" x="298"/>
        <item x="25"/>
        <item m="1" x="855"/>
        <item m="1" x="1066"/>
        <item m="1" x="1275"/>
        <item m="1" x="755"/>
        <item m="1" x="1317"/>
        <item m="1" x="587"/>
        <item m="1" x="500"/>
        <item m="1" x="1044"/>
        <item m="1" x="1258"/>
        <item m="1" x="950"/>
        <item m="1" x="1301"/>
        <item m="1" x="1204"/>
        <item m="1" x="254"/>
        <item m="1" x="1028"/>
        <item m="1" x="1135"/>
        <item m="1" x="1240"/>
        <item m="1" x="1347"/>
        <item m="1" x="414"/>
        <item m="1" x="521"/>
        <item m="1" x="617"/>
        <item m="1" x="717"/>
        <item m="1" x="1276"/>
        <item x="26"/>
        <item x="27"/>
        <item m="1" x="548"/>
        <item m="1" x="653"/>
        <item m="1" x="756"/>
        <item m="1" x="1076"/>
        <item m="1" x="689"/>
        <item m="1" x="796"/>
        <item m="1" x="1116"/>
        <item m="1" x="1219"/>
        <item m="1" x="1329"/>
        <item x="28"/>
        <item m="1" x="501"/>
        <item m="1" x="597"/>
        <item m="1" x="804"/>
        <item m="1" x="1259"/>
        <item m="1" x="200"/>
        <item m="1" x="322"/>
        <item m="1" x="635"/>
        <item m="1" x="734"/>
        <item m="1" x="1057"/>
        <item m="1" x="213"/>
        <item m="1" x="675"/>
        <item m="1" x="780"/>
        <item x="29"/>
        <item m="1" x="1096"/>
        <item m="1" x="1311"/>
        <item m="1" x="255"/>
        <item m="1" x="476"/>
        <item m="1" x="578"/>
        <item m="1" x="788"/>
        <item m="1" x="896"/>
        <item m="1" x="1348"/>
        <item m="1" x="299"/>
        <item m="1" x="415"/>
        <item m="1" x="618"/>
        <item m="1" x="718"/>
        <item m="1" x="827"/>
        <item m="1" x="1146"/>
        <item m="1" x="757"/>
        <item m="1" x="866"/>
        <item m="1" x="1187"/>
        <item m="1" x="1288"/>
        <item m="1" x="232"/>
        <item m="1" x="350"/>
        <item m="1" x="666"/>
        <item m="1" x="877"/>
        <item m="1" x="979"/>
        <item m="1" x="1220"/>
        <item m="1" x="1330"/>
        <item m="1" x="275"/>
        <item m="1" x="393"/>
        <item m="1" x="701"/>
        <item m="1" x="805"/>
        <item m="1" x="914"/>
        <item m="1" x="1016"/>
        <item m="1" x="1125"/>
        <item m="1" x="287"/>
        <item m="1" x="406"/>
        <item m="1" x="636"/>
        <item m="1" x="735"/>
        <item m="1" x="846"/>
        <item m="1" x="951"/>
        <item m="1" x="1268"/>
        <item m="1" x="214"/>
        <item m="1" x="333"/>
        <item m="1" x="438"/>
        <item m="1" x="745"/>
        <item m="1" x="962"/>
        <item m="1" x="256"/>
        <item m="1" x="373"/>
        <item h="1" m="1" x="477"/>
        <item m="1" x="684"/>
        <item m="1" x="789"/>
        <item m="1" x="897"/>
        <item m="1" x="1320"/>
        <item m="1" x="264"/>
        <item m="1" x="384"/>
        <item m="1" x="828"/>
        <item m="1" x="933"/>
        <item h="1" x="30"/>
        <item m="1" x="1147"/>
        <item m="1" x="1250"/>
        <item m="1" x="1359"/>
        <item m="1" x="421"/>
        <item h="1" x="32"/>
        <item m="1" x="944"/>
        <item m="1" x="1188"/>
        <item m="1" x="1289"/>
        <item h="1" x="33"/>
        <item m="1" x="351"/>
        <item m="1" x="454"/>
        <item m="1" x="667"/>
        <item m="1" x="769"/>
        <item m="1" x="878"/>
        <item m="1" x="980"/>
        <item m="1" x="1197"/>
        <item m="1" x="1304"/>
        <item m="1" x="244"/>
        <item m="1" x="364"/>
        <item m="1" x="598"/>
        <item m="1" x="702"/>
        <item h="1" m="1" x="915"/>
        <item m="1" x="288"/>
        <item m="1" x="407"/>
        <item m="1" x="510"/>
        <item m="1" x="820"/>
        <item m="1" x="1166"/>
        <item m="1" x="1269"/>
        <item m="1" x="215"/>
        <item m="1" x="334"/>
        <item h="1" m="1" x="439"/>
        <item m="1" x="542"/>
        <item m="1" x="746"/>
        <item h="1" m="1" x="859"/>
        <item h="1" m="1" x="963"/>
        <item m="1" x="1278"/>
        <item m="1" x="579"/>
        <item h="1" x="34"/>
        <item m="1" x="790"/>
        <item m="1" x="898"/>
        <item m="1" x="999"/>
        <item m="1" x="1108"/>
        <item m="1" x="1212"/>
        <item m="1" x="1321"/>
        <item h="1" m="1" x="385"/>
        <item m="1" x="489"/>
        <item m="1" x="591"/>
        <item m="1" x="799"/>
        <item m="1" x="1148"/>
        <item h="1" m="1" x="1251"/>
        <item h="1" x="35"/>
        <item m="1" x="309"/>
        <item m="1" x="422"/>
        <item m="1" x="526"/>
        <item h="1" x="36"/>
        <item h="1" x="37"/>
        <item m="1" x="837"/>
        <item m="1" x="1048"/>
        <item m="1" x="1262"/>
        <item m="1" x="205"/>
        <item m="1" x="325"/>
        <item m="1" x="559"/>
        <item m="1" x="668"/>
        <item m="1" x="770"/>
        <item m="1" x="879"/>
        <item m="1" x="283"/>
        <item h="1" m="1" x="981"/>
        <item m="1" x="402"/>
        <item h="1" x="38"/>
        <item m="1" x="508"/>
        <item m="1" x="1198"/>
        <item m="1" x="608"/>
        <item m="1" x="840"/>
        <item m="1" x="365"/>
        <item m="1" x="1051"/>
        <item m="1" x="467"/>
        <item m="1" x="1162"/>
        <item m="1" x="571"/>
        <item m="1" x="1266"/>
        <item m="1" x="678"/>
        <item m="1" x="782"/>
        <item m="1" x="328"/>
        <item m="1" x="890"/>
        <item h="1" m="1" x="433"/>
        <item m="1" x="1126"/>
        <item m="1" x="537"/>
        <item m="1" x="1230"/>
        <item m="1" x="1338"/>
        <item m="1" x="742"/>
        <item h="1" x="40"/>
        <item m="1" x="856"/>
        <item m="1" x="408"/>
        <item m="1" x="959"/>
        <item m="1" x="511"/>
        <item m="1" x="1067"/>
        <item m="1" x="1175"/>
        <item m="1" x="248"/>
        <item m="1" x="821"/>
        <item m="1" x="471"/>
        <item m="1" x="1032"/>
        <item m="1" x="574"/>
        <item m="1" x="1139"/>
        <item m="1" x="682"/>
        <item m="1" x="1245"/>
        <item m="1" x="1351"/>
        <item h="1" x="41"/>
        <item m="1" x="304"/>
        <item m="1" x="1105"/>
        <item m="1" x="645"/>
        <item h="1" m="1" x="1318"/>
        <item m="1" x="860"/>
        <item m="1" x="262"/>
        <item m="1" x="964"/>
        <item h="1" m="1" x="381"/>
        <item m="1" x="1069"/>
        <item m="1" x="487"/>
        <item m="1" x="1179"/>
        <item m="1" x="588"/>
        <item m="1" x="1279"/>
        <item m="1" x="824"/>
        <item m="1" x="228"/>
        <item m="1" x="447"/>
        <item m="1" x="1142"/>
        <item m="1" x="553"/>
        <item m="1" x="1247"/>
        <item h="1" m="1" x="658"/>
        <item h="1" m="1" x="1357"/>
        <item m="1" x="762"/>
        <item m="1" x="307"/>
        <item m="1" x="1109"/>
        <item m="1" x="524"/>
        <item m="1" x="1213"/>
        <item m="1" x="725"/>
        <item m="1" x="265"/>
        <item h="1" x="43"/>
        <item h="1" m="1" x="941"/>
        <item m="1" x="490"/>
        <item m="1" x="1045"/>
        <item m="1" x="592"/>
        <item m="1" x="693"/>
        <item m="1" x="231"/>
        <item m="1" x="800"/>
        <item m="1" x="346"/>
        <item m="1" x="907"/>
        <item m="1" x="451"/>
        <item m="1" x="1011"/>
        <item h="1" x="44"/>
        <item h="1" x="45"/>
        <item h="1" m="1" x="1225"/>
        <item h="1" m="1" x="765"/>
        <item m="1" x="875"/>
        <item m="1" x="280"/>
        <item m="1" x="976"/>
        <item m="1" x="628"/>
        <item h="1" m="1" x="1195"/>
        <item m="1" x="838"/>
        <item h="1" x="46"/>
        <item h="1" m="1" x="945"/>
        <item m="1" x="1049"/>
        <item m="1" x="463"/>
        <item m="1" x="1159"/>
        <item m="1" x="568"/>
        <item m="1" x="1263"/>
        <item m="1" x="801"/>
        <item m="1" x="206"/>
        <item m="1" x="912"/>
        <item m="1" x="326"/>
        <item h="1" x="48"/>
        <item h="1" x="50"/>
        <item m="1" x="640"/>
        <item m="1" x="1336"/>
        <item m="1" x="740"/>
        <item m="1" x="284"/>
        <item m="1" x="852"/>
        <item h="1" m="1" x="403"/>
        <item m="1" x="1088"/>
        <item m="1" x="609"/>
        <item h="1" x="52"/>
        <item h="1" x="53"/>
        <item h="1" m="1" x="817"/>
        <item m="1" x="366"/>
        <item m="1" x="923"/>
        <item m="1" x="468"/>
        <item h="1" m="1" x="572"/>
        <item h="1" m="1" x="1136"/>
        <item h="1" m="1" x="679"/>
        <item m="1" x="209"/>
        <item m="1" x="783"/>
        <item m="1" x="329"/>
        <item m="1" x="891"/>
        <item m="1" x="434"/>
        <item m="1" x="994"/>
        <item m="1" x="538"/>
        <item h="1" m="1" x="1100"/>
        <item m="1" x="1209"/>
        <item m="1" x="1315"/>
        <item m="1" x="960"/>
        <item m="1" x="512"/>
        <item m="1" x="1068"/>
        <item m="1" x="1176"/>
        <item m="1" x="710"/>
        <item m="1" x="926"/>
        <item h="1" x="56"/>
        <item h="1" x="57"/>
        <item m="1" x="549"/>
        <item m="1" x="1246"/>
        <item m="1" x="785"/>
        <item m="1" x="1352"/>
        <item m="1" x="895"/>
        <item m="1" x="305"/>
        <item m="1" x="997"/>
        <item h="1" x="59"/>
        <item m="1" x="622"/>
        <item m="1" x="1319"/>
        <item m="1" x="722"/>
        <item m="1" x="263"/>
        <item m="1" x="382"/>
        <item m="1" x="1070"/>
        <item m="1" x="488"/>
        <item m="1" x="1180"/>
        <item m="1" x="589"/>
        <item m="1" x="1280"/>
        <item h="1" m="1" x="690"/>
        <item m="1" x="797"/>
        <item m="1" x="344"/>
        <item m="1" x="448"/>
        <item m="1" x="1008"/>
        <item m="1" x="554"/>
        <item m="1" x="659"/>
        <item h="1" m="1" x="1358"/>
        <item m="1" x="763"/>
        <item m="1" x="308"/>
        <item m="1" x="870"/>
        <item h="1" m="1" x="420"/>
        <item m="1" x="973"/>
        <item m="1" x="525"/>
        <item m="1" x="1082"/>
        <item m="1" x="627"/>
        <item m="1" x="726"/>
        <item m="1" x="1296"/>
        <item m="1" x="835"/>
        <item h="1" m="1" x="238"/>
        <item m="1" x="942"/>
        <item m="1" x="491"/>
        <item m="1" x="1046"/>
        <item m="1" x="593"/>
        <item h="1" x="60"/>
        <item m="1" x="694"/>
        <item m="1" x="1260"/>
        <item m="1" x="201"/>
        <item m="1" x="908"/>
        <item m="1" x="1012"/>
        <item m="1" x="1120"/>
        <item h="1" x="61"/>
        <item m="1" x="1226"/>
        <item m="1" x="766"/>
        <item m="1" x="1332"/>
        <item h="1" x="62"/>
        <item m="1" x="977"/>
        <item h="1" m="1" x="399"/>
        <item m="1" x="1087"/>
        <item m="1" x="1196"/>
        <item m="1" x="603"/>
        <item m="1" x="1302"/>
        <item h="1" x="63"/>
        <item h="1" m="1" x="812"/>
        <item m="1" x="361"/>
        <item m="1" x="1050"/>
        <item m="1" x="464"/>
        <item m="1" x="1160"/>
        <item m="1" x="569"/>
        <item m="1" x="1264"/>
        <item m="1" x="676"/>
        <item m="1" x="207"/>
        <item m="1" x="327"/>
        <item h="1" m="1" x="1097"/>
        <item h="1" x="64"/>
        <item m="1" x="285"/>
        <item h="1" x="65"/>
        <item m="1" x="404"/>
        <item m="1" x="956"/>
        <item m="1" x="509"/>
        <item m="1" x="1061"/>
        <item m="1" x="610"/>
        <item m="1" x="1172"/>
        <item m="1" x="708"/>
        <item h="1" x="66"/>
        <item h="1" m="1" x="818"/>
        <item m="1" x="924"/>
        <item m="1" x="469"/>
        <item m="1" x="1029"/>
        <item h="1" m="1" x="573"/>
        <item h="1" m="1" x="1137"/>
        <item m="1" x="1241"/>
        <item h="1" m="1" x="784"/>
        <item m="1" x="892"/>
        <item m="1" x="300"/>
        <item m="1" x="995"/>
        <item h="1" x="67"/>
        <item m="1" x="522"/>
        <item m="1" x="1210"/>
        <item m="1" x="743"/>
        <item h="1" x="68"/>
        <item m="1" x="857"/>
        <item m="1" x="260"/>
        <item m="1" x="483"/>
        <item m="1" x="1177"/>
        <item m="1" x="583"/>
        <item m="1" x="686"/>
        <item m="1" x="343"/>
        <item h="1" x="70"/>
        <item h="1" x="71"/>
        <item m="1" x="1140"/>
        <item m="1" x="550"/>
        <item m="1" x="654"/>
        <item m="1" x="1353"/>
        <item m="1" x="758"/>
        <item m="1" x="306"/>
        <item m="1" x="867"/>
        <item m="1" x="418"/>
        <item m="1" x="972"/>
        <item m="1" x="523"/>
        <item m="1" x="1077"/>
        <item m="1" x="623"/>
        <item m="1" x="723"/>
        <item m="1" x="833"/>
        <item m="1" x="383"/>
        <item m="1" x="938"/>
        <item m="1" x="1040"/>
        <item m="1" x="590"/>
        <item m="1" x="1153"/>
        <item m="1" x="691"/>
        <item m="1" x="1254"/>
        <item m="1" x="449"/>
        <item m="1" x="1009"/>
        <item m="1" x="555"/>
        <item m="1" x="1117"/>
        <item m="1" x="660"/>
        <item m="1" x="1221"/>
        <item m="1" x="764"/>
        <item m="1" x="871"/>
        <item m="1" x="276"/>
        <item m="1" x="974"/>
        <item m="1" x="394"/>
        <item m="1" x="1083"/>
        <item m="1" x="502"/>
        <item m="1" x="1194"/>
        <item m="1" x="727"/>
        <item m="1" x="1297"/>
        <item m="1" x="239"/>
        <item m="1" x="943"/>
        <item m="1" x="1047"/>
        <item m="1" x="459"/>
        <item m="1" x="1158"/>
        <item m="1" x="564"/>
        <item m="1" x="1261"/>
        <item m="1" x="202"/>
        <item m="1" x="775"/>
        <item m="1" x="323"/>
        <item m="1" x="1013"/>
        <item m="1" x="430"/>
        <item h="1" m="1" x="534"/>
        <item h="1" m="1" x="1227"/>
        <item h="1" m="1" x="637"/>
        <item m="1" x="736"/>
        <item m="1" x="281"/>
        <item m="1" x="847"/>
        <item m="1" x="400"/>
        <item m="1" x="952"/>
        <item m="1" x="1058"/>
        <item m="1" x="604"/>
        <item m="1" x="1303"/>
        <item m="1" x="706"/>
        <item m="1" x="242"/>
        <item m="1" x="813"/>
        <item m="1" x="362"/>
        <item m="1" x="920"/>
        <item m="1" x="465"/>
        <item m="1" x="1025"/>
        <item m="1" x="570"/>
        <item h="1" m="1" x="1133"/>
        <item m="1" x="677"/>
        <item h="1" m="1" x="1236"/>
        <item m="1" x="1343"/>
        <item m="1" x="888"/>
        <item m="1" x="432"/>
        <item h="1" x="73"/>
        <item h="1" x="74"/>
        <item h="1" x="75"/>
        <item m="1" x="641"/>
        <item m="1" x="1205"/>
        <item m="1" x="741"/>
        <item m="1" x="1312"/>
        <item h="1" m="1" x="853"/>
        <item m="1" x="257"/>
        <item m="1" x="957"/>
        <item m="1" x="374"/>
        <item m="1" x="1062"/>
        <item m="1" x="478"/>
        <item m="1" x="1173"/>
        <item m="1" x="709"/>
        <item m="1" x="1274"/>
        <item m="1" x="819"/>
        <item m="1" x="222"/>
        <item m="1" x="925"/>
        <item m="1" x="340"/>
        <item h="1" m="1" x="1031"/>
        <item h="1" x="76"/>
        <item m="1" x="1138"/>
        <item h="1" x="77"/>
        <item m="1" x="1242"/>
        <item m="1" x="1349"/>
        <item m="1" x="751"/>
        <item m="1" x="301"/>
        <item m="1" x="996"/>
        <item m="1" x="416"/>
        <item h="1" m="1" x="1101"/>
        <item m="1" x="1211"/>
        <item m="1" x="619"/>
        <item h="1" x="78"/>
        <item m="1" x="719"/>
        <item m="1" x="261"/>
        <item m="1" x="829"/>
        <item m="1" x="934"/>
        <item m="1" x="484"/>
        <item m="1" x="584"/>
        <item m="1" x="687"/>
        <item m="1" x="225"/>
        <item m="1" x="794"/>
        <item h="1" x="79"/>
        <item m="1" x="902"/>
        <item m="1" x="446"/>
        <item m="1" x="1003"/>
        <item m="1" x="551"/>
        <item m="1" x="655"/>
        <item m="1" x="759"/>
        <item m="1" x="1324"/>
        <item m="1" x="868"/>
        <item m="1" x="1078"/>
        <item m="1" x="624"/>
        <item m="1" x="1189"/>
        <item m="1" x="724"/>
        <item m="1" x="1290"/>
        <item h="1" m="1" x="552"/>
        <item m="1" x="1114"/>
        <item m="1" x="233"/>
        <item m="1" x="657"/>
        <item m="1" x="939"/>
        <item h="1" m="1" x="1217"/>
        <item m="1" x="352"/>
        <item m="1" x="761"/>
        <item m="1" x="1041"/>
        <item m="1" x="1326"/>
        <item m="1" x="455"/>
        <item m="1" x="869"/>
        <item m="1" x="1154"/>
        <item m="1" x="273"/>
        <item m="1" x="1255"/>
        <item m="1" x="798"/>
        <item m="1" x="1080"/>
        <item m="1" x="1364"/>
        <item m="1" x="497"/>
        <item m="1" x="906"/>
        <item m="1" x="1192"/>
        <item m="1" x="316"/>
        <item m="1" x="595"/>
        <item m="1" x="1010"/>
        <item h="1" x="81"/>
        <item m="1" x="427"/>
        <item m="1" x="834"/>
        <item m="1" x="1118"/>
        <item m="1" x="236"/>
        <item m="1" x="530"/>
        <item h="1" x="82"/>
        <item m="1" x="1223"/>
        <item m="1" x="354"/>
        <item m="1" x="632"/>
        <item m="1" x="1043"/>
        <item m="1" x="457"/>
        <item m="1" x="1157"/>
        <item m="1" x="277"/>
        <item m="1" x="561"/>
        <item m="1" x="975"/>
        <item m="1" x="1256"/>
        <item m="1" x="395"/>
        <item m="1" x="670"/>
        <item m="1" x="1084"/>
        <item m="1" x="199"/>
        <item m="1" x="503"/>
        <item m="1" x="319"/>
        <item m="1" x="599"/>
        <item m="1" x="881"/>
        <item m="1" x="1298"/>
        <item m="1" x="429"/>
        <item m="1" x="703"/>
        <item m="1" x="1119"/>
        <item m="1" x="240"/>
        <item m="1" x="533"/>
        <item m="1" x="806"/>
        <item m="1" x="357"/>
        <item m="1" x="916"/>
        <item m="1" x="1331"/>
        <item m="1" x="460"/>
        <item m="1" x="732"/>
        <item m="1" x="1017"/>
        <item m="1" x="279"/>
        <item m="1" x="565"/>
        <item h="1" m="1" x="843"/>
        <item m="1" x="397"/>
        <item m="1" x="949"/>
        <item m="1" x="203"/>
        <item m="1" x="505"/>
        <item m="1" x="776"/>
        <item m="1" x="1054"/>
        <item m="1" x="324"/>
        <item m="1" x="601"/>
        <item m="1" x="883"/>
        <item m="1" x="1164"/>
        <item m="1" x="431"/>
        <item m="1" x="705"/>
        <item m="1" x="988"/>
        <item m="1" x="241"/>
        <item m="1" x="535"/>
        <item m="1" x="809"/>
        <item m="1" x="1091"/>
        <item m="1" x="359"/>
        <item m="1" x="638"/>
        <item m="1" x="919"/>
        <item m="1" x="1200"/>
        <item m="1" x="462"/>
        <item m="1" x="737"/>
        <item m="1" x="1020"/>
        <item m="1" x="1309"/>
        <item h="1" x="83"/>
        <item m="1" x="848"/>
        <item m="1" x="1130"/>
        <item h="1" m="1" x="401"/>
        <item m="1" x="674"/>
        <item m="1" x="953"/>
        <item m="1" x="1232"/>
        <item m="1" x="507"/>
        <item m="1" x="778"/>
        <item m="1" x="1340"/>
        <item m="1" x="886"/>
        <item m="1" x="1167"/>
        <item m="1" x="290"/>
        <item m="1" x="707"/>
        <item m="1" x="990"/>
        <item m="1" x="1270"/>
        <item m="1" x="536"/>
        <item m="1" x="814"/>
        <item m="1" x="1094"/>
        <item m="1" x="216"/>
        <item m="1" x="1202"/>
        <item m="1" x="335"/>
        <item m="1" x="739"/>
        <item m="1" x="1026"/>
        <item m="1" x="1310"/>
        <item m="1" x="440"/>
        <item m="1" x="850"/>
        <item h="1" x="84"/>
        <item h="1" m="1" x="251"/>
        <item m="1" x="955"/>
        <item m="1" x="1237"/>
        <item m="1" x="371"/>
        <item m="1" x="473"/>
        <item m="1" x="889"/>
        <item m="1" x="1170"/>
        <item m="1" x="294"/>
        <item m="1" x="576"/>
        <item m="1" x="993"/>
        <item m="1" x="1272"/>
        <item h="1" m="1" x="411"/>
        <item h="1" m="1" x="815"/>
        <item m="1" x="1098"/>
        <item m="1" x="220"/>
        <item m="1" x="517"/>
        <item m="1" x="1206"/>
        <item m="1" x="337"/>
        <item m="1" x="612"/>
        <item m="1" x="1027"/>
        <item h="1" m="1" x="1313"/>
        <item m="1" x="441"/>
        <item m="1" x="713"/>
        <item h="1" x="85"/>
        <item h="1" m="1" x="258"/>
        <item m="1" x="544"/>
        <item h="1" m="1" x="958"/>
        <item m="1" x="1239"/>
        <item m="1" x="375"/>
        <item m="1" x="648"/>
        <item m="1" x="1063"/>
        <item m="1" x="479"/>
        <item m="1" x="1174"/>
        <item m="1" x="862"/>
        <item h="1" x="86"/>
        <item h="1" x="87"/>
        <item m="1" x="223"/>
        <item m="1" x="519"/>
        <item h="1" m="1" x="791"/>
        <item h="1" m="1" x="1208"/>
        <item m="1" x="341"/>
        <item m="1" x="615"/>
        <item h="1" x="88"/>
        <item m="1" x="1314"/>
        <item m="1" x="443"/>
        <item m="1" x="715"/>
        <item h="1" x="89"/>
        <item m="1" x="259"/>
        <item h="1" x="90"/>
        <item m="1" x="1243"/>
        <item m="1" x="377"/>
        <item m="1" x="650"/>
        <item m="1" x="931"/>
        <item m="1" x="1350"/>
        <item m="1" x="481"/>
        <item m="1" x="1035"/>
        <item m="1" x="302"/>
        <item m="1" x="581"/>
        <item m="1" x="863"/>
        <item m="1" x="1144"/>
        <item h="1" m="1" x="417"/>
        <item m="1" x="685"/>
        <item m="1" x="968"/>
        <item m="1" x="224"/>
        <item h="1" x="92"/>
        <item h="1" m="1" x="1073"/>
        <item h="1" m="1" x="342"/>
        <item m="1" x="620"/>
        <item m="1" x="901"/>
        <item m="1" x="1184"/>
        <item m="1" x="445"/>
        <item h="1" x="93"/>
        <item m="1" x="1001"/>
        <item m="1" x="1282"/>
        <item m="1" x="830"/>
        <item m="1" x="379"/>
        <item h="1" m="1" x="652"/>
        <item m="1" x="935"/>
        <item m="1" x="1214"/>
        <item h="1" m="1" x="485"/>
        <item m="1" x="753"/>
        <item m="1" x="1323"/>
        <item m="1" x="585"/>
        <item m="1" x="864"/>
        <item h="1" x="94"/>
        <item m="1" x="267"/>
        <item m="1" x="688"/>
        <item m="1" x="970"/>
        <item h="1" m="1" x="1252"/>
        <item h="1" x="95"/>
        <item h="1" x="96"/>
        <item m="1" x="1360"/>
        <item m="1" x="621"/>
        <item m="1" x="903"/>
        <item m="1" x="1186"/>
        <item m="1" x="310"/>
        <item m="1" x="721"/>
        <item m="1" x="1004"/>
        <item m="1" x="1284"/>
        <item m="1" x="423"/>
        <item m="1" x="832"/>
        <item m="1" x="1111"/>
        <item h="1" x="98"/>
        <item m="1" x="656"/>
        <item m="1" x="937"/>
        <item h="1" x="99"/>
        <item m="1" x="348"/>
        <item m="1" x="760"/>
        <item m="1" x="1038"/>
        <item m="1" x="1325"/>
        <item h="1" x="100"/>
        <item m="1" x="1151"/>
        <item m="1" x="271"/>
        <item m="1" x="557"/>
        <item h="1" x="101"/>
        <item h="1" x="102"/>
        <item h="1" m="1" x="390"/>
        <item m="1" x="795"/>
        <item m="1" x="1079"/>
        <item m="1" x="495"/>
        <item m="1" x="905"/>
        <item h="1" m="1" x="1190"/>
        <item m="1" x="312"/>
        <item m="1" x="594"/>
        <item m="1" x="1006"/>
        <item m="1" x="1291"/>
        <item m="1" x="697"/>
        <item m="1" x="1115"/>
        <item m="1" x="234"/>
        <item m="1" x="528"/>
        <item m="1" x="940"/>
        <item m="1" x="1218"/>
        <item m="1" x="353"/>
        <item m="1" x="630"/>
        <item m="1" x="1042"/>
        <item m="1" x="1327"/>
        <item h="1" m="1" x="456"/>
        <item m="1" x="729"/>
        <item m="1" x="1155"/>
        <item m="1" x="274"/>
        <item m="1" x="560"/>
        <item h="1" x="103"/>
        <item m="1" x="392"/>
        <item m="1" x="669"/>
        <item m="1" x="1081"/>
        <item m="1" x="1365"/>
        <item m="1" x="498"/>
        <item h="1" x="105"/>
        <item m="1" x="1193"/>
        <item h="1" m="1" x="317"/>
        <item m="1" x="596"/>
        <item m="1" x="880"/>
        <item m="1" x="1293"/>
        <item m="1" x="428"/>
        <item h="1" m="1" x="699"/>
        <item m="1" x="982"/>
        <item m="1" x="237"/>
        <item m="1" x="531"/>
        <item m="1" x="802"/>
        <item m="1" x="1224"/>
        <item m="1" x="356"/>
        <item m="1" x="633"/>
        <item m="1" x="913"/>
        <item h="1" x="106"/>
        <item m="1" x="458"/>
        <item m="1" x="730"/>
        <item m="1" x="1014"/>
        <item m="1" x="562"/>
        <item m="1" x="841"/>
        <item m="1" x="1123"/>
        <item m="1" x="396"/>
        <item m="1" x="671"/>
        <item m="1" x="948"/>
        <item m="1" x="504"/>
        <item m="1" x="772"/>
        <item m="1" x="320"/>
        <item m="1" x="882"/>
        <item m="1" x="1163"/>
        <item h="1" x="108"/>
        <item h="1" m="1" x="704"/>
        <item h="1" m="1" x="984"/>
        <item h="1" m="1" x="807"/>
        <item m="1" x="1089"/>
        <item m="1" x="358"/>
        <item m="1" x="634"/>
        <item m="1" x="917"/>
        <item h="1" m="1" x="1199"/>
        <item m="1" x="461"/>
        <item m="1" x="733"/>
        <item m="1" x="1018"/>
        <item m="1" x="1307"/>
        <item h="1" m="1" x="566"/>
        <item m="1" x="844"/>
        <item m="1" x="1127"/>
        <item m="1" x="246"/>
        <item m="1" x="672"/>
        <item m="1" x="1231"/>
        <item m="1" x="506"/>
        <item m="1" x="777"/>
        <item m="1" x="1055"/>
        <item m="1" x="1339"/>
        <item m="1" x="602"/>
        <item m="1" x="884"/>
        <item m="1" x="1165"/>
        <item h="1" x="109"/>
        <item h="1" x="110"/>
        <item m="1" x="989"/>
        <item m="1" x="1267"/>
        <item h="1" x="111"/>
        <item m="1" x="811"/>
        <item m="1" x="1092"/>
        <item m="1" x="211"/>
        <item m="1" x="639"/>
        <item h="1" x="112"/>
        <item m="1" x="1201"/>
        <item m="1" x="331"/>
        <item m="1" x="738"/>
        <item m="1" x="1021"/>
        <item h="1" x="113"/>
        <item h="1" m="1" x="436"/>
        <item h="1" m="1" x="849"/>
        <item m="1" x="1131"/>
        <item m="1" x="249"/>
        <item m="1" x="540"/>
        <item h="1" m="1" x="954"/>
        <item h="1" m="1" x="1233"/>
        <item m="1" x="370"/>
        <item m="1" x="779"/>
        <item m="1" x="1059"/>
        <item m="1" x="1341"/>
        <item m="1" x="472"/>
        <item m="1" x="887"/>
        <item m="1" x="1168"/>
        <item m="1" x="291"/>
        <item m="1" x="575"/>
        <item m="1" x="991"/>
        <item m="1" x="1271"/>
        <item m="1" x="410"/>
        <item m="1" x="1095"/>
        <item m="1" x="217"/>
        <item m="1" x="514"/>
        <item m="1" x="921"/>
        <item m="1" x="1203"/>
        <item m="1" x="336"/>
        <item m="1" x="611"/>
        <item h="1" x="115"/>
        <item h="1" x="116"/>
        <item m="1" x="1134"/>
        <item h="1" m="1" x="252"/>
        <item h="1" x="117"/>
        <item h="1" x="118"/>
        <item m="1" x="1238"/>
        <item m="1" x="646"/>
        <item m="1" x="1060"/>
        <item m="1" x="1344"/>
        <item m="1" x="474"/>
        <item m="1" x="747"/>
        <item m="1" x="1171"/>
        <item m="1" x="295"/>
        <item m="1" x="577"/>
        <item h="1" m="1" x="1273"/>
        <item m="1" x="412"/>
        <item h="1" m="1" x="683"/>
        <item h="1" m="1" x="965"/>
        <item m="1" x="221"/>
        <item m="1" x="518"/>
        <item h="1" m="1" x="1207"/>
        <item h="1" m="1" x="338"/>
        <item h="1" m="1" x="613"/>
        <item h="1" x="119"/>
        <item h="1" x="120"/>
        <item m="1" x="442"/>
        <item m="1" x="714"/>
        <item h="1" x="122"/>
        <item m="1" x="825"/>
        <item m="1" x="1107"/>
        <item m="1" x="376"/>
        <item m="1" x="649"/>
        <item m="1" x="930"/>
        <item m="1" x="1346"/>
        <item m="1" x="480"/>
        <item m="1" x="749"/>
        <item m="1" x="1034"/>
        <item m="1" x="297"/>
        <item m="1" x="580"/>
        <item h="1" x="123"/>
        <item h="1" m="1" x="1143"/>
        <item h="1" x="124"/>
        <item h="1" x="125"/>
        <item m="1" x="966"/>
        <item m="1" x="1248"/>
        <item m="1" x="520"/>
        <item h="1" x="126"/>
        <item h="1" x="127"/>
        <item h="1" x="128"/>
        <item h="1" x="129"/>
        <item m="1" x="899"/>
        <item h="1" m="1" x="1181"/>
        <item m="1" x="444"/>
        <item h="1" m="1" x="716"/>
        <item m="1" x="1000"/>
        <item h="1" m="1" x="1281"/>
        <item m="1" x="826"/>
        <item m="1" x="1110"/>
        <item m="1" x="229"/>
        <item h="1" m="1" x="651"/>
        <item h="1" m="1" x="932"/>
        <item m="1" x="482"/>
        <item m="1" x="752"/>
        <item m="1" x="1036"/>
        <item m="1" x="1322"/>
        <item h="1" m="1" x="582"/>
        <item h="1" x="130"/>
        <item m="1" x="1145"/>
        <item m="1" x="266"/>
        <item m="1" x="969"/>
        <item m="1" x="1249"/>
        <item h="1" m="1" x="386"/>
        <item m="1" x="793"/>
        <item m="1" x="1074"/>
        <item h="1" x="131"/>
        <item h="1" x="132"/>
        <item m="1" x="1185"/>
        <item h="1" x="133"/>
        <item m="1" x="720"/>
        <item h="1" x="134"/>
        <item m="1" x="1283"/>
        <item h="1" x="135"/>
        <item h="1" x="136"/>
        <item m="1" x="936"/>
        <item m="1" x="1215"/>
        <item h="1" m="1" x="347"/>
        <item m="1" x="754"/>
        <item m="1" x="1037"/>
        <item h="1" x="137"/>
        <item h="1" x="138"/>
        <item m="1" x="865"/>
        <item m="1" x="1150"/>
        <item m="1" x="268"/>
        <item m="1" x="556"/>
        <item m="1" x="971"/>
        <item h="1" x="139"/>
        <item h="1" m="1" x="389"/>
        <item h="1" m="1" x="664"/>
        <item m="1" x="1075"/>
        <item h="1" m="1" x="1361"/>
        <item m="1" x="492"/>
        <item m="1" x="904"/>
        <item h="1" x="140"/>
        <item m="1" x="311"/>
        <item h="1" x="141"/>
        <item h="1" m="1" x="1005"/>
        <item m="1" x="1286"/>
        <item m="1" x="424"/>
        <item m="1" x="695"/>
        <item m="1" x="1112"/>
        <item m="1" x="527"/>
        <item h="1" x="143"/>
        <item h="1" m="1" x="349"/>
        <item m="1" x="629"/>
        <item h="1" x="144"/>
        <item h="1" x="145"/>
        <item m="1" x="453"/>
        <item h="1" m="1" x="728"/>
        <item h="1" m="1" x="1152"/>
        <item h="1" m="1" x="272"/>
        <item h="1" m="1" x="558"/>
        <item h="1" m="1" x="839"/>
        <item h="1" x="146"/>
        <item h="1" x="147"/>
        <item m="1" x="665"/>
        <item h="1" x="148"/>
        <item m="1" x="1363"/>
        <item m="1" x="496"/>
        <item m="1" x="768"/>
        <item m="1" x="1191"/>
        <item h="1" m="1" x="314"/>
        <item h="1" x="149"/>
        <item h="1" m="1" x="876"/>
        <item m="1" x="1292"/>
        <item m="1" x="426"/>
        <item h="1" m="1" x="698"/>
        <item m="1" x="978"/>
        <item m="1" x="235"/>
        <item m="1" x="529"/>
        <item h="1" x="151"/>
        <item m="1" x="631"/>
        <item h="1" m="1" x="1328"/>
        <item h="1" x="152"/>
        <item h="1" x="153"/>
        <item h="1" x="154"/>
        <item h="1" x="155"/>
        <item h="1" x="156"/>
        <item h="1" x="157"/>
        <item h="1" x="159"/>
        <item m="1" x="946"/>
        <item m="1" x="1228"/>
        <item m="1" x="499"/>
        <item m="1" x="771"/>
        <item h="1" x="160"/>
        <item m="1" x="318"/>
        <item h="1" x="161"/>
        <item h="1" m="1" x="1161"/>
        <item h="1" x="162"/>
        <item h="1" m="1" x="700"/>
        <item h="1" m="1" x="983"/>
        <item m="1" x="1265"/>
        <item m="1" x="532"/>
        <item m="1" x="803"/>
        <item m="1" x="208"/>
        <item h="1" x="163"/>
        <item m="1" x="731"/>
        <item m="1" x="1015"/>
        <item m="1" x="1305"/>
        <item m="1" x="563"/>
        <item m="1" x="842"/>
        <item m="1" x="1124"/>
        <item m="1" x="245"/>
        <item m="1" x="1229"/>
        <item m="1" x="367"/>
        <item m="1" x="773"/>
        <item m="1" x="1052"/>
        <item m="1" x="1337"/>
        <item h="1" m="1" x="600"/>
        <item h="1" x="165"/>
        <item h="1" x="166"/>
        <item m="1" x="985"/>
        <item m="1" x="405"/>
        <item m="1" x="808"/>
        <item m="1" x="1090"/>
        <item m="1" x="210"/>
        <item m="1" x="918"/>
        <item m="1" x="330"/>
        <item m="1" x="1019"/>
        <item m="1" x="1308"/>
        <item m="1" x="435"/>
        <item m="1" x="845"/>
        <item m="1" x="1129"/>
        <item m="1" x="247"/>
        <item m="1" x="539"/>
        <item m="1" x="369"/>
        <item m="1" x="644"/>
        <item m="1" x="1056"/>
        <item h="1" x="169"/>
        <item h="1" m="1" x="885"/>
        <item h="1" m="1" x="289"/>
        <item h="1" m="1" x="409"/>
        <item m="1" x="680"/>
        <item m="1" x="1093"/>
        <item m="1" x="212"/>
        <item m="1" x="513"/>
        <item h="1" m="1" x="332"/>
        <item h="1" m="1" x="1022"/>
        <item m="1" x="437"/>
        <item m="1" x="711"/>
        <item m="1" x="1132"/>
        <item m="1" x="250"/>
        <item m="1" x="541"/>
        <item m="1" x="822"/>
        <item m="1" x="1234"/>
        <item m="1" x="927"/>
        <item m="1" x="1342"/>
        <item h="1" x="171"/>
        <item m="1" x="744"/>
        <item m="1" x="292"/>
        <item h="1" m="1" x="858"/>
        <item m="1" x="218"/>
        <item h="1" m="1" x="515"/>
        <item h="1" m="1" x="786"/>
        <item h="1" x="174"/>
        <item h="1" m="1" x="998"/>
        <item h="1" m="1" x="253"/>
        <item h="1" m="1" x="543"/>
        <item h="1" m="1" x="823"/>
        <item h="1" m="1" x="1106"/>
        <item h="1" m="1" x="372"/>
        <item h="1" m="1" x="647"/>
        <item h="1" m="1" x="475"/>
        <item h="1" m="1" x="748"/>
        <item h="1" m="1" x="1033"/>
        <item h="1" m="1" x="296"/>
        <item h="1" m="1" x="861"/>
        <item h="1" m="1" x="413"/>
        <item h="1" m="1" x="787"/>
        <item h="1" m="1" x="1071"/>
        <item h="1" m="1" x="1354"/>
        <item h="1" m="1" x="614"/>
        <item h="1" x="197"/>
        <item h="1" x="196"/>
        <item x="2"/>
        <item x="4"/>
        <item x="5"/>
        <item x="9"/>
        <item x="13"/>
        <item x="14"/>
        <item x="18"/>
        <item h="1" x="31"/>
        <item h="1" x="39"/>
        <item h="1" x="42"/>
        <item h="1" x="47"/>
        <item h="1" x="49"/>
        <item h="1" x="51"/>
        <item h="1" x="54"/>
        <item h="1" x="55"/>
        <item h="1" x="58"/>
        <item h="1" x="69"/>
        <item h="1" x="72"/>
        <item h="1" x="80"/>
        <item h="1" x="91"/>
        <item h="1" x="97"/>
        <item h="1" x="104"/>
        <item h="1" x="107"/>
        <item h="1" x="114"/>
        <item h="1" x="121"/>
        <item h="1" x="142"/>
        <item h="1" x="150"/>
        <item h="1" x="158"/>
        <item h="1" x="164"/>
        <item h="1" x="167"/>
        <item h="1" x="168"/>
        <item h="1" x="170"/>
        <item h="1" x="172"/>
        <item h="1" x="173"/>
        <item h="1" x="175"/>
        <item h="1" x="176"/>
        <item h="1" x="177"/>
        <item h="1" x="178"/>
        <item h="1" x="179"/>
        <item h="1" x="180"/>
        <item h="1" x="181"/>
        <item h="1" x="182"/>
        <item h="1" x="183"/>
        <item h="1" x="184"/>
        <item h="1" x="185"/>
        <item h="1" x="186"/>
        <item h="1" x="187"/>
        <item h="1" x="188"/>
        <item h="1" x="189"/>
        <item h="1" x="190"/>
        <item h="1" x="191"/>
        <item h="1" x="192"/>
        <item h="1" x="193"/>
        <item h="1" x="194"/>
        <item h="1" x="195"/>
      </items>
    </pivotField>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2"/>
        <item x="9"/>
        <item x="3"/>
        <item x="0"/>
        <item x="1"/>
        <item x="10"/>
        <item n="Kyaukpyu " x="4"/>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6"/>
  </rowFields>
  <rowItems count="6">
    <i>
      <x v="5"/>
    </i>
    <i>
      <x v="7"/>
    </i>
    <i>
      <x v="8"/>
    </i>
    <i>
      <x v="9"/>
    </i>
    <i>
      <x v="11"/>
    </i>
    <i t="grand">
      <x/>
    </i>
  </rowItems>
  <colFields count="1">
    <field x="-2"/>
  </colFields>
  <colItems count="12">
    <i>
      <x/>
    </i>
    <i i="1">
      <x v="1"/>
    </i>
    <i i="2">
      <x v="2"/>
    </i>
    <i i="3">
      <x v="3"/>
    </i>
    <i i="4">
      <x v="4"/>
    </i>
    <i i="5">
      <x v="5"/>
    </i>
    <i i="6">
      <x v="6"/>
    </i>
    <i i="7">
      <x v="7"/>
    </i>
    <i i="8">
      <x v="8"/>
    </i>
    <i i="9">
      <x v="9"/>
    </i>
    <i i="10">
      <x v="10"/>
    </i>
    <i i="11">
      <x v="11"/>
    </i>
  </colItems>
  <pageFields count="3">
    <pageField fld="5" hier="-1"/>
    <pageField fld="0" hier="-1"/>
    <pageField fld="37" item="2" hier="-1"/>
  </pageFields>
  <dataFields count="12">
    <dataField name="Sanitary Kit " fld="24" baseField="6" baseItem="1"/>
    <dataField name=" Mosquito net" fld="25" baseField="6" baseItem="3"/>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8">
    <format dxfId="692">
      <pivotArea outline="0" collapsedLevelsAreSubtotals="1" fieldPosition="0"/>
    </format>
    <format dxfId="691">
      <pivotArea type="all" dataOnly="0" outline="0" fieldPosition="0"/>
    </format>
    <format dxfId="690">
      <pivotArea type="all" dataOnly="0" outline="0" fieldPosition="0"/>
    </format>
    <format dxfId="689">
      <pivotArea type="all" dataOnly="0" outline="0" fieldPosition="0"/>
    </format>
    <format dxfId="688">
      <pivotArea outline="0" collapsedLevelsAreSubtotals="1" fieldPosition="0"/>
    </format>
    <format dxfId="687">
      <pivotArea field="6" type="button" dataOnly="0" labelOnly="1" outline="0" axis="axisRow" fieldPosition="0"/>
    </format>
    <format dxfId="686">
      <pivotArea dataOnly="0" labelOnly="1" grandRow="1" outline="0" fieldPosition="0"/>
    </format>
    <format dxfId="685">
      <pivotArea dataOnly="0" labelOnly="1" outline="0" fieldPosition="0">
        <references count="1">
          <reference field="4294967294" count="8">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P56:AB69" firstHeaderRow="0" firstDataRow="1" firstDataCol="1" rowPageCount="3" colPageCount="1"/>
  <pivotFields count="41">
    <pivotField axis="axisPage" numFmtId="1" multipleItemSelectionAllowed="1" showAll="0" defaultSubtotal="0">
      <items count="1366">
        <item m="1" x="387"/>
        <item m="1" x="368"/>
        <item m="1" x="425"/>
        <item m="1" x="900"/>
        <item m="1" x="219"/>
        <item m="1" x="1362"/>
        <item m="1" x="388"/>
        <item m="1" x="1169"/>
        <item m="1" x="1149"/>
        <item m="1" x="781"/>
        <item m="1" x="1128"/>
        <item m="1" x="278"/>
        <item m="1" x="1244"/>
        <item m="1" x="1222"/>
        <item x="0"/>
        <item m="1" x="1030"/>
        <item m="1" x="363"/>
        <item m="1" x="836"/>
        <item m="1" x="643"/>
        <item m="1" x="452"/>
        <item m="1" x="929"/>
        <item m="1" x="1277"/>
        <item x="1"/>
        <item x="3"/>
        <item m="1" x="1235"/>
        <item m="1" x="378"/>
        <item x="6"/>
        <item m="1" x="227"/>
        <item m="1" x="1287"/>
        <item m="1" x="198"/>
        <item m="1" x="605"/>
        <item x="7"/>
        <item m="1" x="303"/>
        <item m="1" x="1072"/>
        <item m="1" x="1306"/>
        <item m="1" x="345"/>
        <item m="1" x="922"/>
        <item m="1" x="1113"/>
        <item m="1" x="282"/>
        <item m="1" x="486"/>
        <item m="1" x="1156"/>
        <item m="1" x="673"/>
        <item m="1" x="1345"/>
        <item m="1" x="391"/>
        <item m="1" x="1053"/>
        <item x="8"/>
        <item m="1" x="767"/>
        <item m="1" x="286"/>
        <item m="1" x="961"/>
        <item m="1" x="616"/>
        <item m="1" x="1285"/>
        <item m="1" x="1178"/>
        <item m="1" x="692"/>
        <item m="1" x="204"/>
        <item x="10"/>
        <item m="1" x="226"/>
        <item x="11"/>
        <item x="12"/>
        <item m="1" x="243"/>
        <item m="1" x="1099"/>
        <item m="1" x="1294"/>
        <item m="1" x="810"/>
        <item m="1" x="466"/>
        <item m="1" x="831"/>
        <item m="1" x="355"/>
        <item m="1" x="1023"/>
        <item x="15"/>
        <item m="1" x="851"/>
        <item x="16"/>
        <item m="1" x="545"/>
        <item x="17"/>
        <item m="1" x="792"/>
        <item m="1" x="1216"/>
        <item m="1" x="1039"/>
        <item m="1" x="313"/>
        <item m="1" x="1295"/>
        <item m="1" x="986"/>
        <item m="1" x="398"/>
        <item m="1" x="516"/>
        <item m="1" x="339"/>
        <item m="1" x="750"/>
        <item m="1" x="1182"/>
        <item m="1" x="1002"/>
        <item m="1" x="269"/>
        <item m="1" x="1253"/>
        <item x="19"/>
        <item m="1" x="774"/>
        <item x="20"/>
        <item m="1" x="1024"/>
        <item m="1" x="293"/>
        <item m="1" x="712"/>
        <item m="1" x="1141"/>
        <item m="1" x="546"/>
        <item m="1" x="967"/>
        <item m="1" x="230"/>
        <item m="1" x="661"/>
        <item x="21"/>
        <item m="1" x="493"/>
        <item m="1" x="909"/>
        <item m="1" x="315"/>
        <item x="22"/>
        <item m="1" x="987"/>
        <item x="23"/>
        <item m="1" x="1102"/>
        <item m="1" x="1355"/>
        <item m="1" x="1183"/>
        <item m="1" x="662"/>
        <item m="1" x="872"/>
        <item m="1" x="270"/>
        <item m="1" x="494"/>
        <item m="1" x="696"/>
        <item m="1" x="910"/>
        <item m="1" x="1121"/>
        <item m="1" x="1333"/>
        <item m="1" x="606"/>
        <item m="1" x="947"/>
        <item m="1" x="1064"/>
        <item m="1" x="470"/>
        <item m="1" x="681"/>
        <item m="1" x="893"/>
        <item m="1" x="1103"/>
        <item m="1" x="1316"/>
        <item m="1" x="380"/>
        <item m="1" x="586"/>
        <item m="1" x="928"/>
        <item m="1" x="1356"/>
        <item m="1" x="625"/>
        <item x="24"/>
        <item m="1" x="450"/>
        <item m="1" x="663"/>
        <item m="1" x="873"/>
        <item m="1" x="1085"/>
        <item m="1" x="1299"/>
        <item m="1" x="567"/>
        <item m="1" x="911"/>
        <item m="1" x="1122"/>
        <item m="1" x="1334"/>
        <item m="1" x="816"/>
        <item m="1" x="642"/>
        <item m="1" x="854"/>
        <item m="1" x="1065"/>
        <item m="1" x="547"/>
        <item m="1" x="894"/>
        <item m="1" x="1104"/>
        <item m="1" x="1007"/>
        <item m="1" x="419"/>
        <item m="1" x="626"/>
        <item m="1" x="1257"/>
        <item m="1" x="321"/>
        <item m="1" x="874"/>
        <item m="1" x="1086"/>
        <item m="1" x="1300"/>
        <item m="1" x="360"/>
        <item m="1" x="992"/>
        <item m="1" x="1335"/>
        <item m="1" x="607"/>
        <item m="1" x="298"/>
        <item x="25"/>
        <item m="1" x="855"/>
        <item m="1" x="1066"/>
        <item m="1" x="1275"/>
        <item m="1" x="755"/>
        <item m="1" x="1317"/>
        <item m="1" x="587"/>
        <item m="1" x="500"/>
        <item m="1" x="1044"/>
        <item m="1" x="1258"/>
        <item m="1" x="950"/>
        <item m="1" x="1301"/>
        <item m="1" x="1204"/>
        <item m="1" x="254"/>
        <item m="1" x="1028"/>
        <item m="1" x="1135"/>
        <item m="1" x="1240"/>
        <item m="1" x="1347"/>
        <item m="1" x="414"/>
        <item m="1" x="521"/>
        <item m="1" x="617"/>
        <item m="1" x="717"/>
        <item m="1" x="1276"/>
        <item x="26"/>
        <item x="27"/>
        <item m="1" x="548"/>
        <item m="1" x="653"/>
        <item m="1" x="756"/>
        <item m="1" x="1076"/>
        <item m="1" x="689"/>
        <item m="1" x="796"/>
        <item m="1" x="1116"/>
        <item m="1" x="1219"/>
        <item m="1" x="1329"/>
        <item x="28"/>
        <item m="1" x="501"/>
        <item m="1" x="597"/>
        <item m="1" x="804"/>
        <item m="1" x="1259"/>
        <item m="1" x="200"/>
        <item m="1" x="322"/>
        <item m="1" x="635"/>
        <item m="1" x="734"/>
        <item m="1" x="1057"/>
        <item m="1" x="213"/>
        <item m="1" x="675"/>
        <item m="1" x="780"/>
        <item x="29"/>
        <item m="1" x="1096"/>
        <item m="1" x="1311"/>
        <item m="1" x="255"/>
        <item m="1" x="476"/>
        <item m="1" x="578"/>
        <item m="1" x="788"/>
        <item m="1" x="896"/>
        <item m="1" x="1348"/>
        <item m="1" x="299"/>
        <item m="1" x="415"/>
        <item m="1" x="618"/>
        <item m="1" x="718"/>
        <item m="1" x="827"/>
        <item m="1" x="1146"/>
        <item m="1" x="757"/>
        <item m="1" x="866"/>
        <item m="1" x="1187"/>
        <item m="1" x="1288"/>
        <item m="1" x="232"/>
        <item m="1" x="350"/>
        <item m="1" x="666"/>
        <item m="1" x="877"/>
        <item m="1" x="979"/>
        <item m="1" x="1220"/>
        <item m="1" x="1330"/>
        <item m="1" x="275"/>
        <item m="1" x="393"/>
        <item m="1" x="701"/>
        <item m="1" x="805"/>
        <item m="1" x="914"/>
        <item m="1" x="1016"/>
        <item m="1" x="1125"/>
        <item m="1" x="287"/>
        <item m="1" x="406"/>
        <item m="1" x="636"/>
        <item m="1" x="735"/>
        <item m="1" x="846"/>
        <item m="1" x="951"/>
        <item m="1" x="1268"/>
        <item m="1" x="214"/>
        <item m="1" x="333"/>
        <item m="1" x="438"/>
        <item m="1" x="745"/>
        <item m="1" x="962"/>
        <item m="1" x="256"/>
        <item m="1" x="373"/>
        <item m="1" x="477"/>
        <item m="1" x="684"/>
        <item m="1" x="789"/>
        <item m="1" x="897"/>
        <item m="1" x="1320"/>
        <item m="1" x="264"/>
        <item m="1" x="384"/>
        <item m="1" x="828"/>
        <item m="1" x="933"/>
        <item h="1" x="30"/>
        <item m="1" x="1147"/>
        <item m="1" x="1250"/>
        <item m="1" x="1359"/>
        <item m="1" x="421"/>
        <item h="1" x="32"/>
        <item m="1" x="944"/>
        <item m="1" x="1188"/>
        <item m="1" x="1289"/>
        <item h="1" x="33"/>
        <item m="1" x="351"/>
        <item m="1" x="454"/>
        <item m="1" x="667"/>
        <item m="1" x="769"/>
        <item m="1" x="878"/>
        <item m="1" x="980"/>
        <item m="1" x="1197"/>
        <item m="1" x="1304"/>
        <item m="1" x="244"/>
        <item m="1" x="364"/>
        <item m="1" x="598"/>
        <item m="1" x="702"/>
        <item m="1" x="915"/>
        <item m="1" x="288"/>
        <item m="1" x="407"/>
        <item m="1" x="510"/>
        <item m="1" x="820"/>
        <item m="1" x="1166"/>
        <item m="1" x="1269"/>
        <item m="1" x="215"/>
        <item m="1" x="334"/>
        <item m="1" x="439"/>
        <item m="1" x="542"/>
        <item m="1" x="746"/>
        <item m="1" x="859"/>
        <item m="1" x="963"/>
        <item m="1" x="1278"/>
        <item m="1" x="579"/>
        <item h="1" x="34"/>
        <item m="1" x="790"/>
        <item m="1" x="898"/>
        <item m="1" x="999"/>
        <item m="1" x="1108"/>
        <item m="1" x="1212"/>
        <item m="1" x="1321"/>
        <item m="1" x="385"/>
        <item m="1" x="489"/>
        <item m="1" x="591"/>
        <item m="1" x="799"/>
        <item m="1" x="1148"/>
        <item m="1" x="1251"/>
        <item h="1" x="35"/>
        <item m="1" x="309"/>
        <item m="1" x="422"/>
        <item m="1" x="526"/>
        <item h="1" x="36"/>
        <item h="1" x="37"/>
        <item m="1" x="837"/>
        <item m="1" x="1048"/>
        <item m="1" x="1262"/>
        <item m="1" x="205"/>
        <item m="1" x="325"/>
        <item m="1" x="559"/>
        <item m="1" x="668"/>
        <item m="1" x="770"/>
        <item m="1" x="879"/>
        <item m="1" x="283"/>
        <item m="1" x="981"/>
        <item m="1" x="402"/>
        <item h="1" x="38"/>
        <item m="1" x="508"/>
        <item m="1" x="1198"/>
        <item m="1" x="608"/>
        <item m="1" x="840"/>
        <item m="1" x="365"/>
        <item m="1" x="1051"/>
        <item m="1" x="467"/>
        <item m="1" x="1162"/>
        <item m="1" x="571"/>
        <item m="1" x="1266"/>
        <item m="1" x="678"/>
        <item m="1" x="782"/>
        <item m="1" x="328"/>
        <item m="1" x="890"/>
        <item m="1" x="433"/>
        <item m="1" x="1126"/>
        <item m="1" x="537"/>
        <item m="1" x="1230"/>
        <item m="1" x="1338"/>
        <item m="1" x="742"/>
        <item h="1" x="40"/>
        <item m="1" x="856"/>
        <item m="1" x="408"/>
        <item m="1" x="959"/>
        <item m="1" x="511"/>
        <item m="1" x="1067"/>
        <item m="1" x="1175"/>
        <item m="1" x="248"/>
        <item m="1" x="821"/>
        <item m="1" x="471"/>
        <item m="1" x="1032"/>
        <item m="1" x="574"/>
        <item m="1" x="1139"/>
        <item m="1" x="682"/>
        <item m="1" x="1245"/>
        <item m="1" x="1351"/>
        <item h="1" x="41"/>
        <item m="1" x="304"/>
        <item m="1" x="1105"/>
        <item m="1" x="645"/>
        <item m="1" x="1318"/>
        <item m="1" x="860"/>
        <item m="1" x="262"/>
        <item m="1" x="964"/>
        <item m="1" x="381"/>
        <item m="1" x="1069"/>
        <item m="1" x="487"/>
        <item m="1" x="1179"/>
        <item m="1" x="588"/>
        <item m="1" x="1279"/>
        <item m="1" x="824"/>
        <item m="1" x="228"/>
        <item m="1" x="447"/>
        <item m="1" x="1142"/>
        <item m="1" x="553"/>
        <item m="1" x="1247"/>
        <item m="1" x="658"/>
        <item m="1" x="1357"/>
        <item m="1" x="762"/>
        <item m="1" x="307"/>
        <item m="1" x="1109"/>
        <item m="1" x="524"/>
        <item m="1" x="1213"/>
        <item m="1" x="725"/>
        <item m="1" x="265"/>
        <item h="1" x="43"/>
        <item m="1" x="941"/>
        <item m="1" x="490"/>
        <item m="1" x="1045"/>
        <item m="1" x="592"/>
        <item m="1" x="693"/>
        <item m="1" x="231"/>
        <item m="1" x="800"/>
        <item m="1" x="346"/>
        <item m="1" x="907"/>
        <item m="1" x="451"/>
        <item m="1" x="1011"/>
        <item h="1" x="44"/>
        <item h="1" x="45"/>
        <item m="1" x="1225"/>
        <item m="1" x="765"/>
        <item m="1" x="875"/>
        <item m="1" x="280"/>
        <item m="1" x="976"/>
        <item m="1" x="628"/>
        <item m="1" x="1195"/>
        <item m="1" x="838"/>
        <item h="1" x="46"/>
        <item m="1" x="945"/>
        <item m="1" x="1049"/>
        <item m="1" x="463"/>
        <item m="1" x="1159"/>
        <item m="1" x="568"/>
        <item m="1" x="1263"/>
        <item m="1" x="801"/>
        <item m="1" x="206"/>
        <item m="1" x="912"/>
        <item m="1" x="326"/>
        <item h="1" x="48"/>
        <item h="1" x="50"/>
        <item m="1" x="640"/>
        <item m="1" x="1336"/>
        <item m="1" x="740"/>
        <item m="1" x="284"/>
        <item m="1" x="852"/>
        <item m="1" x="403"/>
        <item m="1" x="1088"/>
        <item m="1" x="609"/>
        <item h="1" x="52"/>
        <item h="1" x="53"/>
        <item m="1" x="817"/>
        <item m="1" x="366"/>
        <item m="1" x="923"/>
        <item m="1" x="468"/>
        <item m="1" x="572"/>
        <item m="1" x="1136"/>
        <item m="1" x="679"/>
        <item m="1" x="209"/>
        <item m="1" x="783"/>
        <item m="1" x="329"/>
        <item m="1" x="891"/>
        <item m="1" x="434"/>
        <item m="1" x="994"/>
        <item m="1" x="538"/>
        <item m="1" x="1100"/>
        <item m="1" x="1209"/>
        <item m="1" x="1315"/>
        <item m="1" x="960"/>
        <item m="1" x="512"/>
        <item m="1" x="1068"/>
        <item m="1" x="1176"/>
        <item m="1" x="710"/>
        <item m="1" x="926"/>
        <item h="1" x="56"/>
        <item h="1" x="57"/>
        <item m="1" x="549"/>
        <item m="1" x="1246"/>
        <item m="1" x="785"/>
        <item m="1" x="1352"/>
        <item m="1" x="895"/>
        <item m="1" x="305"/>
        <item m="1" x="997"/>
        <item h="1" x="59"/>
        <item m="1" x="622"/>
        <item m="1" x="1319"/>
        <item m="1" x="722"/>
        <item m="1" x="263"/>
        <item m="1" x="382"/>
        <item m="1" x="1070"/>
        <item m="1" x="488"/>
        <item m="1" x="1180"/>
        <item m="1" x="589"/>
        <item m="1" x="1280"/>
        <item m="1" x="690"/>
        <item m="1" x="797"/>
        <item m="1" x="344"/>
        <item m="1" x="448"/>
        <item m="1" x="1008"/>
        <item m="1" x="554"/>
        <item m="1" x="659"/>
        <item m="1" x="1358"/>
        <item m="1" x="763"/>
        <item m="1" x="308"/>
        <item m="1" x="870"/>
        <item m="1" x="420"/>
        <item m="1" x="973"/>
        <item m="1" x="525"/>
        <item m="1" x="1082"/>
        <item m="1" x="627"/>
        <item m="1" x="726"/>
        <item m="1" x="1296"/>
        <item m="1" x="835"/>
        <item m="1" x="238"/>
        <item m="1" x="942"/>
        <item m="1" x="491"/>
        <item m="1" x="1046"/>
        <item m="1" x="593"/>
        <item h="1" x="60"/>
        <item m="1" x="694"/>
        <item m="1" x="1260"/>
        <item m="1" x="201"/>
        <item m="1" x="908"/>
        <item m="1" x="1012"/>
        <item m="1" x="1120"/>
        <item h="1" x="61"/>
        <item m="1" x="1226"/>
        <item m="1" x="766"/>
        <item m="1" x="1332"/>
        <item h="1" x="62"/>
        <item m="1" x="977"/>
        <item m="1" x="399"/>
        <item m="1" x="1087"/>
        <item m="1" x="1196"/>
        <item m="1" x="603"/>
        <item m="1" x="1302"/>
        <item h="1" x="63"/>
        <item m="1" x="812"/>
        <item m="1" x="361"/>
        <item m="1" x="1050"/>
        <item m="1" x="464"/>
        <item m="1" x="1160"/>
        <item m="1" x="569"/>
        <item m="1" x="1264"/>
        <item m="1" x="676"/>
        <item m="1" x="207"/>
        <item m="1" x="327"/>
        <item m="1" x="1097"/>
        <item h="1" x="64"/>
        <item m="1" x="285"/>
        <item h="1" x="65"/>
        <item m="1" x="404"/>
        <item m="1" x="956"/>
        <item m="1" x="509"/>
        <item m="1" x="1061"/>
        <item m="1" x="610"/>
        <item m="1" x="1172"/>
        <item m="1" x="708"/>
        <item h="1" x="66"/>
        <item m="1" x="818"/>
        <item m="1" x="924"/>
        <item m="1" x="469"/>
        <item m="1" x="1029"/>
        <item m="1" x="573"/>
        <item m="1" x="1137"/>
        <item m="1" x="1241"/>
        <item m="1" x="784"/>
        <item m="1" x="892"/>
        <item m="1" x="300"/>
        <item m="1" x="995"/>
        <item h="1" x="67"/>
        <item m="1" x="522"/>
        <item m="1" x="1210"/>
        <item m="1" x="743"/>
        <item h="1" x="68"/>
        <item m="1" x="857"/>
        <item m="1" x="260"/>
        <item m="1" x="483"/>
        <item m="1" x="1177"/>
        <item m="1" x="583"/>
        <item m="1" x="686"/>
        <item m="1" x="343"/>
        <item h="1" x="70"/>
        <item h="1" x="71"/>
        <item m="1" x="1140"/>
        <item m="1" x="550"/>
        <item m="1" x="654"/>
        <item m="1" x="1353"/>
        <item m="1" x="758"/>
        <item m="1" x="306"/>
        <item m="1" x="867"/>
        <item m="1" x="418"/>
        <item m="1" x="972"/>
        <item m="1" x="523"/>
        <item m="1" x="1077"/>
        <item m="1" x="623"/>
        <item m="1" x="723"/>
        <item m="1" x="833"/>
        <item m="1" x="383"/>
        <item m="1" x="938"/>
        <item m="1" x="1040"/>
        <item m="1" x="590"/>
        <item m="1" x="1153"/>
        <item m="1" x="691"/>
        <item m="1" x="1254"/>
        <item m="1" x="449"/>
        <item m="1" x="1009"/>
        <item m="1" x="555"/>
        <item m="1" x="1117"/>
        <item m="1" x="660"/>
        <item m="1" x="1221"/>
        <item m="1" x="764"/>
        <item m="1" x="871"/>
        <item m="1" x="276"/>
        <item m="1" x="974"/>
        <item m="1" x="394"/>
        <item m="1" x="1083"/>
        <item m="1" x="502"/>
        <item m="1" x="1194"/>
        <item m="1" x="727"/>
        <item m="1" x="1297"/>
        <item m="1" x="239"/>
        <item m="1" x="943"/>
        <item m="1" x="1047"/>
        <item m="1" x="459"/>
        <item m="1" x="1158"/>
        <item m="1" x="564"/>
        <item m="1" x="1261"/>
        <item m="1" x="202"/>
        <item m="1" x="775"/>
        <item m="1" x="323"/>
        <item m="1" x="1013"/>
        <item m="1" x="430"/>
        <item m="1" x="534"/>
        <item m="1" x="1227"/>
        <item m="1" x="637"/>
        <item m="1" x="736"/>
        <item m="1" x="281"/>
        <item m="1" x="847"/>
        <item m="1" x="400"/>
        <item m="1" x="952"/>
        <item m="1" x="1058"/>
        <item m="1" x="604"/>
        <item m="1" x="1303"/>
        <item m="1" x="706"/>
        <item m="1" x="242"/>
        <item m="1" x="813"/>
        <item m="1" x="362"/>
        <item m="1" x="920"/>
        <item m="1" x="465"/>
        <item m="1" x="1025"/>
        <item m="1" x="570"/>
        <item m="1" x="1133"/>
        <item m="1" x="677"/>
        <item m="1" x="1236"/>
        <item m="1" x="1343"/>
        <item m="1" x="888"/>
        <item m="1" x="432"/>
        <item h="1" x="73"/>
        <item h="1" x="74"/>
        <item h="1" x="75"/>
        <item m="1" x="641"/>
        <item m="1" x="1205"/>
        <item m="1" x="741"/>
        <item m="1" x="1312"/>
        <item m="1" x="853"/>
        <item m="1" x="257"/>
        <item m="1" x="957"/>
        <item m="1" x="374"/>
        <item m="1" x="1062"/>
        <item m="1" x="478"/>
        <item m="1" x="1173"/>
        <item m="1" x="709"/>
        <item m="1" x="1274"/>
        <item m="1" x="819"/>
        <item m="1" x="222"/>
        <item m="1" x="925"/>
        <item m="1" x="340"/>
        <item m="1" x="1031"/>
        <item h="1" x="76"/>
        <item m="1" x="1138"/>
        <item h="1" x="77"/>
        <item m="1" x="1242"/>
        <item m="1" x="1349"/>
        <item m="1" x="751"/>
        <item m="1" x="301"/>
        <item m="1" x="996"/>
        <item m="1" x="416"/>
        <item m="1" x="1101"/>
        <item m="1" x="1211"/>
        <item m="1" x="619"/>
        <item h="1" x="78"/>
        <item m="1" x="719"/>
        <item m="1" x="261"/>
        <item m="1" x="829"/>
        <item m="1" x="934"/>
        <item m="1" x="484"/>
        <item m="1" x="584"/>
        <item m="1" x="687"/>
        <item m="1" x="225"/>
        <item m="1" x="794"/>
        <item h="1" x="79"/>
        <item m="1" x="902"/>
        <item m="1" x="446"/>
        <item m="1" x="1003"/>
        <item m="1" x="551"/>
        <item m="1" x="655"/>
        <item m="1" x="759"/>
        <item m="1" x="1324"/>
        <item m="1" x="868"/>
        <item m="1" x="1078"/>
        <item m="1" x="624"/>
        <item m="1" x="1189"/>
        <item m="1" x="724"/>
        <item m="1" x="1290"/>
        <item m="1" x="552"/>
        <item m="1" x="1114"/>
        <item m="1" x="233"/>
        <item m="1" x="657"/>
        <item m="1" x="939"/>
        <item m="1" x="1217"/>
        <item m="1" x="352"/>
        <item m="1" x="761"/>
        <item m="1" x="1041"/>
        <item m="1" x="1326"/>
        <item m="1" x="455"/>
        <item m="1" x="869"/>
        <item m="1" x="1154"/>
        <item m="1" x="273"/>
        <item m="1" x="1255"/>
        <item m="1" x="798"/>
        <item m="1" x="1080"/>
        <item m="1" x="1364"/>
        <item m="1" x="497"/>
        <item m="1" x="906"/>
        <item m="1" x="1192"/>
        <item m="1" x="316"/>
        <item m="1" x="595"/>
        <item m="1" x="1010"/>
        <item h="1" x="81"/>
        <item m="1" x="427"/>
        <item m="1" x="834"/>
        <item m="1" x="1118"/>
        <item m="1" x="236"/>
        <item m="1" x="530"/>
        <item h="1" x="82"/>
        <item m="1" x="1223"/>
        <item m="1" x="354"/>
        <item m="1" x="632"/>
        <item m="1" x="1043"/>
        <item m="1" x="457"/>
        <item m="1" x="1157"/>
        <item m="1" x="277"/>
        <item m="1" x="561"/>
        <item m="1" x="975"/>
        <item m="1" x="1256"/>
        <item m="1" x="395"/>
        <item m="1" x="670"/>
        <item m="1" x="1084"/>
        <item m="1" x="199"/>
        <item m="1" x="503"/>
        <item m="1" x="319"/>
        <item m="1" x="599"/>
        <item m="1" x="881"/>
        <item m="1" x="1298"/>
        <item m="1" x="429"/>
        <item m="1" x="703"/>
        <item m="1" x="1119"/>
        <item m="1" x="240"/>
        <item m="1" x="533"/>
        <item m="1" x="806"/>
        <item m="1" x="357"/>
        <item m="1" x="916"/>
        <item m="1" x="1331"/>
        <item m="1" x="460"/>
        <item m="1" x="732"/>
        <item m="1" x="1017"/>
        <item m="1" x="279"/>
        <item m="1" x="565"/>
        <item m="1" x="843"/>
        <item m="1" x="397"/>
        <item m="1" x="949"/>
        <item m="1" x="203"/>
        <item m="1" x="505"/>
        <item m="1" x="776"/>
        <item m="1" x="1054"/>
        <item m="1" x="324"/>
        <item m="1" x="601"/>
        <item m="1" x="883"/>
        <item m="1" x="1164"/>
        <item m="1" x="431"/>
        <item m="1" x="705"/>
        <item m="1" x="988"/>
        <item m="1" x="241"/>
        <item m="1" x="535"/>
        <item m="1" x="809"/>
        <item m="1" x="1091"/>
        <item m="1" x="359"/>
        <item m="1" x="638"/>
        <item m="1" x="919"/>
        <item m="1" x="1200"/>
        <item m="1" x="462"/>
        <item m="1" x="737"/>
        <item m="1" x="1020"/>
        <item m="1" x="1309"/>
        <item h="1" x="83"/>
        <item m="1" x="848"/>
        <item m="1" x="1130"/>
        <item m="1" x="401"/>
        <item m="1" x="674"/>
        <item m="1" x="953"/>
        <item m="1" x="1232"/>
        <item m="1" x="507"/>
        <item m="1" x="778"/>
        <item m="1" x="1340"/>
        <item m="1" x="886"/>
        <item m="1" x="1167"/>
        <item m="1" x="290"/>
        <item m="1" x="707"/>
        <item m="1" x="990"/>
        <item m="1" x="1270"/>
        <item m="1" x="536"/>
        <item m="1" x="814"/>
        <item m="1" x="1094"/>
        <item m="1" x="216"/>
        <item m="1" x="1202"/>
        <item m="1" x="335"/>
        <item m="1" x="739"/>
        <item m="1" x="1026"/>
        <item m="1" x="1310"/>
        <item m="1" x="440"/>
        <item m="1" x="850"/>
        <item h="1" x="84"/>
        <item m="1" x="251"/>
        <item m="1" x="955"/>
        <item m="1" x="1237"/>
        <item m="1" x="371"/>
        <item m="1" x="473"/>
        <item m="1" x="889"/>
        <item m="1" x="1170"/>
        <item m="1" x="294"/>
        <item m="1" x="576"/>
        <item m="1" x="993"/>
        <item m="1" x="1272"/>
        <item m="1" x="411"/>
        <item m="1" x="815"/>
        <item m="1" x="1098"/>
        <item m="1" x="220"/>
        <item m="1" x="517"/>
        <item m="1" x="1206"/>
        <item m="1" x="337"/>
        <item m="1" x="612"/>
        <item m="1" x="1027"/>
        <item m="1" x="1313"/>
        <item m="1" x="441"/>
        <item m="1" x="713"/>
        <item h="1" x="85"/>
        <item m="1" x="258"/>
        <item m="1" x="544"/>
        <item m="1" x="958"/>
        <item m="1" x="1239"/>
        <item m="1" x="375"/>
        <item m="1" x="648"/>
        <item m="1" x="1063"/>
        <item m="1" x="479"/>
        <item m="1" x="1174"/>
        <item m="1" x="862"/>
        <item h="1" x="86"/>
        <item h="1" x="87"/>
        <item m="1" x="223"/>
        <item m="1" x="519"/>
        <item m="1" x="791"/>
        <item m="1" x="1208"/>
        <item m="1" x="341"/>
        <item m="1" x="615"/>
        <item h="1" x="88"/>
        <item m="1" x="1314"/>
        <item m="1" x="443"/>
        <item m="1" x="715"/>
        <item h="1" x="89"/>
        <item m="1" x="259"/>
        <item h="1" x="90"/>
        <item m="1" x="1243"/>
        <item m="1" x="377"/>
        <item m="1" x="650"/>
        <item m="1" x="931"/>
        <item m="1" x="1350"/>
        <item m="1" x="481"/>
        <item m="1" x="1035"/>
        <item m="1" x="302"/>
        <item m="1" x="581"/>
        <item m="1" x="863"/>
        <item m="1" x="1144"/>
        <item m="1" x="417"/>
        <item m="1" x="685"/>
        <item m="1" x="968"/>
        <item m="1" x="224"/>
        <item h="1" x="92"/>
        <item m="1" x="1073"/>
        <item m="1" x="342"/>
        <item m="1" x="620"/>
        <item m="1" x="901"/>
        <item m="1" x="1184"/>
        <item m="1" x="445"/>
        <item h="1" x="93"/>
        <item m="1" x="1001"/>
        <item m="1" x="1282"/>
        <item m="1" x="830"/>
        <item m="1" x="379"/>
        <item m="1" x="652"/>
        <item m="1" x="935"/>
        <item m="1" x="1214"/>
        <item m="1" x="485"/>
        <item m="1" x="753"/>
        <item m="1" x="1323"/>
        <item m="1" x="585"/>
        <item m="1" x="864"/>
        <item h="1" x="94"/>
        <item m="1" x="267"/>
        <item m="1" x="688"/>
        <item m="1" x="970"/>
        <item m="1" x="1252"/>
        <item h="1" x="95"/>
        <item h="1" x="96"/>
        <item m="1" x="1360"/>
        <item m="1" x="621"/>
        <item m="1" x="903"/>
        <item m="1" x="1186"/>
        <item m="1" x="310"/>
        <item m="1" x="721"/>
        <item m="1" x="1004"/>
        <item m="1" x="1284"/>
        <item m="1" x="423"/>
        <item m="1" x="832"/>
        <item m="1" x="1111"/>
        <item h="1" x="98"/>
        <item m="1" x="656"/>
        <item m="1" x="937"/>
        <item h="1" x="99"/>
        <item m="1" x="348"/>
        <item m="1" x="760"/>
        <item m="1" x="1038"/>
        <item m="1" x="1325"/>
        <item h="1" x="100"/>
        <item m="1" x="1151"/>
        <item m="1" x="271"/>
        <item m="1" x="557"/>
        <item h="1" x="101"/>
        <item h="1" x="102"/>
        <item m="1" x="390"/>
        <item m="1" x="795"/>
        <item m="1" x="1079"/>
        <item m="1" x="495"/>
        <item m="1" x="905"/>
        <item m="1" x="1190"/>
        <item m="1" x="312"/>
        <item m="1" x="594"/>
        <item m="1" x="1006"/>
        <item m="1" x="1291"/>
        <item m="1" x="697"/>
        <item m="1" x="1115"/>
        <item m="1" x="234"/>
        <item m="1" x="528"/>
        <item m="1" x="940"/>
        <item m="1" x="1218"/>
        <item m="1" x="353"/>
        <item m="1" x="630"/>
        <item m="1" x="1042"/>
        <item m="1" x="1327"/>
        <item m="1" x="456"/>
        <item m="1" x="729"/>
        <item m="1" x="1155"/>
        <item m="1" x="274"/>
        <item m="1" x="560"/>
        <item h="1" x="103"/>
        <item m="1" x="392"/>
        <item m="1" x="669"/>
        <item m="1" x="1081"/>
        <item m="1" x="1365"/>
        <item m="1" x="498"/>
        <item h="1" x="105"/>
        <item m="1" x="1193"/>
        <item m="1" x="317"/>
        <item m="1" x="596"/>
        <item m="1" x="880"/>
        <item m="1" x="1293"/>
        <item m="1" x="428"/>
        <item m="1" x="699"/>
        <item m="1" x="982"/>
        <item m="1" x="237"/>
        <item m="1" x="531"/>
        <item m="1" x="802"/>
        <item m="1" x="1224"/>
        <item m="1" x="356"/>
        <item m="1" x="633"/>
        <item m="1" x="913"/>
        <item h="1" x="106"/>
        <item m="1" x="458"/>
        <item m="1" x="730"/>
        <item m="1" x="1014"/>
        <item m="1" x="562"/>
        <item m="1" x="841"/>
        <item m="1" x="1123"/>
        <item m="1" x="396"/>
        <item m="1" x="671"/>
        <item m="1" x="948"/>
        <item m="1" x="504"/>
        <item m="1" x="772"/>
        <item m="1" x="320"/>
        <item m="1" x="882"/>
        <item m="1" x="1163"/>
        <item h="1" x="108"/>
        <item m="1" x="704"/>
        <item m="1" x="984"/>
        <item m="1" x="807"/>
        <item m="1" x="1089"/>
        <item m="1" x="358"/>
        <item m="1" x="634"/>
        <item m="1" x="917"/>
        <item m="1" x="1199"/>
        <item m="1" x="461"/>
        <item m="1" x="733"/>
        <item m="1" x="1018"/>
        <item m="1" x="1307"/>
        <item m="1" x="566"/>
        <item m="1" x="844"/>
        <item m="1" x="1127"/>
        <item m="1" x="246"/>
        <item m="1" x="672"/>
        <item m="1" x="1231"/>
        <item m="1" x="506"/>
        <item m="1" x="777"/>
        <item m="1" x="1055"/>
        <item m="1" x="1339"/>
        <item m="1" x="602"/>
        <item m="1" x="884"/>
        <item m="1" x="1165"/>
        <item h="1" x="109"/>
        <item h="1" x="110"/>
        <item m="1" x="989"/>
        <item m="1" x="1267"/>
        <item h="1" x="111"/>
        <item m="1" x="811"/>
        <item m="1" x="1092"/>
        <item m="1" x="211"/>
        <item m="1" x="639"/>
        <item h="1" x="112"/>
        <item m="1" x="1201"/>
        <item m="1" x="331"/>
        <item m="1" x="738"/>
        <item m="1" x="1021"/>
        <item h="1" x="113"/>
        <item m="1" x="436"/>
        <item m="1" x="849"/>
        <item m="1" x="1131"/>
        <item m="1" x="249"/>
        <item m="1" x="540"/>
        <item m="1" x="954"/>
        <item m="1" x="1233"/>
        <item m="1" x="370"/>
        <item m="1" x="779"/>
        <item m="1" x="1059"/>
        <item m="1" x="1341"/>
        <item m="1" x="472"/>
        <item m="1" x="887"/>
        <item m="1" x="1168"/>
        <item m="1" x="291"/>
        <item m="1" x="575"/>
        <item m="1" x="991"/>
        <item m="1" x="1271"/>
        <item m="1" x="410"/>
        <item m="1" x="1095"/>
        <item m="1" x="217"/>
        <item m="1" x="514"/>
        <item m="1" x="921"/>
        <item m="1" x="1203"/>
        <item m="1" x="336"/>
        <item m="1" x="611"/>
        <item h="1" x="115"/>
        <item h="1" x="116"/>
        <item m="1" x="1134"/>
        <item m="1" x="252"/>
        <item h="1" x="117"/>
        <item h="1" x="118"/>
        <item m="1" x="1238"/>
        <item m="1" x="646"/>
        <item m="1" x="1060"/>
        <item m="1" x="1344"/>
        <item m="1" x="474"/>
        <item m="1" x="747"/>
        <item m="1" x="1171"/>
        <item m="1" x="295"/>
        <item m="1" x="577"/>
        <item m="1" x="1273"/>
        <item m="1" x="412"/>
        <item m="1" x="683"/>
        <item m="1" x="965"/>
        <item m="1" x="221"/>
        <item m="1" x="518"/>
        <item m="1" x="1207"/>
        <item m="1" x="338"/>
        <item m="1" x="613"/>
        <item h="1" x="119"/>
        <item h="1" x="120"/>
        <item m="1" x="442"/>
        <item m="1" x="714"/>
        <item h="1" x="122"/>
        <item m="1" x="825"/>
        <item m="1" x="1107"/>
        <item m="1" x="376"/>
        <item m="1" x="649"/>
        <item m="1" x="930"/>
        <item m="1" x="1346"/>
        <item m="1" x="480"/>
        <item m="1" x="749"/>
        <item m="1" x="1034"/>
        <item m="1" x="297"/>
        <item m="1" x="580"/>
        <item h="1" x="123"/>
        <item m="1" x="1143"/>
        <item h="1" x="124"/>
        <item h="1" x="125"/>
        <item m="1" x="966"/>
        <item m="1" x="1248"/>
        <item m="1" x="520"/>
        <item h="1" x="126"/>
        <item h="1" x="127"/>
        <item h="1" x="128"/>
        <item h="1" x="129"/>
        <item m="1" x="899"/>
        <item m="1" x="1181"/>
        <item m="1" x="444"/>
        <item m="1" x="716"/>
        <item m="1" x="1000"/>
        <item m="1" x="1281"/>
        <item m="1" x="826"/>
        <item m="1" x="1110"/>
        <item m="1" x="229"/>
        <item m="1" x="651"/>
        <item m="1" x="932"/>
        <item m="1" x="482"/>
        <item m="1" x="752"/>
        <item m="1" x="1036"/>
        <item m="1" x="1322"/>
        <item m="1" x="582"/>
        <item h="1" x="130"/>
        <item m="1" x="1145"/>
        <item m="1" x="266"/>
        <item m="1" x="969"/>
        <item m="1" x="1249"/>
        <item m="1" x="386"/>
        <item m="1" x="793"/>
        <item m="1" x="1074"/>
        <item h="1" x="131"/>
        <item h="1" x="132"/>
        <item m="1" x="1185"/>
        <item h="1" x="133"/>
        <item m="1" x="720"/>
        <item h="1" x="134"/>
        <item m="1" x="1283"/>
        <item h="1" x="135"/>
        <item h="1" x="136"/>
        <item m="1" x="936"/>
        <item m="1" x="1215"/>
        <item m="1" x="347"/>
        <item m="1" x="754"/>
        <item m="1" x="1037"/>
        <item h="1" x="137"/>
        <item h="1" x="138"/>
        <item m="1" x="865"/>
        <item m="1" x="1150"/>
        <item m="1" x="268"/>
        <item m="1" x="556"/>
        <item m="1" x="971"/>
        <item h="1" x="139"/>
        <item m="1" x="389"/>
        <item m="1" x="664"/>
        <item m="1" x="1075"/>
        <item m="1" x="1361"/>
        <item m="1" x="492"/>
        <item m="1" x="904"/>
        <item h="1" x="140"/>
        <item m="1" x="311"/>
        <item h="1" x="141"/>
        <item m="1" x="1005"/>
        <item m="1" x="1286"/>
        <item m="1" x="424"/>
        <item m="1" x="695"/>
        <item m="1" x="1112"/>
        <item m="1" x="527"/>
        <item h="1" x="143"/>
        <item m="1" x="349"/>
        <item m="1" x="629"/>
        <item h="1" x="144"/>
        <item h="1" x="145"/>
        <item m="1" x="453"/>
        <item m="1" x="728"/>
        <item m="1" x="1152"/>
        <item m="1" x="272"/>
        <item m="1" x="558"/>
        <item m="1" x="839"/>
        <item h="1" x="146"/>
        <item h="1" x="147"/>
        <item m="1" x="665"/>
        <item h="1" x="148"/>
        <item m="1" x="1363"/>
        <item m="1" x="496"/>
        <item m="1" x="768"/>
        <item m="1" x="1191"/>
        <item m="1" x="314"/>
        <item h="1" x="149"/>
        <item m="1" x="876"/>
        <item m="1" x="1292"/>
        <item m="1" x="426"/>
        <item m="1" x="698"/>
        <item m="1" x="978"/>
        <item m="1" x="235"/>
        <item m="1" x="529"/>
        <item h="1" x="151"/>
        <item m="1" x="631"/>
        <item m="1" x="1328"/>
        <item h="1" x="152"/>
        <item h="1" x="153"/>
        <item h="1" x="154"/>
        <item h="1" x="155"/>
        <item h="1" x="156"/>
        <item h="1" x="157"/>
        <item h="1" x="159"/>
        <item m="1" x="946"/>
        <item m="1" x="1228"/>
        <item m="1" x="499"/>
        <item m="1" x="771"/>
        <item h="1" x="160"/>
        <item m="1" x="318"/>
        <item h="1" x="161"/>
        <item m="1" x="1161"/>
        <item h="1" x="162"/>
        <item m="1" x="700"/>
        <item m="1" x="983"/>
        <item m="1" x="1265"/>
        <item m="1" x="532"/>
        <item m="1" x="803"/>
        <item m="1" x="208"/>
        <item h="1" x="163"/>
        <item m="1" x="731"/>
        <item m="1" x="1015"/>
        <item m="1" x="1305"/>
        <item m="1" x="563"/>
        <item m="1" x="842"/>
        <item m="1" x="1124"/>
        <item m="1" x="245"/>
        <item m="1" x="1229"/>
        <item m="1" x="367"/>
        <item m="1" x="773"/>
        <item m="1" x="1052"/>
        <item m="1" x="1337"/>
        <item m="1" x="600"/>
        <item h="1" x="165"/>
        <item h="1" x="166"/>
        <item m="1" x="985"/>
        <item m="1" x="405"/>
        <item m="1" x="808"/>
        <item m="1" x="1090"/>
        <item m="1" x="210"/>
        <item m="1" x="918"/>
        <item m="1" x="330"/>
        <item m="1" x="1019"/>
        <item m="1" x="1308"/>
        <item m="1" x="435"/>
        <item m="1" x="845"/>
        <item m="1" x="1129"/>
        <item m="1" x="247"/>
        <item m="1" x="539"/>
        <item m="1" x="369"/>
        <item m="1" x="644"/>
        <item m="1" x="1056"/>
        <item h="1" x="169"/>
        <item m="1" x="885"/>
        <item m="1" x="289"/>
        <item m="1" x="409"/>
        <item m="1" x="680"/>
        <item m="1" x="1093"/>
        <item m="1" x="212"/>
        <item m="1" x="513"/>
        <item m="1" x="332"/>
        <item m="1" x="1022"/>
        <item m="1" x="437"/>
        <item m="1" x="711"/>
        <item m="1" x="1132"/>
        <item m="1" x="250"/>
        <item m="1" x="541"/>
        <item m="1" x="822"/>
        <item m="1" x="1234"/>
        <item m="1" x="927"/>
        <item m="1" x="1342"/>
        <item h="1" x="171"/>
        <item m="1" x="744"/>
        <item m="1" x="292"/>
        <item m="1" x="858"/>
        <item m="1" x="218"/>
        <item m="1" x="515"/>
        <item m="1" x="786"/>
        <item h="1" x="174"/>
        <item m="1" x="998"/>
        <item m="1" x="253"/>
        <item m="1" x="543"/>
        <item m="1" x="823"/>
        <item m="1" x="1106"/>
        <item m="1" x="372"/>
        <item m="1" x="647"/>
        <item m="1" x="475"/>
        <item m="1" x="748"/>
        <item m="1" x="1033"/>
        <item m="1" x="296"/>
        <item m="1" x="861"/>
        <item m="1" x="413"/>
        <item m="1" x="787"/>
        <item m="1" x="1071"/>
        <item m="1" x="1354"/>
        <item m="1" x="614"/>
        <item h="1" x="197"/>
        <item h="1" x="196"/>
        <item x="2"/>
        <item x="4"/>
        <item x="5"/>
        <item x="9"/>
        <item x="13"/>
        <item x="14"/>
        <item x="18"/>
        <item h="1" x="31"/>
        <item h="1" x="39"/>
        <item h="1" x="42"/>
        <item h="1" x="47"/>
        <item h="1" x="49"/>
        <item h="1" x="51"/>
        <item h="1" x="54"/>
        <item h="1" x="55"/>
        <item h="1" x="58"/>
        <item h="1" x="69"/>
        <item h="1" x="72"/>
        <item h="1" x="80"/>
        <item h="1" x="91"/>
        <item h="1" x="97"/>
        <item h="1" x="104"/>
        <item h="1" x="107"/>
        <item h="1" x="114"/>
        <item h="1" x="121"/>
        <item h="1" x="142"/>
        <item h="1" x="150"/>
        <item h="1" x="158"/>
        <item h="1" x="164"/>
        <item h="1" x="167"/>
        <item h="1" x="168"/>
        <item h="1" x="170"/>
        <item h="1" x="172"/>
        <item h="1" x="173"/>
        <item h="1" x="175"/>
        <item h="1" x="176"/>
        <item h="1" x="177"/>
        <item h="1" x="178"/>
        <item h="1" x="179"/>
        <item h="1" x="180"/>
        <item h="1" x="181"/>
        <item h="1" x="182"/>
        <item h="1" x="183"/>
        <item h="1" x="184"/>
        <item h="1" x="185"/>
        <item h="1" x="186"/>
        <item h="1" x="187"/>
        <item h="1" x="188"/>
        <item h="1" x="189"/>
        <item h="1" x="190"/>
        <item h="1" x="191"/>
        <item h="1" x="192"/>
        <item h="1" x="193"/>
        <item h="1" x="194"/>
        <item h="1" x="195"/>
      </items>
    </pivotField>
    <pivotField numFmtId="1" multipleItemSelectionAllowed="1" showAll="0" defaultSubtotal="0"/>
    <pivotField showAll="0">
      <items count="15">
        <item x="0"/>
        <item x="1"/>
        <item x="2"/>
        <item x="3"/>
        <item x="4"/>
        <item x="5"/>
        <item x="6"/>
        <item x="7"/>
        <item x="8"/>
        <item x="9"/>
        <item x="10"/>
        <item x="11"/>
        <item x="12"/>
        <item x="13"/>
        <item t="default"/>
      </items>
    </pivotField>
    <pivotField axis="axisRow" showAll="0">
      <items count="27">
        <item x="22"/>
        <item x="16"/>
        <item x="7"/>
        <item x="11"/>
        <item x="14"/>
        <item x="21"/>
        <item x="13"/>
        <item x="12"/>
        <item x="18"/>
        <item x="3"/>
        <item x="1"/>
        <item x="15"/>
        <item x="6"/>
        <item x="19"/>
        <item x="17"/>
        <item x="2"/>
        <item x="20"/>
        <item x="23"/>
        <item x="10"/>
        <item m="1" x="25"/>
        <item x="9"/>
        <item x="8"/>
        <item x="4"/>
        <item m="1" x="24"/>
        <item x="5"/>
        <item x="0"/>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multipleItemSelectionAllowed="1" showAll="0" defaultSubtotal="0">
      <items count="8">
        <item h="1" x="3"/>
        <item h="1" x="4"/>
        <item x="0"/>
        <item m="1" x="7"/>
        <item m="1" x="6"/>
        <item h="1" x="2"/>
        <item h="1" x="1"/>
        <item h="1"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3"/>
  </rowFields>
  <rowItems count="13">
    <i>
      <x v="2"/>
    </i>
    <i>
      <x v="3"/>
    </i>
    <i>
      <x v="9"/>
    </i>
    <i>
      <x v="10"/>
    </i>
    <i>
      <x v="12"/>
    </i>
    <i>
      <x v="15"/>
    </i>
    <i>
      <x v="18"/>
    </i>
    <i>
      <x v="20"/>
    </i>
    <i>
      <x v="21"/>
    </i>
    <i>
      <x v="22"/>
    </i>
    <i>
      <x v="24"/>
    </i>
    <i>
      <x v="25"/>
    </i>
    <i t="grand">
      <x/>
    </i>
  </rowItems>
  <colFields count="1">
    <field x="-2"/>
  </colFields>
  <colItems count="12">
    <i>
      <x/>
    </i>
    <i i="1">
      <x v="1"/>
    </i>
    <i i="2">
      <x v="2"/>
    </i>
    <i i="3">
      <x v="3"/>
    </i>
    <i i="4">
      <x v="4"/>
    </i>
    <i i="5">
      <x v="5"/>
    </i>
    <i i="6">
      <x v="6"/>
    </i>
    <i i="7">
      <x v="7"/>
    </i>
    <i i="8">
      <x v="8"/>
    </i>
    <i i="9">
      <x v="9"/>
    </i>
    <i i="10">
      <x v="10"/>
    </i>
    <i i="11">
      <x v="11"/>
    </i>
  </colItems>
  <pageFields count="3">
    <pageField fld="0" hier="-1"/>
    <pageField fld="5" hier="-1"/>
    <pageField fld="37" hier="-1"/>
  </pageFields>
  <dataFields count="12">
    <dataField name="Sanitary Kit " fld="24" baseField="3" baseItem="1"/>
    <dataField name=" Mosquito net" fld="25" baseField="3" baseItem="6"/>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7">
    <format dxfId="699">
      <pivotArea outline="0" collapsedLevelsAreSubtotals="1" fieldPosition="0"/>
    </format>
    <format dxfId="698">
      <pivotArea type="all" dataOnly="0" outline="0" fieldPosition="0"/>
    </format>
    <format dxfId="697">
      <pivotArea type="all" dataOnly="0" outline="0" fieldPosition="0"/>
    </format>
    <format dxfId="696">
      <pivotArea type="all" dataOnly="0" outline="0" fieldPosition="0"/>
    </format>
    <format dxfId="695">
      <pivotArea outline="0" collapsedLevelsAreSubtotals="1" fieldPosition="0"/>
    </format>
    <format dxfId="694">
      <pivotArea field="3" type="button" dataOnly="0" labelOnly="1" outline="0" axis="axisRow" fieldPosition="0"/>
    </format>
    <format dxfId="69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67"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494">
      <pivotArea outline="0" fieldPosition="0">
        <references count="1">
          <reference field="4294967294" count="1">
            <x v="1"/>
          </reference>
        </references>
      </pivotArea>
    </format>
    <format dxfId="1493">
      <pivotArea outline="0" fieldPosition="0">
        <references count="1">
          <reference field="4294967294" count="1">
            <x v="0"/>
          </reference>
        </references>
      </pivotArea>
    </format>
    <format dxfId="1492">
      <pivotArea field="5" type="button" dataOnly="0" labelOnly="1" outline="0" axis="axisRow" fieldPosition="0"/>
    </format>
    <format dxfId="1491">
      <pivotArea field="11" type="button" dataOnly="0" labelOnly="1" outline="0" axis="axisRow" fieldPosition="1"/>
    </format>
    <format dxfId="1490">
      <pivotArea field="12" type="button" dataOnly="0" labelOnly="1" outline="0" axis="axisRow" fieldPosition="2"/>
    </format>
    <format dxfId="1489">
      <pivotArea field="28" type="button" dataOnly="0" labelOnly="1" outline="0" axis="axisRow" fieldPosition="4"/>
    </format>
    <format dxfId="1488">
      <pivotArea field="29" type="button" dataOnly="0" labelOnly="1" outline="0" axis="axisRow" fieldPosition="3"/>
    </format>
    <format dxfId="1487">
      <pivotArea dataOnly="0" labelOnly="1" outline="0" fieldPosition="0">
        <references count="1">
          <reference field="4294967294" count="2">
            <x v="0"/>
            <x v="1"/>
          </reference>
        </references>
      </pivotArea>
    </format>
    <format dxfId="1486">
      <pivotArea type="all" dataOnly="0" outline="0" fieldPosition="0"/>
    </format>
    <format dxfId="1485">
      <pivotArea outline="0" collapsedLevelsAreSubtotals="1" fieldPosition="0"/>
    </format>
    <format dxfId="1484">
      <pivotArea dataOnly="0" labelOnly="1" outline="0" fieldPosition="0">
        <references count="1">
          <reference field="5" count="7">
            <x v="0"/>
            <x v="1"/>
            <x v="3"/>
            <x v="4"/>
            <x v="5"/>
            <x v="6"/>
            <x v="7"/>
          </reference>
        </references>
      </pivotArea>
    </format>
    <format dxfId="1483">
      <pivotArea dataOnly="0" labelOnly="1" outline="0" fieldPosition="0">
        <references count="1">
          <reference field="5" count="7" defaultSubtotal="1">
            <x v="0"/>
            <x v="1"/>
            <x v="3"/>
            <x v="4"/>
            <x v="5"/>
            <x v="6"/>
            <x v="7"/>
          </reference>
        </references>
      </pivotArea>
    </format>
    <format dxfId="1482">
      <pivotArea dataOnly="0" labelOnly="1" grandRow="1" outline="0" fieldPosition="0"/>
    </format>
    <format dxfId="1481">
      <pivotArea dataOnly="0" labelOnly="1" outline="0" fieldPosition="0">
        <references count="2">
          <reference field="5" count="1" selected="0">
            <x v="0"/>
          </reference>
          <reference field="11" count="1">
            <x v="60"/>
          </reference>
        </references>
      </pivotArea>
    </format>
    <format dxfId="1480">
      <pivotArea dataOnly="0" labelOnly="1" outline="0" fieldPosition="0">
        <references count="2">
          <reference field="5" count="1" selected="0">
            <x v="1"/>
          </reference>
          <reference field="11" count="9">
            <x v="16"/>
            <x v="27"/>
            <x v="33"/>
            <x v="56"/>
            <x v="62"/>
            <x v="92"/>
            <x v="103"/>
            <x v="109"/>
            <x v="114"/>
          </reference>
        </references>
      </pivotArea>
    </format>
    <format dxfId="1479">
      <pivotArea dataOnly="0" labelOnly="1" outline="0" fieldPosition="0">
        <references count="2">
          <reference field="5" count="1" selected="0">
            <x v="3"/>
          </reference>
          <reference field="11" count="3">
            <x v="4"/>
            <x v="45"/>
            <x v="90"/>
          </reference>
        </references>
      </pivotArea>
    </format>
    <format dxfId="1478">
      <pivotArea dataOnly="0" labelOnly="1" outline="0" fieldPosition="0">
        <references count="2">
          <reference field="5" count="1" selected="0">
            <x v="4"/>
          </reference>
          <reference field="11" count="2">
            <x v="75"/>
            <x v="76"/>
          </reference>
        </references>
      </pivotArea>
    </format>
    <format dxfId="1477">
      <pivotArea dataOnly="0" labelOnly="1" outline="0" fieldPosition="0">
        <references count="2">
          <reference field="5" count="1" selected="0">
            <x v="5"/>
          </reference>
          <reference field="11" count="3">
            <x v="0"/>
            <x v="20"/>
            <x v="42"/>
          </reference>
        </references>
      </pivotArea>
    </format>
    <format dxfId="1476">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475">
      <pivotArea dataOnly="0" labelOnly="1" outline="0" fieldPosition="0">
        <references count="2">
          <reference field="5" count="1" selected="0">
            <x v="7"/>
          </reference>
          <reference field="11" count="2">
            <x v="36"/>
            <x v="95"/>
          </reference>
        </references>
      </pivotArea>
    </format>
    <format dxfId="1474">
      <pivotArea dataOnly="0" labelOnly="1" outline="0" fieldPosition="0">
        <references count="3">
          <reference field="5" count="1" selected="0">
            <x v="0"/>
          </reference>
          <reference field="11" count="1" selected="0">
            <x v="60"/>
          </reference>
          <reference field="12" count="1">
            <x v="22"/>
          </reference>
        </references>
      </pivotArea>
    </format>
    <format dxfId="1473">
      <pivotArea dataOnly="0" labelOnly="1" outline="0" fieldPosition="0">
        <references count="3">
          <reference field="5" count="1" selected="0">
            <x v="1"/>
          </reference>
          <reference field="11" count="1" selected="0">
            <x v="16"/>
          </reference>
          <reference field="12" count="1">
            <x v="82"/>
          </reference>
        </references>
      </pivotArea>
    </format>
    <format dxfId="1472">
      <pivotArea dataOnly="0" labelOnly="1" outline="0" fieldPosition="0">
        <references count="3">
          <reference field="5" count="1" selected="0">
            <x v="1"/>
          </reference>
          <reference field="11" count="1" selected="0">
            <x v="27"/>
          </reference>
          <reference field="12" count="1">
            <x v="86"/>
          </reference>
        </references>
      </pivotArea>
    </format>
    <format dxfId="1471">
      <pivotArea dataOnly="0" labelOnly="1" outline="0" fieldPosition="0">
        <references count="3">
          <reference field="5" count="1" selected="0">
            <x v="1"/>
          </reference>
          <reference field="11" count="1" selected="0">
            <x v="33"/>
          </reference>
          <reference field="12" count="1">
            <x v="108"/>
          </reference>
        </references>
      </pivotArea>
    </format>
    <format dxfId="1470">
      <pivotArea dataOnly="0" labelOnly="1" outline="0" fieldPosition="0">
        <references count="3">
          <reference field="5" count="1" selected="0">
            <x v="1"/>
          </reference>
          <reference field="11" count="1" selected="0">
            <x v="56"/>
          </reference>
          <reference field="12" count="1">
            <x v="81"/>
          </reference>
        </references>
      </pivotArea>
    </format>
    <format dxfId="1469">
      <pivotArea dataOnly="0" labelOnly="1" outline="0" fieldPosition="0">
        <references count="3">
          <reference field="5" count="1" selected="0">
            <x v="1"/>
          </reference>
          <reference field="11" count="1" selected="0">
            <x v="62"/>
          </reference>
          <reference field="12" count="1">
            <x v="80"/>
          </reference>
        </references>
      </pivotArea>
    </format>
    <format dxfId="1468">
      <pivotArea dataOnly="0" labelOnly="1" outline="0" fieldPosition="0">
        <references count="3">
          <reference field="5" count="1" selected="0">
            <x v="1"/>
          </reference>
          <reference field="11" count="1" selected="0">
            <x v="92"/>
          </reference>
          <reference field="12" count="1">
            <x v="92"/>
          </reference>
        </references>
      </pivotArea>
    </format>
    <format dxfId="1467">
      <pivotArea dataOnly="0" labelOnly="1" outline="0" fieldPosition="0">
        <references count="3">
          <reference field="5" count="1" selected="0">
            <x v="1"/>
          </reference>
          <reference field="11" count="1" selected="0">
            <x v="103"/>
          </reference>
          <reference field="12" count="1">
            <x v="84"/>
          </reference>
        </references>
      </pivotArea>
    </format>
    <format dxfId="1466">
      <pivotArea dataOnly="0" labelOnly="1" outline="0" fieldPosition="0">
        <references count="3">
          <reference field="5" count="1" selected="0">
            <x v="1"/>
          </reference>
          <reference field="11" count="1" selected="0">
            <x v="109"/>
          </reference>
          <reference field="12" count="1">
            <x v="93"/>
          </reference>
        </references>
      </pivotArea>
    </format>
    <format dxfId="1465">
      <pivotArea dataOnly="0" labelOnly="1" outline="0" fieldPosition="0">
        <references count="3">
          <reference field="5" count="1" selected="0">
            <x v="1"/>
          </reference>
          <reference field="11" count="1" selected="0">
            <x v="114"/>
          </reference>
          <reference field="12" count="1">
            <x v="83"/>
          </reference>
        </references>
      </pivotArea>
    </format>
    <format dxfId="1464">
      <pivotArea dataOnly="0" labelOnly="1" outline="0" fieldPosition="0">
        <references count="3">
          <reference field="5" count="1" selected="0">
            <x v="3"/>
          </reference>
          <reference field="11" count="1" selected="0">
            <x v="4"/>
          </reference>
          <reference field="12" count="1">
            <x v="15"/>
          </reference>
        </references>
      </pivotArea>
    </format>
    <format dxfId="1463">
      <pivotArea dataOnly="0" labelOnly="1" outline="0" fieldPosition="0">
        <references count="3">
          <reference field="5" count="1" selected="0">
            <x v="3"/>
          </reference>
          <reference field="11" count="1" selected="0">
            <x v="45"/>
          </reference>
          <reference field="12" count="1">
            <x v="17"/>
          </reference>
        </references>
      </pivotArea>
    </format>
    <format dxfId="1462">
      <pivotArea dataOnly="0" labelOnly="1" outline="0" fieldPosition="0">
        <references count="3">
          <reference field="5" count="1" selected="0">
            <x v="3"/>
          </reference>
          <reference field="11" count="1" selected="0">
            <x v="90"/>
          </reference>
          <reference field="12" count="1">
            <x v="18"/>
          </reference>
        </references>
      </pivotArea>
    </format>
    <format dxfId="1461">
      <pivotArea dataOnly="0" labelOnly="1" outline="0" fieldPosition="0">
        <references count="3">
          <reference field="5" count="1" selected="0">
            <x v="4"/>
          </reference>
          <reference field="11" count="1" selected="0">
            <x v="75"/>
          </reference>
          <reference field="12" count="1">
            <x v="37"/>
          </reference>
        </references>
      </pivotArea>
    </format>
    <format dxfId="1460">
      <pivotArea dataOnly="0" labelOnly="1" outline="0" fieldPosition="0">
        <references count="3">
          <reference field="5" count="1" selected="0">
            <x v="4"/>
          </reference>
          <reference field="11" count="1" selected="0">
            <x v="76"/>
          </reference>
          <reference field="12" count="1">
            <x v="36"/>
          </reference>
        </references>
      </pivotArea>
    </format>
    <format dxfId="1459">
      <pivotArea dataOnly="0" labelOnly="1" outline="0" fieldPosition="0">
        <references count="3">
          <reference field="5" count="1" selected="0">
            <x v="5"/>
          </reference>
          <reference field="11" count="1" selected="0">
            <x v="0"/>
          </reference>
          <reference field="12" count="1">
            <x v="33"/>
          </reference>
        </references>
      </pivotArea>
    </format>
    <format dxfId="1458">
      <pivotArea dataOnly="0" labelOnly="1" outline="0" fieldPosition="0">
        <references count="3">
          <reference field="5" count="1" selected="0">
            <x v="5"/>
          </reference>
          <reference field="11" count="1" selected="0">
            <x v="20"/>
          </reference>
          <reference field="12" count="1">
            <x v="32"/>
          </reference>
        </references>
      </pivotArea>
    </format>
    <format dxfId="1457">
      <pivotArea dataOnly="0" labelOnly="1" outline="0" fieldPosition="0">
        <references count="3">
          <reference field="5" count="1" selected="0">
            <x v="5"/>
          </reference>
          <reference field="11" count="1" selected="0">
            <x v="42"/>
          </reference>
          <reference field="12" count="1">
            <x v="104"/>
          </reference>
        </references>
      </pivotArea>
    </format>
    <format dxfId="1456">
      <pivotArea dataOnly="0" labelOnly="1" outline="0" fieldPosition="0">
        <references count="3">
          <reference field="5" count="1" selected="0">
            <x v="6"/>
          </reference>
          <reference field="11" count="1" selected="0">
            <x v="10"/>
          </reference>
          <reference field="12" count="1">
            <x v="38"/>
          </reference>
        </references>
      </pivotArea>
    </format>
    <format dxfId="1455">
      <pivotArea dataOnly="0" labelOnly="1" outline="0" fieldPosition="0">
        <references count="3">
          <reference field="5" count="1" selected="0">
            <x v="6"/>
          </reference>
          <reference field="11" count="1" selected="0">
            <x v="13"/>
          </reference>
          <reference field="12" count="1">
            <x v="101"/>
          </reference>
        </references>
      </pivotArea>
    </format>
    <format dxfId="1454">
      <pivotArea dataOnly="0" labelOnly="1" outline="0" fieldPosition="0">
        <references count="3">
          <reference field="5" count="1" selected="0">
            <x v="6"/>
          </reference>
          <reference field="11" count="1" selected="0">
            <x v="14"/>
          </reference>
          <reference field="12" count="1">
            <x v="109"/>
          </reference>
        </references>
      </pivotArea>
    </format>
    <format dxfId="1453">
      <pivotArea dataOnly="0" labelOnly="1" outline="0" fieldPosition="0">
        <references count="3">
          <reference field="5" count="1" selected="0">
            <x v="6"/>
          </reference>
          <reference field="11" count="1" selected="0">
            <x v="15"/>
          </reference>
          <reference field="12" count="1">
            <x v="110"/>
          </reference>
        </references>
      </pivotArea>
    </format>
    <format dxfId="1452">
      <pivotArea dataOnly="0" labelOnly="1" outline="0" fieldPosition="0">
        <references count="3">
          <reference field="5" count="1" selected="0">
            <x v="6"/>
          </reference>
          <reference field="11" count="1" selected="0">
            <x v="24"/>
          </reference>
          <reference field="12" count="1">
            <x v="40"/>
          </reference>
        </references>
      </pivotArea>
    </format>
    <format dxfId="1451">
      <pivotArea dataOnly="0" labelOnly="1" outline="0" fieldPosition="0">
        <references count="3">
          <reference field="5" count="1" selected="0">
            <x v="6"/>
          </reference>
          <reference field="11" count="1" selected="0">
            <x v="25"/>
          </reference>
          <reference field="12" count="1">
            <x v="95"/>
          </reference>
        </references>
      </pivotArea>
    </format>
    <format dxfId="1450">
      <pivotArea dataOnly="0" labelOnly="1" outline="0" fieldPosition="0">
        <references count="3">
          <reference field="5" count="1" selected="0">
            <x v="6"/>
          </reference>
          <reference field="11" count="1" selected="0">
            <x v="39"/>
          </reference>
          <reference field="12" count="1">
            <x v="41"/>
          </reference>
        </references>
      </pivotArea>
    </format>
    <format dxfId="1449">
      <pivotArea dataOnly="0" labelOnly="1" outline="0" fieldPosition="0">
        <references count="3">
          <reference field="5" count="1" selected="0">
            <x v="6"/>
          </reference>
          <reference field="11" count="1" selected="0">
            <x v="51"/>
          </reference>
          <reference field="12" count="1">
            <x v="90"/>
          </reference>
        </references>
      </pivotArea>
    </format>
    <format dxfId="1448">
      <pivotArea dataOnly="0" labelOnly="1" outline="0" fieldPosition="0">
        <references count="3">
          <reference field="5" count="1" selected="0">
            <x v="6"/>
          </reference>
          <reference field="11" count="1" selected="0">
            <x v="63"/>
          </reference>
          <reference field="12" count="1">
            <x v="96"/>
          </reference>
        </references>
      </pivotArea>
    </format>
    <format dxfId="1447">
      <pivotArea dataOnly="0" labelOnly="1" outline="0" fieldPosition="0">
        <references count="3">
          <reference field="5" count="1" selected="0">
            <x v="6"/>
          </reference>
          <reference field="11" count="1" selected="0">
            <x v="64"/>
          </reference>
          <reference field="12" count="1">
            <x v="111"/>
          </reference>
        </references>
      </pivotArea>
    </format>
    <format dxfId="1446">
      <pivotArea dataOnly="0" labelOnly="1" outline="0" fieldPosition="0">
        <references count="3">
          <reference field="5" count="1" selected="0">
            <x v="6"/>
          </reference>
          <reference field="11" count="1" selected="0">
            <x v="65"/>
          </reference>
          <reference field="12" count="1">
            <x v="112"/>
          </reference>
        </references>
      </pivotArea>
    </format>
    <format dxfId="1445">
      <pivotArea dataOnly="0" labelOnly="1" outline="0" fieldPosition="0">
        <references count="3">
          <reference field="5" count="1" selected="0">
            <x v="6"/>
          </reference>
          <reference field="11" count="1" selected="0">
            <x v="83"/>
          </reference>
          <reference field="12" count="1">
            <x v="44"/>
          </reference>
        </references>
      </pivotArea>
    </format>
    <format dxfId="1444">
      <pivotArea dataOnly="0" labelOnly="1" outline="0" fieldPosition="0">
        <references count="3">
          <reference field="5" count="1" selected="0">
            <x v="6"/>
          </reference>
          <reference field="11" count="1" selected="0">
            <x v="99"/>
          </reference>
          <reference field="12" count="1">
            <x v="45"/>
          </reference>
        </references>
      </pivotArea>
    </format>
    <format dxfId="1443">
      <pivotArea dataOnly="0" labelOnly="1" outline="0" fieldPosition="0">
        <references count="3">
          <reference field="5" count="1" selected="0">
            <x v="6"/>
          </reference>
          <reference field="11" count="1" selected="0">
            <x v="107"/>
          </reference>
          <reference field="12" count="1">
            <x v="89"/>
          </reference>
        </references>
      </pivotArea>
    </format>
    <format dxfId="1442">
      <pivotArea dataOnly="0" labelOnly="1" outline="0" fieldPosition="0">
        <references count="3">
          <reference field="5" count="1" selected="0">
            <x v="7"/>
          </reference>
          <reference field="11" count="1" selected="0">
            <x v="36"/>
          </reference>
          <reference field="12" count="1">
            <x v="12"/>
          </reference>
        </references>
      </pivotArea>
    </format>
    <format dxfId="1441">
      <pivotArea dataOnly="0" labelOnly="1" outline="0" fieldPosition="0">
        <references count="3">
          <reference field="5" count="1" selected="0">
            <x v="7"/>
          </reference>
          <reference field="11" count="1" selected="0">
            <x v="95"/>
          </reference>
          <reference field="12" count="1">
            <x v="13"/>
          </reference>
        </references>
      </pivotArea>
    </format>
    <format dxfId="1440">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439">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438">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437">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436">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435">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434">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433">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432">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431">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430">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429">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428">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427">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426">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425">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424">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423">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422">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421">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420">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419">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418">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417">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416">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415">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414">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413">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412">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411">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410">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409">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408">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407">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406">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405">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404">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403">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402">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401">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400">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399">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398">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397">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396">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395">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394">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393">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392">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391">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390">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389">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388">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387">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P24:AB69" firstHeaderRow="0" firstDataRow="1" firstDataCol="1" rowPageCount="2" colPageCount="1"/>
  <pivotFields count="41">
    <pivotField subtotalTop="0" showAll="0"/>
    <pivotField axis="axisRow" subtotalTop="0" multipleItemSelectionAllowed="1" showAll="0">
      <items count="9">
        <item x="5"/>
        <item x="4"/>
        <item x="3"/>
        <item x="2"/>
        <item x="1"/>
        <item x="6"/>
        <item x="7"/>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4"/>
        <item x="5"/>
        <item x="8"/>
        <item x="6"/>
        <item m="1" x="11"/>
        <item x="7"/>
        <item x="1"/>
        <item x="2"/>
        <item x="9"/>
        <item x="3"/>
        <item x="0"/>
        <item x="10"/>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7"/>
        <item h="1" x="2"/>
        <item m="1" x="6"/>
        <item h="1" x="5"/>
        <item t="default"/>
      </items>
    </pivotField>
    <pivotField showAll="0" defaultSubtotal="0"/>
    <pivotField subtotalTop="0" dragToRow="0" dragToCol="0" dragToPage="0" showAll="0"/>
    <pivotField showAll="0" defaultSubtotal="0">
      <items count="8">
        <item x="1"/>
        <item x="2"/>
        <item x="3"/>
        <item x="4"/>
        <item x="5"/>
        <item x="6"/>
        <item x="0"/>
        <item x="7"/>
      </items>
    </pivotField>
  </pivotFields>
  <rowFields count="2">
    <field x="1"/>
    <field x="6"/>
  </rowFields>
  <rowItems count="45">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x v="7"/>
    </i>
    <i r="1">
      <x v="7"/>
    </i>
    <i r="1">
      <x v="8"/>
    </i>
    <i r="1">
      <x v="10"/>
    </i>
    <i r="1">
      <x v="11"/>
    </i>
    <i t="default">
      <x v="7"/>
    </i>
    <i t="grand">
      <x/>
    </i>
  </rowItems>
  <colFields count="1">
    <field x="-2"/>
  </colFields>
  <colItems count="12">
    <i>
      <x/>
    </i>
    <i i="1">
      <x v="1"/>
    </i>
    <i i="2">
      <x v="2"/>
    </i>
    <i i="3">
      <x v="3"/>
    </i>
    <i i="4">
      <x v="4"/>
    </i>
    <i i="5">
      <x v="5"/>
    </i>
    <i i="6">
      <x v="6"/>
    </i>
    <i i="7">
      <x v="7"/>
    </i>
    <i i="8">
      <x v="8"/>
    </i>
    <i i="9">
      <x v="9"/>
    </i>
    <i i="10">
      <x v="10"/>
    </i>
    <i i="11">
      <x v="11"/>
    </i>
  </colItems>
  <pageFields count="2">
    <pageField fld="5" hier="-1"/>
    <pageField fld="37" hier="-1"/>
  </pageFields>
  <dataFields count="12">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s>
  <formats count="6">
    <format dxfId="641">
      <pivotArea outline="0" collapsedLevelsAreSubtotals="1" fieldPosition="0"/>
    </format>
    <format dxfId="640">
      <pivotArea type="all" dataOnly="0" outline="0" fieldPosition="0"/>
    </format>
    <format dxfId="639">
      <pivotArea outline="0" collapsedLevelsAreSubtotals="1" fieldPosition="0"/>
    </format>
    <format dxfId="638">
      <pivotArea field="1" type="button" dataOnly="0" labelOnly="1" outline="0" axis="axisRow" fieldPosition="0"/>
    </format>
    <format dxfId="637">
      <pivotArea dataOnly="0" labelOnly="1" fieldPosition="0">
        <references count="1">
          <reference field="1" count="0"/>
        </references>
      </pivotArea>
    </format>
    <format dxfId="6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P10:AB17" firstHeaderRow="0" firstDataRow="1" firstDataCol="1" rowPageCount="2" colPageCount="1"/>
  <pivotFields count="41">
    <pivotField showAll="0"/>
    <pivotField axis="axisRow" showAll="0">
      <items count="9">
        <item x="5"/>
        <item x="4"/>
        <item x="3"/>
        <item x="2"/>
        <item x="1"/>
        <item h="1" x="6"/>
        <item h="1" x="7"/>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axis="axisPage" multipleItemSelectionAllowed="1" showAll="0">
      <items count="9">
        <item h="1" x="3"/>
        <item h="1" x="4"/>
        <item x="0"/>
        <item h="1" x="1"/>
        <item m="1" x="7"/>
        <item h="1" x="2"/>
        <item m="1" x="6"/>
        <item h="1" x="5"/>
        <item t="default"/>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1"/>
  </rowFields>
  <rowItems count="7">
    <i>
      <x/>
    </i>
    <i>
      <x v="1"/>
    </i>
    <i>
      <x v="2"/>
    </i>
    <i>
      <x v="3"/>
    </i>
    <i>
      <x v="4"/>
    </i>
    <i>
      <x v="7"/>
    </i>
    <i t="grand">
      <x/>
    </i>
  </rowItems>
  <colFields count="1">
    <field x="-2"/>
  </colFields>
  <colItems count="12">
    <i>
      <x/>
    </i>
    <i i="1">
      <x v="1"/>
    </i>
    <i i="2">
      <x v="2"/>
    </i>
    <i i="3">
      <x v="3"/>
    </i>
    <i i="4">
      <x v="4"/>
    </i>
    <i i="5">
      <x v="5"/>
    </i>
    <i i="6">
      <x v="6"/>
    </i>
    <i i="7">
      <x v="7"/>
    </i>
    <i i="8">
      <x v="8"/>
    </i>
    <i i="9">
      <x v="9"/>
    </i>
    <i i="10">
      <x v="10"/>
    </i>
    <i i="11">
      <x v="11"/>
    </i>
  </colItems>
  <pageFields count="2">
    <pageField fld="5" hier="-1"/>
    <pageField fld="37" hier="-1"/>
  </pageFields>
  <dataFields count="12">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s>
  <formats count="8">
    <format dxfId="649">
      <pivotArea outline="0" collapsedLevelsAreSubtotals="1" fieldPosition="0"/>
    </format>
    <format dxfId="648">
      <pivotArea type="all" dataOnly="0" outline="0" fieldPosition="0"/>
    </format>
    <format dxfId="647">
      <pivotArea outline="0" collapsedLevelsAreSubtotals="1" fieldPosition="0"/>
    </format>
    <format dxfId="646">
      <pivotArea field="1" type="button" dataOnly="0" labelOnly="1" outline="0" axis="axisRow" fieldPosition="0"/>
    </format>
    <format dxfId="645">
      <pivotArea dataOnly="0" labelOnly="1" fieldPosition="0">
        <references count="1">
          <reference field="1" count="0"/>
        </references>
      </pivotArea>
    </format>
    <format dxfId="644">
      <pivotArea dataOnly="0" labelOnly="1" grandRow="1" outline="0" fieldPosition="0"/>
    </format>
    <format dxfId="643">
      <pivotArea field="1" grandRow="1" outline="0" collapsedLevelsAreSubtotals="1" axis="axisRow" fieldPosition="0">
        <references count="1">
          <reference field="4294967294" count="1" selected="0">
            <x v="1"/>
          </reference>
        </references>
      </pivotArea>
    </format>
    <format dxfId="64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67"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4"/>
        <item x="2"/>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344">
      <pivotArea dataOnly="0" outline="0" fieldPosition="0">
        <references count="1">
          <reference field="5" count="0" defaultSubtotal="1"/>
        </references>
      </pivotArea>
    </format>
    <format dxfId="1343">
      <pivotArea outline="0" fieldPosition="0">
        <references count="1">
          <reference field="4294967294" count="1">
            <x v="1"/>
          </reference>
        </references>
      </pivotArea>
    </format>
    <format dxfId="1342">
      <pivotArea field="5" type="button" dataOnly="0" labelOnly="1" outline="0" axis="axisRow" fieldPosition="0"/>
    </format>
    <format dxfId="1341">
      <pivotArea field="29" type="button" dataOnly="0" labelOnly="1" outline="0"/>
    </format>
    <format dxfId="1340">
      <pivotArea field="28" type="button" dataOnly="0" labelOnly="1" outline="0"/>
    </format>
    <format dxfId="1339">
      <pivotArea field="11" type="button" dataOnly="0" labelOnly="1" outline="0" axis="axisRow" fieldPosition="1"/>
    </format>
    <format dxfId="1338">
      <pivotArea dataOnly="0" labelOnly="1" outline="0" axis="axisValues" fieldPosition="0"/>
    </format>
    <format dxfId="1337">
      <pivotArea dataOnly="0" labelOnly="1" outline="0" fieldPosition="0">
        <references count="1">
          <reference field="5" count="1">
            <x v="3"/>
          </reference>
        </references>
      </pivotArea>
    </format>
    <format dxfId="1336">
      <pivotArea outline="0" collapsedLevelsAreSubtotals="1" fieldPosition="0">
        <references count="1">
          <reference field="5" count="1" selected="0" defaultSubtotal="1">
            <x v="3"/>
          </reference>
        </references>
      </pivotArea>
    </format>
    <format dxfId="1335">
      <pivotArea dataOnly="0" labelOnly="1" outline="0" fieldPosition="0">
        <references count="1">
          <reference field="5" count="1" defaultSubtotal="1">
            <x v="3"/>
          </reference>
        </references>
      </pivotArea>
    </format>
    <format dxfId="1334">
      <pivotArea dataOnly="0" labelOnly="1" outline="0" fieldPosition="0">
        <references count="1">
          <reference field="5" count="1">
            <x v="6"/>
          </reference>
        </references>
      </pivotArea>
    </format>
    <format dxfId="1333">
      <pivotArea outline="0" collapsedLevelsAreSubtotals="1" fieldPosition="0">
        <references count="1">
          <reference field="5" count="1" selected="0" defaultSubtotal="1">
            <x v="6"/>
          </reference>
        </references>
      </pivotArea>
    </format>
    <format dxfId="1332">
      <pivotArea dataOnly="0" labelOnly="1" outline="0" fieldPosition="0">
        <references count="1">
          <reference field="5" count="1" defaultSubtotal="1">
            <x v="6"/>
          </reference>
        </references>
      </pivotArea>
    </format>
    <format dxfId="1331">
      <pivotArea grandRow="1" outline="0" collapsedLevelsAreSubtotals="1" fieldPosition="0"/>
    </format>
    <format dxfId="1330">
      <pivotArea dataOnly="0" labelOnly="1" grandRow="1" outline="0" fieldPosition="0"/>
    </format>
    <format dxfId="1329">
      <pivotArea type="all" dataOnly="0" outline="0" fieldPosition="0"/>
    </format>
    <format dxfId="1328">
      <pivotArea dataOnly="0" labelOnly="1" outline="0" fieldPosition="0">
        <references count="1">
          <reference field="11" count="0"/>
        </references>
      </pivotArea>
    </format>
    <format dxfId="1327">
      <pivotArea dataOnly="0" labelOnly="1" outline="0" fieldPosition="0">
        <references count="1">
          <reference field="5" count="0"/>
        </references>
      </pivotArea>
    </format>
    <format dxfId="1326">
      <pivotArea dataOnly="0" labelOnly="1" outline="0" fieldPosition="0">
        <references count="1">
          <reference field="5" count="1" defaultSubtotal="1">
            <x v="3"/>
          </reference>
        </references>
      </pivotArea>
    </format>
    <format dxfId="1325">
      <pivotArea field="34" type="button" dataOnly="0" labelOnly="1" outline="0"/>
    </format>
    <format dxfId="1324">
      <pivotArea field="11" type="button" dataOnly="0" labelOnly="1" outline="0" axis="axisRow" fieldPosition="1"/>
    </format>
    <format dxfId="1323">
      <pivotArea field="12" type="button" dataOnly="0" labelOnly="1" outline="0" axis="axisRow" fieldPosition="2"/>
    </format>
    <format dxfId="1322">
      <pivotArea outline="0" collapsedLevelsAreSubtotals="1" fieldPosition="0">
        <references count="1">
          <reference field="4294967294" count="1" selected="0">
            <x v="1"/>
          </reference>
        </references>
      </pivotArea>
    </format>
    <format dxfId="1321">
      <pivotArea dataOnly="0" labelOnly="1" outline="0" fieldPosition="0">
        <references count="1">
          <reference field="4294967294" count="1">
            <x v="1"/>
          </reference>
        </references>
      </pivotArea>
    </format>
    <format dxfId="1320">
      <pivotArea outline="0" collapsedLevelsAreSubtotals="1" fieldPosition="0">
        <references count="1">
          <reference field="4294967294" count="1" selected="0">
            <x v="1"/>
          </reference>
        </references>
      </pivotArea>
    </format>
    <format dxfId="1319">
      <pivotArea dataOnly="0" labelOnly="1" outline="0" fieldPosition="0">
        <references count="1">
          <reference field="4294967294" count="1">
            <x v="1"/>
          </reference>
        </references>
      </pivotArea>
    </format>
    <format dxfId="1318">
      <pivotArea dataOnly="0" labelOnly="1" outline="0" fieldPosition="0">
        <references count="1">
          <reference field="5" count="1" defaultSubtotal="1">
            <x v="3"/>
          </reference>
        </references>
      </pivotArea>
    </format>
    <format dxfId="1317">
      <pivotArea outline="0" collapsedLevelsAreSubtotals="1" fieldPosition="0">
        <references count="1">
          <reference field="5" count="1" selected="0" defaultSubtotal="1">
            <x v="3"/>
          </reference>
        </references>
      </pivotArea>
    </format>
    <format dxfId="1316">
      <pivotArea dataOnly="0" labelOnly="1" outline="0" fieldPosition="0">
        <references count="1">
          <reference field="5" count="1" defaultSubtotal="1">
            <x v="6"/>
          </reference>
        </references>
      </pivotArea>
    </format>
    <format dxfId="1315">
      <pivotArea dataOnly="0" labelOnly="1" grandRow="1" outline="0" fieldPosition="0"/>
    </format>
    <format dxfId="1314">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313">
      <pivotArea outline="0" collapsedLevelsAreSubtotals="1" fieldPosition="0">
        <references count="2">
          <reference field="4294967294" count="1" selected="0">
            <x v="3"/>
          </reference>
          <reference field="5" count="1" selected="0" defaultSubtotal="1">
            <x v="3"/>
          </reference>
        </references>
      </pivotArea>
    </format>
    <format dxfId="1312">
      <pivotArea outline="0" collapsedLevelsAreSubtotals="1" fieldPosition="0">
        <references count="2">
          <reference field="4294967294" count="1" selected="0">
            <x v="3"/>
          </reference>
          <reference field="5" count="1" selected="0" defaultSubtotal="1">
            <x v="6"/>
          </reference>
        </references>
      </pivotArea>
    </format>
    <format dxfId="1311">
      <pivotArea field="5" grandRow="1" outline="0" collapsedLevelsAreSubtotals="1" axis="axisRow" fieldPosition="0">
        <references count="1">
          <reference field="4294967294" count="1" selected="0">
            <x v="3"/>
          </reference>
        </references>
      </pivotArea>
    </format>
    <format dxfId="1310">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309">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308">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307">
      <pivotArea dataOnly="0" labelOnly="1" outline="0" fieldPosition="0">
        <references count="3">
          <reference field="5" count="1" selected="0">
            <x v="6"/>
          </reference>
          <reference field="11" count="1" selected="0">
            <x v="77"/>
          </reference>
          <reference field="12" count="1">
            <x v="109"/>
          </reference>
        </references>
      </pivotArea>
    </format>
    <format dxfId="1306">
      <pivotArea dataOnly="0" labelOnly="1" outline="0" fieldPosition="0">
        <references count="3">
          <reference field="5" count="1" selected="0">
            <x v="6"/>
          </reference>
          <reference field="11" count="1" selected="0">
            <x v="78"/>
          </reference>
          <reference field="12" count="1">
            <x v="110"/>
          </reference>
        </references>
      </pivotArea>
    </format>
    <format dxfId="1305">
      <pivotArea dataOnly="0" labelOnly="1" outline="0" fieldPosition="0">
        <references count="3">
          <reference field="5" count="1" selected="0">
            <x v="6"/>
          </reference>
          <reference field="11" count="1" selected="0">
            <x v="81"/>
          </reference>
          <reference field="12" count="1">
            <x v="55"/>
          </reference>
        </references>
      </pivotArea>
    </format>
    <format dxfId="1304">
      <pivotArea dataOnly="0" labelOnly="1" outline="0" fieldPosition="0">
        <references count="3">
          <reference field="5" count="1" selected="0">
            <x v="6"/>
          </reference>
          <reference field="11" count="1" selected="0">
            <x v="82"/>
          </reference>
          <reference field="12" count="1">
            <x v="91"/>
          </reference>
        </references>
      </pivotArea>
    </format>
    <format dxfId="1303">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302">
      <pivotArea outline="0" collapsedLevelsAreSubtotals="1" fieldPosition="0">
        <references count="1">
          <reference field="5" count="1" selected="0" defaultSubtotal="1">
            <x v="7"/>
          </reference>
        </references>
      </pivotArea>
    </format>
    <format dxfId="1301">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300">
      <pivotArea dataOnly="0" labelOnly="1" outline="0" fieldPosition="0">
        <references count="2">
          <reference field="5" count="1" selected="0">
            <x v="3"/>
          </reference>
          <reference field="11" count="4">
            <x v="4"/>
            <x v="9"/>
            <x v="44"/>
            <x v="86"/>
          </reference>
        </references>
      </pivotArea>
    </format>
    <format dxfId="1299">
      <pivotArea dataOnly="0" labelOnly="1" outline="0" fieldPosition="0">
        <references count="3">
          <reference field="5" count="1" selected="0">
            <x v="3"/>
          </reference>
          <reference field="11" count="1" selected="0">
            <x v="9"/>
          </reference>
          <reference field="12" count="1">
            <x v="14"/>
          </reference>
        </references>
      </pivotArea>
    </format>
    <format dxfId="1298">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297">
      <pivotArea outline="0" collapsedLevelsAreSubtotals="1" fieldPosition="0">
        <references count="2">
          <reference field="4294967294" count="1" selected="0">
            <x v="3"/>
          </reference>
          <reference field="5" count="1" selected="0" defaultSubtotal="1">
            <x v="7"/>
          </reference>
        </references>
      </pivotArea>
    </format>
    <format dxfId="1296">
      <pivotArea type="all" dataOnly="0" outline="0" fieldPosition="0"/>
    </format>
    <format dxfId="1295">
      <pivotArea outline="0" collapsedLevelsAreSubtotals="1" fieldPosition="0"/>
    </format>
    <format dxfId="1294">
      <pivotArea dataOnly="0" labelOnly="1" outline="0" fieldPosition="0">
        <references count="2">
          <reference field="5" count="1" selected="0">
            <x v="7"/>
          </reference>
          <reference field="11" count="2">
            <x v="35"/>
            <x v="90"/>
          </reference>
        </references>
      </pivotArea>
    </format>
    <format dxfId="1293">
      <pivotArea dataOnly="0" labelOnly="1" outline="0" fieldPosition="0">
        <references count="3">
          <reference field="5" count="1" selected="0">
            <x v="7"/>
          </reference>
          <reference field="11" count="1" selected="0">
            <x v="35"/>
          </reference>
          <reference field="12" count="1">
            <x v="12"/>
          </reference>
        </references>
      </pivotArea>
    </format>
    <format dxfId="1292">
      <pivotArea type="all" dataOnly="0" outline="0" fieldPosition="0"/>
    </format>
    <format dxfId="1291">
      <pivotArea outline="0" collapsedLevelsAreSubtotals="1" fieldPosition="0"/>
    </format>
    <format dxfId="1290">
      <pivotArea dataOnly="0" labelOnly="1" outline="0" fieldPosition="0">
        <references count="2">
          <reference field="5" count="1" selected="0">
            <x v="7"/>
          </reference>
          <reference field="11" count="2">
            <x v="35"/>
            <x v="90"/>
          </reference>
        </references>
      </pivotArea>
    </format>
    <format dxfId="1289">
      <pivotArea dataOnly="0" labelOnly="1" outline="0" fieldPosition="0">
        <references count="3">
          <reference field="5" count="1" selected="0">
            <x v="7"/>
          </reference>
          <reference field="11" count="1" selected="0">
            <x v="35"/>
          </reference>
          <reference field="12" count="1">
            <x v="12"/>
          </reference>
        </references>
      </pivotArea>
    </format>
    <format dxfId="1288">
      <pivotArea outline="0" collapsedLevelsAreSubtotals="1" fieldPosition="0"/>
    </format>
    <format dxfId="1287">
      <pivotArea type="all" dataOnly="0" outline="0" fieldPosition="0"/>
    </format>
    <format dxfId="1286">
      <pivotArea outline="0" collapsedLevelsAreSubtotals="1" fieldPosition="0"/>
    </format>
    <format dxfId="1285">
      <pivotArea dataOnly="0" labelOnly="1" outline="0" fieldPosition="0">
        <references count="1">
          <reference field="5" count="0"/>
        </references>
      </pivotArea>
    </format>
    <format dxfId="1284">
      <pivotArea dataOnly="0" labelOnly="1" outline="0" fieldPosition="0">
        <references count="1">
          <reference field="5" count="0" defaultSubtotal="1"/>
        </references>
      </pivotArea>
    </format>
    <format dxfId="1283">
      <pivotArea dataOnly="0" labelOnly="1" grandRow="1" outline="0" fieldPosition="0"/>
    </format>
    <format dxfId="1282">
      <pivotArea dataOnly="0" labelOnly="1" outline="0" fieldPosition="0">
        <references count="2">
          <reference field="5" count="1" selected="0">
            <x v="3"/>
          </reference>
          <reference field="11" count="3">
            <x v="4"/>
            <x v="44"/>
            <x v="86"/>
          </reference>
        </references>
      </pivotArea>
    </format>
    <format dxfId="1281">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280">
      <pivotArea dataOnly="0" labelOnly="1" outline="0" fieldPosition="0">
        <references count="2">
          <reference field="5" count="1" selected="0">
            <x v="7"/>
          </reference>
          <reference field="11" count="1">
            <x v="90"/>
          </reference>
        </references>
      </pivotArea>
    </format>
    <format dxfId="1279">
      <pivotArea dataOnly="0" labelOnly="1" outline="0" fieldPosition="0">
        <references count="3">
          <reference field="5" count="1" selected="0">
            <x v="3"/>
          </reference>
          <reference field="11" count="1" selected="0">
            <x v="4"/>
          </reference>
          <reference field="12" count="1">
            <x v="15"/>
          </reference>
        </references>
      </pivotArea>
    </format>
    <format dxfId="1278">
      <pivotArea dataOnly="0" labelOnly="1" outline="0" fieldPosition="0">
        <references count="3">
          <reference field="5" count="1" selected="0">
            <x v="3"/>
          </reference>
          <reference field="11" count="1" selected="0">
            <x v="44"/>
          </reference>
          <reference field="12" count="1">
            <x v="17"/>
          </reference>
        </references>
      </pivotArea>
    </format>
    <format dxfId="1277">
      <pivotArea dataOnly="0" labelOnly="1" outline="0" fieldPosition="0">
        <references count="3">
          <reference field="5" count="1" selected="0">
            <x v="3"/>
          </reference>
          <reference field="11" count="1" selected="0">
            <x v="86"/>
          </reference>
          <reference field="12" count="1">
            <x v="18"/>
          </reference>
        </references>
      </pivotArea>
    </format>
    <format dxfId="1276">
      <pivotArea dataOnly="0" labelOnly="1" outline="0" fieldPosition="0">
        <references count="3">
          <reference field="5" count="1" selected="0">
            <x v="6"/>
          </reference>
          <reference field="11" count="1" selected="0">
            <x v="10"/>
          </reference>
          <reference field="12" count="1">
            <x v="38"/>
          </reference>
        </references>
      </pivotArea>
    </format>
    <format dxfId="1275">
      <pivotArea dataOnly="0" labelOnly="1" outline="0" fieldPosition="0">
        <references count="3">
          <reference field="5" count="1" selected="0">
            <x v="6"/>
          </reference>
          <reference field="11" count="1" selected="0">
            <x v="13"/>
          </reference>
          <reference field="12" count="1">
            <x v="101"/>
          </reference>
        </references>
      </pivotArea>
    </format>
    <format dxfId="1274">
      <pivotArea dataOnly="0" labelOnly="1" outline="0" fieldPosition="0">
        <references count="3">
          <reference field="5" count="1" selected="0">
            <x v="6"/>
          </reference>
          <reference field="11" count="1" selected="0">
            <x v="14"/>
          </reference>
          <reference field="12" count="1">
            <x v="111"/>
          </reference>
        </references>
      </pivotArea>
    </format>
    <format dxfId="1273">
      <pivotArea dataOnly="0" labelOnly="1" outline="0" fieldPosition="0">
        <references count="3">
          <reference field="5" count="1" selected="0">
            <x v="6"/>
          </reference>
          <reference field="11" count="1" selected="0">
            <x v="15"/>
          </reference>
          <reference field="12" count="1">
            <x v="112"/>
          </reference>
        </references>
      </pivotArea>
    </format>
    <format dxfId="1272">
      <pivotArea dataOnly="0" labelOnly="1" outline="0" fieldPosition="0">
        <references count="3">
          <reference field="5" count="1" selected="0">
            <x v="6"/>
          </reference>
          <reference field="11" count="1" selected="0">
            <x v="24"/>
          </reference>
          <reference field="12" count="1">
            <x v="40"/>
          </reference>
        </references>
      </pivotArea>
    </format>
    <format dxfId="1271">
      <pivotArea dataOnly="0" labelOnly="1" outline="0" fieldPosition="0">
        <references count="3">
          <reference field="5" count="1" selected="0">
            <x v="6"/>
          </reference>
          <reference field="11" count="1" selected="0">
            <x v="25"/>
          </reference>
          <reference field="12" count="1">
            <x v="95"/>
          </reference>
        </references>
      </pivotArea>
    </format>
    <format dxfId="1270">
      <pivotArea dataOnly="0" labelOnly="1" outline="0" fieldPosition="0">
        <references count="3">
          <reference field="5" count="1" selected="0">
            <x v="6"/>
          </reference>
          <reference field="11" count="1" selected="0">
            <x v="38"/>
          </reference>
          <reference field="12" count="1">
            <x v="41"/>
          </reference>
        </references>
      </pivotArea>
    </format>
    <format dxfId="1269">
      <pivotArea dataOnly="0" labelOnly="1" outline="0" fieldPosition="0">
        <references count="3">
          <reference field="5" count="1" selected="0">
            <x v="6"/>
          </reference>
          <reference field="11" count="1" selected="0">
            <x v="50"/>
          </reference>
          <reference field="12" count="1">
            <x v="90"/>
          </reference>
        </references>
      </pivotArea>
    </format>
    <format dxfId="1268">
      <pivotArea dataOnly="0" labelOnly="1" outline="0" fieldPosition="0">
        <references count="3">
          <reference field="5" count="1" selected="0">
            <x v="6"/>
          </reference>
          <reference field="11" count="1" selected="0">
            <x v="59"/>
          </reference>
          <reference field="12" count="1">
            <x v="96"/>
          </reference>
        </references>
      </pivotArea>
    </format>
    <format dxfId="1267">
      <pivotArea dataOnly="0" labelOnly="1" outline="0" fieldPosition="0">
        <references count="3">
          <reference field="5" count="1" selected="0">
            <x v="6"/>
          </reference>
          <reference field="11" count="1" selected="0">
            <x v="60"/>
          </reference>
          <reference field="12" count="1">
            <x v="113"/>
          </reference>
        </references>
      </pivotArea>
    </format>
    <format dxfId="1266">
      <pivotArea dataOnly="0" labelOnly="1" outline="0" fieldPosition="0">
        <references count="3">
          <reference field="5" count="1" selected="0">
            <x v="6"/>
          </reference>
          <reference field="11" count="1" selected="0">
            <x v="61"/>
          </reference>
          <reference field="12" count="1">
            <x v="114"/>
          </reference>
        </references>
      </pivotArea>
    </format>
    <format dxfId="1265">
      <pivotArea dataOnly="0" labelOnly="1" outline="0" fieldPosition="0">
        <references count="3">
          <reference field="5" count="1" selected="0">
            <x v="6"/>
          </reference>
          <reference field="11" count="1" selected="0">
            <x v="79"/>
          </reference>
          <reference field="12" count="1">
            <x v="44"/>
          </reference>
        </references>
      </pivotArea>
    </format>
    <format dxfId="1264">
      <pivotArea dataOnly="0" labelOnly="1" outline="0" fieldPosition="0">
        <references count="3">
          <reference field="5" count="1" selected="0">
            <x v="6"/>
          </reference>
          <reference field="11" count="1" selected="0">
            <x v="94"/>
          </reference>
          <reference field="12" count="1">
            <x v="45"/>
          </reference>
        </references>
      </pivotArea>
    </format>
    <format dxfId="1263">
      <pivotArea dataOnly="0" labelOnly="1" outline="0" fieldPosition="0">
        <references count="3">
          <reference field="5" count="1" selected="0">
            <x v="6"/>
          </reference>
          <reference field="11" count="1" selected="0">
            <x v="101"/>
          </reference>
          <reference field="12" count="1">
            <x v="47"/>
          </reference>
        </references>
      </pivotArea>
    </format>
    <format dxfId="1262">
      <pivotArea dataOnly="0" labelOnly="1" outline="0" fieldPosition="0">
        <references count="3">
          <reference field="5" count="1" selected="0">
            <x v="6"/>
          </reference>
          <reference field="11" count="1" selected="0">
            <x v="102"/>
          </reference>
          <reference field="12" count="1">
            <x v="89"/>
          </reference>
        </references>
      </pivotArea>
    </format>
    <format dxfId="1261">
      <pivotArea dataOnly="0" labelOnly="1" outline="0" fieldPosition="0">
        <references count="3">
          <reference field="5" count="1" selected="0">
            <x v="7"/>
          </reference>
          <reference field="11" count="1" selected="0">
            <x v="90"/>
          </reference>
          <reference field="12" count="1">
            <x v="13"/>
          </reference>
        </references>
      </pivotArea>
    </format>
    <format dxfId="126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67"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228">
      <pivotArea type="all" dataOnly="0" outline="0" fieldPosition="0"/>
    </format>
    <format dxfId="1227">
      <pivotArea field="1" type="button" dataOnly="0" labelOnly="1" outline="0" axis="axisPage" fieldPosition="0"/>
    </format>
    <format dxfId="1226">
      <pivotArea dataOnly="0" labelOnly="1" outline="0" fieldPosition="0">
        <references count="1">
          <reference field="1" count="0"/>
        </references>
      </pivotArea>
    </format>
    <format dxfId="1225">
      <pivotArea type="all" dataOnly="0" outline="0" fieldPosition="0"/>
    </format>
    <format dxfId="1224">
      <pivotArea field="1" type="button" dataOnly="0" labelOnly="1" outline="0" axis="axisPage" fieldPosition="0"/>
    </format>
    <format dxfId="1223">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67"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233">
      <pivotArea field="0" type="button" dataOnly="0" labelOnly="1" outline="0" axis="axisPage" fieldPosition="0"/>
    </format>
    <format dxfId="1232">
      <pivotArea dataOnly="0" labelOnly="1" outline="0" fieldPosition="0">
        <references count="1">
          <reference field="0" count="0"/>
        </references>
      </pivotArea>
    </format>
    <format dxfId="1231">
      <pivotArea type="all" dataOnly="0" outline="0" fieldPosition="0"/>
    </format>
    <format dxfId="1230">
      <pivotArea field="0" type="button" dataOnly="0" labelOnly="1" outline="0" axis="axisPage" fieldPosition="0"/>
    </format>
    <format dxfId="1229">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67"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240">
      <pivotArea type="all" dataOnly="0" outline="0" fieldPosition="0"/>
    </format>
    <format dxfId="1239">
      <pivotArea field="1" type="button" dataOnly="0" labelOnly="1" outline="0" axis="axisPage" fieldPosition="0"/>
    </format>
    <format dxfId="1238">
      <pivotArea dataOnly="0" labelOnly="1" outline="0" fieldPosition="0">
        <references count="1">
          <reference field="1" count="1">
            <x v="0"/>
          </reference>
        </references>
      </pivotArea>
    </format>
    <format dxfId="1237">
      <pivotArea field="5" type="button" dataOnly="0" labelOnly="1" outline="0" axis="axisRow" fieldPosition="0"/>
    </format>
    <format dxfId="1236">
      <pivotArea dataOnly="0" labelOnly="1" outline="0" fieldPosition="0">
        <references count="1">
          <reference field="4294967294" count="1">
            <x v="0"/>
          </reference>
        </references>
      </pivotArea>
    </format>
    <format dxfId="1235">
      <pivotArea grandRow="1" outline="0" collapsedLevelsAreSubtotals="1" fieldPosition="0"/>
    </format>
    <format dxfId="123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167"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245">
      <pivotArea field="0" type="button" dataOnly="0" labelOnly="1" outline="0" axis="axisPage" fieldPosition="0"/>
    </format>
    <format dxfId="1244">
      <pivotArea dataOnly="0" labelOnly="1" outline="0" fieldPosition="0">
        <references count="1">
          <reference field="0" count="0"/>
        </references>
      </pivotArea>
    </format>
    <format dxfId="1243">
      <pivotArea field="36" type="button" dataOnly="0" labelOnly="1" outline="0" axis="axisPage" fieldPosition="1"/>
    </format>
    <format dxfId="1242">
      <pivotArea dataOnly="0" labelOnly="1" outline="0" fieldPosition="0">
        <references count="1">
          <reference field="36" count="0"/>
        </references>
      </pivotArea>
    </format>
    <format dxfId="1241">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4" cacheId="16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551" dataDxfId="1550">
  <autoFilter ref="J1:J2"/>
  <tableColumns count="1">
    <tableColumn id="1" name="State" dataDxfId="1549"/>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535"/>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534" dataDxfId="1532" headerRowBorderDxfId="1533" tableBorderDxfId="1531" headerRowCellStyle="Normal_Sheet11">
  <autoFilter ref="A4:AJ141">
    <filterColumn colId="0">
      <filters>
        <filter val="Open"/>
        <filter val="Relocated"/>
        <filter val="Returned"/>
      </filters>
    </filterColumn>
  </autoFilter>
  <sortState ref="A5:AJ71">
    <sortCondition ref="A4:A141"/>
  </sortState>
  <tableColumns count="36">
    <tableColumn id="24" uniqueName="Status" name="Status" dataDxfId="1530">
      <xmlColumnPr mapId="8" xpath="/dataroot/Data_CCCM_t/Status" xmlDataType="string"/>
    </tableColumn>
    <tableColumn id="2" uniqueName="State" name="State" dataDxfId="1529">
      <xmlColumnPr mapId="8" xpath="/dataroot/Data_CCCM_t/State" xmlDataType="string"/>
    </tableColumn>
    <tableColumn id="12" uniqueName="State_Pcode" name="State_Pcode" dataDxfId="1528">
      <xmlColumnPr mapId="8" xpath="/dataroot/Data_CCCM_t/State_Pcode" xmlDataType="string"/>
    </tableColumn>
    <tableColumn id="23" uniqueName="District" name="District" dataDxfId="1527">
      <xmlColumnPr mapId="8" xpath="/dataroot/Data_CCCM_t/District" xmlDataType="string"/>
    </tableColumn>
    <tableColumn id="19" uniqueName="District_Pcode" name="District_Pcode" dataDxfId="1526">
      <xmlColumnPr mapId="8" xpath="/dataroot/Data_CCCM_t/District_Pcode" xmlDataType="string"/>
    </tableColumn>
    <tableColumn id="3" uniqueName="TOWNSHIP_NAME" name="TOWNSHIP_NAME" dataDxfId="1525">
      <xmlColumnPr mapId="8" xpath="/dataroot/Data_CCCM_t/TOWNSHIP_NAME" xmlDataType="string"/>
    </tableColumn>
    <tableColumn id="13" uniqueName="Township_Pcode" name="Township_Pcode" dataDxfId="1524">
      <xmlColumnPr mapId="8" xpath="/dataroot/Data_CCCM_t/Township_Pcode" xmlDataType="string"/>
    </tableColumn>
    <tableColumn id="14" uniqueName="VillageTracKTown_Name" name="VillageTracKTown_Name" dataDxfId="1523">
      <xmlColumnPr mapId="8" xpath="/dataroot/Data_CCCM_t/VillageTracKTown_Name" xmlDataType="string"/>
    </tableColumn>
    <tableColumn id="15" uniqueName="VillageTrackTown_Pcode" name="VillageTrackTown_Pcode" dataDxfId="1522">
      <xmlColumnPr mapId="8" xpath="/dataroot/Data_CCCM_t/VillageTrackTown_Pcode" xmlDataType="string"/>
    </tableColumn>
    <tableColumn id="16" uniqueName="VillageWard_Name" name="VillageWard_Name" dataDxfId="1521">
      <xmlColumnPr mapId="8" xpath="/dataroot/Data_CCCM_t/VillageWard_Name" xmlDataType="string"/>
    </tableColumn>
    <tableColumn id="17" uniqueName="VillageWard_Pcode" name="VillageWard_Pcode" dataDxfId="1520">
      <xmlColumnPr mapId="8" xpath="/dataroot/Data_CCCM_t/VillageWard_Pcode" xmlDataType="string"/>
    </tableColumn>
    <tableColumn id="4" uniqueName="Camp Name" name="Camp Name" dataDxfId="1519">
      <xmlColumnPr mapId="8" xpath="/dataroot/Data_CCCM_t/Camp_x005f_x0020_Name" xmlDataType="string"/>
    </tableColumn>
    <tableColumn id="5" uniqueName="P_Code" name="P_Code" dataDxfId="1518">
      <xmlColumnPr mapId="8" xpath="/dataroot/Data_CCCM_t/P_Code" xmlDataType="string"/>
    </tableColumn>
    <tableColumn id="6" uniqueName="Longitude" name="Longitude" dataDxfId="1517">
      <xmlColumnPr mapId="8" xpath="/dataroot/Data_CCCM_t/Longitude" xmlDataType="double"/>
    </tableColumn>
    <tableColumn id="7" uniqueName="Latitude" name="Latitude" dataDxfId="1516">
      <xmlColumnPr mapId="8" xpath="/dataroot/Data_CCCM_t/Latitude" xmlDataType="double"/>
    </tableColumn>
    <tableColumn id="1" uniqueName="Altitude" name="Altitude" dataDxfId="1515">
      <xmlColumnPr mapId="8" xpath="/dataroot/Data_CCCM_t/Altitude" xmlDataType="string"/>
    </tableColumn>
    <tableColumn id="8" uniqueName="HH" name="HH" dataDxfId="1514" dataCellStyle="Percent">
      <xmlColumnPr mapId="8" xpath="/dataroot/Data_CCCM_t/HH" xmlDataType="double"/>
    </tableColumn>
    <tableColumn id="9" uniqueName="Total" name="Total" dataDxfId="1513" dataCellStyle="Comma">
      <xmlColumnPr mapId="8" xpath="/dataroot/Data_CCCM_t/Total" xmlDataType="double"/>
    </tableColumn>
    <tableColumn id="11" uniqueName="Avg" name="Avg" dataDxfId="1512" dataCellStyle="Percent">
      <xmlColumnPr mapId="8" xpath="/dataroot/Data_CCCM_t/Avg" xmlDataType="double"/>
    </tableColumn>
    <tableColumn id="29" uniqueName="Accessibility" name="Accessibility" dataDxfId="1511">
      <xmlColumnPr mapId="8" xpath="/dataroot/Data_CCCM_t/Accessibility" xmlDataType="string"/>
    </tableColumn>
    <tableColumn id="33" uniqueName="Affected population" name="Affected population" dataDxfId="1510">
      <xmlColumnPr mapId="8" xpath="/dataroot/Data_CCCM_t/Affected_x005f_x0020_population" xmlDataType="string"/>
    </tableColumn>
    <tableColumn id="26" uniqueName="Type of Accomodation" name="Type of Accomodation" dataDxfId="1509">
      <xmlColumnPr mapId="8" xpath="/dataroot/Data_CCCM_t/Type_x005f_x0020_of_x005f_x0020_Accomodation" xmlDataType="string"/>
    </tableColumn>
    <tableColumn id="37" uniqueName="Isolated Location" name="Isolated Location" dataDxfId="1508">
      <xmlColumnPr mapId="8" xpath="/dataroot/Data_CCCM_t/Isolated_x005f_x0020_Location" xmlDataType="string"/>
    </tableColumn>
    <tableColumn id="30" uniqueName="Opening Date" name="Opening Date" dataDxfId="1507">
      <xmlColumnPr mapId="8" xpath="/dataroot/Data_CCCM_t/Opening_x005f_x0020_Date" xmlDataType="string"/>
    </tableColumn>
    <tableColumn id="34" uniqueName="Ethnicity" name="Ethnicity" dataDxfId="1506">
      <xmlColumnPr mapId="8" xpath="/dataroot/Data_CCCM_t/Ethnicity" xmlDataType="string"/>
    </tableColumn>
    <tableColumn id="35" uniqueName="Religion" name="Religion" dataDxfId="1505">
      <xmlColumnPr mapId="8" xpath="/dataroot/Data_CCCM_t/Religion" xmlDataType="string"/>
    </tableColumn>
    <tableColumn id="36" uniqueName="Type of Population" name="Type of Population" dataDxfId="1504">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503"/>
    <tableColumn id="32" uniqueName="CM/FP" name="CM/FP" dataDxfId="1502">
      <xmlColumnPr mapId="8" xpath="/dataroot/Data_CCCM_t/CM_x005f_x002F_FP" xmlDataType="string"/>
    </tableColumn>
    <tableColumn id="22" uniqueName="Responsible Agency" name="Responsible Agency" dataDxfId="1501">
      <xmlColumnPr mapId="8" xpath="/dataroot/Data_CCCM_t/Responsible_x005f_x0020_Agency" xmlDataType="string"/>
    </tableColumn>
    <tableColumn id="18" uniqueName="Source" name="Source" dataDxfId="1500">
      <xmlColumnPr mapId="8" xpath="/dataroot/Data_CCCM_t/Source" xmlDataType="string"/>
    </tableColumn>
    <tableColumn id="20" uniqueName="Method" name="Method" dataDxfId="1499">
      <xmlColumnPr mapId="8" xpath="/dataroot/Data_CCCM_t/Method" xmlDataType="string"/>
    </tableColumn>
    <tableColumn id="31" uniqueName="Update Date" name="Update Date" dataDxfId="1498">
      <xmlColumnPr mapId="8" xpath="/dataroot/Data_CCCM_t/Update_x005f_x0020_Date" xmlDataType="dateTime"/>
    </tableColumn>
    <tableColumn id="25" uniqueName="Comment" name="Comment" dataDxfId="1497">
      <xmlColumnPr mapId="8" xpath="/dataroot/Data_CCCM_t/Comment" xmlDataType="string"/>
    </tableColumn>
    <tableColumn id="10" uniqueName="Contact" name="Contact" dataDxfId="1496">
      <calculatedColumnFormula>IFERROR(VLOOKUP(Camp_List[[#This Row],[Responsible Agency]],Organization_t[],3,0),"")</calculatedColumnFormula>
      <xmlColumnPr mapId="8" xpath="/dataroot/Data_CCCM_t/Contact" xmlDataType="double"/>
    </tableColumn>
    <tableColumn id="21" uniqueName="shelter_coverage" name="shelter_coverage" dataDxfId="1495"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386" headerRowBorderDxfId="1385" tableBorderDxfId="1384" totalsRowBorderDxfId="1383">
  <tableColumns count="5">
    <tableColumn id="1" name="Township" dataDxfId="1382"/>
    <tableColumn id="2" name="# of HH" dataDxfId="1381" dataCellStyle="Comma"/>
    <tableColumn id="3" name="# of IDPs" dataDxfId="1380" dataCellStyle="Comma"/>
    <tableColumn id="4" name="# of Planned Camp" dataDxfId="1379" dataCellStyle="Comma">
      <calculatedColumnFormula>AN23</calculatedColumnFormula>
    </tableColumn>
    <tableColumn id="5" name="# of Other Accomodation" dataDxfId="1378">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377" dataDxfId="1375" headerRowBorderDxfId="1376" tableBorderDxfId="1374" totalsRowBorderDxfId="1373" dataCellStyle="Percent">
  <autoFilter ref="T2:AG13"/>
  <tableColumns count="14">
    <tableColumn id="1" name="Pcode" dataDxfId="1372" totalsRowDxfId="1371"/>
    <tableColumn id="2" name="Township" dataDxfId="1370" totalsRowDxfId="1369">
      <calculatedColumnFormula>'CCCM Dashboard'!H17</calculatedColumnFormula>
    </tableColumn>
    <tableColumn id="3" name="Long." dataDxfId="1368" totalsRowDxfId="1367"/>
    <tableColumn id="4" name="Lat." dataDxfId="1366" totalsRowDxfId="1365"/>
    <tableColumn id="5" name="HS" dataDxfId="1364" totalsRowDxfId="1363">
      <calculatedColumnFormula>'CCCM Dashboard'!I17</calculatedColumnFormula>
    </tableColumn>
    <tableColumn id="6" name="Pop" dataDxfId="1362" totalsRowDxfId="1361" dataCellStyle="Comma">
      <calculatedColumnFormula>'CCCM Dashboard'!J17</calculatedColumnFormula>
    </tableColumn>
    <tableColumn id="7" name="N_cps" dataDxfId="1360" totalsRowDxfId="1359">
      <calculatedColumnFormula>'CCCM Dashboard'!K17</calculatedColumnFormula>
    </tableColumn>
    <tableColumn id="8" name="Coverage" dataDxfId="1358" totalsRowDxfId="1357" dataCellStyle="Percent"/>
    <tableColumn id="9" name="Hygiene" dataDxfId="1356" totalsRowDxfId="1355" dataCellStyle="Percent"/>
    <tableColumn id="10" name="Core" dataDxfId="1354" totalsRowDxfId="1353" dataCellStyle="Percent"/>
    <tableColumn id="11" name="Sanitary" dataDxfId="1352" totalsRowDxfId="1351" dataCellStyle="Percent"/>
    <tableColumn id="12" name="Y" dataDxfId="1350" totalsRowDxfId="1349">
      <calculatedColumnFormula>$S$3-ROUND((W3-$S$1)*$S$5,0)</calculatedColumnFormula>
    </tableColumn>
    <tableColumn id="13" name="X" dataDxfId="1348" totalsRowDxfId="1347">
      <calculatedColumnFormula>ROUND((V3-$S$2)*$S$5,0)+$S$4</calculatedColumnFormula>
    </tableColumn>
    <tableColumn id="14" name="Column1" dataDxfId="1346" totalsRowDxfId="1345"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08" tableType="xml" totalsRowShown="0" headerRowDxfId="1137" dataDxfId="1135" headerRowBorderDxfId="1136" tableBorderDxfId="1134" totalsRowBorderDxfId="1133">
  <autoFilter ref="A4:J208"/>
  <sortState ref="A131:J144">
    <sortCondition ref="C1:C275"/>
  </sortState>
  <tableColumns count="10">
    <tableColumn id="1" uniqueName="State" name="State" dataDxfId="1132">
      <xmlColumnPr mapId="2" xpath="/dataroot/Data_Demography_t/State" xmlDataType="string"/>
    </tableColumn>
    <tableColumn id="2" uniqueName="Township" name="Township" dataDxfId="1131">
      <xmlColumnPr mapId="2" xpath="/dataroot/Data_Demography_t/Township" xmlDataType="string"/>
    </tableColumn>
    <tableColumn id="3" uniqueName="Camp" name="Camp" dataDxfId="1130">
      <xmlColumnPr mapId="2" xpath="/dataroot/Data_Demography_t/Camp" xmlDataType="string"/>
    </tableColumn>
    <tableColumn id="9" uniqueName="Pcode" name="Pcode" dataDxfId="1129">
      <calculatedColumnFormula>IFERROR(OFFSET(Camp_List[P_Code],MATCH(Data_Demography_t[[#This Row],[Camp]],Camp_List[Camp Name],0)-1,0,1,1),"")</calculatedColumnFormula>
      <xmlColumnPr mapId="2" xpath="/dataroot/Data_Demography_t/Pcode" xmlDataType="string"/>
    </tableColumn>
    <tableColumn id="4" uniqueName="Age_Cat" name="Age_Cat" dataDxfId="1128">
      <xmlColumnPr mapId="2" xpath="/dataroot/Data_Demography_t/Age_Cat" xmlDataType="string"/>
    </tableColumn>
    <tableColumn id="6" uniqueName="Sex" name="Sex" dataDxfId="1127">
      <xmlColumnPr mapId="2" xpath="/dataroot/Data_Demography_t/Sex" xmlDataType="string"/>
    </tableColumn>
    <tableColumn id="5" uniqueName="Total" name="Total" dataDxfId="1126" dataCellStyle="Comma">
      <xmlColumnPr mapId="2" xpath="/dataroot/Data_Demography_t/Total" xmlDataType="double"/>
    </tableColumn>
    <tableColumn id="7" uniqueName="Total2" name="Total2" dataDxfId="1125">
      <calculatedColumnFormula>IF(F5="M",-G5,G5)</calculatedColumnFormula>
      <xmlColumnPr mapId="2" xpath="/dataroot/Data_Demography_t/Total2" xmlDataType="double"/>
    </tableColumn>
    <tableColumn id="8" uniqueName="Source" name="Source" dataDxfId="1124">
      <xmlColumnPr mapId="2" xpath="/dataroot/Data_Demography_t/Source" xmlDataType="string"/>
    </tableColumn>
    <tableColumn id="10" uniqueName="Updated Date" name="Updated Date" dataDxfId="1123">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1108" dataDxfId="1106" headerRowBorderDxfId="1107" tableBorderDxfId="1105" totalsRowBorderDxfId="1104">
  <autoFilter ref="A1:H154"/>
  <sortState ref="A2:H183">
    <sortCondition descending="1" ref="C1:C183"/>
  </sortState>
  <tableColumns count="8">
    <tableColumn id="1" uniqueName="State" name="State" dataDxfId="1103">
      <xmlColumnPr mapId="6" xpath="/dataroot/Data_Vulnerability_t/State" xmlDataType="string"/>
    </tableColumn>
    <tableColumn id="2" uniqueName="Township" name="Township" dataDxfId="1102">
      <xmlColumnPr mapId="6" xpath="/dataroot/Data_Vulnerability_t/Township" xmlDataType="string"/>
    </tableColumn>
    <tableColumn id="3" uniqueName="Camp Name" name="Camp Name" dataDxfId="1101">
      <xmlColumnPr mapId="6" xpath="/dataroot/Data_Vulnerability_t/Camp_x005f_x0020_Name" xmlDataType="string"/>
    </tableColumn>
    <tableColumn id="7" uniqueName="Pcode" name="Pcode" dataDxfId="1100">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99">
      <xmlColumnPr mapId="6" xpath="/dataroot/Data_Vulnerability_t/Vulnerability" xmlDataType="string"/>
    </tableColumn>
    <tableColumn id="5" uniqueName="Total" name="Total" dataDxfId="1098">
      <xmlColumnPr mapId="6" xpath="/dataroot/Data_Vulnerability_t/Total" xmlDataType="double"/>
    </tableColumn>
    <tableColumn id="6" uniqueName="Source" name="Source" dataDxfId="1097">
      <xmlColumnPr mapId="6" xpath="/dataroot/Data_Vulnerability_t/Source" xmlDataType="string"/>
    </tableColumn>
    <tableColumn id="8" uniqueName="Updated date" name="Updated date" dataDxfId="1096">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860" headerRowBorderDxfId="859" tableBorderDxfId="858" totalsRowBorderDxfId="857">
  <autoFilter ref="A4:Y141"/>
  <sortState ref="A5:Y141">
    <sortCondition descending="1" ref="A4:A141"/>
  </sortState>
  <tableColumns count="25">
    <tableColumn id="1" uniqueName="DateUpdated" name="DateUpdated" totalsRowLabel="Total" dataDxfId="856" totalsRowDxfId="855">
      <xmlColumnPr mapId="5" xpath="/dataroot/Data_Shelter_t/DateUpdated" xmlDataType="dateTime"/>
    </tableColumn>
    <tableColumn id="2" uniqueName="Organization" name="Organization" dataDxfId="854" totalsRowDxfId="853">
      <xmlColumnPr mapId="5" xpath="/dataroot/Data_Shelter_t/Organization" xmlDataType="string"/>
    </tableColumn>
    <tableColumn id="3" uniqueName="Implementing Partner" name="Implementing Partner" dataDxfId="852" totalsRowDxfId="851">
      <xmlColumnPr mapId="5" xpath="/dataroot/Data_Shelter_t/Implementing_x005f_x0020_Partner" xmlDataType="string"/>
    </tableColumn>
    <tableColumn id="4" uniqueName="State" name="State" dataDxfId="850" totalsRowDxfId="849">
      <xmlColumnPr mapId="5" xpath="/dataroot/Data_Shelter_t/State" xmlDataType="string"/>
    </tableColumn>
    <tableColumn id="5" uniqueName="Township" name="Township" dataDxfId="848" totalsRowDxfId="847">
      <xmlColumnPr mapId="5" xpath="/dataroot/Data_Shelter_t/Township" xmlDataType="string"/>
    </tableColumn>
    <tableColumn id="6" uniqueName="Camp Name" name="Camp Name" dataDxfId="846" totalsRowDxfId="845">
      <xmlColumnPr mapId="5" xpath="/dataroot/Data_Shelter_t/Camp_x005f_x0020_Name" xmlDataType="string"/>
    </tableColumn>
    <tableColumn id="7" uniqueName="HH per Shelter" name="HH per Shelter" dataDxfId="844" totalsRowDxfId="843">
      <xmlColumnPr mapId="5" xpath="/dataroot/Data_Shelter_t/HH_x005f_x0020_per_x005f_x0020_Shelter" xmlDataType="double"/>
    </tableColumn>
    <tableColumn id="8" uniqueName="#ofFamilyTentPlanned(Target)" name="#ofFamilyTentPlanned(Target)" totalsRowFunction="sum" dataDxfId="842" totalsRowDxfId="841">
      <xmlColumnPr mapId="5" xpath="/dataroot/Data_Shelter_t/_x005f_x0023_ofFamilyTentPlanned_x005f_x0028_Target_x005f_x0029_" xmlDataType="string"/>
    </tableColumn>
    <tableColumn id="9" uniqueName="#ofFamilyTentDistributed" name="#ofFamilyTentDistributed" totalsRowFunction="sum" dataDxfId="840" totalsRowDxfId="839">
      <xmlColumnPr mapId="5" xpath="/dataroot/Data_Shelter_t/_x005f_x0023_ofFamilyTentDistributed" xmlDataType="string"/>
    </tableColumn>
    <tableColumn id="10" uniqueName="# of Temporary Shelter Planned (Target)" name="# of Temporary Shelter Planned (Target)" totalsRowFunction="sum" dataDxfId="838" totalsRowDxfId="837">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836" totalsRowDxfId="835">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834" totalsRowDxfId="833">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832" totalsRowDxfId="831">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830" totalsRowDxfId="829">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828" totalsRowDxfId="827">
      <xmlColumnPr mapId="5" xpath="/dataroot/Data_Shelter_t/_x005f_x0023_ofPermanentHouseUnderConstruction" xmlDataType="string"/>
    </tableColumn>
    <tableColumn id="23" uniqueName="23" name="# of Individual Shelter Planned (Target)" totalsRowFunction="sum" dataDxfId="826" totalsRowDxfId="825"/>
    <tableColumn id="22" uniqueName="22" name="# of Individual Shelter Built" totalsRowFunction="sum" dataDxfId="824" totalsRowDxfId="823"/>
    <tableColumn id="16" uniqueName="HH Covered" name="#of Individual Shelter Under Construction" totalsRowFunction="sum" dataDxfId="822" totalsRowDxfId="821">
      <xmlColumnPr mapId="5" xpath="/dataroot/Data_Shelter_t/HH_x005f_x0020_Covered" xmlDataType="double"/>
    </tableColumn>
    <tableColumn id="17" uniqueName="17" name="HH Covered" totalsRowFunction="sum" dataDxfId="820" totalsRowDxfId="819"/>
    <tableColumn id="18" uniqueName="Pcode" name="HH Covered 2" totalsRowFunction="sum" dataDxfId="818" totalsRowDxfId="817">
      <calculatedColumnFormula>IF(Data_Shelter_t[[#This Row],[Status]]="Open",Data_Shelter_t[[#This Row],[HH Covered]],0)</calculatedColumnFormula>
      <xmlColumnPr mapId="5" xpath="/dataroot/Data_Shelter_t/Pcode" xmlDataType="string"/>
    </tableColumn>
    <tableColumn id="27" uniqueName="27" name="Pcode" dataDxfId="816" totalsRowDxfId="815"/>
    <tableColumn id="19" uniqueName="Status" name="Status" dataDxfId="814" totalsRowDxfId="813"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812" totalsRowDxfId="811">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810" totalsRowDxfId="809">
      <calculatedColumnFormula>Data_Shelter_t[[#This Row],['# of Permanent House Planned (Target)]]+Data_Shelter_t[[#This Row],['# of Individual Shelter Planned (Target)]]</calculatedColumnFormula>
    </tableColumn>
    <tableColumn id="25" uniqueName="25" name="Built" totalsRowFunction="sum" dataDxfId="808" totalsRowDxfId="807">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803" dataDxfId="801" headerRowBorderDxfId="802">
  <autoFilter ref="A12:J45"/>
  <sortState ref="A13:J45">
    <sortCondition ref="D22"/>
  </sortState>
  <tableColumns count="10">
    <tableColumn id="1" uniqueName="Lot" name="Lot" dataDxfId="800">
      <xmlColumnPr mapId="3" xpath="/dataroot/Data_Infrastructure_t/Lot" xmlDataType="string"/>
    </tableColumn>
    <tableColumn id="8" uniqueName="State" name="State" dataDxfId="799">
      <xmlColumnPr mapId="3" xpath="/dataroot/Data_Infrastructure_t/State" xmlDataType="string"/>
    </tableColumn>
    <tableColumn id="9" uniqueName="Township" name="Township" dataDxfId="798">
      <xmlColumnPr mapId="3" xpath="/dataroot/Data_Infrastructure_t/Township" xmlDataType="string"/>
    </tableColumn>
    <tableColumn id="2" uniqueName="Camp" name="Camp" dataDxfId="797">
      <xmlColumnPr mapId="3" xpath="/dataroot/Data_Infrastructure_t/Camp" xmlDataType="string"/>
    </tableColumn>
    <tableColumn id="10" uniqueName="Pcode" name="Pcode" dataDxfId="796">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795">
      <xmlColumnPr mapId="3" xpath="/dataroot/Data_Infrastructure_t/Infrastructure" xmlDataType="string"/>
    </tableColumn>
    <tableColumn id="7" uniqueName="Type" name="Type" dataDxfId="794">
      <xmlColumnPr mapId="3" xpath="/dataroot/Data_Infrastructure_t/Type" xmlDataType="string"/>
    </tableColumn>
    <tableColumn id="4" uniqueName="Total" name="Total" dataDxfId="793" dataCellStyle="Comma 2">
      <xmlColumnPr mapId="3" xpath="/dataroot/Data_Infrastructure_t/Total" xmlDataType="double"/>
    </tableColumn>
    <tableColumn id="5" uniqueName="Status" name="Status" dataDxfId="792" dataCellStyle="Comma 2">
      <xmlColumnPr mapId="3" xpath="/dataroot/Data_Infrastructure_t/Status" xmlDataType="string"/>
    </tableColumn>
    <tableColumn id="6" uniqueName="Comment" name="Comment" dataDxfId="791">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766" tableBorderDxfId="765">
  <tableColumns count="7">
    <tableColumn id="1" name="Township" dataDxfId="764"/>
    <tableColumn id="2" name="# of HH" dataDxfId="763" dataCellStyle="Comma"/>
    <tableColumn id="3" name="# of Ind." dataDxfId="762" dataCellStyle="Comma"/>
    <tableColumn id="4" name="# of Camp" dataDxfId="761" dataCellStyle="Comma"/>
    <tableColumn id="5" name="# Ind. Covered" dataDxfId="760" dataCellStyle="Comma">
      <calculatedColumnFormula>'Shelter Progress'!O6</calculatedColumnFormula>
    </tableColumn>
    <tableColumn id="6" name="# Ind. Not Covered" dataDxfId="759" dataCellStyle="Comma">
      <calculatedColumnFormula>'Shelter Progress'!R6</calculatedColumnFormula>
    </tableColumn>
    <tableColumn id="7" name="% Coverage" dataDxfId="758"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48" dataDxfId="1547">
  <autoFilter ref="L1:L11"/>
  <tableColumns count="1">
    <tableColumn id="1" name="Rakhine" dataDxfId="1546"/>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M588" tableType="xml" totalsRowCount="1" headerRowDxfId="757" headerRowBorderDxfId="756" tableBorderDxfId="755">
  <autoFilter ref="A5:AM587"/>
  <sortState ref="A6:AM587">
    <sortCondition descending="1" ref="C5:C587"/>
  </sortState>
  <tableColumns count="39">
    <tableColumn id="29" uniqueName="Months" name="Months" dataDxfId="754">
      <calculatedColumnFormula>IF(ISBLANK(C6),"",(Report_Date-C6)/30)</calculatedColumnFormula>
      <xmlColumnPr mapId="4" xpath="/dataroot/Data_NFI_T/Months" xmlDataType="double"/>
    </tableColumn>
    <tableColumn id="31" uniqueName="year" name="year" dataDxfId="753" totalsRowDxfId="752">
      <calculatedColumnFormula>YEAR(Data_NFI_t[[#This Row],[Distribution Date]])</calculatedColumnFormula>
      <xmlColumnPr mapId="4" xpath="/dataroot/Data_NFI_T/year" xmlDataType="double"/>
    </tableColumn>
    <tableColumn id="1" uniqueName="Distribution Date" name="Distribution Date" dataDxfId="751">
      <xmlColumnPr mapId="4" xpath="/dataroot/Data_NFI_T/Distribution_x005f_x0020_Date" xmlDataType="dateTime"/>
    </tableColumn>
    <tableColumn id="2" uniqueName="Organization" name="Organization" dataDxfId="750">
      <xmlColumnPr mapId="4" xpath="/dataroot/Data_NFI_T/Organization" xmlDataType="string"/>
    </tableColumn>
    <tableColumn id="3" uniqueName="Implementing Partner" name="Implementing Partner" dataDxfId="749" totalsRowDxfId="748">
      <xmlColumnPr mapId="4" xpath="/dataroot/Data_NFI_T/Implementing_x005f_x0020_Partner" xmlDataType="string"/>
    </tableColumn>
    <tableColumn id="4" uniqueName="State" name="State" dataDxfId="747">
      <xmlColumnPr mapId="4" xpath="/dataroot/Data_NFI_T/State" xmlDataType="string"/>
    </tableColumn>
    <tableColumn id="5" uniqueName="Township" name="Township" dataDxfId="746">
      <xmlColumnPr mapId="4" xpath="/dataroot/Data_NFI_T/Township" xmlDataType="string"/>
    </tableColumn>
    <tableColumn id="6" uniqueName="Camp Name" name="Camp Name" dataDxfId="745">
      <xmlColumnPr mapId="4" xpath="/dataroot/Data_NFI_T/Camp_x005f_x0020_Name" xmlDataType="string"/>
    </tableColumn>
    <tableColumn id="7" uniqueName="Hygiene Kit" name="Hygiene Kit" dataDxfId="744" totalsRowDxfId="743">
      <xmlColumnPr mapId="4" xpath="/dataroot/Data_NFI_T/Hygiene_x005f_x0020_Kit" xmlDataType="string"/>
    </tableColumn>
    <tableColumn id="8" uniqueName="NFI Core Kit" name="NFI Core Kit" dataDxfId="742" totalsRowDxfId="741">
      <xmlColumnPr mapId="4" xpath="/dataroot/Data_NFI_T/NFI_x005f_x0020_Core_x005f_x0020_Kit" xmlDataType="string"/>
    </tableColumn>
    <tableColumn id="9" uniqueName="Sanitary Kit" name="Sanitary Kit" dataDxfId="740" totalsRowDxfId="739">
      <xmlColumnPr mapId="4" xpath="/dataroot/Data_NFI_T/Sanitary_x005f_x0020_Kit" xmlDataType="string"/>
    </tableColumn>
    <tableColumn id="10" uniqueName="Mosquito net" name="Mosquito net" dataDxfId="738" totalsRowDxfId="737">
      <xmlColumnPr mapId="4" xpath="/dataroot/Data_NFI_T/Mosquito_x005f_x0020_net" xmlDataType="string"/>
    </tableColumn>
    <tableColumn id="11" uniqueName="Tarpaulin" name="Tarpaulin" dataDxfId="736" totalsRowDxfId="735">
      <xmlColumnPr mapId="4" xpath="/dataroot/Data_NFI_T/Tarpaulin" xmlDataType="double"/>
    </tableColumn>
    <tableColumn id="12" uniqueName="Blanket" name="Blanket" dataDxfId="734" totalsRowDxfId="733">
      <xmlColumnPr mapId="4" xpath="/dataroot/Data_NFI_T/Blanket" xmlDataType="string"/>
    </tableColumn>
    <tableColumn id="13" uniqueName="Kitchen Set" name="Kitchen Set" dataDxfId="732" totalsRowDxfId="731">
      <xmlColumnPr mapId="4" xpath="/dataroot/Data_NFI_T/Kitchen_x005f_x0020_Set" xmlDataType="string"/>
    </tableColumn>
    <tableColumn id="14" uniqueName="Complementary Kit" name="Complementary Kit" dataDxfId="730" totalsRowDxfId="729">
      <xmlColumnPr mapId="4" xpath="/dataroot/Data_NFI_T/Complementary_x005f_x0020_Kit" xmlDataType="string"/>
    </tableColumn>
    <tableColumn id="26" uniqueName="Plastic Bucket" name="Plastic Bucket" dataDxfId="728" totalsRowDxfId="727">
      <xmlColumnPr mapId="4" xpath="/dataroot/Data_NFI_T/Plastic_x005f_x0020_Bucket" xmlDataType="string"/>
    </tableColumn>
    <tableColumn id="30" uniqueName="30" name="Jerry Can" dataDxfId="726" totalsRowDxfId="725"/>
    <tableColumn id="25" uniqueName="Plastic Mat" name="Plastic Mat" dataDxfId="724" totalsRowDxfId="723">
      <xmlColumnPr mapId="4" xpath="/dataroot/Data_NFI_T/Plastic_x005f_x0020_Mat" xmlDataType="string"/>
    </tableColumn>
    <tableColumn id="35" uniqueName="35" name="Adult Clothes" dataDxfId="722" totalsRowDxfId="721"/>
    <tableColumn id="34" uniqueName="34" name="Children Clothes" dataDxfId="720" totalsRowDxfId="719"/>
    <tableColumn id="32" uniqueName="32" name="Sewing Kit" dataDxfId="718" totalsRowDxfId="717"/>
    <tableColumn id="15" uniqueName="Hygiene Kit_LS" name="Hygiene Kit_LS" dataDxfId="716">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715">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714">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713">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712">
      <calculatedColumnFormula>IF(NFI_Expiration=1,IF($A6&lt;VLOOKUP(M$5,NFI,5,0),1,0)*Data_NFI_t[[#This Row],[Tarpaulin]],0)</calculatedColumnFormula>
      <xmlColumnPr mapId="4" xpath="/dataroot/Data_NFI_T/Tarpaulin_LS" xmlDataType="double"/>
    </tableColumn>
    <tableColumn id="20" uniqueName="Blanket_LS" name="Blanket_LS" dataDxfId="711">
      <calculatedColumnFormula>IF(NFI_Expiration=1,IF($A6&lt;VLOOKUP(N$5,NFI,5,0),1,0)*Data_NFI_t[[#This Row],[Blanket]],0)</calculatedColumnFormula>
      <xmlColumnPr mapId="4" xpath="/dataroot/Data_NFI_T/Blanket_LS" xmlDataType="double"/>
    </tableColumn>
    <tableColumn id="21" uniqueName="Kitchen Set_LS" name="Kitchen Set_LS" dataDxfId="710">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709">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708">
      <calculatedColumnFormula>IF(NFI_Expiration=1,IF($A6&lt;VLOOKUP(Q$5,NFI,5,0),1,0)*Data_NFI_t[[#This Row],[Plastic Bucket]],0)</calculatedColumnFormula>
      <xmlColumnPr mapId="4" xpath="/dataroot/Data_NFI_T/Plastic_x005f_x0020_Bucket_LS" xmlDataType="double"/>
    </tableColumn>
    <tableColumn id="33" uniqueName="33" name="Jerry Can_LS" dataDxfId="707">
      <calculatedColumnFormula>IF(NFI_Expiration=1,IF($A6&lt;VLOOKUP(R$5,NFI,5,0),1,0)*Data_NFI_t[[#This Row],[Jerry Can]],0)</calculatedColumnFormula>
    </tableColumn>
    <tableColumn id="27" uniqueName="Plastic  Mat_LS" name="Plastic  Mat_LS" dataDxfId="706">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705">
      <calculatedColumnFormula>IF(NFI_Expiration=1,IF($A6&lt;VLOOKUP(T$5,NFI,5,0),1,0)*Data_NFI_t[[#This Row],[Adult Clothes]],0)</calculatedColumnFormula>
    </tableColumn>
    <tableColumn id="38" uniqueName="38" name="Children Clothes_LS" dataDxfId="704">
      <calculatedColumnFormula>IF(NFI_Expiration=1,IF($A6&lt;VLOOKUP(U$5,NFI,5,0),1,0)*Data_NFI_t[[#This Row],[Children Clothes]],0)</calculatedColumnFormula>
    </tableColumn>
    <tableColumn id="37" uniqueName="37" name="Sewing Kit_LS" dataDxfId="703">
      <calculatedColumnFormula>IF(NFI_Expiration=1,IF($A6&lt;VLOOKUP(V$5,NFI,5,0),1,0)*Data_NFI_t[[#This Row],[Sewing Kit]],0)</calculatedColumnFormula>
    </tableColumn>
    <tableColumn id="23" uniqueName="Pcode" name="Pcode" dataDxfId="702">
      <calculatedColumnFormula>IFERROR(OFFSET(Camp_List[P_Code],MATCH(Data_NFI_t[[#This Row],[Camp Name]],Camp_List[Camp Name],0)-1,0,1,1),"")</calculatedColumnFormula>
      <xmlColumnPr mapId="4" xpath="/dataroot/Data_NFI_T/Pcode" xmlDataType="string"/>
    </tableColumn>
    <tableColumn id="24" uniqueName="Status" name="Status" dataDxfId="701">
      <calculatedColumnFormula>IFERROR(OFFSET(Camp_List[Status],MATCH(Data_NFI_t[[#This Row],[Camp Name]],Camp_List[Camp Name],0)-1,0,1,1),"")</calculatedColumnFormula>
      <xmlColumnPr mapId="4" xpath="/dataroot/Data_NFI_T/Status" xmlDataType="string"/>
    </tableColumn>
    <tableColumn id="39" uniqueName="39" name="Remark" dataDxfId="700"/>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M50" totalsRowShown="0" headerRowDxfId="684" headerRowBorderDxfId="683" tableBorderDxfId="682" totalsRowBorderDxfId="681">
  <autoFilter ref="A43:M50"/>
  <sortState ref="A44:N49">
    <sortCondition descending="1" ref="A43:A49"/>
  </sortState>
  <tableColumns count="13">
    <tableColumn id="1" name="Township" dataDxfId="680">
      <calculatedColumnFormula>P44</calculatedColumnFormula>
    </tableColumn>
    <tableColumn id="2" name="Sanitary Kit" dataDxfId="679"/>
    <tableColumn id="3" name=" Mosquito net" dataDxfId="678"/>
    <tableColumn id="4" name=" Tarpaulin" dataDxfId="677"/>
    <tableColumn id="5" name=" Blanket" dataDxfId="676"/>
    <tableColumn id="6" name=" Kitchen Set" dataDxfId="675"/>
    <tableColumn id="7" name=" Complementary Kit" dataDxfId="674"/>
    <tableColumn id="8" name=" Plastic Bucket" dataDxfId="673"/>
    <tableColumn id="9" name=" Jerry Can" dataDxfId="672"/>
    <tableColumn id="10" name=" Plastic  Mat" dataDxfId="671"/>
    <tableColumn id="11" name="Adult Clothes" dataDxfId="670"/>
    <tableColumn id="12" name="Children Clothes" dataDxfId="669"/>
    <tableColumn id="13" name="Sewing Kit" dataDxfId="668"/>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56:M69" totalsRowShown="0" headerRowDxfId="667" totalsRowDxfId="664" headerRowBorderDxfId="666" tableBorderDxfId="665" totalsRowBorderDxfId="663">
  <autoFilter ref="A56:M69"/>
  <tableColumns count="13">
    <tableColumn id="1" name="Organization" totalsRowDxfId="662">
      <calculatedColumnFormula>#REF!</calculatedColumnFormula>
    </tableColumn>
    <tableColumn id="2" name="Sanitary Kit" totalsRowDxfId="661"/>
    <tableColumn id="3" name=" Mosquito net" totalsRowDxfId="660"/>
    <tableColumn id="4" name=" Tarpaulin" totalsRowDxfId="659"/>
    <tableColumn id="5" name=" Blanket" totalsRowDxfId="658"/>
    <tableColumn id="6" name=" Kitchen Set" totalsRowDxfId="657"/>
    <tableColumn id="7" name=" Complementary Kit" totalsRowDxfId="656"/>
    <tableColumn id="8" name=" Plastic Bucket" totalsRowDxfId="655"/>
    <tableColumn id="9" name=" Jerry Can" totalsRowDxfId="654"/>
    <tableColumn id="10" name=" Plastic  Mat" totalsRowDxfId="653">
      <calculatedColumnFormula>GETPIVOTDATA(" Plastic  Mat",$P$56,"Organization","RI")/5</calculatedColumnFormula>
    </tableColumn>
    <tableColumn id="11" name="Adult Clothes" totalsRowDxfId="652">
      <calculatedColumnFormula>GETPIVOTDATA("Children Clothes ",$P$56,"Organization","SI")</calculatedColumnFormula>
    </tableColumn>
    <tableColumn id="12" name="Children Clothes" totalsRowDxfId="651">
      <calculatedColumnFormula>GETPIVOTDATA("Sewing Kit ",$P$56,"Organization","S")</calculatedColumnFormula>
    </tableColumn>
    <tableColumn id="13" name="Sewing Kit" totalsRowDxfId="650"/>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M17" totalsRowCount="1">
  <autoFilter ref="A10:M16"/>
  <tableColumns count="13">
    <tableColumn id="1" name="Year" totalsRowFunction="custom" dataDxfId="635" totalsRowDxfId="634">
      <calculatedColumnFormula>P11</calculatedColumnFormula>
      <totalsRowFormula>P17</totalsRowFormula>
    </tableColumn>
    <tableColumn id="2" name="Sanitary Kit" totalsRowFunction="sum" dataDxfId="633" totalsRowDxfId="632">
      <calculatedColumnFormula>Q11/1</calculatedColumnFormula>
    </tableColumn>
    <tableColumn id="3" name="Mosquito net" totalsRowFunction="sum" dataDxfId="631" totalsRowDxfId="630">
      <calculatedColumnFormula>R11/2</calculatedColumnFormula>
    </tableColumn>
    <tableColumn id="4" name="Tarpaulin" totalsRowFunction="sum" dataDxfId="629" totalsRowDxfId="628">
      <calculatedColumnFormula>S11/1</calculatedColumnFormula>
    </tableColumn>
    <tableColumn id="5" name="Blanket" totalsRowFunction="sum" dataDxfId="627" totalsRowDxfId="626">
      <calculatedColumnFormula>T11/2</calculatedColumnFormula>
    </tableColumn>
    <tableColumn id="6" name="Kitchen Set" totalsRowFunction="sum" dataDxfId="625" totalsRowDxfId="624">
      <calculatedColumnFormula>U11/1</calculatedColumnFormula>
    </tableColumn>
    <tableColumn id="7" name="Complementary Kit" totalsRowFunction="sum" dataDxfId="623" totalsRowDxfId="622">
      <calculatedColumnFormula>V11/1</calculatedColumnFormula>
    </tableColumn>
    <tableColumn id="8" name="Plastic Bucket" totalsRowFunction="sum" dataDxfId="621" totalsRowDxfId="620">
      <calculatedColumnFormula>W11/1</calculatedColumnFormula>
    </tableColumn>
    <tableColumn id="9" name="Jerry Can" totalsRowFunction="sum" dataDxfId="619" totalsRowDxfId="618"/>
    <tableColumn id="10" name="Plastic Mat" totalsRowFunction="sum" dataDxfId="617" totalsRowDxfId="616"/>
    <tableColumn id="11" name="Adult Clothes" totalsRowFunction="sum" dataDxfId="615" totalsRowDxfId="614"/>
    <tableColumn id="12" name="Children Clothes" totalsRowFunction="sum" dataDxfId="613" totalsRowDxfId="612"/>
    <tableColumn id="13" name="Sewing Kit" totalsRowFunction="sum" dataDxfId="611" totalsRowDxfId="610"/>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4:M69" totalsRowShown="0" headerRowBorderDxfId="609" tableBorderDxfId="608" totalsRowBorderDxfId="607">
  <autoFilter ref="A24:M69"/>
  <tableColumns count="13">
    <tableColumn id="1" name="Township" dataDxfId="606"/>
    <tableColumn id="2" name="Sanitary Kit" dataDxfId="605"/>
    <tableColumn id="3" name="Mosquito net" dataDxfId="604"/>
    <tableColumn id="4" name="Tarpaulin" dataDxfId="603"/>
    <tableColumn id="5" name="Blanket" dataDxfId="602"/>
    <tableColumn id="6" name="Kitchen Set" dataDxfId="601"/>
    <tableColumn id="7" name="Complementary Kit" dataDxfId="600"/>
    <tableColumn id="8" name="Plastic Bucket" dataDxfId="599"/>
    <tableColumn id="9" name="Jerry Can" dataDxfId="598"/>
    <tableColumn id="10" name="Plastic Mat" dataDxfId="597"/>
    <tableColumn id="11" name="Adult Clothes" dataDxfId="596"/>
    <tableColumn id="12" name="Children Clothes" dataDxfId="595"/>
    <tableColumn id="13" name="Sewing Kit" dataDxfId="594">
      <calculatedColumnFormula>SUM(M21:M24)</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45" dataDxfId="1544">
  <autoFilter ref="N1:N6"/>
  <sortState ref="N2:N5">
    <sortCondition ref="N3"/>
  </sortState>
  <tableColumns count="1">
    <tableColumn id="1" name="Type of Accomodation" dataDxfId="1543"/>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42" dataDxfId="1541">
  <autoFilter ref="P1:P4"/>
  <tableColumns count="1">
    <tableColumn id="1" name="Camp_Acessibility" dataDxfId="1540"/>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39">
  <autoFilter ref="Z1:AB7"/>
  <sortState ref="Z2:AB7">
    <sortCondition ref="Z6"/>
  </sortState>
  <tableColumns count="3">
    <tableColumn id="1" name="Organization_Code" dataDxfId="1538"/>
    <tableColumn id="2" name="Organization" dataDxfId="1537"/>
    <tableColumn id="3" name="Contact" dataDxfId="1536"/>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28"/>
      <c r="B1" s="129"/>
      <c r="C1" s="90"/>
      <c r="E1" t="s">
        <v>675</v>
      </c>
      <c r="K1" t="s">
        <v>676</v>
      </c>
      <c r="L1" t="s">
        <v>677</v>
      </c>
    </row>
    <row r="2" spans="1:13" ht="51.75" x14ac:dyDescent="0.25">
      <c r="A2" s="128"/>
      <c r="B2" s="129" t="s">
        <v>678</v>
      </c>
      <c r="C2" s="129" t="str">
        <f>CONCATENATE("d:\",C3,".kml")</f>
        <v>d:\Rakhine_CampList_20170301.kml</v>
      </c>
      <c r="G2" t="s">
        <v>679</v>
      </c>
      <c r="H2" t="s">
        <v>680</v>
      </c>
      <c r="K2" t="s">
        <v>681</v>
      </c>
      <c r="L2" t="s">
        <v>682</v>
      </c>
      <c r="M2" t="s">
        <v>683</v>
      </c>
    </row>
    <row r="3" spans="1:13" x14ac:dyDescent="0.25">
      <c r="A3" s="128"/>
      <c r="B3" s="130" t="s">
        <v>684</v>
      </c>
      <c r="C3" s="90" t="str">
        <f>CONCATENATE("Rakhine_CampList_",TEXT(Report_Date,"yyyymmdd"))</f>
        <v>Rakhine_CampList_20170301</v>
      </c>
      <c r="G3" t="s">
        <v>685</v>
      </c>
      <c r="H3" t="s">
        <v>686</v>
      </c>
      <c r="K3" t="s">
        <v>687</v>
      </c>
      <c r="L3" t="s">
        <v>688</v>
      </c>
      <c r="M3" t="s">
        <v>689</v>
      </c>
    </row>
    <row r="4" spans="1:13" x14ac:dyDescent="0.25">
      <c r="A4" s="128"/>
      <c r="B4" s="130"/>
      <c r="C4" s="90"/>
      <c r="G4" t="s">
        <v>690</v>
      </c>
      <c r="H4" t="s">
        <v>691</v>
      </c>
      <c r="K4" t="s">
        <v>692</v>
      </c>
      <c r="L4" t="s">
        <v>693</v>
      </c>
      <c r="M4" t="s">
        <v>694</v>
      </c>
    </row>
    <row r="5" spans="1:13" x14ac:dyDescent="0.25">
      <c r="B5" t="s">
        <v>695</v>
      </c>
      <c r="C5" t="s">
        <v>696</v>
      </c>
      <c r="K5" t="s">
        <v>697</v>
      </c>
      <c r="L5" t="s">
        <v>698</v>
      </c>
      <c r="M5" t="s">
        <v>699</v>
      </c>
    </row>
    <row r="6" spans="1:13" x14ac:dyDescent="0.25">
      <c r="B6" t="s">
        <v>700</v>
      </c>
      <c r="C6" t="s">
        <v>701</v>
      </c>
      <c r="K6" t="s">
        <v>702</v>
      </c>
      <c r="L6" t="s">
        <v>703</v>
      </c>
      <c r="M6" t="s">
        <v>704</v>
      </c>
    </row>
    <row r="8" spans="1:13" x14ac:dyDescent="0.25">
      <c r="B8" t="s">
        <v>666</v>
      </c>
      <c r="C8" t="s">
        <v>667</v>
      </c>
    </row>
    <row r="9" spans="1:13" x14ac:dyDescent="0.25">
      <c r="B9" t="s">
        <v>668</v>
      </c>
      <c r="C9" t="s">
        <v>669</v>
      </c>
      <c r="D9" t="s">
        <v>670</v>
      </c>
    </row>
    <row r="10" spans="1:13" x14ac:dyDescent="0.25">
      <c r="B10" t="s">
        <v>671</v>
      </c>
      <c r="C10" t="s">
        <v>672</v>
      </c>
    </row>
    <row r="11" spans="1:13" x14ac:dyDescent="0.25">
      <c r="B11" t="s">
        <v>673</v>
      </c>
      <c r="C11" t="s">
        <v>674</v>
      </c>
    </row>
    <row r="13" spans="1:13" x14ac:dyDescent="0.25">
      <c r="B13" t="s">
        <v>705</v>
      </c>
      <c r="C13" t="s">
        <v>706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x14ac:dyDescent="0.3">
      <c r="O1" s="19"/>
      <c r="P1" s="19"/>
      <c r="S1" s="19">
        <v>19</v>
      </c>
      <c r="T1" s="132" t="s">
        <v>536</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x14ac:dyDescent="0.25">
      <c r="O2" s="19"/>
      <c r="P2" s="19"/>
      <c r="S2" s="19">
        <v>92.8</v>
      </c>
      <c r="T2" s="135" t="s">
        <v>566</v>
      </c>
      <c r="U2" s="136" t="s">
        <v>1</v>
      </c>
      <c r="V2" s="136" t="s">
        <v>568</v>
      </c>
      <c r="W2" s="137" t="s">
        <v>567</v>
      </c>
      <c r="X2" s="135" t="s">
        <v>571</v>
      </c>
      <c r="Y2" s="136" t="s">
        <v>572</v>
      </c>
      <c r="Z2" s="138" t="s">
        <v>708</v>
      </c>
      <c r="AA2" s="139" t="s">
        <v>234</v>
      </c>
      <c r="AB2" s="140" t="s">
        <v>537</v>
      </c>
      <c r="AC2" s="136" t="s">
        <v>538</v>
      </c>
      <c r="AD2" s="141" t="s">
        <v>539</v>
      </c>
      <c r="AE2" s="86" t="s">
        <v>569</v>
      </c>
      <c r="AF2" s="85" t="s">
        <v>570</v>
      </c>
      <c r="AG2" s="142" t="s">
        <v>709</v>
      </c>
      <c r="CT2" s="5"/>
      <c r="CU2" s="5"/>
      <c r="CV2" s="5"/>
      <c r="CW2" s="5"/>
      <c r="CX2" s="5"/>
      <c r="CY2" s="5"/>
      <c r="CZ2" s="5"/>
      <c r="DA2" s="5"/>
      <c r="DB2" s="5"/>
      <c r="DC2" s="5"/>
      <c r="DD2" s="5"/>
      <c r="DE2" s="5"/>
      <c r="DF2" s="5"/>
      <c r="DG2" s="5"/>
      <c r="DH2" s="5"/>
    </row>
    <row r="3" spans="15:112" ht="15" x14ac:dyDescent="0.25">
      <c r="O3" s="19"/>
      <c r="P3" s="19"/>
      <c r="S3" s="19">
        <v>600</v>
      </c>
      <c r="T3" s="143" t="s">
        <v>710</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x14ac:dyDescent="0.25">
      <c r="O4" s="19"/>
      <c r="P4" s="19"/>
      <c r="S4" s="19">
        <v>150</v>
      </c>
      <c r="T4" s="149" t="s">
        <v>711</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x14ac:dyDescent="0.25">
      <c r="O5" s="19"/>
      <c r="P5" s="19"/>
      <c r="S5" s="19">
        <v>250</v>
      </c>
      <c r="T5" s="143" t="s">
        <v>712</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x14ac:dyDescent="0.25">
      <c r="O6" s="19"/>
      <c r="P6" s="19"/>
      <c r="T6" s="149"/>
      <c r="U6" s="144" t="str">
        <f>'CCCM Dashboard'!H20</f>
        <v>Myebon</v>
      </c>
      <c r="V6" s="81">
        <v>93.45</v>
      </c>
      <c r="W6" s="83">
        <v>19.899999999999999</v>
      </c>
      <c r="X6" s="144">
        <f>'CCCM Dashboard'!I20</f>
        <v>662</v>
      </c>
      <c r="Y6" s="144">
        <f>'CCCM Dashboard'!J20</f>
        <v>2679</v>
      </c>
      <c r="Z6" s="144">
        <f>'CCCM Dashboard'!K20</f>
        <v>1</v>
      </c>
      <c r="AA6" s="145">
        <f ca="1">'Shelter Coverage &amp; Gaps'!G21</f>
        <v>1</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x14ac:dyDescent="0.25">
      <c r="O7" s="19"/>
      <c r="P7" s="19"/>
      <c r="T7" s="149" t="s">
        <v>713</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x14ac:dyDescent="0.25">
      <c r="O8" s="19"/>
      <c r="P8" s="19"/>
      <c r="T8" s="143" t="s">
        <v>714</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x14ac:dyDescent="0.25">
      <c r="O9" s="19"/>
      <c r="P9" s="19"/>
      <c r="T9" s="149" t="s">
        <v>715</v>
      </c>
      <c r="U9" s="144" t="str">
        <f>'CCCM Dashboard'!H23</f>
        <v>Pauktaw</v>
      </c>
      <c r="V9" s="81">
        <v>93.15</v>
      </c>
      <c r="W9" s="83">
        <v>19.984999999999999</v>
      </c>
      <c r="X9" s="144">
        <f>'CCCM Dashboard'!I23</f>
        <v>3629</v>
      </c>
      <c r="Y9" s="144">
        <f>'CCCM Dashboard'!J23</f>
        <v>15985</v>
      </c>
      <c r="Z9" s="144">
        <f>'CCCM Dashboard'!K23</f>
        <v>4</v>
      </c>
      <c r="AA9" s="145">
        <f ca="1">'Shelter Coverage &amp; Gaps'!G24</f>
        <v>0.56903765690376562</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x14ac:dyDescent="0.2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x14ac:dyDescent="0.25">
      <c r="O11" s="19"/>
      <c r="P11" s="19"/>
      <c r="T11" s="143" t="s">
        <v>716</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x14ac:dyDescent="0.3">
      <c r="O12" s="19"/>
      <c r="P12" s="19"/>
      <c r="T12" s="149" t="s">
        <v>717</v>
      </c>
      <c r="U12" s="144" t="str">
        <f>'CCCM Dashboard'!H26</f>
        <v>Sittwe</v>
      </c>
      <c r="V12" s="82">
        <v>92.7</v>
      </c>
      <c r="W12" s="84">
        <v>20.11</v>
      </c>
      <c r="X12" s="144">
        <f>'CCCM Dashboard'!I26</f>
        <v>17786</v>
      </c>
      <c r="Y12" s="144">
        <f>'CCCM Dashboard'!J26</f>
        <v>94717</v>
      </c>
      <c r="Z12" s="144">
        <f>'CCCM Dashboard'!K26</f>
        <v>11</v>
      </c>
      <c r="AA12" s="145">
        <f ca="1">'Shelter Coverage &amp; Gaps'!G27</f>
        <v>0.79931462840008571</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x14ac:dyDescent="0.25">
      <c r="O13" s="19"/>
      <c r="P13" s="19"/>
      <c r="T13" s="143"/>
      <c r="U13" s="144" t="s">
        <v>7</v>
      </c>
      <c r="V13" s="149">
        <v>94</v>
      </c>
      <c r="W13" s="144">
        <v>20</v>
      </c>
      <c r="X13" s="148">
        <f>SUBTOTAL(109,X3:X12)</f>
        <v>23574</v>
      </c>
      <c r="Y13" s="148">
        <f>SUBTOTAL(109,Y3:Y12)</f>
        <v>120506</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x14ac:dyDescent="0.25">
      <c r="O14" s="19"/>
      <c r="P14" s="19"/>
      <c r="CT14" s="5"/>
      <c r="CU14" s="5"/>
      <c r="CV14" s="5"/>
      <c r="CW14" s="5"/>
      <c r="CX14" s="5"/>
      <c r="CY14" s="5"/>
      <c r="CZ14" s="5"/>
      <c r="DA14" s="5"/>
      <c r="DB14" s="5"/>
      <c r="DC14" s="5"/>
      <c r="DD14" s="5"/>
      <c r="DE14" s="5"/>
      <c r="DF14" s="5"/>
      <c r="DG14" s="5"/>
      <c r="DH14" s="5"/>
    </row>
    <row r="15" spans="15:112" ht="15" x14ac:dyDescent="0.25">
      <c r="O15" s="19"/>
      <c r="P15" s="19"/>
      <c r="CT15" s="5"/>
      <c r="CU15" s="5"/>
      <c r="CV15" s="5"/>
      <c r="CW15" s="5"/>
      <c r="CX15" s="5"/>
      <c r="CY15" s="5"/>
      <c r="CZ15" s="5"/>
      <c r="DA15" s="5"/>
      <c r="DB15" s="5"/>
      <c r="DC15" s="5"/>
      <c r="DD15" s="5"/>
      <c r="DE15" s="5"/>
      <c r="DF15" s="5"/>
      <c r="DG15" s="5"/>
      <c r="DH15" s="5"/>
    </row>
    <row r="16" spans="15:112" ht="15" x14ac:dyDescent="0.25">
      <c r="O16" s="19"/>
      <c r="P16" s="19"/>
      <c r="CT16" s="5"/>
      <c r="CU16" s="5"/>
      <c r="CV16" s="5"/>
      <c r="CW16" s="5"/>
      <c r="CX16" s="5"/>
      <c r="CY16" s="5"/>
      <c r="CZ16" s="5"/>
      <c r="DA16" s="5"/>
      <c r="DB16" s="5"/>
      <c r="DC16" s="5"/>
      <c r="DD16" s="5"/>
      <c r="DE16" s="5"/>
      <c r="DF16" s="5"/>
      <c r="DG16" s="5"/>
      <c r="DH16" s="5"/>
    </row>
    <row r="17" spans="1:112" ht="15" x14ac:dyDescent="0.25">
      <c r="O17" s="19"/>
      <c r="P17" s="19"/>
      <c r="CT17" s="5"/>
      <c r="CU17" s="5"/>
      <c r="CV17" s="5"/>
      <c r="CW17" s="5"/>
      <c r="CX17" s="5"/>
      <c r="CY17" s="5"/>
      <c r="CZ17" s="5"/>
      <c r="DA17" s="5"/>
      <c r="DB17" s="5"/>
      <c r="DC17" s="5"/>
      <c r="DD17" s="5"/>
      <c r="DE17" s="5"/>
      <c r="DF17" s="5"/>
      <c r="DG17" s="5"/>
      <c r="DH17" s="5"/>
    </row>
    <row r="18" spans="1:112" ht="15" x14ac:dyDescent="0.25">
      <c r="O18" s="19"/>
      <c r="P18" s="19"/>
      <c r="CT18" s="5"/>
      <c r="CU18" s="5"/>
      <c r="CV18" s="5"/>
      <c r="CW18" s="5"/>
      <c r="CX18" s="5"/>
      <c r="CY18" s="5"/>
      <c r="CZ18" s="5"/>
      <c r="DA18" s="5"/>
      <c r="DB18" s="5"/>
      <c r="DC18" s="5"/>
      <c r="DD18" s="5"/>
      <c r="DE18" s="5"/>
      <c r="DF18" s="5"/>
      <c r="DG18" s="5"/>
      <c r="DH18" s="5"/>
    </row>
    <row r="19" spans="1:112" ht="15" x14ac:dyDescent="0.25">
      <c r="O19" s="19"/>
      <c r="P19" s="19"/>
      <c r="CT19" s="5"/>
      <c r="CU19" s="5"/>
      <c r="CV19" s="5"/>
      <c r="CW19" s="5"/>
      <c r="CX19" s="5"/>
      <c r="CY19" s="5"/>
      <c r="CZ19" s="5"/>
      <c r="DA19" s="5"/>
      <c r="DB19" s="5"/>
      <c r="DC19" s="5"/>
      <c r="DD19" s="5"/>
      <c r="DE19" s="5"/>
      <c r="DF19" s="5"/>
      <c r="DG19" s="5"/>
      <c r="DH19" s="5"/>
    </row>
    <row r="20" spans="1:112" ht="15" x14ac:dyDescent="0.25">
      <c r="O20" s="19"/>
      <c r="P20" s="19"/>
      <c r="CT20" s="5"/>
      <c r="CU20" s="5"/>
      <c r="CV20" s="5"/>
      <c r="CW20" s="5"/>
      <c r="CX20" s="5"/>
      <c r="CY20" s="5"/>
      <c r="CZ20" s="5"/>
      <c r="DA20" s="5"/>
      <c r="DB20" s="5"/>
      <c r="DC20" s="5"/>
      <c r="DD20" s="5"/>
      <c r="DE20" s="5"/>
      <c r="DF20" s="5"/>
      <c r="DG20" s="5"/>
      <c r="DH20" s="5"/>
    </row>
    <row r="21" spans="1:112" ht="15" x14ac:dyDescent="0.25">
      <c r="DA21" s="77"/>
      <c r="DB21" s="78"/>
      <c r="DC21" s="78"/>
      <c r="DD21" s="78"/>
      <c r="DE21" s="78"/>
    </row>
    <row r="22" spans="1:112" ht="15" x14ac:dyDescent="0.25">
      <c r="A22" s="152"/>
      <c r="B22" s="152"/>
      <c r="C22" s="152"/>
      <c r="D22" s="152"/>
      <c r="E22" s="152"/>
      <c r="F22" s="152"/>
      <c r="G22" s="152"/>
      <c r="H22" s="152"/>
      <c r="I22" s="152"/>
      <c r="J22" s="152"/>
      <c r="K22" s="152"/>
      <c r="L22" s="152"/>
      <c r="M22" s="152"/>
      <c r="N22" s="153"/>
      <c r="DA22" s="77"/>
      <c r="DB22" s="78"/>
      <c r="DC22" s="78"/>
      <c r="DD22" s="78"/>
      <c r="DE22" s="78"/>
    </row>
    <row r="23" spans="1:112" ht="15" x14ac:dyDescent="0.25">
      <c r="A23" s="144"/>
      <c r="B23" s="144"/>
      <c r="C23" s="150"/>
      <c r="D23" s="150"/>
      <c r="E23" s="151"/>
      <c r="F23" s="151"/>
      <c r="G23" s="152"/>
      <c r="H23" s="152"/>
      <c r="I23" s="152"/>
      <c r="J23" s="152"/>
      <c r="K23" s="152"/>
      <c r="L23" s="152"/>
      <c r="M23" s="152"/>
      <c r="N23" s="153"/>
      <c r="DA23" s="77"/>
      <c r="DB23" s="78"/>
      <c r="DC23" s="78"/>
      <c r="DD23" s="78"/>
      <c r="DE23" s="78"/>
    </row>
    <row r="24" spans="1:112" ht="15" x14ac:dyDescent="0.25">
      <c r="G24" s="152"/>
      <c r="H24" s="152"/>
      <c r="I24" s="152"/>
      <c r="J24" s="152"/>
      <c r="K24" s="152"/>
      <c r="L24" s="152"/>
      <c r="DA24" s="77"/>
      <c r="DE24" s="1"/>
      <c r="DF24" s="55"/>
    </row>
    <row r="25" spans="1:112" ht="15" x14ac:dyDescent="0.25">
      <c r="DA25" s="77"/>
      <c r="DE25" s="1"/>
      <c r="DF25" s="55"/>
    </row>
    <row r="26" spans="1:112" ht="15" x14ac:dyDescent="0.25">
      <c r="P26" s="87"/>
      <c r="Q26" s="87"/>
      <c r="DA26" s="77"/>
      <c r="DE26" s="1"/>
      <c r="DF26" s="55"/>
    </row>
    <row r="27" spans="1:112" s="19"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579" priority="1" operator="between">
      <formula>0.4</formula>
      <formula>0.6</formula>
    </cfRule>
    <cfRule type="cellIs" dxfId="578" priority="2" operator="greaterThan">
      <formula>0.8</formula>
    </cfRule>
    <cfRule type="cellIs" dxfId="577" priority="3" operator="between">
      <formula>0.6</formula>
      <formula>0.8</formula>
    </cfRule>
    <cfRule type="cellIs" dxfId="576" priority="4" operator="between">
      <formula>0.2</formula>
      <formula>0.4</formula>
    </cfRule>
    <cfRule type="cellIs" dxfId="575"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x14ac:dyDescent="0.25"/>
  <cols>
    <col min="1" max="1" width="36.28515625" bestFit="1" customWidth="1"/>
    <col min="2" max="2" width="16.7109375" customWidth="1"/>
  </cols>
  <sheetData>
    <row r="2" spans="1:15" x14ac:dyDescent="0.25">
      <c r="B2" t="s">
        <v>975</v>
      </c>
      <c r="D2" t="s">
        <v>984</v>
      </c>
    </row>
    <row r="3" spans="1:15" x14ac:dyDescent="0.25">
      <c r="B3" t="s">
        <v>976</v>
      </c>
    </row>
    <row r="5" spans="1:15" x14ac:dyDescent="0.25">
      <c r="A5" s="29" t="s">
        <v>980</v>
      </c>
      <c r="B5" s="558">
        <f>SUMIFS(Camplist_Popl,CampList_TypeOfAcc,"Planned Camp")</f>
        <v>99544</v>
      </c>
    </row>
    <row r="6" spans="1:15" s="90" customFormat="1" x14ac:dyDescent="0.25">
      <c r="A6" s="29" t="s">
        <v>982</v>
      </c>
      <c r="B6" s="558">
        <f>SUMIFS(Camplist_Popl,CampList_TypeOfAcc,"Self Settled Camp")</f>
        <v>14843</v>
      </c>
      <c r="C6" s="793"/>
    </row>
    <row r="7" spans="1:15" s="90" customFormat="1" x14ac:dyDescent="0.25">
      <c r="A7" s="29" t="s">
        <v>981</v>
      </c>
      <c r="B7" s="558">
        <f>SUMIFS(Camplist_Popl,CampList_TypeOfAcc,"Host Families")</f>
        <v>6119</v>
      </c>
      <c r="C7" s="793"/>
    </row>
    <row r="8" spans="1:15" ht="30" x14ac:dyDescent="0.25">
      <c r="A8" s="572" t="s">
        <v>983</v>
      </c>
      <c r="B8" s="558">
        <f>SUMIFS(Camplist_Popl,CampList_Status,"Relocated in Individual Housing")</f>
        <v>0</v>
      </c>
    </row>
    <row r="9" spans="1:15" ht="30" x14ac:dyDescent="0.25">
      <c r="A9" s="564" t="s">
        <v>988</v>
      </c>
      <c r="B9" s="558">
        <f>SUMIFS(Camplist_Popl,CampList_Status,"Returned in Individual Housing")</f>
        <v>0</v>
      </c>
      <c r="N9" s="565"/>
      <c r="O9" s="19"/>
    </row>
    <row r="10" spans="1:15" x14ac:dyDescent="0.25">
      <c r="B10" s="559"/>
      <c r="N10" s="565"/>
      <c r="O10" s="19"/>
    </row>
    <row r="11" spans="1:15" x14ac:dyDescent="0.25">
      <c r="B11" s="559">
        <f>SUM(B5:B9)</f>
        <v>120506</v>
      </c>
      <c r="N11" s="565"/>
      <c r="O11" s="19"/>
    </row>
    <row r="17" spans="1:1" x14ac:dyDescent="0.25">
      <c r="A17" s="560"/>
    </row>
    <row r="18" spans="1:1" x14ac:dyDescent="0.25">
      <c r="A18" s="561"/>
    </row>
    <row r="19" spans="1:1" x14ac:dyDescent="0.25">
      <c r="A19" s="561"/>
    </row>
    <row r="20" spans="1:1" x14ac:dyDescent="0.25">
      <c r="A20" s="561"/>
    </row>
  </sheetData>
  <conditionalFormatting sqref="A17:A20">
    <cfRule type="cellIs" dxfId="574"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G14" sqref="G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x14ac:dyDescent="0.35">
      <c r="A1" s="1032" t="s">
        <v>773</v>
      </c>
      <c r="B1" s="1033"/>
      <c r="C1" s="1033"/>
      <c r="D1" s="602"/>
      <c r="E1" s="603"/>
      <c r="F1" s="603"/>
      <c r="G1" s="604"/>
      <c r="H1" s="605"/>
    </row>
    <row r="2" spans="1:11" ht="15.75" thickBot="1" x14ac:dyDescent="0.3">
      <c r="A2" s="606">
        <f>Report_Date</f>
        <v>42795</v>
      </c>
      <c r="B2" s="607"/>
      <c r="C2" s="607"/>
      <c r="D2" s="607"/>
      <c r="E2" s="608"/>
      <c r="F2" s="608"/>
      <c r="G2" s="609"/>
      <c r="H2" s="610"/>
    </row>
    <row r="3" spans="1:11" ht="15.75" thickBot="1" x14ac:dyDescent="0.3"/>
    <row r="4" spans="1:11" ht="15.75" thickBot="1" x14ac:dyDescent="0.3">
      <c r="A4" s="760" t="s">
        <v>346</v>
      </c>
      <c r="B4" s="761" t="s">
        <v>348</v>
      </c>
      <c r="E4" s="737"/>
      <c r="F4" s="737"/>
    </row>
    <row r="5" spans="1:11" ht="15.75" thickBot="1" x14ac:dyDescent="0.3">
      <c r="A5" s="760" t="s">
        <v>24</v>
      </c>
      <c r="B5" s="761" t="s">
        <v>768</v>
      </c>
      <c r="E5" s="737"/>
      <c r="F5" s="737"/>
    </row>
    <row r="6" spans="1:11" ht="15.75" thickBot="1" x14ac:dyDescent="0.3">
      <c r="E6" s="737"/>
      <c r="F6" s="737"/>
    </row>
    <row r="7" spans="1:11" ht="15.75" thickBot="1" x14ac:dyDescent="0.3">
      <c r="A7" s="601" t="s">
        <v>0</v>
      </c>
      <c r="B7" s="613" t="s">
        <v>9</v>
      </c>
      <c r="C7" s="615" t="s">
        <v>8</v>
      </c>
      <c r="D7" s="788" t="s">
        <v>654</v>
      </c>
      <c r="E7" s="789" t="s">
        <v>804</v>
      </c>
      <c r="F7" s="790" t="s">
        <v>799</v>
      </c>
      <c r="G7" s="770" t="s">
        <v>994</v>
      </c>
      <c r="H7"/>
      <c r="I7"/>
    </row>
    <row r="8" spans="1:11" ht="15.75" thickBot="1" x14ac:dyDescent="0.3">
      <c r="A8" s="1021" t="s">
        <v>14</v>
      </c>
      <c r="B8" s="991" t="s">
        <v>40</v>
      </c>
      <c r="C8" s="176" t="s">
        <v>126</v>
      </c>
      <c r="D8" s="773">
        <v>1238</v>
      </c>
      <c r="E8" s="774">
        <v>4252</v>
      </c>
      <c r="F8" s="775">
        <v>1</v>
      </c>
      <c r="G8" s="776">
        <v>0.62035541195476573</v>
      </c>
      <c r="H8"/>
      <c r="I8"/>
    </row>
    <row r="9" spans="1:11" ht="15.75" thickBot="1" x14ac:dyDescent="0.3">
      <c r="A9" s="1022"/>
      <c r="B9" s="992" t="s">
        <v>42</v>
      </c>
      <c r="C9" s="176" t="s">
        <v>128</v>
      </c>
      <c r="D9" s="777">
        <v>1012</v>
      </c>
      <c r="E9" s="726">
        <v>5115</v>
      </c>
      <c r="F9" s="727">
        <v>1</v>
      </c>
      <c r="G9" s="728">
        <v>0.95652173913043481</v>
      </c>
      <c r="H9"/>
      <c r="I9"/>
    </row>
    <row r="10" spans="1:11" s="287" customFormat="1" ht="15.75" thickBot="1" x14ac:dyDescent="0.3">
      <c r="A10" s="1022"/>
      <c r="B10" s="772" t="s">
        <v>43</v>
      </c>
      <c r="C10" s="176" t="s">
        <v>129</v>
      </c>
      <c r="D10" s="778">
        <v>523</v>
      </c>
      <c r="E10" s="779">
        <v>2679</v>
      </c>
      <c r="F10" s="780">
        <v>1</v>
      </c>
      <c r="G10" s="781">
        <v>1</v>
      </c>
      <c r="H10"/>
      <c r="I10"/>
    </row>
    <row r="11" spans="1:11" ht="15.75" thickBot="1" x14ac:dyDescent="0.3">
      <c r="A11" s="1023"/>
      <c r="B11" s="993" t="s">
        <v>1070</v>
      </c>
      <c r="C11" s="993" t="s">
        <v>127</v>
      </c>
      <c r="D11" s="777">
        <v>856</v>
      </c>
      <c r="E11" s="726">
        <v>3939</v>
      </c>
      <c r="F11" s="727">
        <v>1</v>
      </c>
      <c r="G11" s="725">
        <v>0</v>
      </c>
      <c r="H11"/>
      <c r="I11"/>
    </row>
    <row r="12" spans="1:11" ht="15.75" thickBot="1" x14ac:dyDescent="0.3">
      <c r="A12" s="1024" t="s">
        <v>647</v>
      </c>
      <c r="B12" s="1025"/>
      <c r="C12" s="1026"/>
      <c r="D12" s="782">
        <v>3629</v>
      </c>
      <c r="E12" s="783">
        <v>15985</v>
      </c>
      <c r="F12" s="784">
        <v>4</v>
      </c>
      <c r="G12" s="785">
        <v>2.5768771510852004</v>
      </c>
      <c r="H12"/>
      <c r="I12"/>
    </row>
    <row r="13" spans="1:11" ht="15.75" thickBot="1" x14ac:dyDescent="0.3">
      <c r="A13" s="1021" t="s">
        <v>19</v>
      </c>
      <c r="B13" s="991" t="s">
        <v>61</v>
      </c>
      <c r="C13" s="176" t="s">
        <v>149</v>
      </c>
      <c r="D13" s="777">
        <v>397</v>
      </c>
      <c r="E13" s="726">
        <v>2175</v>
      </c>
      <c r="F13" s="727">
        <v>1</v>
      </c>
      <c r="G13" s="728">
        <v>1</v>
      </c>
      <c r="H13"/>
      <c r="I13"/>
    </row>
    <row r="14" spans="1:11" ht="15.75" thickBot="1" x14ac:dyDescent="0.3">
      <c r="A14" s="1022"/>
      <c r="B14" s="992" t="s">
        <v>553</v>
      </c>
      <c r="C14" s="176" t="s">
        <v>554</v>
      </c>
      <c r="D14" s="777">
        <v>41</v>
      </c>
      <c r="E14" s="726">
        <v>226</v>
      </c>
      <c r="F14" s="727">
        <v>1</v>
      </c>
      <c r="G14" s="725">
        <v>0</v>
      </c>
      <c r="H14"/>
      <c r="I14"/>
    </row>
    <row r="15" spans="1:11" ht="15.75" thickBot="1" x14ac:dyDescent="0.3">
      <c r="A15" s="1022"/>
      <c r="B15" s="992" t="s">
        <v>630</v>
      </c>
      <c r="C15" s="176" t="s">
        <v>632</v>
      </c>
      <c r="D15" s="777">
        <v>1011</v>
      </c>
      <c r="E15" s="726">
        <v>4879</v>
      </c>
      <c r="F15" s="727">
        <v>1</v>
      </c>
      <c r="G15" s="728">
        <v>1</v>
      </c>
      <c r="H15"/>
      <c r="I15"/>
    </row>
    <row r="16" spans="1:11" ht="15.75" thickBot="1" x14ac:dyDescent="0.3">
      <c r="A16" s="1022"/>
      <c r="B16" s="992" t="s">
        <v>631</v>
      </c>
      <c r="C16" s="176" t="s">
        <v>633</v>
      </c>
      <c r="D16" s="777">
        <v>1289</v>
      </c>
      <c r="E16" s="726">
        <v>6947</v>
      </c>
      <c r="F16" s="727">
        <v>1</v>
      </c>
      <c r="G16" s="728">
        <v>1</v>
      </c>
      <c r="H16"/>
      <c r="I16"/>
      <c r="K16" s="1" t="s">
        <v>774</v>
      </c>
    </row>
    <row r="17" spans="1:9" ht="15.75" thickBot="1" x14ac:dyDescent="0.3">
      <c r="A17" s="1022"/>
      <c r="B17" s="992" t="s">
        <v>63</v>
      </c>
      <c r="C17" s="176" t="s">
        <v>151</v>
      </c>
      <c r="D17" s="777">
        <v>1431</v>
      </c>
      <c r="E17" s="726">
        <v>8204</v>
      </c>
      <c r="F17" s="727">
        <v>1</v>
      </c>
      <c r="G17" s="728">
        <v>1</v>
      </c>
      <c r="H17"/>
      <c r="I17"/>
    </row>
    <row r="18" spans="1:9" ht="15.75" thickBot="1" x14ac:dyDescent="0.3">
      <c r="A18" s="1022"/>
      <c r="B18" s="992" t="s">
        <v>543</v>
      </c>
      <c r="C18" s="176" t="s">
        <v>544</v>
      </c>
      <c r="D18" s="777">
        <v>518</v>
      </c>
      <c r="E18" s="726">
        <v>2951</v>
      </c>
      <c r="F18" s="727">
        <v>1</v>
      </c>
      <c r="G18" s="725">
        <v>0</v>
      </c>
      <c r="H18"/>
      <c r="I18"/>
    </row>
    <row r="19" spans="1:9" ht="15.75" thickBot="1" x14ac:dyDescent="0.3">
      <c r="A19" s="1022"/>
      <c r="B19" s="992" t="s">
        <v>64</v>
      </c>
      <c r="C19" s="176" t="s">
        <v>152</v>
      </c>
      <c r="D19" s="777">
        <v>799</v>
      </c>
      <c r="E19" s="726">
        <v>4404</v>
      </c>
      <c r="F19" s="727">
        <v>1</v>
      </c>
      <c r="G19" s="728">
        <v>1</v>
      </c>
      <c r="H19"/>
      <c r="I19"/>
    </row>
    <row r="20" spans="1:9" ht="15.75" thickBot="1" x14ac:dyDescent="0.3">
      <c r="A20" s="1022"/>
      <c r="B20" s="992" t="s">
        <v>629</v>
      </c>
      <c r="C20" s="176" t="s">
        <v>281</v>
      </c>
      <c r="D20" s="777">
        <v>622</v>
      </c>
      <c r="E20" s="726">
        <v>3423</v>
      </c>
      <c r="F20" s="727">
        <v>1</v>
      </c>
      <c r="G20" s="728">
        <v>1</v>
      </c>
      <c r="H20"/>
      <c r="I20"/>
    </row>
    <row r="21" spans="1:9" ht="15.75" thickBot="1" x14ac:dyDescent="0.3">
      <c r="A21" s="1022"/>
      <c r="B21" s="992" t="s">
        <v>634</v>
      </c>
      <c r="C21" s="176" t="s">
        <v>546</v>
      </c>
      <c r="D21" s="777">
        <v>681</v>
      </c>
      <c r="E21" s="726">
        <v>3408</v>
      </c>
      <c r="F21" s="727">
        <v>1</v>
      </c>
      <c r="G21" s="728">
        <v>0.9397944199706314</v>
      </c>
      <c r="H21"/>
      <c r="I21"/>
    </row>
    <row r="22" spans="1:9" ht="15.75" thickBot="1" x14ac:dyDescent="0.3">
      <c r="A22" s="1022"/>
      <c r="B22" s="992" t="s">
        <v>635</v>
      </c>
      <c r="C22" s="176" t="s">
        <v>637</v>
      </c>
      <c r="D22" s="777">
        <v>2640</v>
      </c>
      <c r="E22" s="726">
        <v>13705</v>
      </c>
      <c r="F22" s="727">
        <v>1</v>
      </c>
      <c r="G22" s="728">
        <v>1</v>
      </c>
      <c r="H22"/>
      <c r="I22"/>
    </row>
    <row r="23" spans="1:9" ht="15.75" thickBot="1" x14ac:dyDescent="0.3">
      <c r="A23" s="1022"/>
      <c r="B23" s="992" t="s">
        <v>636</v>
      </c>
      <c r="C23" s="176" t="s">
        <v>638</v>
      </c>
      <c r="D23" s="777">
        <v>2222</v>
      </c>
      <c r="E23" s="726">
        <v>11586</v>
      </c>
      <c r="F23" s="727">
        <v>1</v>
      </c>
      <c r="G23" s="728">
        <v>1</v>
      </c>
      <c r="H23"/>
      <c r="I23"/>
    </row>
    <row r="24" spans="1:9" ht="15.75" thickBot="1" x14ac:dyDescent="0.3">
      <c r="A24" s="1022"/>
      <c r="B24" s="992" t="s">
        <v>67</v>
      </c>
      <c r="C24" s="176" t="s">
        <v>155</v>
      </c>
      <c r="D24" s="777">
        <v>2497</v>
      </c>
      <c r="E24" s="726">
        <v>12273</v>
      </c>
      <c r="F24" s="727">
        <v>1</v>
      </c>
      <c r="G24" s="728">
        <v>1</v>
      </c>
      <c r="H24"/>
      <c r="I24"/>
    </row>
    <row r="25" spans="1:9" ht="15.75" thickBot="1" x14ac:dyDescent="0.3">
      <c r="A25" s="1022"/>
      <c r="B25" s="992" t="s">
        <v>68</v>
      </c>
      <c r="C25" s="176" t="s">
        <v>156</v>
      </c>
      <c r="D25" s="777">
        <v>2145</v>
      </c>
      <c r="E25" s="726">
        <v>11764</v>
      </c>
      <c r="F25" s="727">
        <v>1</v>
      </c>
      <c r="G25" s="728">
        <v>0</v>
      </c>
      <c r="H25"/>
      <c r="I25"/>
    </row>
    <row r="26" spans="1:9" ht="15.75" thickBot="1" x14ac:dyDescent="0.3">
      <c r="A26" s="1022"/>
      <c r="B26" s="992" t="s">
        <v>70</v>
      </c>
      <c r="C26" s="176" t="s">
        <v>158</v>
      </c>
      <c r="D26" s="777">
        <v>997</v>
      </c>
      <c r="E26" s="726">
        <v>5830</v>
      </c>
      <c r="F26" s="727">
        <v>1</v>
      </c>
      <c r="G26" s="728">
        <v>0.9869608826479439</v>
      </c>
      <c r="H26"/>
      <c r="I26"/>
    </row>
    <row r="27" spans="1:9" ht="15.75" thickBot="1" x14ac:dyDescent="0.3">
      <c r="A27" s="1023"/>
      <c r="B27" s="772" t="s">
        <v>541</v>
      </c>
      <c r="C27" s="176" t="s">
        <v>280</v>
      </c>
      <c r="D27" s="778">
        <v>496</v>
      </c>
      <c r="E27" s="779">
        <v>2942</v>
      </c>
      <c r="F27" s="780">
        <v>1</v>
      </c>
      <c r="G27" s="786">
        <v>0</v>
      </c>
      <c r="H27"/>
      <c r="I27"/>
    </row>
    <row r="28" spans="1:9" ht="15.75" thickBot="1" x14ac:dyDescent="0.3">
      <c r="A28" s="1024" t="s">
        <v>645</v>
      </c>
      <c r="B28" s="1025"/>
      <c r="C28" s="1026"/>
      <c r="D28" s="782">
        <v>17786</v>
      </c>
      <c r="E28" s="783">
        <v>94717</v>
      </c>
      <c r="F28" s="784">
        <v>15</v>
      </c>
      <c r="G28" s="785">
        <v>10.926755302618576</v>
      </c>
      <c r="H28"/>
      <c r="I28"/>
    </row>
    <row r="29" spans="1:9" ht="15.75" thickBot="1" x14ac:dyDescent="0.3">
      <c r="A29" s="176" t="s">
        <v>867</v>
      </c>
      <c r="B29" s="176" t="s">
        <v>38</v>
      </c>
      <c r="C29" s="176" t="s">
        <v>124</v>
      </c>
      <c r="D29" s="778">
        <v>662</v>
      </c>
      <c r="E29" s="779">
        <v>2679</v>
      </c>
      <c r="F29" s="780">
        <v>1</v>
      </c>
      <c r="G29" s="781">
        <v>1</v>
      </c>
      <c r="H29"/>
      <c r="I29"/>
    </row>
    <row r="30" spans="1:9" ht="15.75" thickBot="1" x14ac:dyDescent="0.3">
      <c r="A30" s="1024" t="s">
        <v>868</v>
      </c>
      <c r="B30" s="1027"/>
      <c r="C30" s="1028"/>
      <c r="D30" s="782">
        <v>662</v>
      </c>
      <c r="E30" s="783">
        <v>2679</v>
      </c>
      <c r="F30" s="784">
        <v>1</v>
      </c>
      <c r="G30" s="785">
        <v>1</v>
      </c>
      <c r="H30"/>
      <c r="I30"/>
    </row>
    <row r="31" spans="1:9" ht="15.75" thickBot="1" x14ac:dyDescent="0.3">
      <c r="A31" s="1029" t="s">
        <v>213</v>
      </c>
      <c r="B31" s="1030"/>
      <c r="C31" s="1031"/>
      <c r="D31" s="787">
        <v>22077</v>
      </c>
      <c r="E31" s="729">
        <v>113381</v>
      </c>
      <c r="F31" s="730">
        <v>20</v>
      </c>
      <c r="G31" s="731">
        <v>14.503632453703776</v>
      </c>
      <c r="H31"/>
      <c r="I31"/>
    </row>
    <row r="32" spans="1:9" x14ac:dyDescent="0.25">
      <c r="A32"/>
      <c r="B32"/>
      <c r="C32"/>
      <c r="D32"/>
      <c r="E32"/>
      <c r="F32"/>
      <c r="G32"/>
      <c r="H32"/>
      <c r="I32"/>
    </row>
    <row r="33" spans="1:9" ht="15.75" thickBot="1" x14ac:dyDescent="0.3">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B146" sqref="B146"/>
    </sheetView>
  </sheetViews>
  <sheetFormatPr defaultColWidth="9.140625" defaultRowHeight="15" x14ac:dyDescent="0.25"/>
  <cols>
    <col min="1" max="1" width="29.28515625" style="6" customWidth="1"/>
    <col min="2" max="2" width="16.28515625" style="6" customWidth="1"/>
    <col min="3" max="3" width="13.85546875" style="6" customWidth="1"/>
    <col min="4" max="4" width="16.85546875" style="6" customWidth="1"/>
    <col min="5" max="5" width="11.28515625" style="6" customWidth="1"/>
    <col min="6" max="6" width="16.8554687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x14ac:dyDescent="0.25">
      <c r="A1" s="186"/>
      <c r="B1" s="187"/>
      <c r="C1" s="187"/>
      <c r="D1" s="187"/>
      <c r="E1" s="187"/>
      <c r="F1" s="187"/>
      <c r="G1" s="187"/>
      <c r="H1" s="187"/>
      <c r="I1" s="187"/>
      <c r="J1" s="203"/>
      <c r="K1" s="6"/>
      <c r="L1" s="6"/>
      <c r="M1" s="6"/>
      <c r="N1" s="6"/>
      <c r="O1" s="6"/>
      <c r="P1" s="6"/>
      <c r="Q1" s="6"/>
      <c r="R1" s="6"/>
      <c r="BC1" s="3"/>
      <c r="BD1" s="3"/>
    </row>
    <row r="2" spans="1:56" s="1" customFormat="1" ht="63.75" customHeight="1" x14ac:dyDescent="0.25">
      <c r="A2" s="204" t="s">
        <v>784</v>
      </c>
      <c r="B2" s="205"/>
      <c r="C2" s="205"/>
      <c r="D2" s="205"/>
      <c r="E2" s="205"/>
      <c r="F2" s="205"/>
      <c r="G2" s="205"/>
      <c r="H2" s="205"/>
      <c r="I2" s="205"/>
      <c r="J2" s="206"/>
      <c r="K2" s="6"/>
      <c r="L2" s="6"/>
      <c r="M2" s="6"/>
      <c r="N2" s="6"/>
      <c r="O2" s="6"/>
      <c r="P2" s="6"/>
      <c r="Q2" s="6"/>
      <c r="R2" s="6"/>
      <c r="BC2" s="68"/>
      <c r="BD2" s="68"/>
    </row>
    <row r="3" spans="1:56" s="19" customFormat="1" ht="24" customHeight="1" x14ac:dyDescent="0.25">
      <c r="A3" s="1034">
        <f>Report_Date</f>
        <v>42795</v>
      </c>
      <c r="B3" s="1034"/>
      <c r="C3" s="6"/>
      <c r="D3" s="6"/>
      <c r="E3" s="6"/>
      <c r="F3" s="6"/>
      <c r="G3" s="6"/>
      <c r="H3" s="6"/>
      <c r="I3" s="6"/>
      <c r="J3" s="6"/>
      <c r="K3" s="6"/>
      <c r="L3" s="6"/>
      <c r="M3" s="6"/>
      <c r="N3" s="6"/>
      <c r="O3" s="6"/>
      <c r="P3" s="6"/>
      <c r="Q3" s="6"/>
      <c r="R3" s="6"/>
      <c r="BC3" s="69"/>
      <c r="BD3" s="69"/>
    </row>
    <row r="4" spans="1:56" s="19" customFormat="1" ht="17.25" customHeight="1" x14ac:dyDescent="0.25">
      <c r="A4" s="758"/>
      <c r="B4" s="758"/>
      <c r="C4" s="46"/>
      <c r="D4" s="46"/>
      <c r="E4" s="46"/>
      <c r="F4" s="46"/>
      <c r="G4" s="46"/>
      <c r="H4" s="46"/>
      <c r="I4" s="46"/>
      <c r="J4" s="46"/>
      <c r="K4" s="46"/>
      <c r="L4" s="46"/>
      <c r="M4" s="46"/>
      <c r="N4" s="46"/>
      <c r="O4" s="46"/>
      <c r="P4" s="46"/>
      <c r="Q4" s="46"/>
      <c r="R4" s="46"/>
      <c r="BC4" s="69"/>
      <c r="BD4" s="69"/>
    </row>
    <row r="5" spans="1:56" s="19" customFormat="1" ht="15.75" x14ac:dyDescent="0.25">
      <c r="A5" s="758" t="s">
        <v>1096</v>
      </c>
      <c r="B5" s="758"/>
      <c r="C5" s="616"/>
      <c r="D5" s="616"/>
      <c r="E5" s="46"/>
      <c r="F5" s="46"/>
      <c r="G5" s="46"/>
      <c r="H5" s="46"/>
      <c r="I5" s="46"/>
      <c r="J5" s="46"/>
      <c r="K5" s="46"/>
      <c r="L5" s="46"/>
      <c r="M5" s="46"/>
      <c r="N5" s="46"/>
      <c r="O5" s="46"/>
      <c r="P5" s="46"/>
      <c r="Q5" s="46"/>
      <c r="R5" s="46"/>
      <c r="BC5" s="69"/>
      <c r="BD5" s="69"/>
    </row>
    <row r="6" spans="1:56" s="19" customFormat="1" ht="15.75" x14ac:dyDescent="0.25">
      <c r="A6" s="759"/>
      <c r="B6" s="758"/>
      <c r="C6" s="46"/>
      <c r="D6" s="46"/>
      <c r="E6" s="46"/>
      <c r="F6" s="46"/>
      <c r="G6" s="46"/>
      <c r="H6" s="46"/>
      <c r="I6" s="46"/>
      <c r="J6" s="46"/>
      <c r="K6" s="46"/>
      <c r="L6" s="46"/>
      <c r="M6" s="46"/>
      <c r="N6" s="46"/>
      <c r="O6" s="46"/>
      <c r="P6" s="46"/>
      <c r="Q6" s="46"/>
      <c r="R6" s="46"/>
      <c r="BC6" s="69"/>
      <c r="BD6" s="69"/>
    </row>
    <row r="7" spans="1:56" x14ac:dyDescent="0.25">
      <c r="A7" s="900" t="s">
        <v>10</v>
      </c>
      <c r="B7" s="900" t="s">
        <v>7</v>
      </c>
      <c r="C7" s="6" t="s">
        <v>218</v>
      </c>
    </row>
    <row r="9" spans="1:56" x14ac:dyDescent="0.25">
      <c r="A9" s="894" t="s">
        <v>212</v>
      </c>
      <c r="B9" s="895" t="s">
        <v>214</v>
      </c>
      <c r="C9" s="895" t="s">
        <v>216</v>
      </c>
      <c r="D9" s="896" t="s">
        <v>215</v>
      </c>
      <c r="M9" s="9" t="s">
        <v>10</v>
      </c>
      <c r="N9" s="6" t="s">
        <v>653</v>
      </c>
      <c r="O9" s="6" t="s">
        <v>218</v>
      </c>
    </row>
    <row r="10" spans="1:56" x14ac:dyDescent="0.25">
      <c r="A10" s="515" t="s">
        <v>349</v>
      </c>
      <c r="B10" s="516">
        <v>50</v>
      </c>
      <c r="C10" s="516"/>
      <c r="D10" s="897"/>
      <c r="T10"/>
      <c r="U10"/>
    </row>
    <row r="11" spans="1:56" x14ac:dyDescent="0.25">
      <c r="A11" s="515" t="s">
        <v>20</v>
      </c>
      <c r="B11" s="516">
        <v>11</v>
      </c>
      <c r="C11" s="516"/>
      <c r="D11" s="897"/>
      <c r="M11" s="9" t="s">
        <v>212</v>
      </c>
      <c r="N11" s="6" t="s">
        <v>215</v>
      </c>
      <c r="O11"/>
      <c r="T11"/>
      <c r="U11"/>
    </row>
    <row r="12" spans="1:56" x14ac:dyDescent="0.25">
      <c r="A12" s="515" t="s">
        <v>11</v>
      </c>
      <c r="B12" s="516">
        <v>2</v>
      </c>
      <c r="C12" s="516"/>
      <c r="D12" s="897"/>
      <c r="M12" s="7" t="s">
        <v>19</v>
      </c>
      <c r="N12" s="8">
        <v>99315</v>
      </c>
      <c r="O12"/>
      <c r="T12"/>
      <c r="U12"/>
    </row>
    <row r="13" spans="1:56" x14ac:dyDescent="0.25">
      <c r="A13" s="515" t="s">
        <v>14</v>
      </c>
      <c r="B13" s="516">
        <v>1</v>
      </c>
      <c r="C13" s="516"/>
      <c r="D13" s="897"/>
      <c r="M13" s="7" t="s">
        <v>14</v>
      </c>
      <c r="N13" s="8">
        <v>20346</v>
      </c>
      <c r="O13"/>
      <c r="T13"/>
      <c r="U13"/>
    </row>
    <row r="14" spans="1:56" x14ac:dyDescent="0.25">
      <c r="A14" s="515" t="s">
        <v>19</v>
      </c>
      <c r="B14" s="516">
        <v>35</v>
      </c>
      <c r="C14" s="516"/>
      <c r="D14" s="897"/>
      <c r="M14" s="7" t="s">
        <v>15</v>
      </c>
      <c r="N14" s="8">
        <v>6527</v>
      </c>
      <c r="O14"/>
      <c r="T14"/>
      <c r="U14"/>
    </row>
    <row r="15" spans="1:56" x14ac:dyDescent="0.25">
      <c r="A15" s="515" t="s">
        <v>1003</v>
      </c>
      <c r="B15" s="516">
        <v>1</v>
      </c>
      <c r="C15" s="516"/>
      <c r="D15" s="897"/>
      <c r="M15" s="7" t="s">
        <v>11</v>
      </c>
      <c r="N15" s="8">
        <v>5638</v>
      </c>
      <c r="O15"/>
      <c r="T15"/>
      <c r="U15"/>
    </row>
    <row r="16" spans="1:56" x14ac:dyDescent="0.25">
      <c r="A16" s="515" t="s">
        <v>348</v>
      </c>
      <c r="B16" s="516">
        <v>36</v>
      </c>
      <c r="C16" s="516">
        <v>23574</v>
      </c>
      <c r="D16" s="897">
        <v>120506</v>
      </c>
      <c r="M16" s="7" t="s">
        <v>16</v>
      </c>
      <c r="N16" s="8">
        <v>4055</v>
      </c>
      <c r="O16"/>
      <c r="T16"/>
      <c r="U16"/>
    </row>
    <row r="17" spans="1:21" x14ac:dyDescent="0.25">
      <c r="A17" s="515" t="s">
        <v>15</v>
      </c>
      <c r="B17" s="516">
        <v>1</v>
      </c>
      <c r="C17" s="516">
        <v>85</v>
      </c>
      <c r="D17" s="897">
        <v>546</v>
      </c>
      <c r="M17" s="7" t="s">
        <v>1003</v>
      </c>
      <c r="N17" s="8">
        <v>3826</v>
      </c>
      <c r="O17"/>
      <c r="T17"/>
      <c r="U17"/>
    </row>
    <row r="18" spans="1:21" x14ac:dyDescent="0.25">
      <c r="A18" s="515" t="s">
        <v>20</v>
      </c>
      <c r="B18" s="516">
        <v>8</v>
      </c>
      <c r="C18" s="516">
        <v>184</v>
      </c>
      <c r="D18" s="897">
        <v>1148</v>
      </c>
      <c r="M18" s="7" t="s">
        <v>867</v>
      </c>
      <c r="N18" s="8">
        <v>2883</v>
      </c>
      <c r="O18"/>
      <c r="T18"/>
      <c r="U18"/>
    </row>
    <row r="19" spans="1:21" x14ac:dyDescent="0.25">
      <c r="A19" s="515" t="s">
        <v>14</v>
      </c>
      <c r="B19" s="516">
        <v>4</v>
      </c>
      <c r="C19" s="516">
        <v>3629</v>
      </c>
      <c r="D19" s="897">
        <v>15985</v>
      </c>
      <c r="M19" s="7" t="s">
        <v>608</v>
      </c>
      <c r="N19" s="8">
        <v>1601</v>
      </c>
      <c r="O19"/>
      <c r="T19"/>
      <c r="U19"/>
    </row>
    <row r="20" spans="1:21" x14ac:dyDescent="0.25">
      <c r="A20" s="515" t="s">
        <v>18</v>
      </c>
      <c r="B20" s="516">
        <v>2</v>
      </c>
      <c r="C20" s="516">
        <v>75</v>
      </c>
      <c r="D20" s="897">
        <v>264</v>
      </c>
      <c r="M20" s="7" t="s">
        <v>20</v>
      </c>
      <c r="N20" s="8">
        <v>1257</v>
      </c>
      <c r="O20"/>
      <c r="T20"/>
      <c r="U20"/>
    </row>
    <row r="21" spans="1:21" x14ac:dyDescent="0.25">
      <c r="A21" s="515" t="s">
        <v>16</v>
      </c>
      <c r="B21" s="516">
        <v>3</v>
      </c>
      <c r="C21" s="516">
        <v>661</v>
      </c>
      <c r="D21" s="897">
        <v>3566</v>
      </c>
      <c r="M21" s="7" t="s">
        <v>18</v>
      </c>
      <c r="N21" s="8">
        <v>264</v>
      </c>
      <c r="O21"/>
      <c r="T21"/>
      <c r="U21"/>
    </row>
    <row r="22" spans="1:21" x14ac:dyDescent="0.25">
      <c r="A22" s="515" t="s">
        <v>19</v>
      </c>
      <c r="B22" s="516">
        <v>15</v>
      </c>
      <c r="C22" s="516">
        <v>17786</v>
      </c>
      <c r="D22" s="897">
        <v>94717</v>
      </c>
      <c r="M22" s="7" t="s">
        <v>996</v>
      </c>
      <c r="N22" s="8"/>
      <c r="O22"/>
      <c r="T22"/>
      <c r="U22"/>
    </row>
    <row r="23" spans="1:21" x14ac:dyDescent="0.25">
      <c r="A23" s="515" t="s">
        <v>867</v>
      </c>
      <c r="B23" s="516">
        <v>1</v>
      </c>
      <c r="C23" s="516">
        <v>662</v>
      </c>
      <c r="D23" s="897">
        <v>2679</v>
      </c>
      <c r="M23" s="10" t="s">
        <v>213</v>
      </c>
      <c r="N23" s="11">
        <v>145712</v>
      </c>
      <c r="O23"/>
      <c r="T23"/>
      <c r="U23"/>
    </row>
    <row r="24" spans="1:21" x14ac:dyDescent="0.25">
      <c r="A24" s="515" t="s">
        <v>608</v>
      </c>
      <c r="B24" s="516">
        <v>2</v>
      </c>
      <c r="C24" s="516">
        <v>492</v>
      </c>
      <c r="D24" s="897">
        <v>1601</v>
      </c>
      <c r="M24"/>
      <c r="N24"/>
      <c r="O24"/>
      <c r="T24"/>
      <c r="U24"/>
    </row>
    <row r="25" spans="1:21" x14ac:dyDescent="0.25">
      <c r="A25" s="515" t="s">
        <v>1005</v>
      </c>
      <c r="B25" s="516">
        <v>10</v>
      </c>
      <c r="C25" s="516">
        <v>1982</v>
      </c>
      <c r="D25" s="897">
        <v>9915</v>
      </c>
      <c r="M25"/>
      <c r="N25"/>
      <c r="O25"/>
      <c r="T25"/>
      <c r="U25"/>
    </row>
    <row r="26" spans="1:21" x14ac:dyDescent="0.25">
      <c r="A26" s="515" t="s">
        <v>15</v>
      </c>
      <c r="B26" s="516">
        <v>1</v>
      </c>
      <c r="C26" s="516">
        <v>97</v>
      </c>
      <c r="D26" s="897">
        <v>557</v>
      </c>
      <c r="M26"/>
      <c r="N26"/>
      <c r="O26"/>
      <c r="T26"/>
      <c r="U26"/>
    </row>
    <row r="27" spans="1:21" x14ac:dyDescent="0.25">
      <c r="A27" s="515" t="s">
        <v>14</v>
      </c>
      <c r="B27" s="516">
        <v>2</v>
      </c>
      <c r="C27" s="516">
        <v>912</v>
      </c>
      <c r="D27" s="897">
        <v>4361</v>
      </c>
      <c r="M27"/>
      <c r="N27"/>
      <c r="T27"/>
      <c r="U27"/>
    </row>
    <row r="28" spans="1:21" x14ac:dyDescent="0.25">
      <c r="A28" s="515" t="s">
        <v>19</v>
      </c>
      <c r="B28" s="516">
        <v>4</v>
      </c>
      <c r="C28" s="516">
        <v>890</v>
      </c>
      <c r="D28" s="897">
        <v>4598</v>
      </c>
      <c r="M28"/>
      <c r="N28"/>
      <c r="T28"/>
      <c r="U28"/>
    </row>
    <row r="29" spans="1:21" x14ac:dyDescent="0.25">
      <c r="A29" s="515" t="s">
        <v>867</v>
      </c>
      <c r="B29" s="516">
        <v>1</v>
      </c>
      <c r="C29" s="516">
        <v>42</v>
      </c>
      <c r="D29" s="897">
        <v>204</v>
      </c>
      <c r="T29"/>
      <c r="U29"/>
    </row>
    <row r="30" spans="1:21" x14ac:dyDescent="0.25">
      <c r="A30" s="515" t="s">
        <v>1003</v>
      </c>
      <c r="B30" s="516">
        <v>2</v>
      </c>
      <c r="C30" s="516">
        <v>41</v>
      </c>
      <c r="D30" s="897">
        <v>195</v>
      </c>
      <c r="T30"/>
      <c r="U30"/>
    </row>
    <row r="31" spans="1:21" x14ac:dyDescent="0.25">
      <c r="A31" s="515" t="s">
        <v>1006</v>
      </c>
      <c r="B31" s="516">
        <v>21</v>
      </c>
      <c r="C31" s="516">
        <v>2402</v>
      </c>
      <c r="D31" s="897">
        <v>15291</v>
      </c>
      <c r="T31"/>
      <c r="U31"/>
    </row>
    <row r="32" spans="1:21" x14ac:dyDescent="0.25">
      <c r="A32" s="515" t="s">
        <v>15</v>
      </c>
      <c r="B32" s="516">
        <v>9</v>
      </c>
      <c r="C32" s="516">
        <v>819</v>
      </c>
      <c r="D32" s="897">
        <v>5424</v>
      </c>
      <c r="T32"/>
      <c r="U32"/>
    </row>
    <row r="33" spans="1:21" x14ac:dyDescent="0.25">
      <c r="A33" s="515" t="s">
        <v>20</v>
      </c>
      <c r="B33" s="516">
        <v>1</v>
      </c>
      <c r="C33" s="516">
        <v>17</v>
      </c>
      <c r="D33" s="897">
        <v>109</v>
      </c>
      <c r="T33"/>
      <c r="U33"/>
    </row>
    <row r="34" spans="1:21" x14ac:dyDescent="0.25">
      <c r="A34" s="515" t="s">
        <v>11</v>
      </c>
      <c r="B34" s="516">
        <v>7</v>
      </c>
      <c r="C34" s="516">
        <v>911</v>
      </c>
      <c r="D34" s="897">
        <v>5638</v>
      </c>
      <c r="T34"/>
      <c r="U34"/>
    </row>
    <row r="35" spans="1:21" x14ac:dyDescent="0.25">
      <c r="A35" s="515" t="s">
        <v>16</v>
      </c>
      <c r="B35" s="516">
        <v>2</v>
      </c>
      <c r="C35" s="516">
        <v>86</v>
      </c>
      <c r="D35" s="897">
        <v>489</v>
      </c>
      <c r="T35" s="90"/>
      <c r="U35" s="90"/>
    </row>
    <row r="36" spans="1:21" x14ac:dyDescent="0.25">
      <c r="A36" s="515" t="s">
        <v>1003</v>
      </c>
      <c r="B36" s="516">
        <v>2</v>
      </c>
      <c r="C36" s="516">
        <v>569</v>
      </c>
      <c r="D36" s="897">
        <v>3631</v>
      </c>
      <c r="T36"/>
      <c r="U36"/>
    </row>
    <row r="37" spans="1:21" x14ac:dyDescent="0.25">
      <c r="A37" s="898" t="s">
        <v>213</v>
      </c>
      <c r="B37" s="517">
        <v>117</v>
      </c>
      <c r="C37" s="517">
        <v>27958</v>
      </c>
      <c r="D37" s="899">
        <v>145712</v>
      </c>
      <c r="T37" s="90"/>
      <c r="U37" s="90"/>
    </row>
    <row r="38" spans="1:21" x14ac:dyDescent="0.25">
      <c r="A38"/>
      <c r="B38"/>
      <c r="C38"/>
      <c r="D38"/>
      <c r="T38" s="90"/>
      <c r="U38" s="90"/>
    </row>
    <row r="39" spans="1:21" x14ac:dyDescent="0.25">
      <c r="A39"/>
      <c r="B39"/>
      <c r="C39"/>
      <c r="D39"/>
      <c r="T39" s="90"/>
      <c r="U39" s="90"/>
    </row>
    <row r="40" spans="1:21" x14ac:dyDescent="0.25">
      <c r="A40" s="515"/>
      <c r="B40" s="516"/>
      <c r="C40" s="516"/>
      <c r="D40" s="516"/>
      <c r="T40" s="90"/>
      <c r="U40" s="90"/>
    </row>
    <row r="41" spans="1:21" x14ac:dyDescent="0.25">
      <c r="A41" s="516"/>
      <c r="B41" s="516"/>
      <c r="C41" s="516"/>
      <c r="D41" s="516"/>
      <c r="T41" s="90"/>
      <c r="U41" s="90"/>
    </row>
    <row r="42" spans="1:21" ht="15.75" x14ac:dyDescent="0.25">
      <c r="A42" s="851" t="s">
        <v>1097</v>
      </c>
      <c r="B42" s="517"/>
      <c r="C42" s="516"/>
      <c r="D42" s="516"/>
      <c r="T42" s="90"/>
      <c r="U42" s="90"/>
    </row>
    <row r="43" spans="1:21" x14ac:dyDescent="0.25">
      <c r="A43" s="388" t="s">
        <v>346</v>
      </c>
      <c r="B43" s="388" t="s">
        <v>348</v>
      </c>
      <c r="E43"/>
      <c r="T43" s="90"/>
      <c r="U43" s="90"/>
    </row>
    <row r="44" spans="1:21" x14ac:dyDescent="0.25">
      <c r="A44"/>
      <c r="B44"/>
      <c r="C44"/>
      <c r="E44" s="1"/>
      <c r="T44"/>
      <c r="U44"/>
    </row>
    <row r="45" spans="1:21" x14ac:dyDescent="0.25">
      <c r="A45" s="200"/>
      <c r="B45" s="393" t="s">
        <v>665</v>
      </c>
      <c r="C45" s="201"/>
      <c r="D45" s="202"/>
      <c r="E45"/>
      <c r="T45"/>
      <c r="U45"/>
    </row>
    <row r="46" spans="1:21" x14ac:dyDescent="0.25">
      <c r="A46" s="175"/>
      <c r="B46" s="1" t="s">
        <v>661</v>
      </c>
      <c r="C46" s="1" t="s">
        <v>662</v>
      </c>
      <c r="D46" s="182" t="s">
        <v>213</v>
      </c>
      <c r="T46"/>
      <c r="U46"/>
    </row>
    <row r="47" spans="1:21" x14ac:dyDescent="0.25">
      <c r="A47" s="184" t="s">
        <v>723</v>
      </c>
      <c r="B47" s="268">
        <v>104583</v>
      </c>
      <c r="C47" s="268">
        <v>15923</v>
      </c>
      <c r="D47" s="386">
        <v>120506</v>
      </c>
      <c r="L47"/>
      <c r="M47"/>
      <c r="T47"/>
      <c r="U47"/>
    </row>
    <row r="48" spans="1:21" ht="15.75" x14ac:dyDescent="0.25">
      <c r="G48" s="849" t="s">
        <v>1044</v>
      </c>
      <c r="L48"/>
      <c r="M48"/>
      <c r="T48"/>
      <c r="U48"/>
    </row>
    <row r="49" spans="1:21" ht="15.75" x14ac:dyDescent="0.25">
      <c r="A49" s="850" t="s">
        <v>1098</v>
      </c>
      <c r="G49" s="394" t="s">
        <v>346</v>
      </c>
      <c r="H49" s="196" t="s">
        <v>348</v>
      </c>
      <c r="L49"/>
      <c r="M49"/>
      <c r="T49"/>
      <c r="U49"/>
    </row>
    <row r="50" spans="1:21" x14ac:dyDescent="0.25">
      <c r="A50" s="199" t="s">
        <v>346</v>
      </c>
      <c r="B50" s="794" t="s">
        <v>348</v>
      </c>
      <c r="G50" s="90"/>
      <c r="H50" s="90"/>
      <c r="L50"/>
      <c r="M50"/>
      <c r="T50"/>
      <c r="U50"/>
    </row>
    <row r="51" spans="1:21" x14ac:dyDescent="0.25">
      <c r="A51" s="90"/>
      <c r="B51" s="90"/>
      <c r="C51"/>
      <c r="G51" s="395" t="s">
        <v>535</v>
      </c>
      <c r="H51" s="393" t="s">
        <v>665</v>
      </c>
      <c r="I51" s="201"/>
      <c r="J51" s="202"/>
      <c r="L51"/>
      <c r="M51"/>
      <c r="T51"/>
      <c r="U51"/>
    </row>
    <row r="52" spans="1:21" x14ac:dyDescent="0.25">
      <c r="A52" s="200"/>
      <c r="B52" s="393" t="s">
        <v>665</v>
      </c>
      <c r="C52" s="201"/>
      <c r="D52" s="201"/>
      <c r="E52" s="202"/>
      <c r="F52"/>
      <c r="G52" s="396" t="s">
        <v>212</v>
      </c>
      <c r="H52" s="1" t="s">
        <v>661</v>
      </c>
      <c r="I52" s="1" t="s">
        <v>662</v>
      </c>
      <c r="J52" s="182" t="s">
        <v>213</v>
      </c>
      <c r="L52"/>
      <c r="T52"/>
      <c r="U52"/>
    </row>
    <row r="53" spans="1:21" x14ac:dyDescent="0.25">
      <c r="A53" s="175"/>
      <c r="B53" s="1" t="s">
        <v>760</v>
      </c>
      <c r="C53" s="1" t="s">
        <v>767</v>
      </c>
      <c r="D53" s="1" t="s">
        <v>992</v>
      </c>
      <c r="E53" s="182" t="s">
        <v>213</v>
      </c>
      <c r="F53"/>
      <c r="G53" s="397" t="s">
        <v>288</v>
      </c>
      <c r="H53" s="55">
        <v>57210</v>
      </c>
      <c r="I53" s="55"/>
      <c r="J53" s="398">
        <v>57210</v>
      </c>
      <c r="L53"/>
      <c r="T53"/>
      <c r="U53"/>
    </row>
    <row r="54" spans="1:21" x14ac:dyDescent="0.25">
      <c r="A54" s="184" t="s">
        <v>535</v>
      </c>
      <c r="B54" s="268">
        <v>404</v>
      </c>
      <c r="C54" s="268">
        <v>2679</v>
      </c>
      <c r="D54" s="268">
        <v>117423</v>
      </c>
      <c r="E54" s="386">
        <v>120506</v>
      </c>
      <c r="F54"/>
      <c r="G54" s="397" t="s">
        <v>624</v>
      </c>
      <c r="H54" s="55">
        <v>38120</v>
      </c>
      <c r="I54" s="55"/>
      <c r="J54" s="398">
        <v>38120</v>
      </c>
      <c r="L54"/>
      <c r="T54"/>
      <c r="U54"/>
    </row>
    <row r="55" spans="1:21" x14ac:dyDescent="0.25">
      <c r="G55" s="397" t="s">
        <v>285</v>
      </c>
      <c r="H55" s="55"/>
      <c r="I55" s="55">
        <v>13244</v>
      </c>
      <c r="J55" s="398">
        <v>13244</v>
      </c>
      <c r="T55"/>
      <c r="U55"/>
    </row>
    <row r="56" spans="1:21" x14ac:dyDescent="0.25">
      <c r="G56" s="397" t="s">
        <v>971</v>
      </c>
      <c r="H56" s="55">
        <v>9253</v>
      </c>
      <c r="I56" s="55"/>
      <c r="J56" s="398">
        <v>9253</v>
      </c>
      <c r="T56"/>
      <c r="U56"/>
    </row>
    <row r="57" spans="1:21" x14ac:dyDescent="0.25">
      <c r="G57" s="397" t="s">
        <v>707</v>
      </c>
      <c r="H57" s="55"/>
      <c r="I57" s="55">
        <v>2679</v>
      </c>
      <c r="J57" s="398">
        <v>2679</v>
      </c>
      <c r="T57"/>
      <c r="U57"/>
    </row>
    <row r="58" spans="1:21" customFormat="1" x14ac:dyDescent="0.25">
      <c r="A58" s="6"/>
      <c r="B58" s="6"/>
      <c r="C58" s="6"/>
      <c r="D58" s="6"/>
      <c r="E58" s="6"/>
      <c r="F58" s="6"/>
      <c r="G58" s="399" t="s">
        <v>213</v>
      </c>
      <c r="H58" s="268">
        <v>104583</v>
      </c>
      <c r="I58" s="268">
        <v>15923</v>
      </c>
      <c r="J58" s="386">
        <v>120506</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849" t="s">
        <v>998</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99" t="s">
        <v>346</v>
      </c>
      <c r="B62" s="794" t="s">
        <v>348</v>
      </c>
      <c r="C62" s="6"/>
      <c r="D62" s="6"/>
      <c r="E62" s="6"/>
      <c r="F62" s="6"/>
      <c r="G62" s="6"/>
      <c r="H62" s="6"/>
      <c r="I62" s="6"/>
      <c r="J62" s="6"/>
      <c r="K62" s="6"/>
      <c r="L62" s="6"/>
      <c r="M62" s="6"/>
      <c r="N62" s="6"/>
      <c r="O62" s="6"/>
      <c r="P62" s="6"/>
      <c r="Q62" s="6"/>
      <c r="R62" s="6"/>
    </row>
    <row r="63" spans="1:21" customFormat="1" x14ac:dyDescent="0.25">
      <c r="A63" s="199" t="s">
        <v>24</v>
      </c>
      <c r="B63" s="794" t="s">
        <v>768</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95" t="s">
        <v>535</v>
      </c>
      <c r="B65" s="393" t="s">
        <v>665</v>
      </c>
      <c r="C65" s="201"/>
      <c r="D65" s="202"/>
      <c r="G65" s="6"/>
      <c r="H65" s="6"/>
      <c r="I65" s="6"/>
      <c r="J65" s="6"/>
      <c r="K65" s="6"/>
      <c r="L65" s="6"/>
      <c r="M65" s="6"/>
      <c r="N65" s="6"/>
      <c r="O65" s="6"/>
      <c r="P65" s="6"/>
      <c r="Q65" s="6"/>
      <c r="R65" s="6"/>
    </row>
    <row r="66" spans="1:33" customFormat="1" x14ac:dyDescent="0.25">
      <c r="A66" s="396" t="s">
        <v>212</v>
      </c>
      <c r="B66" s="1" t="s">
        <v>767</v>
      </c>
      <c r="C66" s="1" t="s">
        <v>992</v>
      </c>
      <c r="D66" s="182" t="s">
        <v>213</v>
      </c>
      <c r="G66" s="6"/>
      <c r="H66" s="6"/>
      <c r="I66" s="6"/>
      <c r="J66" s="6"/>
      <c r="K66" s="6"/>
      <c r="L66" s="6"/>
      <c r="M66" s="6"/>
      <c r="N66" s="6"/>
      <c r="O66" s="6"/>
      <c r="P66" s="6"/>
      <c r="Q66" s="6"/>
      <c r="R66" s="6"/>
    </row>
    <row r="67" spans="1:33" x14ac:dyDescent="0.25">
      <c r="A67" s="397" t="s">
        <v>14</v>
      </c>
      <c r="B67" s="795">
        <v>2679</v>
      </c>
      <c r="C67" s="795">
        <v>13306</v>
      </c>
      <c r="D67" s="402">
        <v>15985</v>
      </c>
      <c r="E67"/>
      <c r="F67"/>
      <c r="S67"/>
      <c r="T67" s="90" t="s">
        <v>213</v>
      </c>
      <c r="U67"/>
      <c r="V67"/>
      <c r="W67"/>
      <c r="X67"/>
      <c r="Y67"/>
      <c r="Z67"/>
      <c r="AA67"/>
      <c r="AB67"/>
      <c r="AC67"/>
      <c r="AD67"/>
      <c r="AE67"/>
      <c r="AF67"/>
      <c r="AG67"/>
    </row>
    <row r="68" spans="1:33" x14ac:dyDescent="0.25">
      <c r="A68" s="403" t="s">
        <v>40</v>
      </c>
      <c r="B68" s="795"/>
      <c r="C68" s="795">
        <v>4252</v>
      </c>
      <c r="D68" s="402">
        <v>4252</v>
      </c>
      <c r="E68"/>
      <c r="F68"/>
      <c r="S68" s="4">
        <v>26883</v>
      </c>
      <c r="T68" s="4">
        <v>144967</v>
      </c>
      <c r="U68"/>
    </row>
    <row r="69" spans="1:33" x14ac:dyDescent="0.25">
      <c r="A69" s="403" t="s">
        <v>42</v>
      </c>
      <c r="B69" s="795"/>
      <c r="C69" s="795">
        <v>5115</v>
      </c>
      <c r="D69" s="402">
        <v>5115</v>
      </c>
      <c r="E69"/>
      <c r="F69"/>
      <c r="T69"/>
      <c r="U69"/>
    </row>
    <row r="70" spans="1:33" x14ac:dyDescent="0.25">
      <c r="A70" s="403" t="s">
        <v>43</v>
      </c>
      <c r="B70" s="795">
        <v>2679</v>
      </c>
      <c r="C70" s="795"/>
      <c r="D70" s="402">
        <v>2679</v>
      </c>
      <c r="E70"/>
      <c r="F70"/>
      <c r="T70"/>
      <c r="U70"/>
    </row>
    <row r="71" spans="1:33" x14ac:dyDescent="0.25">
      <c r="A71" s="403" t="s">
        <v>1070</v>
      </c>
      <c r="B71" s="795"/>
      <c r="C71" s="795">
        <v>3939</v>
      </c>
      <c r="D71" s="402">
        <v>3939</v>
      </c>
      <c r="E71"/>
      <c r="F71"/>
      <c r="T71"/>
      <c r="U71"/>
    </row>
    <row r="72" spans="1:33" x14ac:dyDescent="0.25">
      <c r="A72" s="397" t="s">
        <v>19</v>
      </c>
      <c r="B72" s="795"/>
      <c r="C72" s="795">
        <v>88598</v>
      </c>
      <c r="D72" s="402">
        <v>88598</v>
      </c>
      <c r="E72"/>
      <c r="F72"/>
      <c r="T72"/>
      <c r="U72"/>
    </row>
    <row r="73" spans="1:33" x14ac:dyDescent="0.25">
      <c r="A73" s="403" t="s">
        <v>61</v>
      </c>
      <c r="B73" s="795"/>
      <c r="C73" s="795">
        <v>2175</v>
      </c>
      <c r="D73" s="402">
        <v>2175</v>
      </c>
      <c r="E73"/>
      <c r="F73"/>
      <c r="T73"/>
      <c r="U73"/>
    </row>
    <row r="74" spans="1:33" x14ac:dyDescent="0.25">
      <c r="A74" s="403" t="s">
        <v>630</v>
      </c>
      <c r="B74" s="795"/>
      <c r="C74" s="795">
        <v>4879</v>
      </c>
      <c r="D74" s="402">
        <v>4879</v>
      </c>
      <c r="E74"/>
      <c r="F74"/>
      <c r="T74"/>
      <c r="U74"/>
    </row>
    <row r="75" spans="1:33" x14ac:dyDescent="0.25">
      <c r="A75" s="403" t="s">
        <v>631</v>
      </c>
      <c r="B75" s="795"/>
      <c r="C75" s="795">
        <v>6947</v>
      </c>
      <c r="D75" s="402">
        <v>6947</v>
      </c>
      <c r="E75"/>
      <c r="F75"/>
      <c r="T75"/>
      <c r="U75"/>
    </row>
    <row r="76" spans="1:33" x14ac:dyDescent="0.25">
      <c r="A76" s="403" t="s">
        <v>63</v>
      </c>
      <c r="B76" s="795"/>
      <c r="C76" s="795">
        <v>8204</v>
      </c>
      <c r="D76" s="402">
        <v>8204</v>
      </c>
      <c r="E76"/>
      <c r="F76"/>
      <c r="T76"/>
      <c r="U76"/>
    </row>
    <row r="77" spans="1:33" x14ac:dyDescent="0.25">
      <c r="A77" s="403" t="s">
        <v>64</v>
      </c>
      <c r="B77" s="795"/>
      <c r="C77" s="795">
        <v>4404</v>
      </c>
      <c r="D77" s="402">
        <v>4404</v>
      </c>
      <c r="E77"/>
      <c r="F77"/>
      <c r="T77"/>
      <c r="U77"/>
    </row>
    <row r="78" spans="1:33" x14ac:dyDescent="0.25">
      <c r="A78" s="403" t="s">
        <v>629</v>
      </c>
      <c r="B78" s="795"/>
      <c r="C78" s="795">
        <v>3423</v>
      </c>
      <c r="D78" s="402">
        <v>3423</v>
      </c>
      <c r="E78"/>
      <c r="F78"/>
      <c r="T78"/>
      <c r="U78"/>
    </row>
    <row r="79" spans="1:33" x14ac:dyDescent="0.25">
      <c r="A79" s="403" t="s">
        <v>634</v>
      </c>
      <c r="B79" s="795"/>
      <c r="C79" s="795">
        <v>3408</v>
      </c>
      <c r="D79" s="402">
        <v>3408</v>
      </c>
      <c r="E79"/>
      <c r="F79"/>
    </row>
    <row r="80" spans="1:33" x14ac:dyDescent="0.25">
      <c r="A80" s="403" t="s">
        <v>635</v>
      </c>
      <c r="B80" s="795"/>
      <c r="C80" s="795">
        <v>13705</v>
      </c>
      <c r="D80" s="402">
        <v>13705</v>
      </c>
      <c r="E80"/>
      <c r="F80"/>
    </row>
    <row r="81" spans="1:6" x14ac:dyDescent="0.25">
      <c r="A81" s="403" t="s">
        <v>636</v>
      </c>
      <c r="B81" s="795"/>
      <c r="C81" s="795">
        <v>11586</v>
      </c>
      <c r="D81" s="402">
        <v>11586</v>
      </c>
      <c r="E81"/>
      <c r="F81"/>
    </row>
    <row r="82" spans="1:6" x14ac:dyDescent="0.25">
      <c r="A82" s="403" t="s">
        <v>67</v>
      </c>
      <c r="B82" s="795"/>
      <c r="C82" s="795">
        <v>12273</v>
      </c>
      <c r="D82" s="402">
        <v>12273</v>
      </c>
      <c r="E82"/>
      <c r="F82"/>
    </row>
    <row r="83" spans="1:6" x14ac:dyDescent="0.25">
      <c r="A83" s="403" t="s">
        <v>68</v>
      </c>
      <c r="B83" s="795"/>
      <c r="C83" s="795">
        <v>11764</v>
      </c>
      <c r="D83" s="402">
        <v>11764</v>
      </c>
      <c r="E83"/>
      <c r="F83"/>
    </row>
    <row r="84" spans="1:6" x14ac:dyDescent="0.25">
      <c r="A84" s="403" t="s">
        <v>70</v>
      </c>
      <c r="B84" s="795"/>
      <c r="C84" s="795">
        <v>5830</v>
      </c>
      <c r="D84" s="402">
        <v>5830</v>
      </c>
      <c r="E84"/>
      <c r="F84"/>
    </row>
    <row r="85" spans="1:6" ht="14.25" customHeight="1" x14ac:dyDescent="0.25">
      <c r="A85" s="397" t="s">
        <v>867</v>
      </c>
      <c r="B85" s="795"/>
      <c r="C85" s="795">
        <v>2679</v>
      </c>
      <c r="D85" s="402">
        <v>2679</v>
      </c>
      <c r="E85"/>
      <c r="F85"/>
    </row>
    <row r="86" spans="1:6" ht="12" customHeight="1" x14ac:dyDescent="0.25">
      <c r="A86" s="403" t="s">
        <v>38</v>
      </c>
      <c r="B86" s="795"/>
      <c r="C86" s="795">
        <v>2679</v>
      </c>
      <c r="D86" s="402">
        <v>2679</v>
      </c>
      <c r="E86"/>
      <c r="F86"/>
    </row>
    <row r="87" spans="1:6" x14ac:dyDescent="0.25">
      <c r="A87" s="399" t="s">
        <v>213</v>
      </c>
      <c r="B87" s="387">
        <v>2679</v>
      </c>
      <c r="C87" s="387">
        <v>104583</v>
      </c>
      <c r="D87" s="404">
        <v>107262</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400" t="s">
        <v>346</v>
      </c>
      <c r="B95" s="401" t="s">
        <v>348</v>
      </c>
    </row>
    <row r="96" spans="1:6" hidden="1" x14ac:dyDescent="0.25">
      <c r="A96" s="400" t="s">
        <v>769</v>
      </c>
      <c r="B96" s="401" t="s">
        <v>653</v>
      </c>
    </row>
    <row r="97" spans="1:9" hidden="1" x14ac:dyDescent="0.25"/>
    <row r="98" spans="1:9" hidden="1" x14ac:dyDescent="0.25">
      <c r="A98" s="395" t="s">
        <v>535</v>
      </c>
      <c r="B98" s="393" t="s">
        <v>665</v>
      </c>
      <c r="C98" s="201"/>
      <c r="D98" s="202"/>
      <c r="E98"/>
      <c r="F98"/>
      <c r="G98"/>
      <c r="H98"/>
      <c r="I98"/>
    </row>
    <row r="99" spans="1:9" hidden="1" x14ac:dyDescent="0.25">
      <c r="A99" s="175"/>
      <c r="B99" s="1" t="s">
        <v>996</v>
      </c>
      <c r="C99" s="1" t="s">
        <v>997</v>
      </c>
      <c r="D99" s="182" t="s">
        <v>213</v>
      </c>
      <c r="E99"/>
      <c r="F99"/>
      <c r="G99"/>
      <c r="H99"/>
      <c r="I99"/>
    </row>
    <row r="100" spans="1:9" hidden="1" x14ac:dyDescent="0.25">
      <c r="A100" s="396" t="s">
        <v>212</v>
      </c>
      <c r="B100" s="1" t="s">
        <v>23</v>
      </c>
      <c r="C100" s="1"/>
      <c r="D100" s="182"/>
      <c r="E100"/>
      <c r="F100"/>
      <c r="G100"/>
      <c r="H100"/>
      <c r="I100"/>
    </row>
    <row r="101" spans="1:9" hidden="1" x14ac:dyDescent="0.25">
      <c r="A101" s="397" t="s">
        <v>15</v>
      </c>
      <c r="B101" s="795">
        <v>546</v>
      </c>
      <c r="C101" s="795">
        <v>546</v>
      </c>
      <c r="D101" s="402">
        <v>546</v>
      </c>
      <c r="E101"/>
      <c r="F101"/>
      <c r="G101"/>
      <c r="H101"/>
      <c r="I101"/>
    </row>
    <row r="102" spans="1:9" hidden="1" x14ac:dyDescent="0.25">
      <c r="A102" s="403" t="s">
        <v>47</v>
      </c>
      <c r="B102" s="795">
        <v>546</v>
      </c>
      <c r="C102" s="795">
        <v>546</v>
      </c>
      <c r="D102" s="402">
        <v>546</v>
      </c>
      <c r="E102"/>
      <c r="F102"/>
      <c r="G102"/>
      <c r="H102"/>
      <c r="I102"/>
    </row>
    <row r="103" spans="1:9" hidden="1" x14ac:dyDescent="0.25">
      <c r="A103" s="399" t="s">
        <v>213</v>
      </c>
      <c r="B103" s="387">
        <v>546</v>
      </c>
      <c r="C103" s="387">
        <v>546</v>
      </c>
      <c r="D103" s="404">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400" t="s">
        <v>346</v>
      </c>
      <c r="B134" s="401" t="s">
        <v>348</v>
      </c>
      <c r="L134"/>
    </row>
    <row r="135" spans="1:12" x14ac:dyDescent="0.25">
      <c r="A135" s="400" t="s">
        <v>769</v>
      </c>
      <c r="B135" s="401" t="s">
        <v>768</v>
      </c>
      <c r="L135"/>
    </row>
    <row r="136" spans="1:12" x14ac:dyDescent="0.25">
      <c r="A136" s="90"/>
      <c r="B136" s="90"/>
      <c r="C136" s="90"/>
      <c r="D136" s="90"/>
      <c r="E136" s="90"/>
      <c r="F136" s="90"/>
      <c r="L136"/>
    </row>
    <row r="137" spans="1:12" x14ac:dyDescent="0.25">
      <c r="A137" s="395" t="s">
        <v>535</v>
      </c>
      <c r="B137" s="201"/>
      <c r="C137" s="393" t="s">
        <v>757</v>
      </c>
      <c r="D137" s="393" t="s">
        <v>24</v>
      </c>
      <c r="E137" s="201"/>
      <c r="F137" s="201"/>
      <c r="G137" s="201"/>
      <c r="H137" s="201"/>
      <c r="I137" s="201"/>
      <c r="J137" s="202"/>
      <c r="K137"/>
      <c r="L137"/>
    </row>
    <row r="138" spans="1:12" x14ac:dyDescent="0.25">
      <c r="A138" s="175"/>
      <c r="B138" s="1"/>
      <c r="C138" s="1" t="s">
        <v>7</v>
      </c>
      <c r="D138" s="1"/>
      <c r="E138" s="1" t="s">
        <v>761</v>
      </c>
      <c r="F138" s="1" t="s">
        <v>996</v>
      </c>
      <c r="G138" s="1"/>
      <c r="H138" s="1"/>
      <c r="I138" s="1" t="s">
        <v>997</v>
      </c>
      <c r="J138" s="182" t="s">
        <v>213</v>
      </c>
      <c r="K138"/>
      <c r="L138"/>
    </row>
    <row r="139" spans="1:12" x14ac:dyDescent="0.25">
      <c r="A139" s="396" t="s">
        <v>0</v>
      </c>
      <c r="B139" s="286" t="s">
        <v>9</v>
      </c>
      <c r="C139" s="1" t="s">
        <v>22</v>
      </c>
      <c r="D139" s="1" t="s">
        <v>23</v>
      </c>
      <c r="E139" s="1"/>
      <c r="F139" s="1" t="s">
        <v>22</v>
      </c>
      <c r="G139" s="1" t="s">
        <v>23</v>
      </c>
      <c r="H139" s="1" t="s">
        <v>809</v>
      </c>
      <c r="I139" s="1"/>
      <c r="J139" s="182"/>
      <c r="K139"/>
      <c r="L139"/>
    </row>
    <row r="140" spans="1:12" x14ac:dyDescent="0.25">
      <c r="A140" s="175" t="s">
        <v>15</v>
      </c>
      <c r="B140" s="1" t="s">
        <v>47</v>
      </c>
      <c r="C140" s="795"/>
      <c r="D140" s="795"/>
      <c r="E140" s="795"/>
      <c r="F140" s="795"/>
      <c r="G140" s="795">
        <v>546</v>
      </c>
      <c r="H140" s="795"/>
      <c r="I140" s="795">
        <v>546</v>
      </c>
      <c r="J140" s="402">
        <v>546</v>
      </c>
      <c r="K140"/>
      <c r="L140"/>
    </row>
    <row r="141" spans="1:12" x14ac:dyDescent="0.25">
      <c r="A141" s="175" t="s">
        <v>978</v>
      </c>
      <c r="B141" s="1"/>
      <c r="C141" s="795"/>
      <c r="D141" s="795"/>
      <c r="E141" s="795"/>
      <c r="F141" s="795"/>
      <c r="G141" s="795">
        <v>546</v>
      </c>
      <c r="H141" s="795"/>
      <c r="I141" s="795">
        <v>546</v>
      </c>
      <c r="J141" s="402">
        <v>546</v>
      </c>
      <c r="K141"/>
      <c r="L141"/>
    </row>
    <row r="142" spans="1:12" x14ac:dyDescent="0.25">
      <c r="A142" s="175" t="s">
        <v>20</v>
      </c>
      <c r="B142" s="1" t="s">
        <v>106</v>
      </c>
      <c r="C142" s="795"/>
      <c r="D142" s="795"/>
      <c r="E142" s="795"/>
      <c r="F142" s="795"/>
      <c r="G142" s="795">
        <v>30</v>
      </c>
      <c r="H142" s="795"/>
      <c r="I142" s="795">
        <v>30</v>
      </c>
      <c r="J142" s="402">
        <v>30</v>
      </c>
      <c r="K142"/>
      <c r="L142"/>
    </row>
    <row r="143" spans="1:12" x14ac:dyDescent="0.25">
      <c r="A143" s="175"/>
      <c r="B143" s="1" t="s">
        <v>872</v>
      </c>
      <c r="C143" s="795"/>
      <c r="D143" s="795"/>
      <c r="E143" s="795"/>
      <c r="F143" s="795"/>
      <c r="G143" s="795">
        <v>38</v>
      </c>
      <c r="H143" s="795"/>
      <c r="I143" s="795">
        <v>38</v>
      </c>
      <c r="J143" s="402">
        <v>38</v>
      </c>
      <c r="K143"/>
      <c r="L143"/>
    </row>
    <row r="144" spans="1:12" x14ac:dyDescent="0.25">
      <c r="A144" s="175"/>
      <c r="B144" s="1" t="s">
        <v>107</v>
      </c>
      <c r="C144" s="795"/>
      <c r="D144" s="795"/>
      <c r="E144" s="795"/>
      <c r="F144" s="795"/>
      <c r="G144" s="795">
        <v>57</v>
      </c>
      <c r="H144" s="795"/>
      <c r="I144" s="795">
        <v>57</v>
      </c>
      <c r="J144" s="402">
        <v>57</v>
      </c>
      <c r="K144"/>
      <c r="L144"/>
    </row>
    <row r="145" spans="1:12" x14ac:dyDescent="0.25">
      <c r="A145" s="175"/>
      <c r="B145" s="1" t="s">
        <v>873</v>
      </c>
      <c r="C145" s="795"/>
      <c r="D145" s="795"/>
      <c r="E145" s="795"/>
      <c r="F145" s="795"/>
      <c r="G145" s="795">
        <v>58</v>
      </c>
      <c r="H145" s="795"/>
      <c r="I145" s="795">
        <v>58</v>
      </c>
      <c r="J145" s="402">
        <v>58</v>
      </c>
      <c r="K145"/>
      <c r="L145"/>
    </row>
    <row r="146" spans="1:12" x14ac:dyDescent="0.25">
      <c r="A146" s="175"/>
      <c r="B146" s="1" t="s">
        <v>105</v>
      </c>
      <c r="C146" s="795"/>
      <c r="D146" s="795"/>
      <c r="E146" s="795"/>
      <c r="F146" s="795"/>
      <c r="G146" s="795">
        <v>87</v>
      </c>
      <c r="H146" s="795"/>
      <c r="I146" s="795">
        <v>87</v>
      </c>
      <c r="J146" s="402">
        <v>87</v>
      </c>
      <c r="K146"/>
      <c r="L146"/>
    </row>
    <row r="147" spans="1:12" x14ac:dyDescent="0.25">
      <c r="A147" s="175"/>
      <c r="B147" s="1" t="s">
        <v>874</v>
      </c>
      <c r="C147" s="795"/>
      <c r="D147" s="795"/>
      <c r="E147" s="795"/>
      <c r="F147" s="795"/>
      <c r="G147" s="795">
        <v>243</v>
      </c>
      <c r="H147" s="795"/>
      <c r="I147" s="795">
        <v>243</v>
      </c>
      <c r="J147" s="402">
        <v>243</v>
      </c>
      <c r="K147"/>
      <c r="L147"/>
    </row>
    <row r="148" spans="1:12" x14ac:dyDescent="0.25">
      <c r="A148" s="175"/>
      <c r="B148" s="1" t="s">
        <v>109</v>
      </c>
      <c r="C148" s="795"/>
      <c r="D148" s="795"/>
      <c r="E148" s="795"/>
      <c r="F148" s="795"/>
      <c r="G148" s="795">
        <v>291</v>
      </c>
      <c r="H148" s="795"/>
      <c r="I148" s="795">
        <v>291</v>
      </c>
      <c r="J148" s="402">
        <v>291</v>
      </c>
      <c r="K148"/>
      <c r="L148"/>
    </row>
    <row r="149" spans="1:12" x14ac:dyDescent="0.25">
      <c r="A149" s="175"/>
      <c r="B149" s="1" t="s">
        <v>617</v>
      </c>
      <c r="C149" s="795"/>
      <c r="D149" s="795"/>
      <c r="E149" s="795"/>
      <c r="F149" s="795"/>
      <c r="G149" s="795">
        <v>344</v>
      </c>
      <c r="H149" s="795"/>
      <c r="I149" s="795">
        <v>344</v>
      </c>
      <c r="J149" s="402">
        <v>344</v>
      </c>
      <c r="K149"/>
      <c r="L149"/>
    </row>
    <row r="150" spans="1:12" x14ac:dyDescent="0.25">
      <c r="A150" s="175" t="s">
        <v>646</v>
      </c>
      <c r="B150" s="1"/>
      <c r="C150" s="795"/>
      <c r="D150" s="795"/>
      <c r="E150" s="795"/>
      <c r="F150" s="795"/>
      <c r="G150" s="795">
        <v>1148</v>
      </c>
      <c r="H150" s="795"/>
      <c r="I150" s="795">
        <v>1148</v>
      </c>
      <c r="J150" s="402">
        <v>1148</v>
      </c>
      <c r="K150"/>
      <c r="L150"/>
    </row>
    <row r="151" spans="1:12" x14ac:dyDescent="0.25">
      <c r="A151" s="175" t="s">
        <v>18</v>
      </c>
      <c r="B151" s="1" t="s">
        <v>60</v>
      </c>
      <c r="C151" s="795"/>
      <c r="D151" s="795">
        <v>77</v>
      </c>
      <c r="E151" s="795">
        <v>77</v>
      </c>
      <c r="F151" s="795"/>
      <c r="G151" s="795"/>
      <c r="H151" s="795"/>
      <c r="I151" s="795"/>
      <c r="J151" s="402">
        <v>77</v>
      </c>
      <c r="K151"/>
      <c r="L151"/>
    </row>
    <row r="152" spans="1:12" x14ac:dyDescent="0.25">
      <c r="A152" s="175"/>
      <c r="B152" s="1" t="s">
        <v>59</v>
      </c>
      <c r="C152" s="795"/>
      <c r="D152" s="795"/>
      <c r="E152" s="795"/>
      <c r="F152" s="795">
        <v>187</v>
      </c>
      <c r="G152" s="795"/>
      <c r="H152" s="795"/>
      <c r="I152" s="795">
        <v>187</v>
      </c>
      <c r="J152" s="402">
        <v>187</v>
      </c>
      <c r="K152"/>
      <c r="L152"/>
    </row>
    <row r="153" spans="1:12" x14ac:dyDescent="0.25">
      <c r="A153" s="175" t="s">
        <v>648</v>
      </c>
      <c r="B153" s="1"/>
      <c r="C153" s="795"/>
      <c r="D153" s="795">
        <v>77</v>
      </c>
      <c r="E153" s="795">
        <v>77</v>
      </c>
      <c r="F153" s="795">
        <v>187</v>
      </c>
      <c r="G153" s="795"/>
      <c r="H153" s="795"/>
      <c r="I153" s="795">
        <v>187</v>
      </c>
      <c r="J153" s="402">
        <v>264</v>
      </c>
      <c r="K153"/>
      <c r="L153"/>
    </row>
    <row r="154" spans="1:12" x14ac:dyDescent="0.25">
      <c r="A154" s="175" t="s">
        <v>16</v>
      </c>
      <c r="B154" s="1" t="s">
        <v>400</v>
      </c>
      <c r="C154" s="795"/>
      <c r="D154" s="795"/>
      <c r="E154" s="795"/>
      <c r="F154" s="795">
        <v>961</v>
      </c>
      <c r="G154" s="795"/>
      <c r="H154" s="795"/>
      <c r="I154" s="795">
        <v>961</v>
      </c>
      <c r="J154" s="402">
        <v>961</v>
      </c>
      <c r="K154"/>
      <c r="L154"/>
    </row>
    <row r="155" spans="1:12" x14ac:dyDescent="0.25">
      <c r="A155" s="175"/>
      <c r="B155" s="1" t="s">
        <v>605</v>
      </c>
      <c r="C155" s="795"/>
      <c r="D155" s="795"/>
      <c r="E155" s="795"/>
      <c r="F155" s="795">
        <v>1297</v>
      </c>
      <c r="G155" s="795"/>
      <c r="H155" s="795"/>
      <c r="I155" s="795">
        <v>1297</v>
      </c>
      <c r="J155" s="402">
        <v>1297</v>
      </c>
      <c r="K155"/>
      <c r="L155"/>
    </row>
    <row r="156" spans="1:12" x14ac:dyDescent="0.25">
      <c r="A156" s="175"/>
      <c r="B156" s="1" t="s">
        <v>57</v>
      </c>
      <c r="C156" s="795"/>
      <c r="D156" s="795"/>
      <c r="E156" s="795"/>
      <c r="F156" s="795"/>
      <c r="G156" s="795">
        <v>1308</v>
      </c>
      <c r="H156" s="795"/>
      <c r="I156" s="795">
        <v>1308</v>
      </c>
      <c r="J156" s="402">
        <v>1308</v>
      </c>
      <c r="K156"/>
      <c r="L156"/>
    </row>
    <row r="157" spans="1:12" x14ac:dyDescent="0.25">
      <c r="A157" s="175" t="s">
        <v>649</v>
      </c>
      <c r="B157" s="1"/>
      <c r="C157" s="795"/>
      <c r="D157" s="795"/>
      <c r="E157" s="795"/>
      <c r="F157" s="795">
        <v>2258</v>
      </c>
      <c r="G157" s="795">
        <v>1308</v>
      </c>
      <c r="H157" s="795"/>
      <c r="I157" s="795">
        <v>3566</v>
      </c>
      <c r="J157" s="402">
        <v>3566</v>
      </c>
      <c r="K157"/>
      <c r="L157"/>
    </row>
    <row r="158" spans="1:12" x14ac:dyDescent="0.25">
      <c r="A158" s="175" t="s">
        <v>19</v>
      </c>
      <c r="B158" s="1" t="s">
        <v>553</v>
      </c>
      <c r="C158" s="795"/>
      <c r="D158" s="795"/>
      <c r="E158" s="795"/>
      <c r="F158" s="795"/>
      <c r="G158" s="795"/>
      <c r="H158" s="795">
        <v>226</v>
      </c>
      <c r="I158" s="795">
        <v>226</v>
      </c>
      <c r="J158" s="402">
        <v>226</v>
      </c>
      <c r="K158"/>
      <c r="L158"/>
    </row>
    <row r="159" spans="1:12" x14ac:dyDescent="0.25">
      <c r="A159" s="175"/>
      <c r="B159" s="1" t="s">
        <v>541</v>
      </c>
      <c r="C159" s="795"/>
      <c r="D159" s="795"/>
      <c r="E159" s="795"/>
      <c r="F159" s="795"/>
      <c r="G159" s="795"/>
      <c r="H159" s="795">
        <v>2942</v>
      </c>
      <c r="I159" s="795">
        <v>2942</v>
      </c>
      <c r="J159" s="402">
        <v>2942</v>
      </c>
      <c r="K159"/>
      <c r="L159"/>
    </row>
    <row r="160" spans="1:12" x14ac:dyDescent="0.25">
      <c r="A160" s="175"/>
      <c r="B160" s="1" t="s">
        <v>543</v>
      </c>
      <c r="C160" s="795"/>
      <c r="D160" s="795"/>
      <c r="E160" s="795"/>
      <c r="F160" s="795"/>
      <c r="G160" s="795"/>
      <c r="H160" s="795">
        <v>2951</v>
      </c>
      <c r="I160" s="795">
        <v>2951</v>
      </c>
      <c r="J160" s="402">
        <v>2951</v>
      </c>
      <c r="K160"/>
      <c r="L160"/>
    </row>
    <row r="161" spans="1:12" x14ac:dyDescent="0.25">
      <c r="A161" s="175" t="s">
        <v>645</v>
      </c>
      <c r="B161" s="1"/>
      <c r="C161" s="795"/>
      <c r="D161" s="795"/>
      <c r="E161" s="795"/>
      <c r="F161" s="795"/>
      <c r="G161" s="795"/>
      <c r="H161" s="795">
        <v>6119</v>
      </c>
      <c r="I161" s="795">
        <v>6119</v>
      </c>
      <c r="J161" s="402">
        <v>6119</v>
      </c>
      <c r="K161"/>
      <c r="L161"/>
    </row>
    <row r="162" spans="1:12" x14ac:dyDescent="0.25">
      <c r="A162" s="175" t="s">
        <v>608</v>
      </c>
      <c r="B162" s="1" t="s">
        <v>474</v>
      </c>
      <c r="C162" s="795">
        <v>327</v>
      </c>
      <c r="D162" s="795"/>
      <c r="E162" s="795">
        <v>327</v>
      </c>
      <c r="F162" s="795"/>
      <c r="G162" s="795"/>
      <c r="H162" s="795"/>
      <c r="I162" s="795"/>
      <c r="J162" s="402">
        <v>327</v>
      </c>
      <c r="K162"/>
      <c r="L162"/>
    </row>
    <row r="163" spans="1:12" x14ac:dyDescent="0.25">
      <c r="A163" s="175"/>
      <c r="B163" s="1" t="s">
        <v>58</v>
      </c>
      <c r="C163" s="795"/>
      <c r="D163" s="795"/>
      <c r="E163" s="795"/>
      <c r="F163" s="795">
        <v>1274</v>
      </c>
      <c r="G163" s="795"/>
      <c r="H163" s="795"/>
      <c r="I163" s="795">
        <v>1274</v>
      </c>
      <c r="J163" s="402">
        <v>1274</v>
      </c>
      <c r="K163"/>
      <c r="L163"/>
    </row>
    <row r="164" spans="1:12" x14ac:dyDescent="0.25">
      <c r="A164" s="175" t="s">
        <v>1004</v>
      </c>
      <c r="B164" s="1"/>
      <c r="C164" s="795">
        <v>327</v>
      </c>
      <c r="D164" s="795"/>
      <c r="E164" s="795">
        <v>327</v>
      </c>
      <c r="F164" s="795">
        <v>1274</v>
      </c>
      <c r="G164" s="795"/>
      <c r="H164" s="795"/>
      <c r="I164" s="795">
        <v>1274</v>
      </c>
      <c r="J164" s="402">
        <v>1601</v>
      </c>
      <c r="K164"/>
    </row>
    <row r="165" spans="1:12" x14ac:dyDescent="0.25">
      <c r="A165" s="184" t="s">
        <v>213</v>
      </c>
      <c r="B165" s="185"/>
      <c r="C165" s="387">
        <v>327</v>
      </c>
      <c r="D165" s="387">
        <v>77</v>
      </c>
      <c r="E165" s="387">
        <v>404</v>
      </c>
      <c r="F165" s="387">
        <v>3719</v>
      </c>
      <c r="G165" s="387">
        <v>3002</v>
      </c>
      <c r="H165" s="387">
        <v>6119</v>
      </c>
      <c r="I165" s="387">
        <v>12840</v>
      </c>
      <c r="J165" s="404">
        <v>13244</v>
      </c>
      <c r="K165"/>
    </row>
    <row r="166" spans="1:12" x14ac:dyDescent="0.25">
      <c r="A166"/>
      <c r="B166"/>
      <c r="C166"/>
      <c r="D166"/>
      <c r="E166"/>
      <c r="F166"/>
      <c r="G166"/>
      <c r="H166"/>
      <c r="I166"/>
      <c r="J166"/>
      <c r="K166"/>
    </row>
    <row r="167" spans="1:12" x14ac:dyDescent="0.25">
      <c r="A167"/>
      <c r="B167"/>
      <c r="C167"/>
      <c r="D167"/>
      <c r="E167"/>
      <c r="F167"/>
      <c r="G167"/>
      <c r="H167"/>
      <c r="I167"/>
      <c r="J167"/>
      <c r="K167"/>
    </row>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spans="1:12" hidden="1" x14ac:dyDescent="0.25"/>
    <row r="178" spans="1:12" hidden="1" x14ac:dyDescent="0.25"/>
    <row r="179" spans="1:12" hidden="1" x14ac:dyDescent="0.25"/>
    <row r="180" spans="1:12" hidden="1" x14ac:dyDescent="0.25"/>
    <row r="184" spans="1:12" x14ac:dyDescent="0.25">
      <c r="A184" s="47" t="s">
        <v>346</v>
      </c>
      <c r="B184" s="793" t="s">
        <v>348</v>
      </c>
    </row>
    <row r="185" spans="1:12" x14ac:dyDescent="0.25">
      <c r="A185"/>
      <c r="B185"/>
      <c r="C185"/>
      <c r="D185"/>
      <c r="E185"/>
      <c r="F185"/>
      <c r="G185"/>
      <c r="H185"/>
      <c r="I185"/>
      <c r="J185"/>
      <c r="K185"/>
      <c r="L185"/>
    </row>
    <row r="186" spans="1:12" x14ac:dyDescent="0.25">
      <c r="A186" s="47" t="s">
        <v>979</v>
      </c>
      <c r="B186" s="47" t="s">
        <v>665</v>
      </c>
      <c r="C186"/>
      <c r="D186"/>
      <c r="E186"/>
      <c r="F186"/>
      <c r="G186"/>
      <c r="H186"/>
      <c r="I186"/>
      <c r="J186"/>
      <c r="K186"/>
      <c r="L186"/>
    </row>
    <row r="187" spans="1:12" x14ac:dyDescent="0.25">
      <c r="A187" s="47" t="s">
        <v>1</v>
      </c>
      <c r="B187" s="793" t="s">
        <v>809</v>
      </c>
      <c r="C187" s="793" t="s">
        <v>22</v>
      </c>
      <c r="D187" s="793" t="s">
        <v>23</v>
      </c>
      <c r="E187" s="793" t="s">
        <v>213</v>
      </c>
      <c r="F187"/>
      <c r="G187"/>
      <c r="H187"/>
      <c r="I187"/>
      <c r="J187"/>
      <c r="K187"/>
      <c r="L187"/>
    </row>
    <row r="188" spans="1:12" x14ac:dyDescent="0.25">
      <c r="A188" s="23" t="s">
        <v>15</v>
      </c>
      <c r="B188" s="4"/>
      <c r="C188" s="4"/>
      <c r="D188" s="4">
        <v>1</v>
      </c>
      <c r="E188" s="4">
        <v>1</v>
      </c>
      <c r="F188"/>
      <c r="G188"/>
      <c r="H188"/>
      <c r="I188"/>
      <c r="J188"/>
      <c r="K188"/>
      <c r="L188"/>
    </row>
    <row r="189" spans="1:12" x14ac:dyDescent="0.25">
      <c r="A189" s="23" t="s">
        <v>20</v>
      </c>
      <c r="B189" s="4"/>
      <c r="C189" s="4"/>
      <c r="D189" s="4">
        <v>8</v>
      </c>
      <c r="E189" s="4">
        <v>8</v>
      </c>
      <c r="F189"/>
      <c r="G189"/>
      <c r="H189"/>
      <c r="I189"/>
      <c r="J189"/>
      <c r="K189"/>
      <c r="L189"/>
    </row>
    <row r="190" spans="1:12" x14ac:dyDescent="0.25">
      <c r="A190" s="23" t="s">
        <v>867</v>
      </c>
      <c r="B190" s="4"/>
      <c r="C190" s="4">
        <v>1</v>
      </c>
      <c r="D190" s="4"/>
      <c r="E190" s="4">
        <v>1</v>
      </c>
      <c r="F190"/>
      <c r="G190"/>
      <c r="H190"/>
      <c r="I190"/>
      <c r="J190"/>
    </row>
    <row r="191" spans="1:12" x14ac:dyDescent="0.25">
      <c r="A191" s="23" t="s">
        <v>14</v>
      </c>
      <c r="B191" s="4"/>
      <c r="C191" s="4">
        <v>4</v>
      </c>
      <c r="D191" s="4"/>
      <c r="E191" s="4">
        <v>4</v>
      </c>
      <c r="F191"/>
      <c r="G191"/>
      <c r="H191"/>
      <c r="I191"/>
      <c r="J191"/>
    </row>
    <row r="192" spans="1:12" x14ac:dyDescent="0.25">
      <c r="A192" s="23" t="s">
        <v>18</v>
      </c>
      <c r="B192" s="4"/>
      <c r="C192" s="4">
        <v>1</v>
      </c>
      <c r="D192" s="4">
        <v>1</v>
      </c>
      <c r="E192" s="4">
        <v>2</v>
      </c>
      <c r="F192"/>
      <c r="G192"/>
      <c r="H192"/>
      <c r="I192"/>
      <c r="J192"/>
    </row>
    <row r="193" spans="1:10" x14ac:dyDescent="0.25">
      <c r="A193" s="23" t="s">
        <v>16</v>
      </c>
      <c r="B193" s="4"/>
      <c r="C193" s="4">
        <v>2</v>
      </c>
      <c r="D193" s="4">
        <v>1</v>
      </c>
      <c r="E193" s="4">
        <v>3</v>
      </c>
      <c r="F193"/>
      <c r="G193"/>
      <c r="H193"/>
      <c r="I193"/>
      <c r="J193"/>
    </row>
    <row r="194" spans="1:10" x14ac:dyDescent="0.25">
      <c r="A194" s="23" t="s">
        <v>19</v>
      </c>
      <c r="B194" s="4">
        <v>3</v>
      </c>
      <c r="C194" s="4">
        <v>11</v>
      </c>
      <c r="D194" s="4">
        <v>1</v>
      </c>
      <c r="E194" s="4">
        <v>15</v>
      </c>
      <c r="F194"/>
      <c r="G194"/>
    </row>
    <row r="195" spans="1:10" x14ac:dyDescent="0.25">
      <c r="A195" s="23" t="s">
        <v>608</v>
      </c>
      <c r="B195" s="4"/>
      <c r="C195" s="4">
        <v>2</v>
      </c>
      <c r="D195" s="4"/>
      <c r="E195" s="4">
        <v>2</v>
      </c>
      <c r="F195"/>
      <c r="G195"/>
    </row>
    <row r="196" spans="1:10" x14ac:dyDescent="0.25">
      <c r="A196" s="23" t="s">
        <v>213</v>
      </c>
      <c r="B196" s="4">
        <v>3</v>
      </c>
      <c r="C196" s="4">
        <v>21</v>
      </c>
      <c r="D196" s="4">
        <v>12</v>
      </c>
      <c r="E196" s="4">
        <v>36</v>
      </c>
      <c r="F196"/>
      <c r="G196"/>
    </row>
    <row r="197" spans="1:10" x14ac:dyDescent="0.25">
      <c r="A197"/>
      <c r="B197"/>
      <c r="C197"/>
      <c r="D197"/>
      <c r="E197"/>
      <c r="F197"/>
      <c r="G197"/>
    </row>
    <row r="198" spans="1:10" x14ac:dyDescent="0.25">
      <c r="A198"/>
      <c r="B198"/>
      <c r="C198"/>
      <c r="D198"/>
      <c r="E198"/>
      <c r="F198"/>
      <c r="G198"/>
    </row>
    <row r="199" spans="1:10" x14ac:dyDescent="0.25">
      <c r="A199"/>
      <c r="B199"/>
      <c r="C199"/>
      <c r="D199"/>
      <c r="E199"/>
      <c r="F199"/>
      <c r="G199"/>
    </row>
    <row r="200" spans="1:10" x14ac:dyDescent="0.25">
      <c r="A200" s="47" t="s">
        <v>346</v>
      </c>
      <c r="B200" s="793" t="s">
        <v>348</v>
      </c>
      <c r="C200"/>
      <c r="D200"/>
      <c r="E200"/>
      <c r="F200"/>
    </row>
    <row r="201" spans="1:10" x14ac:dyDescent="0.25">
      <c r="A201"/>
      <c r="B201"/>
      <c r="C201"/>
      <c r="D201"/>
      <c r="E201"/>
      <c r="F201"/>
    </row>
    <row r="202" spans="1:10" x14ac:dyDescent="0.25">
      <c r="A202" s="47" t="s">
        <v>535</v>
      </c>
      <c r="B202" s="47" t="s">
        <v>665</v>
      </c>
      <c r="C202"/>
      <c r="D202"/>
      <c r="E202"/>
      <c r="F202"/>
    </row>
    <row r="203" spans="1:10" x14ac:dyDescent="0.25">
      <c r="A203" s="47" t="s">
        <v>1</v>
      </c>
      <c r="B203" s="793" t="s">
        <v>809</v>
      </c>
      <c r="C203" s="793" t="s">
        <v>22</v>
      </c>
      <c r="D203" s="793" t="s">
        <v>23</v>
      </c>
      <c r="E203" s="793" t="s">
        <v>213</v>
      </c>
      <c r="F203"/>
    </row>
    <row r="204" spans="1:10" x14ac:dyDescent="0.25">
      <c r="A204" s="23" t="s">
        <v>15</v>
      </c>
      <c r="B204" s="4"/>
      <c r="C204" s="4"/>
      <c r="D204" s="4">
        <v>546</v>
      </c>
      <c r="E204" s="4">
        <v>546</v>
      </c>
      <c r="F204"/>
    </row>
    <row r="205" spans="1:10" x14ac:dyDescent="0.25">
      <c r="A205" s="23" t="s">
        <v>20</v>
      </c>
      <c r="B205" s="4"/>
      <c r="C205" s="4"/>
      <c r="D205" s="4">
        <v>1148</v>
      </c>
      <c r="E205" s="4">
        <v>1148</v>
      </c>
      <c r="F205"/>
    </row>
    <row r="206" spans="1:10" x14ac:dyDescent="0.25">
      <c r="A206" s="23" t="s">
        <v>867</v>
      </c>
      <c r="B206" s="4"/>
      <c r="C206" s="4">
        <v>2679</v>
      </c>
      <c r="D206" s="4"/>
      <c r="E206" s="4">
        <v>2679</v>
      </c>
      <c r="F206"/>
    </row>
    <row r="207" spans="1:10" x14ac:dyDescent="0.25">
      <c r="A207" s="23" t="s">
        <v>14</v>
      </c>
      <c r="B207" s="4"/>
      <c r="C207" s="4">
        <v>15985</v>
      </c>
      <c r="D207" s="4"/>
      <c r="E207" s="4">
        <v>15985</v>
      </c>
      <c r="F207"/>
    </row>
    <row r="208" spans="1:10" x14ac:dyDescent="0.25">
      <c r="A208" s="23" t="s">
        <v>18</v>
      </c>
      <c r="B208" s="4"/>
      <c r="C208" s="4">
        <v>187</v>
      </c>
      <c r="D208" s="4">
        <v>77</v>
      </c>
      <c r="E208" s="4">
        <v>264</v>
      </c>
      <c r="F208"/>
    </row>
    <row r="209" spans="1:6" x14ac:dyDescent="0.25">
      <c r="A209" s="23" t="s">
        <v>16</v>
      </c>
      <c r="B209" s="4"/>
      <c r="C209" s="4">
        <v>2258</v>
      </c>
      <c r="D209" s="4">
        <v>1308</v>
      </c>
      <c r="E209" s="4">
        <v>3566</v>
      </c>
      <c r="F209"/>
    </row>
    <row r="210" spans="1:6" x14ac:dyDescent="0.25">
      <c r="A210" s="23" t="s">
        <v>19</v>
      </c>
      <c r="B210" s="4">
        <v>6119</v>
      </c>
      <c r="C210" s="4">
        <v>76834</v>
      </c>
      <c r="D210" s="4">
        <v>11764</v>
      </c>
      <c r="E210" s="4">
        <v>94717</v>
      </c>
      <c r="F210"/>
    </row>
    <row r="211" spans="1:6" x14ac:dyDescent="0.25">
      <c r="A211" s="23" t="s">
        <v>608</v>
      </c>
      <c r="B211" s="4"/>
      <c r="C211" s="4">
        <v>1601</v>
      </c>
      <c r="D211" s="4"/>
      <c r="E211" s="4">
        <v>1601</v>
      </c>
      <c r="F211"/>
    </row>
    <row r="212" spans="1:6" x14ac:dyDescent="0.25">
      <c r="A212" s="23" t="s">
        <v>213</v>
      </c>
      <c r="B212" s="4">
        <v>6119</v>
      </c>
      <c r="C212" s="4">
        <v>99544</v>
      </c>
      <c r="D212" s="4">
        <v>14843</v>
      </c>
      <c r="E212" s="4">
        <v>120506</v>
      </c>
      <c r="F212"/>
    </row>
    <row r="213" spans="1:6" x14ac:dyDescent="0.25">
      <c r="A213"/>
      <c r="B213"/>
      <c r="C213"/>
      <c r="D213"/>
      <c r="E213"/>
      <c r="F213"/>
    </row>
    <row r="214" spans="1:6" x14ac:dyDescent="0.25">
      <c r="A214" s="47" t="s">
        <v>346</v>
      </c>
      <c r="B214" s="793" t="s">
        <v>348</v>
      </c>
      <c r="C214"/>
      <c r="D214"/>
      <c r="E214"/>
      <c r="F214"/>
    </row>
    <row r="215" spans="1:6" x14ac:dyDescent="0.25">
      <c r="A215"/>
      <c r="B215"/>
      <c r="C215"/>
      <c r="D215"/>
      <c r="E215"/>
      <c r="F215"/>
    </row>
    <row r="216" spans="1:6" x14ac:dyDescent="0.25">
      <c r="A216" s="47" t="s">
        <v>1</v>
      </c>
      <c r="B216" s="793" t="s">
        <v>985</v>
      </c>
      <c r="C216" s="793" t="s">
        <v>986</v>
      </c>
      <c r="D216" s="793" t="s">
        <v>215</v>
      </c>
      <c r="E216"/>
      <c r="F216"/>
    </row>
    <row r="217" spans="1:6" x14ac:dyDescent="0.25">
      <c r="A217" s="23" t="s">
        <v>15</v>
      </c>
      <c r="B217" s="4">
        <v>1</v>
      </c>
      <c r="C217" s="4">
        <v>1</v>
      </c>
      <c r="D217" s="4">
        <v>546</v>
      </c>
      <c r="E217"/>
      <c r="F217"/>
    </row>
    <row r="218" spans="1:6" x14ac:dyDescent="0.25">
      <c r="A218" s="23" t="s">
        <v>20</v>
      </c>
      <c r="B218" s="4">
        <v>8</v>
      </c>
      <c r="C218" s="4">
        <v>8</v>
      </c>
      <c r="D218" s="4">
        <v>1148</v>
      </c>
      <c r="E218"/>
      <c r="F218"/>
    </row>
    <row r="219" spans="1:6" x14ac:dyDescent="0.25">
      <c r="A219" s="23" t="s">
        <v>867</v>
      </c>
      <c r="B219" s="4">
        <v>1</v>
      </c>
      <c r="C219" s="4">
        <v>1</v>
      </c>
      <c r="D219" s="4">
        <v>2679</v>
      </c>
      <c r="E219"/>
      <c r="F219"/>
    </row>
    <row r="220" spans="1:6" x14ac:dyDescent="0.25">
      <c r="A220" s="23" t="s">
        <v>14</v>
      </c>
      <c r="B220" s="4">
        <v>4</v>
      </c>
      <c r="C220" s="4">
        <v>4</v>
      </c>
      <c r="D220" s="4">
        <v>15985</v>
      </c>
      <c r="E220"/>
      <c r="F220"/>
    </row>
    <row r="221" spans="1:6" x14ac:dyDescent="0.25">
      <c r="A221" s="23" t="s">
        <v>18</v>
      </c>
      <c r="B221" s="4">
        <v>2</v>
      </c>
      <c r="C221" s="4">
        <v>2</v>
      </c>
      <c r="D221" s="4">
        <v>264</v>
      </c>
      <c r="E221"/>
      <c r="F221"/>
    </row>
    <row r="222" spans="1:6" x14ac:dyDescent="0.25">
      <c r="A222" s="23" t="s">
        <v>16</v>
      </c>
      <c r="B222" s="4">
        <v>3</v>
      </c>
      <c r="C222" s="4">
        <v>3</v>
      </c>
      <c r="D222" s="4">
        <v>3566</v>
      </c>
      <c r="E222"/>
      <c r="F222"/>
    </row>
    <row r="223" spans="1:6" x14ac:dyDescent="0.25">
      <c r="A223" s="23" t="s">
        <v>19</v>
      </c>
      <c r="B223" s="4">
        <v>15</v>
      </c>
      <c r="C223" s="4">
        <v>15</v>
      </c>
      <c r="D223" s="4">
        <v>94717</v>
      </c>
    </row>
    <row r="224" spans="1:6" x14ac:dyDescent="0.25">
      <c r="A224" s="23" t="s">
        <v>608</v>
      </c>
      <c r="B224" s="4">
        <v>2</v>
      </c>
      <c r="C224" s="4">
        <v>2</v>
      </c>
      <c r="D224" s="4">
        <v>1601</v>
      </c>
    </row>
    <row r="225" spans="1:4" x14ac:dyDescent="0.25">
      <c r="A225" s="23" t="s">
        <v>213</v>
      </c>
      <c r="B225" s="4">
        <v>36</v>
      </c>
      <c r="C225" s="4">
        <v>36</v>
      </c>
      <c r="D225" s="4">
        <v>120506</v>
      </c>
    </row>
    <row r="226" spans="1:4" x14ac:dyDescent="0.25">
      <c r="A226"/>
      <c r="B226"/>
      <c r="C226"/>
      <c r="D226"/>
    </row>
    <row r="227" spans="1:4" x14ac:dyDescent="0.25">
      <c r="A227"/>
      <c r="B227"/>
      <c r="C227"/>
      <c r="D227"/>
    </row>
    <row r="228" spans="1:4" x14ac:dyDescent="0.25">
      <c r="A228"/>
      <c r="B228"/>
      <c r="C228"/>
    </row>
    <row r="229" spans="1:4" x14ac:dyDescent="0.25">
      <c r="A229"/>
      <c r="B229"/>
      <c r="C229"/>
    </row>
    <row r="230" spans="1:4" x14ac:dyDescent="0.25">
      <c r="A230"/>
      <c r="B230"/>
      <c r="C230"/>
    </row>
    <row r="231" spans="1:4" x14ac:dyDescent="0.25">
      <c r="A231"/>
      <c r="B231"/>
      <c r="C231"/>
    </row>
    <row r="232" spans="1:4" x14ac:dyDescent="0.25">
      <c r="A232"/>
      <c r="B232"/>
      <c r="C232"/>
    </row>
    <row r="233" spans="1:4" x14ac:dyDescent="0.25">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30"/>
  <sheetViews>
    <sheetView topLeftCell="E1" zoomScale="80" zoomScaleNormal="80" workbookViewId="0">
      <selection activeCell="M49" sqref="M49"/>
    </sheetView>
  </sheetViews>
  <sheetFormatPr defaultColWidth="9.140625" defaultRowHeight="15" x14ac:dyDescent="0.2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9.5703125" style="304" customWidth="1"/>
    <col min="12" max="12" width="14.140625" style="90" customWidth="1"/>
    <col min="13" max="13" width="16.7109375" style="90" customWidth="1"/>
    <col min="14" max="14" width="7.28515625" style="90" customWidth="1"/>
    <col min="15" max="15" width="11.5703125" style="90" customWidth="1"/>
    <col min="16" max="16" width="8.85546875" style="90" customWidth="1"/>
    <col min="17" max="17" width="6.5703125" style="90" customWidth="1"/>
    <col min="18" max="18" width="12.28515625" style="90" customWidth="1"/>
    <col min="19" max="19" width="10" style="90" customWidth="1"/>
    <col min="20" max="20" width="5.5703125" style="90" customWidth="1"/>
    <col min="21" max="21" width="13.42578125" style="90" customWidth="1"/>
    <col min="22" max="22" width="10" style="90" customWidth="1"/>
    <col min="23" max="23" width="5.5703125" style="90" customWidth="1"/>
    <col min="24" max="24" width="13.42578125" style="90" customWidth="1"/>
    <col min="25" max="25" width="10" style="90" customWidth="1"/>
    <col min="26" max="26" width="6.5703125" style="90" customWidth="1"/>
    <col min="27" max="27" width="13.42578125" style="90" customWidth="1"/>
    <col min="28" max="28" width="6" style="90" customWidth="1"/>
    <col min="29" max="29" width="5.5703125" style="90" customWidth="1"/>
    <col min="30" max="30" width="9.42578125" style="90" customWidth="1"/>
    <col min="31" max="31" width="11.5703125" style="90" customWidth="1"/>
    <col min="32" max="33" width="6.5703125" style="90" customWidth="1"/>
    <col min="34" max="34" width="9.140625" style="90" customWidth="1"/>
    <col min="35" max="35" width="11.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x14ac:dyDescent="0.3">
      <c r="A1" s="14" t="s">
        <v>1009</v>
      </c>
      <c r="B1" s="14" t="s">
        <v>1010</v>
      </c>
      <c r="G1" s="653"/>
      <c r="J1" s="654"/>
      <c r="K1" s="654"/>
    </row>
    <row r="2" spans="1:44" ht="18.75" x14ac:dyDescent="0.3">
      <c r="A2" s="14" t="s">
        <v>1009</v>
      </c>
      <c r="B2" s="14" t="s">
        <v>1131</v>
      </c>
      <c r="C2" s="14"/>
      <c r="D2" s="14"/>
      <c r="H2" s="90"/>
    </row>
    <row r="3" spans="1:44" x14ac:dyDescent="0.25">
      <c r="H3" s="90"/>
    </row>
    <row r="4" spans="1:44" ht="22.15" customHeight="1" x14ac:dyDescent="0.25">
      <c r="A4" s="586" t="s">
        <v>10</v>
      </c>
      <c r="B4" s="557" t="s">
        <v>1</v>
      </c>
      <c r="C4" s="557" t="s">
        <v>536</v>
      </c>
      <c r="D4" s="557" t="s">
        <v>566</v>
      </c>
      <c r="E4" s="557" t="s">
        <v>730</v>
      </c>
      <c r="F4" s="587" t="s">
        <v>729</v>
      </c>
      <c r="G4" s="588" t="s">
        <v>5</v>
      </c>
      <c r="H4" s="557" t="s">
        <v>733</v>
      </c>
      <c r="I4" s="589" t="s">
        <v>340</v>
      </c>
      <c r="J4" s="590" t="s">
        <v>870</v>
      </c>
      <c r="L4" s="199" t="s">
        <v>535</v>
      </c>
      <c r="M4" s="199" t="s">
        <v>665</v>
      </c>
      <c r="N4" s="794"/>
      <c r="O4" s="495"/>
      <c r="P4" s="792"/>
      <c r="Q4" s="792"/>
      <c r="R4" s="792"/>
      <c r="S4" s="792"/>
      <c r="T4" s="792"/>
      <c r="U4" s="792"/>
      <c r="V4" s="792"/>
      <c r="W4" s="792"/>
      <c r="X4" s="792"/>
      <c r="Y4" s="792"/>
      <c r="Z4" s="792"/>
      <c r="AA4" s="792"/>
      <c r="AB4" s="792"/>
      <c r="AC4" s="792"/>
      <c r="AD4" s="792"/>
      <c r="AE4" s="196"/>
      <c r="AF4"/>
      <c r="AG4"/>
      <c r="AH4"/>
      <c r="AI4"/>
      <c r="AJ4"/>
      <c r="AK4"/>
      <c r="AL4"/>
      <c r="AM4"/>
      <c r="AN4"/>
      <c r="AO4"/>
      <c r="AP4"/>
      <c r="AQ4"/>
    </row>
    <row r="5" spans="1:44" s="793" customFormat="1" ht="15" customHeight="1" x14ac:dyDescent="0.25">
      <c r="A5" s="481" t="s">
        <v>7</v>
      </c>
      <c r="B5" s="482" t="s">
        <v>14</v>
      </c>
      <c r="C5" s="156" t="s">
        <v>40</v>
      </c>
      <c r="D5" s="366" t="str">
        <f ca="1">IFERROR(OFFSET(Camp_List[P_Code],MATCH(Data_Demography_t[[#This Row],[Camp]],Camp_List[Camp Name],0)-1,0,1,1),"")</f>
        <v>MMR012CMP016</v>
      </c>
      <c r="E5" s="483" t="s">
        <v>1151</v>
      </c>
      <c r="F5" s="484" t="s">
        <v>725</v>
      </c>
      <c r="G5" s="310">
        <v>392</v>
      </c>
      <c r="H5" s="156">
        <f t="shared" ref="H5:H44" si="0">IF(F5="M",-G5,G5)</f>
        <v>-392</v>
      </c>
      <c r="I5" s="156" t="s">
        <v>624</v>
      </c>
      <c r="J5" s="869">
        <v>42825</v>
      </c>
      <c r="K5" s="304"/>
      <c r="L5" s="175"/>
      <c r="M5" s="182" t="s">
        <v>1151</v>
      </c>
      <c r="N5" s="911"/>
      <c r="O5" s="816" t="s">
        <v>1152</v>
      </c>
      <c r="P5" s="182" t="s">
        <v>881</v>
      </c>
      <c r="Q5" s="911"/>
      <c r="R5" s="816" t="s">
        <v>891</v>
      </c>
      <c r="S5" s="182" t="s">
        <v>656</v>
      </c>
      <c r="T5" s="911"/>
      <c r="U5" s="912" t="s">
        <v>732</v>
      </c>
      <c r="V5" s="182" t="s">
        <v>882</v>
      </c>
      <c r="W5" s="911"/>
      <c r="X5" s="816" t="s">
        <v>892</v>
      </c>
      <c r="Y5" s="182" t="s">
        <v>883</v>
      </c>
      <c r="Z5" s="911"/>
      <c r="AA5" s="816" t="s">
        <v>893</v>
      </c>
      <c r="AB5" s="182" t="s">
        <v>859</v>
      </c>
      <c r="AC5" s="911"/>
      <c r="AD5" s="816" t="s">
        <v>894</v>
      </c>
      <c r="AE5" s="912" t="s">
        <v>213</v>
      </c>
      <c r="AF5"/>
      <c r="AG5"/>
      <c r="AH5"/>
      <c r="AI5"/>
      <c r="AJ5"/>
      <c r="AK5"/>
      <c r="AL5"/>
      <c r="AM5"/>
      <c r="AN5"/>
      <c r="AO5"/>
      <c r="AP5"/>
      <c r="AQ5"/>
    </row>
    <row r="6" spans="1:44" s="793" customFormat="1" ht="15" customHeight="1" x14ac:dyDescent="0.25">
      <c r="A6" s="481" t="s">
        <v>7</v>
      </c>
      <c r="B6" s="482" t="s">
        <v>14</v>
      </c>
      <c r="C6" s="156" t="s">
        <v>40</v>
      </c>
      <c r="D6" s="366" t="str">
        <f ca="1">IFERROR(OFFSET(Camp_List[P_Code],MATCH(Data_Demography_t[[#This Row],[Camp]],Camp_List[Camp Name],0)-1,0,1,1),"")</f>
        <v>MMR012CMP016</v>
      </c>
      <c r="E6" s="483" t="s">
        <v>1151</v>
      </c>
      <c r="F6" s="484" t="s">
        <v>726</v>
      </c>
      <c r="G6" s="310">
        <v>465</v>
      </c>
      <c r="H6" s="156">
        <f t="shared" si="0"/>
        <v>465</v>
      </c>
      <c r="I6" s="156" t="s">
        <v>624</v>
      </c>
      <c r="J6" s="869">
        <v>42825</v>
      </c>
      <c r="K6" s="304"/>
      <c r="L6" s="279" t="s">
        <v>212</v>
      </c>
      <c r="M6" s="1" t="s">
        <v>726</v>
      </c>
      <c r="N6" s="1" t="s">
        <v>725</v>
      </c>
      <c r="O6" s="202"/>
      <c r="P6" s="182" t="s">
        <v>726</v>
      </c>
      <c r="Q6" s="911" t="s">
        <v>725</v>
      </c>
      <c r="R6" s="202"/>
      <c r="S6" s="913" t="s">
        <v>726</v>
      </c>
      <c r="T6" s="791" t="s">
        <v>725</v>
      </c>
      <c r="U6" s="502"/>
      <c r="V6" s="182" t="s">
        <v>726</v>
      </c>
      <c r="W6" s="911" t="s">
        <v>725</v>
      </c>
      <c r="X6" s="202"/>
      <c r="Y6" s="182" t="s">
        <v>726</v>
      </c>
      <c r="Z6" s="911" t="s">
        <v>725</v>
      </c>
      <c r="AA6" s="202"/>
      <c r="AB6" s="182" t="s">
        <v>726</v>
      </c>
      <c r="AC6" s="911" t="s">
        <v>725</v>
      </c>
      <c r="AD6" s="202"/>
      <c r="AE6" s="502"/>
      <c r="AF6"/>
      <c r="AG6"/>
      <c r="AH6"/>
      <c r="AI6"/>
      <c r="AJ6"/>
      <c r="AK6"/>
      <c r="AL6"/>
      <c r="AM6"/>
      <c r="AN6"/>
      <c r="AO6"/>
      <c r="AP6"/>
      <c r="AQ6"/>
    </row>
    <row r="7" spans="1:44" ht="15" customHeight="1" x14ac:dyDescent="0.25">
      <c r="A7" s="481" t="s">
        <v>7</v>
      </c>
      <c r="B7" s="482" t="s">
        <v>14</v>
      </c>
      <c r="C7" s="156" t="s">
        <v>40</v>
      </c>
      <c r="D7" s="366" t="str">
        <f ca="1">IFERROR(OFFSET(Camp_List[P_Code],MATCH(Data_Demography_t[[#This Row],[Camp]],Camp_List[Camp Name],0)-1,0,1,1),"")</f>
        <v>MMR012CMP016</v>
      </c>
      <c r="E7" s="483" t="s">
        <v>881</v>
      </c>
      <c r="F7" s="484" t="s">
        <v>725</v>
      </c>
      <c r="G7" s="310">
        <v>474</v>
      </c>
      <c r="H7" s="156">
        <f t="shared" si="0"/>
        <v>-474</v>
      </c>
      <c r="I7" s="156" t="s">
        <v>624</v>
      </c>
      <c r="J7" s="869">
        <v>42825</v>
      </c>
      <c r="L7" s="520" t="s">
        <v>14</v>
      </c>
      <c r="M7" s="909">
        <v>1818</v>
      </c>
      <c r="N7" s="197">
        <v>1669</v>
      </c>
      <c r="O7" s="197">
        <v>3487</v>
      </c>
      <c r="P7" s="197">
        <v>1471</v>
      </c>
      <c r="Q7" s="197">
        <v>1501</v>
      </c>
      <c r="R7" s="197">
        <v>2972</v>
      </c>
      <c r="S7" s="197">
        <v>855</v>
      </c>
      <c r="T7" s="197">
        <v>972</v>
      </c>
      <c r="U7" s="197">
        <v>1827</v>
      </c>
      <c r="V7" s="197">
        <v>1461</v>
      </c>
      <c r="W7" s="197">
        <v>1006</v>
      </c>
      <c r="X7" s="197">
        <v>2467</v>
      </c>
      <c r="Y7" s="197">
        <v>2135</v>
      </c>
      <c r="Z7" s="197">
        <v>2119</v>
      </c>
      <c r="AA7" s="197">
        <v>4254</v>
      </c>
      <c r="AB7" s="197">
        <v>265</v>
      </c>
      <c r="AC7" s="197">
        <v>294</v>
      </c>
      <c r="AD7" s="197">
        <v>559</v>
      </c>
      <c r="AE7" s="197">
        <v>15566</v>
      </c>
      <c r="AF7"/>
      <c r="AG7"/>
      <c r="AH7"/>
      <c r="AI7"/>
      <c r="AJ7"/>
      <c r="AK7"/>
      <c r="AL7"/>
      <c r="AM7"/>
      <c r="AN7"/>
      <c r="AO7"/>
      <c r="AP7"/>
      <c r="AQ7"/>
    </row>
    <row r="8" spans="1:44" ht="15" customHeight="1" x14ac:dyDescent="0.25">
      <c r="A8" s="481" t="s">
        <v>7</v>
      </c>
      <c r="B8" s="482" t="s">
        <v>14</v>
      </c>
      <c r="C8" s="156" t="s">
        <v>40</v>
      </c>
      <c r="D8" s="366" t="str">
        <f ca="1">IFERROR(OFFSET(Camp_List[P_Code],MATCH(Data_Demography_t[[#This Row],[Camp]],Camp_List[Camp Name],0)-1,0,1,1),"")</f>
        <v>MMR012CMP016</v>
      </c>
      <c r="E8" s="483" t="s">
        <v>881</v>
      </c>
      <c r="F8" s="484" t="s">
        <v>726</v>
      </c>
      <c r="G8" s="310">
        <v>401</v>
      </c>
      <c r="H8" s="156">
        <f t="shared" si="0"/>
        <v>401</v>
      </c>
      <c r="I8" s="156" t="s">
        <v>624</v>
      </c>
      <c r="J8" s="869">
        <v>42825</v>
      </c>
      <c r="L8" s="198" t="s">
        <v>42</v>
      </c>
      <c r="M8" s="909">
        <v>589</v>
      </c>
      <c r="N8" s="197">
        <v>612</v>
      </c>
      <c r="O8" s="197">
        <v>1201</v>
      </c>
      <c r="P8" s="197">
        <v>523</v>
      </c>
      <c r="Q8" s="197">
        <v>456</v>
      </c>
      <c r="R8" s="197">
        <v>979</v>
      </c>
      <c r="S8" s="197">
        <v>297</v>
      </c>
      <c r="T8" s="197">
        <v>355</v>
      </c>
      <c r="U8" s="197">
        <v>652</v>
      </c>
      <c r="V8" s="197">
        <v>482</v>
      </c>
      <c r="W8" s="197">
        <v>345</v>
      </c>
      <c r="X8" s="197">
        <v>827</v>
      </c>
      <c r="Y8" s="197">
        <v>602</v>
      </c>
      <c r="Z8" s="197">
        <v>599</v>
      </c>
      <c r="AA8" s="197">
        <v>1201</v>
      </c>
      <c r="AB8" s="197">
        <v>96</v>
      </c>
      <c r="AC8" s="197">
        <v>104</v>
      </c>
      <c r="AD8" s="197">
        <v>200</v>
      </c>
      <c r="AE8" s="197">
        <v>5060</v>
      </c>
      <c r="AF8"/>
      <c r="AG8"/>
      <c r="AH8"/>
      <c r="AI8"/>
      <c r="AJ8"/>
      <c r="AK8"/>
      <c r="AL8"/>
      <c r="AM8"/>
      <c r="AN8"/>
      <c r="AO8"/>
      <c r="AP8"/>
      <c r="AQ8"/>
    </row>
    <row r="9" spans="1:44" ht="15" customHeight="1" x14ac:dyDescent="0.25">
      <c r="A9" s="481" t="s">
        <v>7</v>
      </c>
      <c r="B9" s="482" t="s">
        <v>14</v>
      </c>
      <c r="C9" s="156" t="s">
        <v>40</v>
      </c>
      <c r="D9" s="366" t="str">
        <f ca="1">IFERROR(OFFSET(Camp_List[P_Code],MATCH(Data_Demography_t[[#This Row],[Camp]],Camp_List[Camp Name],0)-1,0,1,1),"")</f>
        <v>MMR012CMP016</v>
      </c>
      <c r="E9" s="483" t="s">
        <v>656</v>
      </c>
      <c r="F9" s="484" t="s">
        <v>725</v>
      </c>
      <c r="G9" s="310">
        <v>260</v>
      </c>
      <c r="H9" s="156">
        <f t="shared" si="0"/>
        <v>-260</v>
      </c>
      <c r="I9" s="156" t="s">
        <v>624</v>
      </c>
      <c r="J9" s="869">
        <v>42825</v>
      </c>
      <c r="L9" s="198" t="s">
        <v>43</v>
      </c>
      <c r="M9" s="909">
        <v>211</v>
      </c>
      <c r="N9" s="197">
        <v>206</v>
      </c>
      <c r="O9" s="197">
        <v>417</v>
      </c>
      <c r="P9" s="197">
        <v>218</v>
      </c>
      <c r="Q9" s="197">
        <v>198</v>
      </c>
      <c r="R9" s="197">
        <v>416</v>
      </c>
      <c r="S9" s="197">
        <v>139</v>
      </c>
      <c r="T9" s="197">
        <v>135</v>
      </c>
      <c r="U9" s="197">
        <v>274</v>
      </c>
      <c r="V9" s="197">
        <v>0</v>
      </c>
      <c r="W9" s="197">
        <v>0</v>
      </c>
      <c r="X9" s="197">
        <v>0</v>
      </c>
      <c r="Y9" s="197">
        <v>641</v>
      </c>
      <c r="Z9" s="197">
        <v>575</v>
      </c>
      <c r="AA9" s="197">
        <v>1216</v>
      </c>
      <c r="AB9" s="197">
        <v>47</v>
      </c>
      <c r="AC9" s="197">
        <v>35</v>
      </c>
      <c r="AD9" s="197">
        <v>82</v>
      </c>
      <c r="AE9" s="197">
        <v>2405</v>
      </c>
      <c r="AF9"/>
      <c r="AG9"/>
      <c r="AH9"/>
      <c r="AI9"/>
      <c r="AJ9"/>
      <c r="AK9"/>
      <c r="AL9"/>
      <c r="AM9"/>
      <c r="AN9"/>
      <c r="AO9"/>
      <c r="AP9"/>
      <c r="AQ9"/>
      <c r="AR9"/>
    </row>
    <row r="10" spans="1:44" ht="15" customHeight="1" x14ac:dyDescent="0.25">
      <c r="A10" s="481" t="s">
        <v>7</v>
      </c>
      <c r="B10" s="482" t="s">
        <v>14</v>
      </c>
      <c r="C10" s="156" t="s">
        <v>40</v>
      </c>
      <c r="D10" s="366" t="str">
        <f ca="1">IFERROR(OFFSET(Camp_List[P_Code],MATCH(Data_Demography_t[[#This Row],[Camp]],Camp_List[Camp Name],0)-1,0,1,1),"")</f>
        <v>MMR012CMP016</v>
      </c>
      <c r="E10" s="483" t="s">
        <v>656</v>
      </c>
      <c r="F10" s="484" t="s">
        <v>726</v>
      </c>
      <c r="G10" s="310">
        <v>212</v>
      </c>
      <c r="H10" s="156">
        <f t="shared" si="0"/>
        <v>212</v>
      </c>
      <c r="I10" s="156" t="s">
        <v>624</v>
      </c>
      <c r="J10" s="869">
        <v>42825</v>
      </c>
      <c r="L10" s="198" t="s">
        <v>40</v>
      </c>
      <c r="M10" s="909">
        <v>465</v>
      </c>
      <c r="N10" s="197">
        <v>392</v>
      </c>
      <c r="O10" s="197">
        <v>857</v>
      </c>
      <c r="P10" s="197">
        <v>401</v>
      </c>
      <c r="Q10" s="197">
        <v>474</v>
      </c>
      <c r="R10" s="197">
        <v>875</v>
      </c>
      <c r="S10" s="197">
        <v>212</v>
      </c>
      <c r="T10" s="197">
        <v>260</v>
      </c>
      <c r="U10" s="197">
        <v>472</v>
      </c>
      <c r="V10" s="197">
        <v>530</v>
      </c>
      <c r="W10" s="197">
        <v>338</v>
      </c>
      <c r="X10" s="197">
        <v>868</v>
      </c>
      <c r="Y10" s="197">
        <v>545</v>
      </c>
      <c r="Z10" s="197">
        <v>507</v>
      </c>
      <c r="AA10" s="197">
        <v>1052</v>
      </c>
      <c r="AB10" s="197">
        <v>57</v>
      </c>
      <c r="AC10" s="197">
        <v>71</v>
      </c>
      <c r="AD10" s="197">
        <v>128</v>
      </c>
      <c r="AE10" s="197">
        <v>4252</v>
      </c>
      <c r="AF10"/>
      <c r="AG10"/>
      <c r="AH10"/>
      <c r="AI10"/>
      <c r="AJ10"/>
      <c r="AK10"/>
      <c r="AL10"/>
      <c r="AM10"/>
      <c r="AN10"/>
      <c r="AO10"/>
      <c r="AP10"/>
      <c r="AQ10"/>
      <c r="AR10"/>
    </row>
    <row r="11" spans="1:44" ht="14.25" customHeight="1" x14ac:dyDescent="0.25">
      <c r="A11" s="481" t="s">
        <v>7</v>
      </c>
      <c r="B11" s="482" t="s">
        <v>14</v>
      </c>
      <c r="C11" s="156" t="s">
        <v>40</v>
      </c>
      <c r="D11" s="366" t="str">
        <f ca="1">IFERROR(OFFSET(Camp_List[P_Code],MATCH(Data_Demography_t[[#This Row],[Camp]],Camp_List[Camp Name],0)-1,0,1,1),"")</f>
        <v>MMR012CMP016</v>
      </c>
      <c r="E11" s="483" t="s">
        <v>882</v>
      </c>
      <c r="F11" s="484" t="s">
        <v>725</v>
      </c>
      <c r="G11" s="310">
        <v>338</v>
      </c>
      <c r="H11" s="156">
        <f t="shared" si="0"/>
        <v>-338</v>
      </c>
      <c r="I11" s="156" t="s">
        <v>624</v>
      </c>
      <c r="J11" s="869">
        <v>42825</v>
      </c>
      <c r="L11" s="198" t="s">
        <v>1070</v>
      </c>
      <c r="M11" s="909">
        <v>553</v>
      </c>
      <c r="N11" s="197">
        <v>459</v>
      </c>
      <c r="O11" s="197">
        <v>1012</v>
      </c>
      <c r="P11" s="197">
        <v>329</v>
      </c>
      <c r="Q11" s="197">
        <v>373</v>
      </c>
      <c r="R11" s="197">
        <v>702</v>
      </c>
      <c r="S11" s="197">
        <v>207</v>
      </c>
      <c r="T11" s="197">
        <v>222</v>
      </c>
      <c r="U11" s="197">
        <v>429</v>
      </c>
      <c r="V11" s="197">
        <v>449</v>
      </c>
      <c r="W11" s="197">
        <v>323</v>
      </c>
      <c r="X11" s="197">
        <v>772</v>
      </c>
      <c r="Y11" s="197">
        <v>347</v>
      </c>
      <c r="Z11" s="197">
        <v>438</v>
      </c>
      <c r="AA11" s="197">
        <v>785</v>
      </c>
      <c r="AB11" s="197">
        <v>65</v>
      </c>
      <c r="AC11" s="197">
        <v>84</v>
      </c>
      <c r="AD11" s="197">
        <v>149</v>
      </c>
      <c r="AE11" s="197">
        <v>3849</v>
      </c>
      <c r="AF11"/>
      <c r="AG11"/>
      <c r="AH11"/>
      <c r="AI11"/>
      <c r="AJ11"/>
      <c r="AK11"/>
      <c r="AL11"/>
      <c r="AM11"/>
      <c r="AN11"/>
      <c r="AO11"/>
      <c r="AP11"/>
      <c r="AQ11"/>
      <c r="AR11"/>
    </row>
    <row r="12" spans="1:44" ht="15" customHeight="1" x14ac:dyDescent="0.25">
      <c r="A12" s="481" t="s">
        <v>7</v>
      </c>
      <c r="B12" s="482" t="s">
        <v>14</v>
      </c>
      <c r="C12" s="156" t="s">
        <v>40</v>
      </c>
      <c r="D12" s="366" t="str">
        <f ca="1">IFERROR(OFFSET(Camp_List[P_Code],MATCH(Data_Demography_t[[#This Row],[Camp]],Camp_List[Camp Name],0)-1,0,1,1),"")</f>
        <v>MMR012CMP016</v>
      </c>
      <c r="E12" s="483" t="s">
        <v>882</v>
      </c>
      <c r="F12" s="484" t="s">
        <v>726</v>
      </c>
      <c r="G12" s="310">
        <v>530</v>
      </c>
      <c r="H12" s="156">
        <f t="shared" si="0"/>
        <v>530</v>
      </c>
      <c r="I12" s="156" t="s">
        <v>624</v>
      </c>
      <c r="J12" s="869">
        <v>42825</v>
      </c>
      <c r="L12" s="520" t="s">
        <v>19</v>
      </c>
      <c r="M12" s="909">
        <v>8740</v>
      </c>
      <c r="N12" s="197">
        <v>8600</v>
      </c>
      <c r="O12" s="197">
        <v>17340</v>
      </c>
      <c r="P12" s="197">
        <v>8117</v>
      </c>
      <c r="Q12" s="197">
        <v>8762</v>
      </c>
      <c r="R12" s="197">
        <v>16879</v>
      </c>
      <c r="S12" s="197">
        <v>6340</v>
      </c>
      <c r="T12" s="197">
        <v>6603</v>
      </c>
      <c r="U12" s="197">
        <v>12943</v>
      </c>
      <c r="V12" s="197">
        <v>8953</v>
      </c>
      <c r="W12" s="197">
        <v>7151</v>
      </c>
      <c r="X12" s="197">
        <v>16104</v>
      </c>
      <c r="Y12" s="197">
        <v>11435</v>
      </c>
      <c r="Z12" s="197">
        <v>10610</v>
      </c>
      <c r="AA12" s="197">
        <v>22045</v>
      </c>
      <c r="AB12" s="197">
        <v>1552</v>
      </c>
      <c r="AC12" s="197">
        <v>1519</v>
      </c>
      <c r="AD12" s="197">
        <v>3071</v>
      </c>
      <c r="AE12" s="197">
        <v>88382</v>
      </c>
      <c r="AF12"/>
      <c r="AG12"/>
      <c r="AH12"/>
      <c r="AI12"/>
      <c r="AJ12"/>
      <c r="AK12"/>
      <c r="AL12"/>
      <c r="AM12"/>
      <c r="AN12"/>
      <c r="AO12"/>
      <c r="AP12"/>
      <c r="AQ12"/>
      <c r="AR12"/>
    </row>
    <row r="13" spans="1:44" ht="15" customHeight="1" x14ac:dyDescent="0.25">
      <c r="A13" s="481" t="s">
        <v>7</v>
      </c>
      <c r="B13" s="482" t="s">
        <v>14</v>
      </c>
      <c r="C13" s="156" t="s">
        <v>40</v>
      </c>
      <c r="D13" s="366" t="str">
        <f ca="1">IFERROR(OFFSET(Camp_List[P_Code],MATCH(Data_Demography_t[[#This Row],[Camp]],Camp_List[Camp Name],0)-1,0,1,1),"")</f>
        <v>MMR012CMP016</v>
      </c>
      <c r="E13" s="483" t="s">
        <v>883</v>
      </c>
      <c r="F13" s="484" t="s">
        <v>725</v>
      </c>
      <c r="G13" s="310">
        <v>507</v>
      </c>
      <c r="H13" s="156">
        <f t="shared" si="0"/>
        <v>-507</v>
      </c>
      <c r="I13" s="156" t="s">
        <v>624</v>
      </c>
      <c r="J13" s="869">
        <v>42825</v>
      </c>
      <c r="L13" s="403" t="s">
        <v>635</v>
      </c>
      <c r="M13" s="909">
        <v>1429</v>
      </c>
      <c r="N13" s="197">
        <v>1479</v>
      </c>
      <c r="O13" s="197">
        <v>2908</v>
      </c>
      <c r="P13" s="197">
        <v>1300</v>
      </c>
      <c r="Q13" s="197">
        <v>1461</v>
      </c>
      <c r="R13" s="197">
        <v>2761</v>
      </c>
      <c r="S13" s="197">
        <v>907</v>
      </c>
      <c r="T13" s="197">
        <v>1004</v>
      </c>
      <c r="U13" s="197">
        <v>1911</v>
      </c>
      <c r="V13" s="197">
        <v>1495</v>
      </c>
      <c r="W13" s="197">
        <v>1034</v>
      </c>
      <c r="X13" s="197">
        <v>2529</v>
      </c>
      <c r="Y13" s="197">
        <v>1562</v>
      </c>
      <c r="Z13" s="197">
        <v>1406</v>
      </c>
      <c r="AA13" s="197">
        <v>2968</v>
      </c>
      <c r="AB13" s="197">
        <v>319</v>
      </c>
      <c r="AC13" s="197">
        <v>259</v>
      </c>
      <c r="AD13" s="197">
        <v>578</v>
      </c>
      <c r="AE13" s="197">
        <v>13655</v>
      </c>
      <c r="AF13"/>
      <c r="AG13"/>
      <c r="AH13"/>
      <c r="AI13"/>
      <c r="AJ13"/>
      <c r="AK13"/>
      <c r="AL13"/>
      <c r="AM13"/>
      <c r="AN13"/>
      <c r="AO13"/>
      <c r="AP13"/>
      <c r="AQ13"/>
      <c r="AR13"/>
    </row>
    <row r="14" spans="1:44" ht="15" customHeight="1" x14ac:dyDescent="0.25">
      <c r="A14" s="481" t="s">
        <v>7</v>
      </c>
      <c r="B14" s="482" t="s">
        <v>14</v>
      </c>
      <c r="C14" s="156" t="s">
        <v>40</v>
      </c>
      <c r="D14" s="366" t="str">
        <f ca="1">IFERROR(OFFSET(Camp_List[P_Code],MATCH(Data_Demography_t[[#This Row],[Camp]],Camp_List[Camp Name],0)-1,0,1,1),"")</f>
        <v>MMR012CMP016</v>
      </c>
      <c r="E14" s="483" t="s">
        <v>883</v>
      </c>
      <c r="F14" s="484" t="s">
        <v>726</v>
      </c>
      <c r="G14" s="310">
        <v>545</v>
      </c>
      <c r="H14" s="156">
        <f t="shared" si="0"/>
        <v>545</v>
      </c>
      <c r="I14" s="156" t="s">
        <v>624</v>
      </c>
      <c r="J14" s="869">
        <v>42825</v>
      </c>
      <c r="L14" s="908" t="s">
        <v>636</v>
      </c>
      <c r="M14" s="909">
        <v>1251</v>
      </c>
      <c r="N14" s="197">
        <v>1298</v>
      </c>
      <c r="O14" s="197">
        <v>2549</v>
      </c>
      <c r="P14" s="197">
        <v>1110</v>
      </c>
      <c r="Q14" s="197">
        <v>1239</v>
      </c>
      <c r="R14" s="197">
        <v>2349</v>
      </c>
      <c r="S14" s="197">
        <v>816</v>
      </c>
      <c r="T14" s="197">
        <v>852</v>
      </c>
      <c r="U14" s="197">
        <v>1668</v>
      </c>
      <c r="V14" s="197">
        <v>1089</v>
      </c>
      <c r="W14" s="197">
        <v>734</v>
      </c>
      <c r="X14" s="197">
        <v>1823</v>
      </c>
      <c r="Y14" s="197">
        <v>1522</v>
      </c>
      <c r="Z14" s="197">
        <v>1338</v>
      </c>
      <c r="AA14" s="197">
        <v>2860</v>
      </c>
      <c r="AB14" s="197">
        <v>171</v>
      </c>
      <c r="AC14" s="197">
        <v>166</v>
      </c>
      <c r="AD14" s="197">
        <v>337</v>
      </c>
      <c r="AE14" s="197">
        <v>11586</v>
      </c>
      <c r="AF14"/>
      <c r="AG14"/>
      <c r="AH14"/>
      <c r="AI14"/>
      <c r="AJ14"/>
      <c r="AK14"/>
      <c r="AL14"/>
      <c r="AM14"/>
      <c r="AN14"/>
      <c r="AO14"/>
      <c r="AP14"/>
      <c r="AQ14"/>
      <c r="AR14"/>
    </row>
    <row r="15" spans="1:44" ht="15" customHeight="1" x14ac:dyDescent="0.25">
      <c r="A15" s="481" t="s">
        <v>7</v>
      </c>
      <c r="B15" s="482" t="s">
        <v>14</v>
      </c>
      <c r="C15" s="156" t="s">
        <v>40</v>
      </c>
      <c r="D15" s="366" t="str">
        <f ca="1">IFERROR(OFFSET(Camp_List[P_Code],MATCH(Data_Demography_t[[#This Row],[Camp]],Camp_List[Camp Name],0)-1,0,1,1),"")</f>
        <v>MMR012CMP016</v>
      </c>
      <c r="E15" s="483" t="s">
        <v>859</v>
      </c>
      <c r="F15" s="484" t="s">
        <v>725</v>
      </c>
      <c r="G15" s="310">
        <v>71</v>
      </c>
      <c r="H15" s="156">
        <f t="shared" si="0"/>
        <v>-71</v>
      </c>
      <c r="I15" s="156" t="s">
        <v>624</v>
      </c>
      <c r="J15" s="869">
        <v>42825</v>
      </c>
      <c r="L15" s="198" t="s">
        <v>67</v>
      </c>
      <c r="M15" s="909">
        <v>1293</v>
      </c>
      <c r="N15" s="197">
        <v>1277</v>
      </c>
      <c r="O15" s="197">
        <v>2570</v>
      </c>
      <c r="P15" s="197">
        <v>1218</v>
      </c>
      <c r="Q15" s="197">
        <v>1337</v>
      </c>
      <c r="R15" s="197">
        <v>2555</v>
      </c>
      <c r="S15" s="197">
        <v>844</v>
      </c>
      <c r="T15" s="197">
        <v>852</v>
      </c>
      <c r="U15" s="197">
        <v>1696</v>
      </c>
      <c r="V15" s="197">
        <v>1275</v>
      </c>
      <c r="W15" s="197">
        <v>901</v>
      </c>
      <c r="X15" s="197">
        <v>2176</v>
      </c>
      <c r="Y15" s="197">
        <v>1475</v>
      </c>
      <c r="Z15" s="197">
        <v>1335</v>
      </c>
      <c r="AA15" s="197">
        <v>2810</v>
      </c>
      <c r="AB15" s="197">
        <v>180</v>
      </c>
      <c r="AC15" s="197">
        <v>190</v>
      </c>
      <c r="AD15" s="197">
        <v>370</v>
      </c>
      <c r="AE15" s="197">
        <v>12177</v>
      </c>
      <c r="AF15"/>
      <c r="AG15"/>
      <c r="AH15"/>
      <c r="AI15"/>
      <c r="AJ15"/>
      <c r="AK15"/>
      <c r="AL15"/>
      <c r="AM15"/>
      <c r="AN15"/>
      <c r="AO15"/>
      <c r="AP15"/>
      <c r="AQ15"/>
      <c r="AR15"/>
    </row>
    <row r="16" spans="1:44" ht="15" customHeight="1" x14ac:dyDescent="0.25">
      <c r="A16" s="481" t="s">
        <v>7</v>
      </c>
      <c r="B16" s="482" t="s">
        <v>14</v>
      </c>
      <c r="C16" s="156" t="s">
        <v>40</v>
      </c>
      <c r="D16" s="366" t="str">
        <f ca="1">IFERROR(OFFSET(Camp_List[P_Code],MATCH(Data_Demography_t[[#This Row],[Camp]],Camp_List[Camp Name],0)-1,0,1,1),"")</f>
        <v>MMR012CMP016</v>
      </c>
      <c r="E16" s="483" t="s">
        <v>859</v>
      </c>
      <c r="F16" s="484" t="s">
        <v>726</v>
      </c>
      <c r="G16" s="310">
        <v>57</v>
      </c>
      <c r="H16" s="156">
        <f t="shared" si="0"/>
        <v>57</v>
      </c>
      <c r="I16" s="156" t="s">
        <v>624</v>
      </c>
      <c r="J16" s="869">
        <v>42825</v>
      </c>
      <c r="L16" s="198" t="s">
        <v>61</v>
      </c>
      <c r="M16" s="909">
        <v>208</v>
      </c>
      <c r="N16" s="197">
        <v>236</v>
      </c>
      <c r="O16" s="197">
        <v>444</v>
      </c>
      <c r="P16" s="197">
        <v>161</v>
      </c>
      <c r="Q16" s="197">
        <v>175</v>
      </c>
      <c r="R16" s="197">
        <v>336</v>
      </c>
      <c r="S16" s="197">
        <v>134</v>
      </c>
      <c r="T16" s="197">
        <v>147</v>
      </c>
      <c r="U16" s="197">
        <v>281</v>
      </c>
      <c r="V16" s="197">
        <v>218</v>
      </c>
      <c r="W16" s="197">
        <v>138</v>
      </c>
      <c r="X16" s="197">
        <v>356</v>
      </c>
      <c r="Y16" s="197">
        <v>333</v>
      </c>
      <c r="Z16" s="197">
        <v>312</v>
      </c>
      <c r="AA16" s="197">
        <v>645</v>
      </c>
      <c r="AB16" s="197">
        <v>62</v>
      </c>
      <c r="AC16" s="197">
        <v>51</v>
      </c>
      <c r="AD16" s="197">
        <v>113</v>
      </c>
      <c r="AE16" s="197">
        <v>2175</v>
      </c>
      <c r="AF16"/>
      <c r="AG16"/>
      <c r="AH16"/>
      <c r="AI16"/>
      <c r="AJ16"/>
      <c r="AK16"/>
      <c r="AL16"/>
      <c r="AM16"/>
      <c r="AN16"/>
      <c r="AO16"/>
      <c r="AP16"/>
      <c r="AQ16"/>
      <c r="AR16"/>
    </row>
    <row r="17" spans="1:44" x14ac:dyDescent="0.25">
      <c r="A17" s="481" t="s">
        <v>7</v>
      </c>
      <c r="B17" s="482" t="s">
        <v>19</v>
      </c>
      <c r="C17" s="156" t="s">
        <v>630</v>
      </c>
      <c r="D17" s="366" t="str">
        <f ca="1">IFERROR(OFFSET(Camp_List[P_Code],MATCH(Data_Demography_t[[#This Row],[Camp]],Camp_List[Camp Name],0)-1,0,1,1),"")</f>
        <v>MMR012CMP113</v>
      </c>
      <c r="E17" s="483" t="s">
        <v>1151</v>
      </c>
      <c r="F17" s="484" t="s">
        <v>725</v>
      </c>
      <c r="G17" s="310">
        <v>395</v>
      </c>
      <c r="H17" s="156">
        <f t="shared" si="0"/>
        <v>-395</v>
      </c>
      <c r="I17" s="156" t="s">
        <v>288</v>
      </c>
      <c r="J17" s="869">
        <v>42825</v>
      </c>
      <c r="L17" s="908" t="s">
        <v>63</v>
      </c>
      <c r="M17" s="909">
        <v>708</v>
      </c>
      <c r="N17" s="197">
        <v>652</v>
      </c>
      <c r="O17" s="197">
        <v>1360</v>
      </c>
      <c r="P17" s="197">
        <v>802</v>
      </c>
      <c r="Q17" s="197">
        <v>809</v>
      </c>
      <c r="R17" s="197">
        <v>1611</v>
      </c>
      <c r="S17" s="197">
        <v>629</v>
      </c>
      <c r="T17" s="197">
        <v>648</v>
      </c>
      <c r="U17" s="197">
        <v>1277</v>
      </c>
      <c r="V17" s="197">
        <v>876</v>
      </c>
      <c r="W17" s="197">
        <v>727</v>
      </c>
      <c r="X17" s="197">
        <v>1603</v>
      </c>
      <c r="Y17" s="197">
        <v>1050</v>
      </c>
      <c r="Z17" s="197">
        <v>971</v>
      </c>
      <c r="AA17" s="197">
        <v>2021</v>
      </c>
      <c r="AB17" s="197">
        <v>159</v>
      </c>
      <c r="AC17" s="197">
        <v>151</v>
      </c>
      <c r="AD17" s="197">
        <v>310</v>
      </c>
      <c r="AE17" s="197">
        <v>8182</v>
      </c>
      <c r="AF17"/>
      <c r="AG17"/>
      <c r="AH17"/>
      <c r="AI17"/>
      <c r="AJ17"/>
      <c r="AK17"/>
      <c r="AL17"/>
      <c r="AM17"/>
      <c r="AN17"/>
      <c r="AO17"/>
      <c r="AP17"/>
      <c r="AQ17"/>
      <c r="AR17"/>
    </row>
    <row r="18" spans="1:44" x14ac:dyDescent="0.25">
      <c r="A18" s="481" t="s">
        <v>7</v>
      </c>
      <c r="B18" s="482" t="s">
        <v>19</v>
      </c>
      <c r="C18" s="156" t="s">
        <v>630</v>
      </c>
      <c r="D18" s="366" t="str">
        <f ca="1">IFERROR(OFFSET(Camp_List[P_Code],MATCH(Data_Demography_t[[#This Row],[Camp]],Camp_List[Camp Name],0)-1,0,1,1),"")</f>
        <v>MMR012CMP113</v>
      </c>
      <c r="E18" s="483" t="s">
        <v>1151</v>
      </c>
      <c r="F18" s="484" t="s">
        <v>726</v>
      </c>
      <c r="G18" s="310">
        <v>419</v>
      </c>
      <c r="H18" s="156">
        <f t="shared" si="0"/>
        <v>419</v>
      </c>
      <c r="I18" s="156" t="s">
        <v>288</v>
      </c>
      <c r="J18" s="869">
        <v>42825</v>
      </c>
      <c r="L18" s="908" t="s">
        <v>64</v>
      </c>
      <c r="M18" s="909">
        <v>459</v>
      </c>
      <c r="N18" s="197">
        <v>418</v>
      </c>
      <c r="O18" s="197">
        <v>877</v>
      </c>
      <c r="P18" s="197">
        <v>356</v>
      </c>
      <c r="Q18" s="197">
        <v>396</v>
      </c>
      <c r="R18" s="197">
        <v>752</v>
      </c>
      <c r="S18" s="197">
        <v>297</v>
      </c>
      <c r="T18" s="197">
        <v>345</v>
      </c>
      <c r="U18" s="197">
        <v>642</v>
      </c>
      <c r="V18" s="197">
        <v>473</v>
      </c>
      <c r="W18" s="197">
        <v>301</v>
      </c>
      <c r="X18" s="197">
        <v>774</v>
      </c>
      <c r="Y18" s="197">
        <v>607</v>
      </c>
      <c r="Z18" s="197">
        <v>608</v>
      </c>
      <c r="AA18" s="197">
        <v>1215</v>
      </c>
      <c r="AB18" s="197">
        <v>79</v>
      </c>
      <c r="AC18" s="197">
        <v>65</v>
      </c>
      <c r="AD18" s="197">
        <v>144</v>
      </c>
      <c r="AE18" s="197">
        <v>4404</v>
      </c>
      <c r="AF18"/>
      <c r="AG18"/>
      <c r="AH18"/>
      <c r="AI18"/>
      <c r="AJ18"/>
      <c r="AK18"/>
      <c r="AL18"/>
      <c r="AM18"/>
      <c r="AN18"/>
      <c r="AO18"/>
      <c r="AP18"/>
      <c r="AQ18"/>
      <c r="AR18"/>
    </row>
    <row r="19" spans="1:44" s="793" customFormat="1" x14ac:dyDescent="0.25">
      <c r="A19" s="481" t="s">
        <v>7</v>
      </c>
      <c r="B19" s="482" t="s">
        <v>19</v>
      </c>
      <c r="C19" s="156" t="s">
        <v>630</v>
      </c>
      <c r="D19" s="366" t="str">
        <f ca="1">IFERROR(OFFSET(Camp_List[P_Code],MATCH(Data_Demography_t[[#This Row],[Camp]],Camp_List[Camp Name],0)-1,0,1,1),"")</f>
        <v>MMR012CMP113</v>
      </c>
      <c r="E19" s="483" t="s">
        <v>881</v>
      </c>
      <c r="F19" s="484" t="s">
        <v>725</v>
      </c>
      <c r="G19" s="310">
        <v>457</v>
      </c>
      <c r="H19" s="156">
        <f t="shared" si="0"/>
        <v>-457</v>
      </c>
      <c r="I19" s="156" t="s">
        <v>288</v>
      </c>
      <c r="J19" s="869">
        <v>42825</v>
      </c>
      <c r="K19" s="304"/>
      <c r="L19" s="198" t="s">
        <v>629</v>
      </c>
      <c r="M19" s="909">
        <v>308</v>
      </c>
      <c r="N19" s="197">
        <v>328</v>
      </c>
      <c r="O19" s="197">
        <v>636</v>
      </c>
      <c r="P19" s="197">
        <v>285</v>
      </c>
      <c r="Q19" s="197">
        <v>295</v>
      </c>
      <c r="R19" s="197">
        <v>580</v>
      </c>
      <c r="S19" s="197">
        <v>271</v>
      </c>
      <c r="T19" s="197">
        <v>236</v>
      </c>
      <c r="U19" s="197">
        <v>507</v>
      </c>
      <c r="V19" s="197">
        <v>285</v>
      </c>
      <c r="W19" s="197">
        <v>382</v>
      </c>
      <c r="X19" s="197">
        <v>667</v>
      </c>
      <c r="Y19" s="197">
        <v>436</v>
      </c>
      <c r="Z19" s="197">
        <v>445</v>
      </c>
      <c r="AA19" s="197">
        <v>881</v>
      </c>
      <c r="AB19" s="197">
        <v>72</v>
      </c>
      <c r="AC19" s="197">
        <v>80</v>
      </c>
      <c r="AD19" s="197">
        <v>152</v>
      </c>
      <c r="AE19" s="197">
        <v>3423</v>
      </c>
      <c r="AF19"/>
      <c r="AG19"/>
      <c r="AH19"/>
      <c r="AI19"/>
      <c r="AJ19"/>
      <c r="AK19"/>
      <c r="AL19"/>
      <c r="AM19"/>
      <c r="AN19"/>
      <c r="AO19"/>
      <c r="AP19"/>
      <c r="AQ19"/>
    </row>
    <row r="20" spans="1:44" s="793" customFormat="1" x14ac:dyDescent="0.25">
      <c r="A20" s="481" t="s">
        <v>7</v>
      </c>
      <c r="B20" s="482" t="s">
        <v>19</v>
      </c>
      <c r="C20" s="156" t="s">
        <v>630</v>
      </c>
      <c r="D20" s="366" t="str">
        <f ca="1">IFERROR(OFFSET(Camp_List[P_Code],MATCH(Data_Demography_t[[#This Row],[Camp]],Camp_List[Camp Name],0)-1,0,1,1),"")</f>
        <v>MMR012CMP113</v>
      </c>
      <c r="E20" s="483" t="s">
        <v>881</v>
      </c>
      <c r="F20" s="484" t="s">
        <v>726</v>
      </c>
      <c r="G20" s="310">
        <v>387</v>
      </c>
      <c r="H20" s="156">
        <f t="shared" si="0"/>
        <v>387</v>
      </c>
      <c r="I20" s="156" t="s">
        <v>288</v>
      </c>
      <c r="J20" s="869">
        <v>42825</v>
      </c>
      <c r="K20" s="304"/>
      <c r="L20" s="198" t="s">
        <v>634</v>
      </c>
      <c r="M20" s="909">
        <v>415</v>
      </c>
      <c r="N20" s="197">
        <v>352</v>
      </c>
      <c r="O20" s="197">
        <v>767</v>
      </c>
      <c r="P20" s="197">
        <v>365</v>
      </c>
      <c r="Q20" s="197">
        <v>429</v>
      </c>
      <c r="R20" s="197">
        <v>794</v>
      </c>
      <c r="S20" s="197">
        <v>224</v>
      </c>
      <c r="T20" s="197">
        <v>259</v>
      </c>
      <c r="U20" s="197">
        <v>483</v>
      </c>
      <c r="V20" s="197">
        <v>291</v>
      </c>
      <c r="W20" s="197">
        <v>243</v>
      </c>
      <c r="X20" s="197">
        <v>534</v>
      </c>
      <c r="Y20" s="197">
        <v>375</v>
      </c>
      <c r="Z20" s="197">
        <v>364</v>
      </c>
      <c r="AA20" s="197">
        <v>739</v>
      </c>
      <c r="AB20" s="197">
        <v>27</v>
      </c>
      <c r="AC20" s="197">
        <v>45</v>
      </c>
      <c r="AD20" s="197">
        <v>72</v>
      </c>
      <c r="AE20" s="197">
        <v>3389</v>
      </c>
      <c r="AF20"/>
      <c r="AG20"/>
      <c r="AH20"/>
      <c r="AI20"/>
      <c r="AJ20"/>
      <c r="AK20"/>
      <c r="AL20"/>
      <c r="AM20"/>
      <c r="AN20"/>
      <c r="AO20"/>
      <c r="AP20"/>
      <c r="AQ20"/>
    </row>
    <row r="21" spans="1:44" x14ac:dyDescent="0.25">
      <c r="A21" s="481" t="s">
        <v>7</v>
      </c>
      <c r="B21" s="482" t="s">
        <v>19</v>
      </c>
      <c r="C21" s="156" t="s">
        <v>630</v>
      </c>
      <c r="D21" s="366" t="str">
        <f ca="1">IFERROR(OFFSET(Camp_List[P_Code],MATCH(Data_Demography_t[[#This Row],[Camp]],Camp_List[Camp Name],0)-1,0,1,1),"")</f>
        <v>MMR012CMP113</v>
      </c>
      <c r="E21" s="483" t="s">
        <v>656</v>
      </c>
      <c r="F21" s="484" t="s">
        <v>725</v>
      </c>
      <c r="G21" s="942">
        <v>360</v>
      </c>
      <c r="H21" s="156">
        <f t="shared" si="0"/>
        <v>-360</v>
      </c>
      <c r="I21" s="156" t="s">
        <v>288</v>
      </c>
      <c r="J21" s="869">
        <v>42825</v>
      </c>
      <c r="L21" s="198" t="s">
        <v>70</v>
      </c>
      <c r="M21" s="909">
        <v>534</v>
      </c>
      <c r="N21" s="197">
        <v>550</v>
      </c>
      <c r="O21" s="197">
        <v>1084</v>
      </c>
      <c r="P21" s="197">
        <v>535</v>
      </c>
      <c r="Q21" s="197">
        <v>485</v>
      </c>
      <c r="R21" s="197">
        <v>1020</v>
      </c>
      <c r="S21" s="197">
        <v>439</v>
      </c>
      <c r="T21" s="197">
        <v>438</v>
      </c>
      <c r="U21" s="197">
        <v>877</v>
      </c>
      <c r="V21" s="197">
        <v>460</v>
      </c>
      <c r="W21" s="197">
        <v>645</v>
      </c>
      <c r="X21" s="197">
        <v>1105</v>
      </c>
      <c r="Y21" s="197">
        <v>725</v>
      </c>
      <c r="Z21" s="197">
        <v>756</v>
      </c>
      <c r="AA21" s="197">
        <v>1481</v>
      </c>
      <c r="AB21" s="197">
        <v>129</v>
      </c>
      <c r="AC21" s="197">
        <v>134</v>
      </c>
      <c r="AD21" s="197">
        <v>263</v>
      </c>
      <c r="AE21" s="197">
        <v>5830</v>
      </c>
      <c r="AF21"/>
      <c r="AG21"/>
      <c r="AH21"/>
      <c r="AI21"/>
      <c r="AJ21"/>
      <c r="AK21"/>
      <c r="AL21"/>
      <c r="AM21"/>
      <c r="AN21"/>
      <c r="AO21"/>
      <c r="AP21"/>
      <c r="AQ21"/>
      <c r="AR21"/>
    </row>
    <row r="22" spans="1:44" x14ac:dyDescent="0.25">
      <c r="A22" s="481" t="s">
        <v>7</v>
      </c>
      <c r="B22" s="482" t="s">
        <v>19</v>
      </c>
      <c r="C22" s="156" t="s">
        <v>630</v>
      </c>
      <c r="D22" s="366" t="str">
        <f ca="1">IFERROR(OFFSET(Camp_List[P_Code],MATCH(Data_Demography_t[[#This Row],[Camp]],Camp_List[Camp Name],0)-1,0,1,1),"")</f>
        <v>MMR012CMP113</v>
      </c>
      <c r="E22" s="483" t="s">
        <v>656</v>
      </c>
      <c r="F22" s="484" t="s">
        <v>726</v>
      </c>
      <c r="G22" s="942">
        <v>359</v>
      </c>
      <c r="H22" s="156">
        <f t="shared" si="0"/>
        <v>359</v>
      </c>
      <c r="I22" s="156" t="s">
        <v>288</v>
      </c>
      <c r="J22" s="869">
        <v>42825</v>
      </c>
      <c r="L22" s="910" t="s">
        <v>68</v>
      </c>
      <c r="M22" s="909">
        <v>1030</v>
      </c>
      <c r="N22" s="197">
        <v>916</v>
      </c>
      <c r="O22" s="197">
        <v>1946</v>
      </c>
      <c r="P22" s="197">
        <v>984</v>
      </c>
      <c r="Q22" s="197">
        <v>1024</v>
      </c>
      <c r="R22" s="197">
        <v>2008</v>
      </c>
      <c r="S22" s="197">
        <v>922</v>
      </c>
      <c r="T22" s="197">
        <v>958</v>
      </c>
      <c r="U22" s="197">
        <v>1880</v>
      </c>
      <c r="V22" s="197">
        <v>1212</v>
      </c>
      <c r="W22" s="197">
        <v>998</v>
      </c>
      <c r="X22" s="197">
        <v>2210</v>
      </c>
      <c r="Y22" s="197">
        <v>1808</v>
      </c>
      <c r="Z22" s="197">
        <v>1546</v>
      </c>
      <c r="AA22" s="197">
        <v>3354</v>
      </c>
      <c r="AB22" s="197">
        <v>166</v>
      </c>
      <c r="AC22" s="197">
        <v>200</v>
      </c>
      <c r="AD22" s="197">
        <v>366</v>
      </c>
      <c r="AE22" s="197">
        <v>11764</v>
      </c>
      <c r="AF22"/>
      <c r="AG22"/>
      <c r="AH22"/>
      <c r="AI22"/>
      <c r="AJ22"/>
      <c r="AK22"/>
      <c r="AL22"/>
      <c r="AM22"/>
      <c r="AN22"/>
      <c r="AO22"/>
      <c r="AP22"/>
      <c r="AQ22"/>
      <c r="AR22"/>
    </row>
    <row r="23" spans="1:44" x14ac:dyDescent="0.25">
      <c r="A23" s="481" t="s">
        <v>7</v>
      </c>
      <c r="B23" s="482" t="s">
        <v>19</v>
      </c>
      <c r="C23" s="156" t="s">
        <v>630</v>
      </c>
      <c r="D23" s="366" t="str">
        <f ca="1">IFERROR(OFFSET(Camp_List[P_Code],MATCH(Data_Demography_t[[#This Row],[Camp]],Camp_List[Camp Name],0)-1,0,1,1),"")</f>
        <v>MMR012CMP113</v>
      </c>
      <c r="E23" s="483" t="s">
        <v>882</v>
      </c>
      <c r="F23" s="484" t="s">
        <v>725</v>
      </c>
      <c r="G23" s="310">
        <v>417</v>
      </c>
      <c r="H23" s="156">
        <f t="shared" si="0"/>
        <v>-417</v>
      </c>
      <c r="I23" s="156" t="s">
        <v>288</v>
      </c>
      <c r="J23" s="869">
        <v>42825</v>
      </c>
      <c r="L23" s="907" t="s">
        <v>630</v>
      </c>
      <c r="M23" s="909">
        <v>419</v>
      </c>
      <c r="N23" s="197">
        <v>395</v>
      </c>
      <c r="O23" s="197">
        <v>814</v>
      </c>
      <c r="P23" s="197">
        <v>387</v>
      </c>
      <c r="Q23" s="197">
        <v>457</v>
      </c>
      <c r="R23" s="197">
        <v>844</v>
      </c>
      <c r="S23" s="197">
        <v>359</v>
      </c>
      <c r="T23" s="197">
        <v>360</v>
      </c>
      <c r="U23" s="197">
        <v>719</v>
      </c>
      <c r="V23" s="197">
        <v>513</v>
      </c>
      <c r="W23" s="197">
        <v>417</v>
      </c>
      <c r="X23" s="197">
        <v>930</v>
      </c>
      <c r="Y23" s="197">
        <v>704</v>
      </c>
      <c r="Z23" s="197">
        <v>686</v>
      </c>
      <c r="AA23" s="197">
        <v>1390</v>
      </c>
      <c r="AB23" s="197">
        <v>78</v>
      </c>
      <c r="AC23" s="197">
        <v>75</v>
      </c>
      <c r="AD23" s="197">
        <v>153</v>
      </c>
      <c r="AE23" s="197">
        <v>4850</v>
      </c>
      <c r="AF23"/>
      <c r="AG23"/>
      <c r="AH23"/>
      <c r="AI23"/>
      <c r="AJ23"/>
      <c r="AK23"/>
      <c r="AL23"/>
      <c r="AM23"/>
      <c r="AN23"/>
      <c r="AO23"/>
      <c r="AP23"/>
      <c r="AQ23"/>
      <c r="AR23"/>
    </row>
    <row r="24" spans="1:44" x14ac:dyDescent="0.25">
      <c r="A24" s="481" t="s">
        <v>7</v>
      </c>
      <c r="B24" s="482" t="s">
        <v>19</v>
      </c>
      <c r="C24" s="156" t="s">
        <v>630</v>
      </c>
      <c r="D24" s="366" t="str">
        <f ca="1">IFERROR(OFFSET(Camp_List[P_Code],MATCH(Data_Demography_t[[#This Row],[Camp]],Camp_List[Camp Name],0)-1,0,1,1),"")</f>
        <v>MMR012CMP113</v>
      </c>
      <c r="E24" s="483" t="s">
        <v>882</v>
      </c>
      <c r="F24" s="484" t="s">
        <v>726</v>
      </c>
      <c r="G24" s="310">
        <v>513</v>
      </c>
      <c r="H24" s="156">
        <f t="shared" si="0"/>
        <v>513</v>
      </c>
      <c r="I24" s="156" t="s">
        <v>288</v>
      </c>
      <c r="J24" s="869">
        <v>42825</v>
      </c>
      <c r="L24" s="907" t="s">
        <v>631</v>
      </c>
      <c r="M24" s="909">
        <v>686</v>
      </c>
      <c r="N24" s="197">
        <v>699</v>
      </c>
      <c r="O24" s="197">
        <v>1385</v>
      </c>
      <c r="P24" s="197">
        <v>614</v>
      </c>
      <c r="Q24" s="197">
        <v>655</v>
      </c>
      <c r="R24" s="197">
        <v>1269</v>
      </c>
      <c r="S24" s="197">
        <v>498</v>
      </c>
      <c r="T24" s="197">
        <v>504</v>
      </c>
      <c r="U24" s="197">
        <v>1002</v>
      </c>
      <c r="V24" s="197">
        <v>766</v>
      </c>
      <c r="W24" s="197">
        <v>631</v>
      </c>
      <c r="X24" s="197">
        <v>1397</v>
      </c>
      <c r="Y24" s="197">
        <v>838</v>
      </c>
      <c r="Z24" s="197">
        <v>843</v>
      </c>
      <c r="AA24" s="197">
        <v>1681</v>
      </c>
      <c r="AB24" s="197">
        <v>110</v>
      </c>
      <c r="AC24" s="197">
        <v>103</v>
      </c>
      <c r="AD24" s="197">
        <v>213</v>
      </c>
      <c r="AE24" s="197">
        <v>6947</v>
      </c>
      <c r="AF24"/>
      <c r="AG24"/>
      <c r="AH24"/>
      <c r="AI24"/>
      <c r="AJ24"/>
      <c r="AK24"/>
      <c r="AL24"/>
      <c r="AM24"/>
      <c r="AN24"/>
      <c r="AO24"/>
      <c r="AP24"/>
      <c r="AQ24"/>
      <c r="AR24"/>
    </row>
    <row r="25" spans="1:44" x14ac:dyDescent="0.25">
      <c r="A25" s="481" t="s">
        <v>7</v>
      </c>
      <c r="B25" s="482" t="s">
        <v>19</v>
      </c>
      <c r="C25" s="156" t="s">
        <v>630</v>
      </c>
      <c r="D25" s="366" t="str">
        <f ca="1">IFERROR(OFFSET(Camp_List[P_Code],MATCH(Data_Demography_t[[#This Row],[Camp]],Camp_List[Camp Name],0)-1,0,1,1),"")</f>
        <v>MMR012CMP113</v>
      </c>
      <c r="E25" s="483" t="s">
        <v>883</v>
      </c>
      <c r="F25" s="484" t="s">
        <v>725</v>
      </c>
      <c r="G25" s="310">
        <v>686</v>
      </c>
      <c r="H25" s="156">
        <f t="shared" si="0"/>
        <v>-686</v>
      </c>
      <c r="I25" s="156" t="s">
        <v>288</v>
      </c>
      <c r="J25" s="869">
        <v>42825</v>
      </c>
      <c r="L25" s="520" t="s">
        <v>867</v>
      </c>
      <c r="M25" s="909">
        <v>230</v>
      </c>
      <c r="N25" s="197">
        <v>228</v>
      </c>
      <c r="O25" s="197">
        <v>458</v>
      </c>
      <c r="P25" s="197">
        <v>243</v>
      </c>
      <c r="Q25" s="197">
        <v>238</v>
      </c>
      <c r="R25" s="197">
        <v>481</v>
      </c>
      <c r="S25" s="197">
        <v>207</v>
      </c>
      <c r="T25" s="197">
        <v>203</v>
      </c>
      <c r="U25" s="197">
        <v>410</v>
      </c>
      <c r="V25" s="197">
        <v>244</v>
      </c>
      <c r="W25" s="197">
        <v>178</v>
      </c>
      <c r="X25" s="197">
        <v>422</v>
      </c>
      <c r="Y25" s="197">
        <v>441</v>
      </c>
      <c r="Z25" s="197">
        <v>341</v>
      </c>
      <c r="AA25" s="197">
        <v>782</v>
      </c>
      <c r="AB25" s="197">
        <v>57</v>
      </c>
      <c r="AC25" s="197">
        <v>69</v>
      </c>
      <c r="AD25" s="197">
        <v>126</v>
      </c>
      <c r="AE25" s="197">
        <v>2679</v>
      </c>
      <c r="AF25"/>
      <c r="AG25"/>
      <c r="AH25"/>
      <c r="AI25"/>
      <c r="AJ25"/>
      <c r="AK25"/>
      <c r="AL25"/>
      <c r="AM25"/>
      <c r="AN25"/>
      <c r="AO25"/>
      <c r="AP25"/>
      <c r="AQ25"/>
      <c r="AR25"/>
    </row>
    <row r="26" spans="1:44" x14ac:dyDescent="0.25">
      <c r="A26" s="481" t="s">
        <v>7</v>
      </c>
      <c r="B26" s="482" t="s">
        <v>19</v>
      </c>
      <c r="C26" s="156" t="s">
        <v>630</v>
      </c>
      <c r="D26" s="366" t="str">
        <f ca="1">IFERROR(OFFSET(Camp_List[P_Code],MATCH(Data_Demography_t[[#This Row],[Camp]],Camp_List[Camp Name],0)-1,0,1,1),"")</f>
        <v>MMR012CMP113</v>
      </c>
      <c r="E26" s="483" t="s">
        <v>883</v>
      </c>
      <c r="F26" s="484" t="s">
        <v>726</v>
      </c>
      <c r="G26" s="310">
        <v>704</v>
      </c>
      <c r="H26" s="156">
        <f t="shared" si="0"/>
        <v>704</v>
      </c>
      <c r="I26" s="156" t="s">
        <v>288</v>
      </c>
      <c r="J26" s="869">
        <v>42825</v>
      </c>
      <c r="L26" s="908" t="s">
        <v>38</v>
      </c>
      <c r="M26" s="909">
        <v>230</v>
      </c>
      <c r="N26" s="197">
        <v>228</v>
      </c>
      <c r="O26" s="197">
        <v>458</v>
      </c>
      <c r="P26" s="197">
        <v>243</v>
      </c>
      <c r="Q26" s="197">
        <v>238</v>
      </c>
      <c r="R26" s="197">
        <v>481</v>
      </c>
      <c r="S26" s="197">
        <v>207</v>
      </c>
      <c r="T26" s="197">
        <v>203</v>
      </c>
      <c r="U26" s="197">
        <v>410</v>
      </c>
      <c r="V26" s="197">
        <v>244</v>
      </c>
      <c r="W26" s="197">
        <v>178</v>
      </c>
      <c r="X26" s="197">
        <v>422</v>
      </c>
      <c r="Y26" s="197">
        <v>441</v>
      </c>
      <c r="Z26" s="197">
        <v>341</v>
      </c>
      <c r="AA26" s="197">
        <v>782</v>
      </c>
      <c r="AB26" s="197">
        <v>57</v>
      </c>
      <c r="AC26" s="197">
        <v>69</v>
      </c>
      <c r="AD26" s="197">
        <v>126</v>
      </c>
      <c r="AE26" s="197">
        <v>2679</v>
      </c>
      <c r="AF26"/>
      <c r="AG26"/>
      <c r="AH26"/>
      <c r="AI26"/>
      <c r="AJ26"/>
      <c r="AK26"/>
      <c r="AL26"/>
      <c r="AM26"/>
      <c r="AN26"/>
      <c r="AO26"/>
      <c r="AP26"/>
      <c r="AQ26"/>
      <c r="AR26"/>
    </row>
    <row r="27" spans="1:44" x14ac:dyDescent="0.25">
      <c r="A27" s="481" t="s">
        <v>7</v>
      </c>
      <c r="B27" s="482" t="s">
        <v>19</v>
      </c>
      <c r="C27" s="156" t="s">
        <v>630</v>
      </c>
      <c r="D27" s="366" t="str">
        <f ca="1">IFERROR(OFFSET(Camp_List[P_Code],MATCH(Data_Demography_t[[#This Row],[Camp]],Camp_List[Camp Name],0)-1,0,1,1),"")</f>
        <v>MMR012CMP113</v>
      </c>
      <c r="E27" s="483" t="s">
        <v>859</v>
      </c>
      <c r="F27" s="484" t="s">
        <v>725</v>
      </c>
      <c r="G27" s="310">
        <v>75</v>
      </c>
      <c r="H27" s="156">
        <f t="shared" si="0"/>
        <v>-75</v>
      </c>
      <c r="I27" s="156" t="s">
        <v>288</v>
      </c>
      <c r="J27" s="869">
        <v>42825</v>
      </c>
      <c r="L27" s="570" t="s">
        <v>213</v>
      </c>
      <c r="M27" s="197">
        <v>10788</v>
      </c>
      <c r="N27" s="197">
        <v>10497</v>
      </c>
      <c r="O27" s="197">
        <v>21285</v>
      </c>
      <c r="P27" s="197">
        <v>9831</v>
      </c>
      <c r="Q27" s="197">
        <v>10501</v>
      </c>
      <c r="R27" s="197">
        <v>20332</v>
      </c>
      <c r="S27" s="197">
        <v>7402</v>
      </c>
      <c r="T27" s="197">
        <v>7778</v>
      </c>
      <c r="U27" s="197">
        <v>15180</v>
      </c>
      <c r="V27" s="197">
        <v>10658</v>
      </c>
      <c r="W27" s="197">
        <v>8335</v>
      </c>
      <c r="X27" s="197">
        <v>18993</v>
      </c>
      <c r="Y27" s="197">
        <v>14011</v>
      </c>
      <c r="Z27" s="197">
        <v>13070</v>
      </c>
      <c r="AA27" s="197">
        <v>27081</v>
      </c>
      <c r="AB27" s="197">
        <v>1874</v>
      </c>
      <c r="AC27" s="197">
        <v>1882</v>
      </c>
      <c r="AD27" s="197">
        <v>3756</v>
      </c>
      <c r="AE27" s="197">
        <v>106627</v>
      </c>
      <c r="AF27"/>
      <c r="AG27"/>
      <c r="AH27"/>
      <c r="AI27"/>
      <c r="AJ27"/>
      <c r="AK27"/>
      <c r="AL27"/>
      <c r="AM27"/>
      <c r="AN27"/>
      <c r="AO27"/>
      <c r="AP27"/>
      <c r="AQ27"/>
    </row>
    <row r="28" spans="1:44" x14ac:dyDescent="0.25">
      <c r="A28" s="481" t="s">
        <v>7</v>
      </c>
      <c r="B28" s="482" t="s">
        <v>19</v>
      </c>
      <c r="C28" s="156" t="s">
        <v>630</v>
      </c>
      <c r="D28" s="366" t="str">
        <f ca="1">IFERROR(OFFSET(Camp_List[P_Code],MATCH(Data_Demography_t[[#This Row],[Camp]],Camp_List[Camp Name],0)-1,0,1,1),"")</f>
        <v>MMR012CMP113</v>
      </c>
      <c r="E28" s="483" t="s">
        <v>859</v>
      </c>
      <c r="F28" s="484" t="s">
        <v>726</v>
      </c>
      <c r="G28" s="310">
        <v>78</v>
      </c>
      <c r="H28" s="156">
        <f t="shared" si="0"/>
        <v>78</v>
      </c>
      <c r="I28" s="156" t="s">
        <v>288</v>
      </c>
      <c r="J28" s="869">
        <v>42825</v>
      </c>
      <c r="L28"/>
      <c r="M28"/>
      <c r="N28"/>
      <c r="O28"/>
      <c r="P28"/>
      <c r="Q28"/>
      <c r="R28"/>
      <c r="S28"/>
      <c r="T28"/>
      <c r="U28"/>
      <c r="V28"/>
      <c r="W28"/>
      <c r="X28"/>
      <c r="Y28"/>
      <c r="Z28"/>
      <c r="AA28"/>
      <c r="AB28"/>
      <c r="AC28"/>
      <c r="AD28"/>
      <c r="AE28"/>
      <c r="AF28"/>
      <c r="AG28"/>
      <c r="AH28"/>
      <c r="AI28"/>
      <c r="AJ28"/>
      <c r="AK28"/>
      <c r="AL28"/>
      <c r="AM28"/>
      <c r="AN28"/>
    </row>
    <row r="29" spans="1:44" x14ac:dyDescent="0.25">
      <c r="A29" s="481" t="s">
        <v>7</v>
      </c>
      <c r="B29" s="482" t="s">
        <v>19</v>
      </c>
      <c r="C29" s="156" t="s">
        <v>631</v>
      </c>
      <c r="D29" s="366" t="str">
        <f ca="1">IFERROR(OFFSET(Camp_List[P_Code],MATCH(Data_Demography_t[[#This Row],[Camp]],Camp_List[Camp Name],0)-1,0,1,1),"")</f>
        <v>MMR012CMP114</v>
      </c>
      <c r="E29" s="483" t="s">
        <v>1151</v>
      </c>
      <c r="F29" s="484" t="s">
        <v>725</v>
      </c>
      <c r="G29" s="310">
        <v>699</v>
      </c>
      <c r="H29" s="156">
        <f t="shared" si="0"/>
        <v>-699</v>
      </c>
      <c r="I29" s="156" t="s">
        <v>288</v>
      </c>
      <c r="J29" s="869">
        <v>42825</v>
      </c>
      <c r="L29"/>
      <c r="M29"/>
      <c r="N29"/>
      <c r="O29"/>
      <c r="P29"/>
      <c r="Q29"/>
      <c r="R29"/>
      <c r="S29"/>
      <c r="T29"/>
      <c r="U29"/>
      <c r="V29"/>
      <c r="W29"/>
      <c r="X29"/>
      <c r="Y29"/>
      <c r="Z29"/>
      <c r="AA29"/>
      <c r="AB29"/>
      <c r="AC29"/>
      <c r="AD29"/>
      <c r="AE29"/>
    </row>
    <row r="30" spans="1:44" x14ac:dyDescent="0.25">
      <c r="A30" s="481" t="s">
        <v>7</v>
      </c>
      <c r="B30" s="482" t="s">
        <v>19</v>
      </c>
      <c r="C30" s="156" t="s">
        <v>631</v>
      </c>
      <c r="D30" s="366" t="str">
        <f ca="1">IFERROR(OFFSET(Camp_List[P_Code],MATCH(Data_Demography_t[[#This Row],[Camp]],Camp_List[Camp Name],0)-1,0,1,1),"")</f>
        <v>MMR012CMP114</v>
      </c>
      <c r="E30" s="483" t="s">
        <v>1151</v>
      </c>
      <c r="F30" s="484" t="s">
        <v>726</v>
      </c>
      <c r="G30" s="310">
        <v>686</v>
      </c>
      <c r="H30" s="156">
        <f t="shared" si="0"/>
        <v>686</v>
      </c>
      <c r="I30" s="156" t="s">
        <v>288</v>
      </c>
      <c r="J30" s="869">
        <v>42825</v>
      </c>
      <c r="L30"/>
      <c r="M30"/>
      <c r="N30"/>
      <c r="O30"/>
      <c r="P30"/>
      <c r="Q30"/>
      <c r="R30"/>
      <c r="S30"/>
      <c r="T30"/>
      <c r="U30"/>
      <c r="V30"/>
      <c r="W30"/>
      <c r="X30"/>
      <c r="Y30"/>
      <c r="Z30"/>
      <c r="AA30"/>
      <c r="AB30"/>
      <c r="AC30"/>
      <c r="AD30"/>
      <c r="AE30" s="19"/>
      <c r="AF30" s="19"/>
      <c r="AG30" s="19"/>
      <c r="AH30" s="19"/>
    </row>
    <row r="31" spans="1:44" x14ac:dyDescent="0.25">
      <c r="A31" s="481" t="s">
        <v>7</v>
      </c>
      <c r="B31" s="482" t="s">
        <v>19</v>
      </c>
      <c r="C31" s="156" t="s">
        <v>631</v>
      </c>
      <c r="D31" s="366" t="str">
        <f ca="1">IFERROR(OFFSET(Camp_List[P_Code],MATCH(Data_Demography_t[[#This Row],[Camp]],Camp_List[Camp Name],0)-1,0,1,1),"")</f>
        <v>MMR012CMP114</v>
      </c>
      <c r="E31" s="483" t="s">
        <v>881</v>
      </c>
      <c r="F31" s="484" t="s">
        <v>725</v>
      </c>
      <c r="G31" s="310">
        <v>655</v>
      </c>
      <c r="H31" s="156">
        <f t="shared" si="0"/>
        <v>-655</v>
      </c>
      <c r="I31" s="156" t="s">
        <v>288</v>
      </c>
      <c r="J31" s="869">
        <v>42825</v>
      </c>
      <c r="L31" s="199" t="s">
        <v>1</v>
      </c>
      <c r="M31" s="794" t="s">
        <v>653</v>
      </c>
      <c r="P31" s="793"/>
      <c r="Q31"/>
      <c r="R31"/>
      <c r="S31"/>
      <c r="T31"/>
      <c r="U31"/>
      <c r="V31"/>
      <c r="W31"/>
      <c r="X31"/>
      <c r="Y31"/>
      <c r="Z31"/>
      <c r="AA31"/>
      <c r="AB31"/>
      <c r="AC31"/>
      <c r="AD31"/>
      <c r="AE31" s="19"/>
      <c r="AF31" s="19"/>
      <c r="AG31" s="19"/>
      <c r="AH31" s="19"/>
    </row>
    <row r="32" spans="1:44" x14ac:dyDescent="0.25">
      <c r="A32" s="481" t="s">
        <v>7</v>
      </c>
      <c r="B32" s="482" t="s">
        <v>19</v>
      </c>
      <c r="C32" s="156" t="s">
        <v>631</v>
      </c>
      <c r="D32" s="366" t="str">
        <f ca="1">IFERROR(OFFSET(Camp_List[P_Code],MATCH(Data_Demography_t[[#This Row],[Camp]],Camp_List[Camp Name],0)-1,0,1,1),"")</f>
        <v>MMR012CMP114</v>
      </c>
      <c r="E32" s="483" t="s">
        <v>881</v>
      </c>
      <c r="F32" s="484" t="s">
        <v>726</v>
      </c>
      <c r="G32" s="310">
        <v>614</v>
      </c>
      <c r="H32" s="156">
        <f t="shared" si="0"/>
        <v>614</v>
      </c>
      <c r="I32" s="156" t="s">
        <v>288</v>
      </c>
      <c r="J32" s="869">
        <v>42825</v>
      </c>
      <c r="L32" s="279" t="s">
        <v>536</v>
      </c>
      <c r="M32" s="115" t="s">
        <v>653</v>
      </c>
      <c r="N32"/>
      <c r="O32"/>
      <c r="P32"/>
      <c r="Q32"/>
      <c r="R32"/>
      <c r="S32"/>
      <c r="T32"/>
      <c r="U32"/>
      <c r="V32"/>
      <c r="W32"/>
      <c r="X32"/>
      <c r="Y32"/>
      <c r="Z32"/>
      <c r="AA32"/>
      <c r="AB32"/>
      <c r="AC32"/>
      <c r="AD32"/>
      <c r="AE32" s="19"/>
      <c r="AF32" s="19"/>
      <c r="AG32" s="19"/>
      <c r="AH32" s="19"/>
    </row>
    <row r="33" spans="1:34" s="793" customFormat="1" x14ac:dyDescent="0.25">
      <c r="A33" s="481" t="s">
        <v>7</v>
      </c>
      <c r="B33" s="482" t="s">
        <v>19</v>
      </c>
      <c r="C33" s="156" t="s">
        <v>631</v>
      </c>
      <c r="D33" s="366" t="str">
        <f ca="1">IFERROR(OFFSET(Camp_List[P_Code],MATCH(Data_Demography_t[[#This Row],[Camp]],Camp_List[Camp Name],0)-1,0,1,1),"")</f>
        <v>MMR012CMP114</v>
      </c>
      <c r="E33" s="483" t="s">
        <v>656</v>
      </c>
      <c r="F33" s="484" t="s">
        <v>725</v>
      </c>
      <c r="G33" s="310">
        <v>504</v>
      </c>
      <c r="H33" s="156">
        <f t="shared" si="0"/>
        <v>-504</v>
      </c>
      <c r="I33" s="156" t="s">
        <v>288</v>
      </c>
      <c r="J33" s="869">
        <v>42825</v>
      </c>
      <c r="K33" s="304"/>
      <c r="L33"/>
      <c r="M33"/>
      <c r="N33"/>
      <c r="O33"/>
      <c r="P33"/>
      <c r="Q33"/>
      <c r="R33"/>
      <c r="S33"/>
      <c r="T33"/>
      <c r="U33"/>
      <c r="V33"/>
      <c r="W33"/>
      <c r="X33"/>
      <c r="Y33"/>
      <c r="Z33"/>
      <c r="AA33"/>
      <c r="AB33"/>
      <c r="AC33"/>
      <c r="AD33"/>
      <c r="AE33" s="19"/>
      <c r="AF33" s="19"/>
      <c r="AG33" s="19"/>
      <c r="AH33" s="19"/>
    </row>
    <row r="34" spans="1:34" s="793" customFormat="1" x14ac:dyDescent="0.25">
      <c r="A34" s="481" t="s">
        <v>7</v>
      </c>
      <c r="B34" s="482" t="s">
        <v>19</v>
      </c>
      <c r="C34" s="156" t="s">
        <v>631</v>
      </c>
      <c r="D34" s="366" t="str">
        <f ca="1">IFERROR(OFFSET(Camp_List[P_Code],MATCH(Data_Demography_t[[#This Row],[Camp]],Camp_List[Camp Name],0)-1,0,1,1),"")</f>
        <v>MMR012CMP114</v>
      </c>
      <c r="E34" s="483" t="s">
        <v>656</v>
      </c>
      <c r="F34" s="484" t="s">
        <v>726</v>
      </c>
      <c r="G34" s="310">
        <v>498</v>
      </c>
      <c r="H34" s="156">
        <f t="shared" si="0"/>
        <v>498</v>
      </c>
      <c r="I34" s="156" t="s">
        <v>288</v>
      </c>
      <c r="J34" s="869">
        <v>42825</v>
      </c>
      <c r="K34" s="304"/>
      <c r="L34" s="199" t="s">
        <v>734</v>
      </c>
      <c r="M34" s="199" t="s">
        <v>665</v>
      </c>
      <c r="N34" s="196"/>
      <c r="O34" s="196"/>
      <c r="P34" s="90"/>
      <c r="AE34" s="19"/>
      <c r="AF34" s="19"/>
      <c r="AG34" s="19"/>
      <c r="AH34" s="19"/>
    </row>
    <row r="35" spans="1:34" x14ac:dyDescent="0.25">
      <c r="A35" s="481" t="s">
        <v>7</v>
      </c>
      <c r="B35" s="482" t="s">
        <v>19</v>
      </c>
      <c r="C35" s="156" t="s">
        <v>631</v>
      </c>
      <c r="D35" s="366" t="str">
        <f ca="1">IFERROR(OFFSET(Camp_List[P_Code],MATCH(Data_Demography_t[[#This Row],[Camp]],Camp_List[Camp Name],0)-1,0,1,1),"")</f>
        <v>MMR012CMP114</v>
      </c>
      <c r="E35" s="483" t="s">
        <v>882</v>
      </c>
      <c r="F35" s="484" t="s">
        <v>725</v>
      </c>
      <c r="G35" s="310">
        <v>631</v>
      </c>
      <c r="H35" s="156">
        <f t="shared" si="0"/>
        <v>-631</v>
      </c>
      <c r="I35" s="156" t="s">
        <v>288</v>
      </c>
      <c r="J35" s="869">
        <v>42825</v>
      </c>
      <c r="L35" s="199" t="s">
        <v>212</v>
      </c>
      <c r="M35" s="51" t="s">
        <v>726</v>
      </c>
      <c r="N35" s="281" t="s">
        <v>725</v>
      </c>
      <c r="O35" s="281" t="s">
        <v>213</v>
      </c>
      <c r="P35" s="872" t="s">
        <v>1115</v>
      </c>
      <c r="Q35"/>
      <c r="R35"/>
      <c r="S35"/>
      <c r="T35"/>
      <c r="U35"/>
      <c r="V35"/>
      <c r="W35"/>
      <c r="X35"/>
      <c r="Y35"/>
      <c r="Z35"/>
      <c r="AA35"/>
      <c r="AB35"/>
      <c r="AE35" s="19"/>
      <c r="AF35" s="19"/>
      <c r="AG35" s="19"/>
      <c r="AH35" s="19"/>
    </row>
    <row r="36" spans="1:34" x14ac:dyDescent="0.25">
      <c r="A36" s="481" t="s">
        <v>7</v>
      </c>
      <c r="B36" s="482" t="s">
        <v>19</v>
      </c>
      <c r="C36" s="156" t="s">
        <v>631</v>
      </c>
      <c r="D36" s="366" t="str">
        <f ca="1">IFERROR(OFFSET(Camp_List[P_Code],MATCH(Data_Demography_t[[#This Row],[Camp]],Camp_List[Camp Name],0)-1,0,1,1),"")</f>
        <v>MMR012CMP114</v>
      </c>
      <c r="E36" s="483" t="s">
        <v>882</v>
      </c>
      <c r="F36" s="484" t="s">
        <v>726</v>
      </c>
      <c r="G36" s="310">
        <v>766</v>
      </c>
      <c r="H36" s="156">
        <f t="shared" si="0"/>
        <v>766</v>
      </c>
      <c r="I36" s="156" t="s">
        <v>288</v>
      </c>
      <c r="J36" s="869">
        <v>42825</v>
      </c>
      <c r="L36" s="570" t="s">
        <v>881</v>
      </c>
      <c r="M36" s="280">
        <v>9831</v>
      </c>
      <c r="N36" s="280">
        <v>-10501</v>
      </c>
      <c r="O36" s="280">
        <v>-670</v>
      </c>
      <c r="P36" s="873" t="e">
        <f>-(GETPIVOTDATA("Total2",$L$34,"Age_Cat","&lt; 1","Sex","M"))</f>
        <v>#REF!</v>
      </c>
      <c r="Q36"/>
      <c r="R36"/>
      <c r="S36"/>
      <c r="T36"/>
      <c r="U36"/>
      <c r="V36"/>
      <c r="W36"/>
      <c r="X36"/>
      <c r="Y36"/>
      <c r="Z36"/>
      <c r="AA36"/>
      <c r="AB36"/>
      <c r="AE36" s="19"/>
      <c r="AF36" s="19"/>
      <c r="AG36" s="19"/>
      <c r="AH36" s="19"/>
    </row>
    <row r="37" spans="1:34" x14ac:dyDescent="0.25">
      <c r="A37" s="481" t="s">
        <v>7</v>
      </c>
      <c r="B37" s="482" t="s">
        <v>19</v>
      </c>
      <c r="C37" s="156" t="s">
        <v>631</v>
      </c>
      <c r="D37" s="366" t="str">
        <f ca="1">IFERROR(OFFSET(Camp_List[P_Code],MATCH(Data_Demography_t[[#This Row],[Camp]],Camp_List[Camp Name],0)-1,0,1,1),"")</f>
        <v>MMR012CMP114</v>
      </c>
      <c r="E37" s="483" t="s">
        <v>883</v>
      </c>
      <c r="F37" s="484" t="s">
        <v>725</v>
      </c>
      <c r="G37" s="310">
        <v>843</v>
      </c>
      <c r="H37" s="156">
        <f t="shared" si="0"/>
        <v>-843</v>
      </c>
      <c r="I37" s="156" t="s">
        <v>288</v>
      </c>
      <c r="J37" s="869">
        <v>42825</v>
      </c>
      <c r="L37" s="520" t="s">
        <v>656</v>
      </c>
      <c r="M37" s="197">
        <v>7402</v>
      </c>
      <c r="N37" s="197">
        <v>-7778</v>
      </c>
      <c r="O37" s="197">
        <v>-376</v>
      </c>
      <c r="P37" s="873" t="e">
        <f>-(GETPIVOTDATA("Total2",$L$34,"Age_Cat"," 1 to 5","Sex","M"))</f>
        <v>#REF!</v>
      </c>
      <c r="Q37"/>
      <c r="R37"/>
      <c r="S37"/>
      <c r="T37"/>
      <c r="U37"/>
      <c r="V37"/>
      <c r="W37"/>
      <c r="X37"/>
      <c r="Y37"/>
      <c r="Z37"/>
      <c r="AA37"/>
      <c r="AB37"/>
      <c r="AE37" s="19"/>
      <c r="AF37" s="19"/>
      <c r="AG37" s="19"/>
      <c r="AH37" s="19"/>
    </row>
    <row r="38" spans="1:34" x14ac:dyDescent="0.25">
      <c r="A38" s="481" t="s">
        <v>7</v>
      </c>
      <c r="B38" s="482" t="s">
        <v>19</v>
      </c>
      <c r="C38" s="156" t="s">
        <v>631</v>
      </c>
      <c r="D38" s="366" t="str">
        <f ca="1">IFERROR(OFFSET(Camp_List[P_Code],MATCH(Data_Demography_t[[#This Row],[Camp]],Camp_List[Camp Name],0)-1,0,1,1),"")</f>
        <v>MMR012CMP114</v>
      </c>
      <c r="E38" s="483" t="s">
        <v>883</v>
      </c>
      <c r="F38" s="484" t="s">
        <v>726</v>
      </c>
      <c r="G38" s="310">
        <v>838</v>
      </c>
      <c r="H38" s="156">
        <f t="shared" si="0"/>
        <v>838</v>
      </c>
      <c r="I38" s="156" t="s">
        <v>288</v>
      </c>
      <c r="J38" s="869">
        <v>42825</v>
      </c>
      <c r="L38" s="520" t="s">
        <v>882</v>
      </c>
      <c r="M38" s="197">
        <v>10658</v>
      </c>
      <c r="N38" s="197">
        <v>-8335</v>
      </c>
      <c r="O38" s="197">
        <v>2323</v>
      </c>
      <c r="P38" s="873">
        <f>-(GETPIVOTDATA("Total2",$L$34,"Age_Cat","6 to 11","Sex","M"))</f>
        <v>10501</v>
      </c>
      <c r="Q38"/>
      <c r="R38"/>
      <c r="AE38" s="19"/>
      <c r="AF38" s="19"/>
      <c r="AG38" s="19"/>
      <c r="AH38" s="19"/>
    </row>
    <row r="39" spans="1:34" x14ac:dyDescent="0.25">
      <c r="A39" s="481" t="s">
        <v>7</v>
      </c>
      <c r="B39" s="482" t="s">
        <v>19</v>
      </c>
      <c r="C39" s="156" t="s">
        <v>631</v>
      </c>
      <c r="D39" s="366" t="str">
        <f ca="1">IFERROR(OFFSET(Camp_List[P_Code],MATCH(Data_Demography_t[[#This Row],[Camp]],Camp_List[Camp Name],0)-1,0,1,1),"")</f>
        <v>MMR012CMP114</v>
      </c>
      <c r="E39" s="483" t="s">
        <v>859</v>
      </c>
      <c r="F39" s="484" t="s">
        <v>725</v>
      </c>
      <c r="G39" s="310">
        <v>103</v>
      </c>
      <c r="H39" s="156">
        <f t="shared" si="0"/>
        <v>-103</v>
      </c>
      <c r="I39" s="156" t="s">
        <v>288</v>
      </c>
      <c r="J39" s="869">
        <v>42825</v>
      </c>
      <c r="L39" s="520" t="s">
        <v>883</v>
      </c>
      <c r="M39" s="197">
        <v>14011</v>
      </c>
      <c r="N39" s="197">
        <v>-13070</v>
      </c>
      <c r="O39" s="197">
        <v>941</v>
      </c>
      <c r="P39" s="873">
        <f>-(GETPIVOTDATA("Total2",$L$34,"Age_Cat","12 to 17","Sex","M"))</f>
        <v>7778</v>
      </c>
      <c r="Q39"/>
      <c r="R39"/>
      <c r="AE39" s="19"/>
      <c r="AF39" s="19"/>
      <c r="AG39" s="19"/>
      <c r="AH39" s="19"/>
    </row>
    <row r="40" spans="1:34" x14ac:dyDescent="0.25">
      <c r="A40" s="481" t="s">
        <v>7</v>
      </c>
      <c r="B40" s="482" t="s">
        <v>19</v>
      </c>
      <c r="C40" s="156" t="s">
        <v>631</v>
      </c>
      <c r="D40" s="366" t="str">
        <f ca="1">IFERROR(OFFSET(Camp_List[P_Code],MATCH(Data_Demography_t[[#This Row],[Camp]],Camp_List[Camp Name],0)-1,0,1,1),"")</f>
        <v>MMR012CMP114</v>
      </c>
      <c r="E40" s="483" t="s">
        <v>859</v>
      </c>
      <c r="F40" s="484" t="s">
        <v>726</v>
      </c>
      <c r="G40" s="310">
        <v>110</v>
      </c>
      <c r="H40" s="156">
        <f t="shared" si="0"/>
        <v>110</v>
      </c>
      <c r="I40" s="156" t="s">
        <v>288</v>
      </c>
      <c r="J40" s="869">
        <v>42825</v>
      </c>
      <c r="L40" s="520" t="s">
        <v>859</v>
      </c>
      <c r="M40" s="197">
        <v>1874</v>
      </c>
      <c r="N40" s="197">
        <v>-1882</v>
      </c>
      <c r="O40" s="197">
        <v>-8</v>
      </c>
      <c r="P40" s="873">
        <f>-(GETPIVOTDATA("Total2",$L$34,"Age_Cat","18 to 25","Sex","M"))</f>
        <v>8335</v>
      </c>
      <c r="AE40" s="19"/>
      <c r="AF40" s="19"/>
      <c r="AG40" s="19"/>
      <c r="AH40" s="19"/>
    </row>
    <row r="41" spans="1:34" x14ac:dyDescent="0.25">
      <c r="A41" s="481" t="s">
        <v>7</v>
      </c>
      <c r="B41" s="482" t="s">
        <v>19</v>
      </c>
      <c r="C41" s="156" t="s">
        <v>63</v>
      </c>
      <c r="D41" s="366" t="str">
        <f ca="1">IFERROR(OFFSET(Camp_List[P_Code],MATCH(Data_Demography_t[[#This Row],[Camp]],Camp_List[Camp Name],0)-1,0,1,1),"")</f>
        <v>MMR012CMP041</v>
      </c>
      <c r="E41" s="314" t="s">
        <v>1151</v>
      </c>
      <c r="F41" s="484" t="s">
        <v>725</v>
      </c>
      <c r="G41" s="310">
        <v>652</v>
      </c>
      <c r="H41" s="156">
        <f>IF(F41="M",-G41,G41)</f>
        <v>-652</v>
      </c>
      <c r="I41" s="355" t="s">
        <v>288</v>
      </c>
      <c r="J41" s="869">
        <v>42825</v>
      </c>
      <c r="L41" s="520" t="s">
        <v>1151</v>
      </c>
      <c r="M41" s="197">
        <v>10776</v>
      </c>
      <c r="N41" s="197">
        <v>-10497</v>
      </c>
      <c r="O41" s="197">
        <v>279</v>
      </c>
      <c r="P41" s="873">
        <f>-(GETPIVOTDATA("Total2",$L$34,"Age_Cat","26 to 59","Sex","M"))</f>
        <v>13070</v>
      </c>
      <c r="AE41" s="19"/>
      <c r="AF41" s="19"/>
      <c r="AG41" s="19"/>
      <c r="AH41" s="19"/>
    </row>
    <row r="42" spans="1:34" x14ac:dyDescent="0.25">
      <c r="A42" s="481" t="s">
        <v>7</v>
      </c>
      <c r="B42" s="482" t="s">
        <v>19</v>
      </c>
      <c r="C42" s="156" t="s">
        <v>63</v>
      </c>
      <c r="D42" s="366" t="str">
        <f ca="1">IFERROR(OFFSET(Camp_List[P_Code],MATCH(Data_Demography_t[[#This Row],[Camp]],Camp_List[Camp Name],0)-1,0,1,1),"")</f>
        <v>MMR012CMP041</v>
      </c>
      <c r="E42" s="314" t="s">
        <v>1151</v>
      </c>
      <c r="F42" s="484" t="s">
        <v>726</v>
      </c>
      <c r="G42" s="310">
        <v>708</v>
      </c>
      <c r="H42" s="156">
        <f>IF(F42="M",-G42,G42)</f>
        <v>708</v>
      </c>
      <c r="I42" s="355" t="s">
        <v>288</v>
      </c>
      <c r="J42" s="869">
        <v>42825</v>
      </c>
      <c r="L42" s="570" t="s">
        <v>213</v>
      </c>
      <c r="M42" s="280">
        <v>54552</v>
      </c>
      <c r="N42" s="280">
        <v>-52063</v>
      </c>
      <c r="O42" s="280">
        <v>2489</v>
      </c>
      <c r="P42" s="873">
        <f>-(GETPIVOTDATA("Total2",$L$34,"Age_Cat","60+","Sex","M"))</f>
        <v>1882</v>
      </c>
      <c r="AE42" s="19"/>
      <c r="AF42" s="19"/>
      <c r="AG42" s="19"/>
      <c r="AH42" s="19"/>
    </row>
    <row r="43" spans="1:34" x14ac:dyDescent="0.25">
      <c r="A43" s="312" t="s">
        <v>7</v>
      </c>
      <c r="B43" s="309" t="s">
        <v>19</v>
      </c>
      <c r="C43" s="313" t="s">
        <v>63</v>
      </c>
      <c r="D43" s="366" t="str">
        <f ca="1">IFERROR(OFFSET(Camp_List[P_Code],MATCH(Data_Demography_t[[#This Row],[Camp]],Camp_List[Camp Name],0)-1,0,1,1),"")</f>
        <v>MMR012CMP041</v>
      </c>
      <c r="E43" s="483" t="s">
        <v>881</v>
      </c>
      <c r="F43" s="313" t="s">
        <v>725</v>
      </c>
      <c r="G43" s="310">
        <v>809</v>
      </c>
      <c r="H43" s="156">
        <f t="shared" si="0"/>
        <v>-809</v>
      </c>
      <c r="I43" s="313" t="s">
        <v>288</v>
      </c>
      <c r="J43" s="869">
        <v>42825</v>
      </c>
      <c r="L43"/>
      <c r="M43"/>
      <c r="N43"/>
      <c r="O43"/>
      <c r="P43" s="873">
        <f>-(GETPIVOTDATA("Total2",$L$34,"Sex","M"))</f>
        <v>52063</v>
      </c>
      <c r="AE43" s="19"/>
      <c r="AF43" s="19"/>
      <c r="AG43" s="19"/>
      <c r="AH43" s="19"/>
    </row>
    <row r="44" spans="1:34" x14ac:dyDescent="0.25">
      <c r="A44" s="312" t="s">
        <v>7</v>
      </c>
      <c r="B44" s="309" t="s">
        <v>19</v>
      </c>
      <c r="C44" s="313" t="s">
        <v>63</v>
      </c>
      <c r="D44" s="366" t="str">
        <f ca="1">IFERROR(OFFSET(Camp_List[P_Code],MATCH(Data_Demography_t[[#This Row],[Camp]],Camp_List[Camp Name],0)-1,0,1,1),"")</f>
        <v>MMR012CMP041</v>
      </c>
      <c r="E44" s="483" t="s">
        <v>881</v>
      </c>
      <c r="F44" s="353" t="s">
        <v>726</v>
      </c>
      <c r="G44" s="310">
        <v>802</v>
      </c>
      <c r="H44" s="156">
        <f t="shared" si="0"/>
        <v>802</v>
      </c>
      <c r="I44" s="313" t="s">
        <v>288</v>
      </c>
      <c r="J44" s="869">
        <v>42825</v>
      </c>
      <c r="L44"/>
      <c r="M44"/>
      <c r="N44"/>
      <c r="O44"/>
      <c r="P44"/>
      <c r="AE44" s="19"/>
      <c r="AF44" s="19"/>
      <c r="AG44" s="19"/>
      <c r="AH44" s="19"/>
    </row>
    <row r="45" spans="1:34" x14ac:dyDescent="0.25">
      <c r="A45" s="312" t="s">
        <v>7</v>
      </c>
      <c r="B45" s="309" t="s">
        <v>19</v>
      </c>
      <c r="C45" s="313" t="s">
        <v>63</v>
      </c>
      <c r="D45" s="366" t="str">
        <f ca="1">IFERROR(OFFSET(Camp_List[P_Code],MATCH(Data_Demography_t[[#This Row],[Camp]],Camp_List[Camp Name],0)-1,0,1,1),"")</f>
        <v>MMR012CMP041</v>
      </c>
      <c r="E45" s="314" t="s">
        <v>656</v>
      </c>
      <c r="F45" s="313" t="s">
        <v>725</v>
      </c>
      <c r="G45" s="942">
        <v>648</v>
      </c>
      <c r="H45" s="156">
        <f t="shared" ref="H45:H96" si="1">IF(F45="M",-G45,G45)</f>
        <v>-648</v>
      </c>
      <c r="I45" s="313" t="s">
        <v>288</v>
      </c>
      <c r="J45" s="869">
        <v>42825</v>
      </c>
      <c r="L45"/>
      <c r="M45"/>
      <c r="N45"/>
      <c r="O45"/>
      <c r="P45"/>
      <c r="AE45" s="19"/>
      <c r="AF45" s="19"/>
      <c r="AG45" s="19"/>
      <c r="AH45" s="19"/>
    </row>
    <row r="46" spans="1:34" x14ac:dyDescent="0.25">
      <c r="A46" s="312" t="s">
        <v>7</v>
      </c>
      <c r="B46" s="309" t="s">
        <v>19</v>
      </c>
      <c r="C46" s="313" t="s">
        <v>63</v>
      </c>
      <c r="D46" s="366" t="str">
        <f ca="1">IFERROR(OFFSET(Camp_List[P_Code],MATCH(Data_Demography_t[[#This Row],[Camp]],Camp_List[Camp Name],0)-1,0,1,1),"")</f>
        <v>MMR012CMP041</v>
      </c>
      <c r="E46" s="314" t="s">
        <v>656</v>
      </c>
      <c r="F46" s="353" t="s">
        <v>726</v>
      </c>
      <c r="G46" s="942">
        <v>629</v>
      </c>
      <c r="H46" s="156">
        <f t="shared" si="1"/>
        <v>629</v>
      </c>
      <c r="I46" s="313" t="s">
        <v>288</v>
      </c>
      <c r="J46" s="869">
        <v>42825</v>
      </c>
      <c r="L46"/>
      <c r="M46"/>
      <c r="N46"/>
      <c r="O46"/>
      <c r="P46"/>
      <c r="AE46" s="19"/>
      <c r="AF46" s="19"/>
      <c r="AG46" s="19"/>
      <c r="AH46" s="19"/>
    </row>
    <row r="47" spans="1:34" s="793" customFormat="1" x14ac:dyDescent="0.25">
      <c r="A47" s="312" t="s">
        <v>7</v>
      </c>
      <c r="B47" s="309" t="s">
        <v>19</v>
      </c>
      <c r="C47" s="313" t="s">
        <v>63</v>
      </c>
      <c r="D47" s="366" t="str">
        <f ca="1">IFERROR(OFFSET(Camp_List[P_Code],MATCH(Data_Demography_t[[#This Row],[Camp]],Camp_List[Camp Name],0)-1,0,1,1),"")</f>
        <v>MMR012CMP041</v>
      </c>
      <c r="E47" s="314" t="s">
        <v>882</v>
      </c>
      <c r="F47" s="313" t="s">
        <v>725</v>
      </c>
      <c r="G47" s="310">
        <v>727</v>
      </c>
      <c r="H47" s="156">
        <f t="shared" si="1"/>
        <v>-727</v>
      </c>
      <c r="I47" s="313" t="s">
        <v>288</v>
      </c>
      <c r="J47" s="869">
        <v>42825</v>
      </c>
      <c r="K47" s="304"/>
      <c r="AE47" s="19"/>
      <c r="AF47" s="19"/>
      <c r="AG47" s="19"/>
      <c r="AH47" s="19"/>
    </row>
    <row r="48" spans="1:34" s="793" customFormat="1" x14ac:dyDescent="0.25">
      <c r="A48" s="312" t="s">
        <v>7</v>
      </c>
      <c r="B48" s="309" t="s">
        <v>19</v>
      </c>
      <c r="C48" s="313" t="s">
        <v>63</v>
      </c>
      <c r="D48" s="366" t="str">
        <f ca="1">IFERROR(OFFSET(Camp_List[P_Code],MATCH(Data_Demography_t[[#This Row],[Camp]],Camp_List[Camp Name],0)-1,0,1,1),"")</f>
        <v>MMR012CMP041</v>
      </c>
      <c r="E48" s="314" t="s">
        <v>882</v>
      </c>
      <c r="F48" s="353" t="s">
        <v>726</v>
      </c>
      <c r="G48" s="310">
        <v>876</v>
      </c>
      <c r="H48" s="156">
        <f t="shared" si="1"/>
        <v>876</v>
      </c>
      <c r="I48" s="313" t="s">
        <v>288</v>
      </c>
      <c r="J48" s="869">
        <v>42825</v>
      </c>
      <c r="K48" s="304"/>
      <c r="AE48" s="19"/>
      <c r="AF48" s="19"/>
      <c r="AG48" s="19"/>
      <c r="AH48" s="19"/>
    </row>
    <row r="49" spans="1:15" x14ac:dyDescent="0.25">
      <c r="A49" s="312" t="s">
        <v>7</v>
      </c>
      <c r="B49" s="309" t="s">
        <v>19</v>
      </c>
      <c r="C49" s="313" t="s">
        <v>63</v>
      </c>
      <c r="D49" s="366" t="str">
        <f ca="1">IFERROR(OFFSET(Camp_List[P_Code],MATCH(Data_Demography_t[[#This Row],[Camp]],Camp_List[Camp Name],0)-1,0,1,1),"")</f>
        <v>MMR012CMP041</v>
      </c>
      <c r="E49" s="311" t="s">
        <v>883</v>
      </c>
      <c r="F49" s="313" t="s">
        <v>725</v>
      </c>
      <c r="G49" s="310">
        <v>971</v>
      </c>
      <c r="H49" s="156">
        <f t="shared" si="1"/>
        <v>-971</v>
      </c>
      <c r="I49" s="313" t="s">
        <v>288</v>
      </c>
      <c r="J49" s="869">
        <v>42825</v>
      </c>
    </row>
    <row r="50" spans="1:15" x14ac:dyDescent="0.25">
      <c r="A50" s="312" t="s">
        <v>7</v>
      </c>
      <c r="B50" s="309" t="s">
        <v>19</v>
      </c>
      <c r="C50" s="313" t="s">
        <v>63</v>
      </c>
      <c r="D50" s="366" t="str">
        <f ca="1">IFERROR(OFFSET(Camp_List[P_Code],MATCH(Data_Demography_t[[#This Row],[Camp]],Camp_List[Camp Name],0)-1,0,1,1),"")</f>
        <v>MMR012CMP041</v>
      </c>
      <c r="E50" s="311" t="s">
        <v>883</v>
      </c>
      <c r="F50" s="353" t="s">
        <v>726</v>
      </c>
      <c r="G50" s="310">
        <v>1050</v>
      </c>
      <c r="H50" s="156">
        <f t="shared" si="1"/>
        <v>1050</v>
      </c>
      <c r="I50" s="313" t="s">
        <v>288</v>
      </c>
      <c r="J50" s="869">
        <v>42825</v>
      </c>
    </row>
    <row r="51" spans="1:15" x14ac:dyDescent="0.25">
      <c r="A51" s="312" t="s">
        <v>7</v>
      </c>
      <c r="B51" s="309" t="s">
        <v>19</v>
      </c>
      <c r="C51" s="313" t="s">
        <v>63</v>
      </c>
      <c r="D51" s="366" t="str">
        <f ca="1">IFERROR(OFFSET(Camp_List[P_Code],MATCH(Data_Demography_t[[#This Row],[Camp]],Camp_List[Camp Name],0)-1,0,1,1),"")</f>
        <v>MMR012CMP041</v>
      </c>
      <c r="E51" s="314" t="s">
        <v>859</v>
      </c>
      <c r="F51" s="313" t="s">
        <v>725</v>
      </c>
      <c r="G51" s="310">
        <v>151</v>
      </c>
      <c r="H51" s="156">
        <f t="shared" si="1"/>
        <v>-151</v>
      </c>
      <c r="I51" s="313" t="s">
        <v>288</v>
      </c>
      <c r="J51" s="869">
        <v>42825</v>
      </c>
    </row>
    <row r="52" spans="1:15" x14ac:dyDescent="0.25">
      <c r="A52" s="312" t="s">
        <v>7</v>
      </c>
      <c r="B52" s="309" t="s">
        <v>19</v>
      </c>
      <c r="C52" s="313" t="s">
        <v>63</v>
      </c>
      <c r="D52" s="366" t="str">
        <f ca="1">IFERROR(OFFSET(Camp_List[P_Code],MATCH(Data_Demography_t[[#This Row],[Camp]],Camp_List[Camp Name],0)-1,0,1,1),"")</f>
        <v>MMR012CMP041</v>
      </c>
      <c r="E52" s="314" t="s">
        <v>859</v>
      </c>
      <c r="F52" s="353" t="s">
        <v>726</v>
      </c>
      <c r="G52" s="310">
        <v>159</v>
      </c>
      <c r="H52" s="156">
        <f t="shared" si="1"/>
        <v>159</v>
      </c>
      <c r="I52" s="313" t="s">
        <v>288</v>
      </c>
      <c r="J52" s="869">
        <v>42825</v>
      </c>
    </row>
    <row r="53" spans="1:15" x14ac:dyDescent="0.25">
      <c r="A53" s="312" t="s">
        <v>7</v>
      </c>
      <c r="B53" s="309" t="s">
        <v>19</v>
      </c>
      <c r="C53" s="309" t="s">
        <v>64</v>
      </c>
      <c r="D53" s="366" t="str">
        <f ca="1">IFERROR(OFFSET(Camp_List[P_Code],MATCH(Data_Demography_t[[#This Row],[Camp]],Camp_List[Camp Name],0)-1,0,1,1),"")</f>
        <v>MMR012CMP042</v>
      </c>
      <c r="E53" s="483" t="s">
        <v>1151</v>
      </c>
      <c r="F53" s="325" t="s">
        <v>725</v>
      </c>
      <c r="G53" s="364">
        <v>418</v>
      </c>
      <c r="H53" s="365">
        <f t="shared" si="1"/>
        <v>-418</v>
      </c>
      <c r="I53" s="309" t="s">
        <v>624</v>
      </c>
      <c r="J53" s="868">
        <v>42825</v>
      </c>
    </row>
    <row r="54" spans="1:15" x14ac:dyDescent="0.25">
      <c r="A54" s="312" t="s">
        <v>7</v>
      </c>
      <c r="B54" s="309" t="s">
        <v>19</v>
      </c>
      <c r="C54" s="309" t="s">
        <v>64</v>
      </c>
      <c r="D54" s="366" t="str">
        <f ca="1">IFERROR(OFFSET(Camp_List[P_Code],MATCH(Data_Demography_t[[#This Row],[Camp]],Camp_List[Camp Name],0)-1,0,1,1),"")</f>
        <v>MMR012CMP042</v>
      </c>
      <c r="E54" s="483" t="s">
        <v>1151</v>
      </c>
      <c r="F54" s="325" t="s">
        <v>726</v>
      </c>
      <c r="G54" s="364">
        <v>459</v>
      </c>
      <c r="H54" s="365">
        <f t="shared" si="1"/>
        <v>459</v>
      </c>
      <c r="I54" s="309" t="s">
        <v>624</v>
      </c>
      <c r="J54" s="868">
        <v>42825</v>
      </c>
    </row>
    <row r="55" spans="1:15" x14ac:dyDescent="0.25">
      <c r="A55" s="312" t="s">
        <v>7</v>
      </c>
      <c r="B55" s="342" t="s">
        <v>19</v>
      </c>
      <c r="C55" s="353" t="s">
        <v>64</v>
      </c>
      <c r="D55" s="366" t="str">
        <f ca="1">IFERROR(OFFSET(Camp_List[P_Code],MATCH(Data_Demography_t[[#This Row],[Camp]],Camp_List[Camp Name],0)-1,0,1,1),"")</f>
        <v>MMR012CMP042</v>
      </c>
      <c r="E55" s="483" t="s">
        <v>881</v>
      </c>
      <c r="F55" s="325" t="s">
        <v>725</v>
      </c>
      <c r="G55" s="364">
        <v>396</v>
      </c>
      <c r="H55" s="365">
        <f t="shared" si="1"/>
        <v>-396</v>
      </c>
      <c r="I55" s="362" t="s">
        <v>624</v>
      </c>
      <c r="J55" s="868">
        <v>42825</v>
      </c>
    </row>
    <row r="56" spans="1:15" x14ac:dyDescent="0.25">
      <c r="A56" s="312" t="s">
        <v>7</v>
      </c>
      <c r="B56" s="342" t="s">
        <v>19</v>
      </c>
      <c r="C56" s="353" t="s">
        <v>64</v>
      </c>
      <c r="D56" s="366" t="str">
        <f ca="1">IFERROR(OFFSET(Camp_List[P_Code],MATCH(Data_Demography_t[[#This Row],[Camp]],Camp_List[Camp Name],0)-1,0,1,1),"")</f>
        <v>MMR012CMP042</v>
      </c>
      <c r="E56" s="483" t="s">
        <v>881</v>
      </c>
      <c r="F56" s="325" t="s">
        <v>726</v>
      </c>
      <c r="G56" s="364">
        <v>356</v>
      </c>
      <c r="H56" s="365">
        <f t="shared" si="1"/>
        <v>356</v>
      </c>
      <c r="I56" s="362" t="s">
        <v>624</v>
      </c>
      <c r="J56" s="868">
        <v>42825</v>
      </c>
    </row>
    <row r="57" spans="1:15" x14ac:dyDescent="0.25">
      <c r="A57" s="312" t="s">
        <v>7</v>
      </c>
      <c r="B57" s="342" t="s">
        <v>19</v>
      </c>
      <c r="C57" s="353" t="s">
        <v>64</v>
      </c>
      <c r="D57" s="366" t="str">
        <f ca="1">IFERROR(OFFSET(Camp_List[P_Code],MATCH(Data_Demography_t[[#This Row],[Camp]],Camp_List[Camp Name],0)-1,0,1,1),"")</f>
        <v>MMR012CMP042</v>
      </c>
      <c r="E57" s="327" t="s">
        <v>656</v>
      </c>
      <c r="F57" s="325" t="s">
        <v>725</v>
      </c>
      <c r="G57" s="364">
        <v>345</v>
      </c>
      <c r="H57" s="365">
        <f t="shared" si="1"/>
        <v>-345</v>
      </c>
      <c r="I57" s="362" t="s">
        <v>624</v>
      </c>
      <c r="J57" s="868">
        <v>42825</v>
      </c>
    </row>
    <row r="58" spans="1:15" x14ac:dyDescent="0.25">
      <c r="A58" s="312" t="s">
        <v>7</v>
      </c>
      <c r="B58" s="342" t="s">
        <v>19</v>
      </c>
      <c r="C58" s="353" t="s">
        <v>64</v>
      </c>
      <c r="D58" s="366" t="str">
        <f ca="1">IFERROR(OFFSET(Camp_List[P_Code],MATCH(Data_Demography_t[[#This Row],[Camp]],Camp_List[Camp Name],0)-1,0,1,1),"")</f>
        <v>MMR012CMP042</v>
      </c>
      <c r="E58" s="327" t="s">
        <v>656</v>
      </c>
      <c r="F58" s="325" t="s">
        <v>726</v>
      </c>
      <c r="G58" s="364">
        <v>297</v>
      </c>
      <c r="H58" s="365">
        <f t="shared" si="1"/>
        <v>297</v>
      </c>
      <c r="I58" s="362" t="s">
        <v>624</v>
      </c>
      <c r="J58" s="868">
        <v>42825</v>
      </c>
    </row>
    <row r="59" spans="1:15" x14ac:dyDescent="0.25">
      <c r="A59" s="312" t="s">
        <v>7</v>
      </c>
      <c r="B59" s="342" t="s">
        <v>19</v>
      </c>
      <c r="C59" s="353" t="s">
        <v>64</v>
      </c>
      <c r="D59" s="366" t="str">
        <f ca="1">IFERROR(OFFSET(Camp_List[P_Code],MATCH(Data_Demography_t[[#This Row],[Camp]],Camp_List[Camp Name],0)-1,0,1,1),"")</f>
        <v>MMR012CMP042</v>
      </c>
      <c r="E59" s="327" t="s">
        <v>882</v>
      </c>
      <c r="F59" s="325" t="s">
        <v>725</v>
      </c>
      <c r="G59" s="364">
        <v>301</v>
      </c>
      <c r="H59" s="365">
        <f t="shared" si="1"/>
        <v>-301</v>
      </c>
      <c r="I59" s="362" t="s">
        <v>624</v>
      </c>
      <c r="J59" s="868">
        <v>42825</v>
      </c>
    </row>
    <row r="60" spans="1:15" x14ac:dyDescent="0.25">
      <c r="A60" s="312" t="s">
        <v>7</v>
      </c>
      <c r="B60" s="342" t="s">
        <v>19</v>
      </c>
      <c r="C60" s="353" t="s">
        <v>64</v>
      </c>
      <c r="D60" s="366" t="str">
        <f ca="1">IFERROR(OFFSET(Camp_List[P_Code],MATCH(Data_Demography_t[[#This Row],[Camp]],Camp_List[Camp Name],0)-1,0,1,1),"")</f>
        <v>MMR012CMP042</v>
      </c>
      <c r="E60" s="327" t="s">
        <v>882</v>
      </c>
      <c r="F60" s="325" t="s">
        <v>726</v>
      </c>
      <c r="G60" s="364">
        <v>473</v>
      </c>
      <c r="H60" s="365">
        <f t="shared" si="1"/>
        <v>473</v>
      </c>
      <c r="I60" s="362" t="s">
        <v>624</v>
      </c>
      <c r="J60" s="868">
        <v>42825</v>
      </c>
    </row>
    <row r="61" spans="1:15" s="793" customFormat="1" x14ac:dyDescent="0.25">
      <c r="A61" s="312" t="s">
        <v>7</v>
      </c>
      <c r="B61" s="342" t="s">
        <v>19</v>
      </c>
      <c r="C61" s="353" t="s">
        <v>64</v>
      </c>
      <c r="D61" s="366" t="str">
        <f ca="1">IFERROR(OFFSET(Camp_List[P_Code],MATCH(Data_Demography_t[[#This Row],[Camp]],Camp_List[Camp Name],0)-1,0,1,1),"")</f>
        <v>MMR012CMP042</v>
      </c>
      <c r="E61" s="327" t="s">
        <v>883</v>
      </c>
      <c r="F61" s="325" t="s">
        <v>725</v>
      </c>
      <c r="G61" s="364">
        <v>608</v>
      </c>
      <c r="H61" s="365">
        <f t="shared" si="1"/>
        <v>-608</v>
      </c>
      <c r="I61" s="362" t="s">
        <v>624</v>
      </c>
      <c r="J61" s="868">
        <v>42825</v>
      </c>
      <c r="K61" s="304"/>
      <c r="L61"/>
      <c r="M61"/>
      <c r="N61"/>
      <c r="O61"/>
    </row>
    <row r="62" spans="1:15" s="793" customFormat="1" x14ac:dyDescent="0.25">
      <c r="A62" s="312" t="s">
        <v>7</v>
      </c>
      <c r="B62" s="342" t="s">
        <v>19</v>
      </c>
      <c r="C62" s="353" t="s">
        <v>64</v>
      </c>
      <c r="D62" s="366" t="str">
        <f ca="1">IFERROR(OFFSET(Camp_List[P_Code],MATCH(Data_Demography_t[[#This Row],[Camp]],Camp_List[Camp Name],0)-1,0,1,1),"")</f>
        <v>MMR012CMP042</v>
      </c>
      <c r="E62" s="327" t="s">
        <v>883</v>
      </c>
      <c r="F62" s="325" t="s">
        <v>726</v>
      </c>
      <c r="G62" s="364">
        <v>607</v>
      </c>
      <c r="H62" s="365">
        <f t="shared" si="1"/>
        <v>607</v>
      </c>
      <c r="I62" s="362" t="s">
        <v>624</v>
      </c>
      <c r="J62" s="868">
        <v>42825</v>
      </c>
      <c r="K62" s="304"/>
      <c r="L62"/>
      <c r="M62"/>
      <c r="N62"/>
      <c r="O62"/>
    </row>
    <row r="63" spans="1:15" x14ac:dyDescent="0.25">
      <c r="A63" s="312" t="s">
        <v>7</v>
      </c>
      <c r="B63" s="342" t="s">
        <v>19</v>
      </c>
      <c r="C63" s="353" t="s">
        <v>64</v>
      </c>
      <c r="D63" s="366" t="str">
        <f ca="1">IFERROR(OFFSET(Camp_List[P_Code],MATCH(Data_Demography_t[[#This Row],[Camp]],Camp_List[Camp Name],0)-1,0,1,1),"")</f>
        <v>MMR012CMP042</v>
      </c>
      <c r="E63" s="327" t="s">
        <v>859</v>
      </c>
      <c r="F63" s="325" t="s">
        <v>725</v>
      </c>
      <c r="G63" s="364">
        <v>65</v>
      </c>
      <c r="H63" s="365">
        <f t="shared" si="1"/>
        <v>-65</v>
      </c>
      <c r="I63" s="362" t="s">
        <v>624</v>
      </c>
      <c r="J63" s="868">
        <v>42825</v>
      </c>
      <c r="L63"/>
      <c r="M63"/>
      <c r="N63"/>
      <c r="O63"/>
    </row>
    <row r="64" spans="1:15" x14ac:dyDescent="0.25">
      <c r="A64" s="312" t="s">
        <v>7</v>
      </c>
      <c r="B64" s="342" t="s">
        <v>19</v>
      </c>
      <c r="C64" s="353" t="s">
        <v>64</v>
      </c>
      <c r="D64" s="366" t="str">
        <f ca="1">IFERROR(OFFSET(Camp_List[P_Code],MATCH(Data_Demography_t[[#This Row],[Camp]],Camp_List[Camp Name],0)-1,0,1,1),"")</f>
        <v>MMR012CMP042</v>
      </c>
      <c r="E64" s="327" t="s">
        <v>859</v>
      </c>
      <c r="F64" s="325" t="s">
        <v>726</v>
      </c>
      <c r="G64" s="364">
        <v>79</v>
      </c>
      <c r="H64" s="365">
        <f t="shared" si="1"/>
        <v>79</v>
      </c>
      <c r="I64" s="362" t="s">
        <v>624</v>
      </c>
      <c r="J64" s="868">
        <v>42825</v>
      </c>
    </row>
    <row r="65" spans="1:13" x14ac:dyDescent="0.25">
      <c r="A65" s="312" t="s">
        <v>7</v>
      </c>
      <c r="B65" s="309" t="s">
        <v>14</v>
      </c>
      <c r="C65" s="309" t="s">
        <v>42</v>
      </c>
      <c r="D65" s="366" t="str">
        <f ca="1">IFERROR(OFFSET(Camp_List[P_Code],MATCH(Data_Demography_t[[#This Row],[Camp]],Camp_List[Camp Name],0)-1,0,1,1),"")</f>
        <v>MMR012CMP018</v>
      </c>
      <c r="E65" s="483" t="s">
        <v>1151</v>
      </c>
      <c r="F65" s="315" t="s">
        <v>725</v>
      </c>
      <c r="G65" s="310">
        <v>612</v>
      </c>
      <c r="H65" s="156">
        <f t="shared" si="1"/>
        <v>-612</v>
      </c>
      <c r="I65" s="309" t="s">
        <v>288</v>
      </c>
      <c r="J65" s="869">
        <v>42825</v>
      </c>
      <c r="L65"/>
      <c r="M65"/>
    </row>
    <row r="66" spans="1:13" x14ac:dyDescent="0.25">
      <c r="A66" s="312" t="s">
        <v>7</v>
      </c>
      <c r="B66" s="309" t="s">
        <v>14</v>
      </c>
      <c r="C66" s="309" t="s">
        <v>42</v>
      </c>
      <c r="D66" s="366" t="str">
        <f ca="1">IFERROR(OFFSET(Camp_List[P_Code],MATCH(Data_Demography_t[[#This Row],[Camp]],Camp_List[Camp Name],0)-1,0,1,1),"")</f>
        <v>MMR012CMP018</v>
      </c>
      <c r="E66" s="483" t="s">
        <v>1151</v>
      </c>
      <c r="F66" s="315" t="s">
        <v>726</v>
      </c>
      <c r="G66" s="310">
        <v>589</v>
      </c>
      <c r="H66" s="156">
        <f t="shared" si="1"/>
        <v>589</v>
      </c>
      <c r="I66" s="309" t="s">
        <v>288</v>
      </c>
      <c r="J66" s="869">
        <v>42825</v>
      </c>
      <c r="L66"/>
      <c r="M66"/>
    </row>
    <row r="67" spans="1:13" x14ac:dyDescent="0.25">
      <c r="A67" s="312" t="s">
        <v>7</v>
      </c>
      <c r="B67" s="309" t="s">
        <v>14</v>
      </c>
      <c r="C67" s="309" t="s">
        <v>42</v>
      </c>
      <c r="D67" s="366" t="str">
        <f ca="1">IFERROR(OFFSET(Camp_List[P_Code],MATCH(Data_Demography_t[[#This Row],[Camp]],Camp_List[Camp Name],0)-1,0,1,1),"")</f>
        <v>MMR012CMP018</v>
      </c>
      <c r="E67" s="483" t="s">
        <v>881</v>
      </c>
      <c r="F67" s="315" t="s">
        <v>725</v>
      </c>
      <c r="G67" s="310">
        <v>456</v>
      </c>
      <c r="H67" s="156">
        <f t="shared" si="1"/>
        <v>-456</v>
      </c>
      <c r="I67" s="309" t="s">
        <v>288</v>
      </c>
      <c r="J67" s="869">
        <v>42825</v>
      </c>
      <c r="L67"/>
      <c r="M67"/>
    </row>
    <row r="68" spans="1:13" x14ac:dyDescent="0.25">
      <c r="A68" s="312" t="s">
        <v>7</v>
      </c>
      <c r="B68" s="309" t="s">
        <v>14</v>
      </c>
      <c r="C68" s="309" t="s">
        <v>42</v>
      </c>
      <c r="D68" s="366" t="str">
        <f ca="1">IFERROR(OFFSET(Camp_List[P_Code],MATCH(Data_Demography_t[[#This Row],[Camp]],Camp_List[Camp Name],0)-1,0,1,1),"")</f>
        <v>MMR012CMP018</v>
      </c>
      <c r="E68" s="483" t="s">
        <v>881</v>
      </c>
      <c r="F68" s="315" t="s">
        <v>726</v>
      </c>
      <c r="G68" s="310">
        <v>523</v>
      </c>
      <c r="H68" s="156">
        <f t="shared" si="1"/>
        <v>523</v>
      </c>
      <c r="I68" s="309" t="s">
        <v>288</v>
      </c>
      <c r="J68" s="869">
        <v>42825</v>
      </c>
      <c r="L68"/>
      <c r="M68"/>
    </row>
    <row r="69" spans="1:13" x14ac:dyDescent="0.25">
      <c r="A69" s="312" t="s">
        <v>7</v>
      </c>
      <c r="B69" s="309" t="s">
        <v>14</v>
      </c>
      <c r="C69" s="309" t="s">
        <v>42</v>
      </c>
      <c r="D69" s="366" t="str">
        <f ca="1">IFERROR(OFFSET(Camp_List[P_Code],MATCH(Data_Demography_t[[#This Row],[Camp]],Camp_List[Camp Name],0)-1,0,1,1),"")</f>
        <v>MMR012CMP018</v>
      </c>
      <c r="E69" s="314" t="s">
        <v>656</v>
      </c>
      <c r="F69" s="315" t="s">
        <v>725</v>
      </c>
      <c r="G69" s="310">
        <v>355</v>
      </c>
      <c r="H69" s="156">
        <f t="shared" si="1"/>
        <v>-355</v>
      </c>
      <c r="I69" s="309" t="s">
        <v>288</v>
      </c>
      <c r="J69" s="869">
        <v>42825</v>
      </c>
      <c r="L69"/>
      <c r="M69"/>
    </row>
    <row r="70" spans="1:13" x14ac:dyDescent="0.25">
      <c r="A70" s="312" t="s">
        <v>7</v>
      </c>
      <c r="B70" s="309" t="s">
        <v>14</v>
      </c>
      <c r="C70" s="309" t="s">
        <v>42</v>
      </c>
      <c r="D70" s="366" t="str">
        <f ca="1">IFERROR(OFFSET(Camp_List[P_Code],MATCH(Data_Demography_t[[#This Row],[Camp]],Camp_List[Camp Name],0)-1,0,1,1),"")</f>
        <v>MMR012CMP018</v>
      </c>
      <c r="E70" s="314" t="s">
        <v>656</v>
      </c>
      <c r="F70" s="315" t="s">
        <v>726</v>
      </c>
      <c r="G70" s="310">
        <v>297</v>
      </c>
      <c r="H70" s="156">
        <f t="shared" si="1"/>
        <v>297</v>
      </c>
      <c r="I70" s="309" t="s">
        <v>288</v>
      </c>
      <c r="J70" s="869">
        <v>42825</v>
      </c>
      <c r="L70"/>
      <c r="M70"/>
    </row>
    <row r="71" spans="1:13" x14ac:dyDescent="0.25">
      <c r="A71" s="312" t="s">
        <v>7</v>
      </c>
      <c r="B71" s="309" t="s">
        <v>14</v>
      </c>
      <c r="C71" s="309" t="s">
        <v>42</v>
      </c>
      <c r="D71" s="366" t="str">
        <f ca="1">IFERROR(OFFSET(Camp_List[P_Code],MATCH(Data_Demography_t[[#This Row],[Camp]],Camp_List[Camp Name],0)-1,0,1,1),"")</f>
        <v>MMR012CMP018</v>
      </c>
      <c r="E71" s="314" t="s">
        <v>882</v>
      </c>
      <c r="F71" s="315" t="s">
        <v>725</v>
      </c>
      <c r="G71" s="310">
        <v>345</v>
      </c>
      <c r="H71" s="156">
        <f t="shared" si="1"/>
        <v>-345</v>
      </c>
      <c r="I71" s="309" t="s">
        <v>288</v>
      </c>
      <c r="J71" s="869">
        <v>42825</v>
      </c>
      <c r="L71"/>
      <c r="M71"/>
    </row>
    <row r="72" spans="1:13" x14ac:dyDescent="0.25">
      <c r="A72" s="312" t="s">
        <v>7</v>
      </c>
      <c r="B72" s="309" t="s">
        <v>14</v>
      </c>
      <c r="C72" s="309" t="s">
        <v>42</v>
      </c>
      <c r="D72" s="366" t="str">
        <f ca="1">IFERROR(OFFSET(Camp_List[P_Code],MATCH(Data_Demography_t[[#This Row],[Camp]],Camp_List[Camp Name],0)-1,0,1,1),"")</f>
        <v>MMR012CMP018</v>
      </c>
      <c r="E72" s="314" t="s">
        <v>882</v>
      </c>
      <c r="F72" s="315" t="s">
        <v>726</v>
      </c>
      <c r="G72" s="310">
        <v>482</v>
      </c>
      <c r="H72" s="156">
        <f t="shared" si="1"/>
        <v>482</v>
      </c>
      <c r="I72" s="309" t="s">
        <v>288</v>
      </c>
      <c r="J72" s="869">
        <v>42825</v>
      </c>
      <c r="L72"/>
      <c r="M72"/>
    </row>
    <row r="73" spans="1:13" x14ac:dyDescent="0.25">
      <c r="A73" s="312" t="s">
        <v>7</v>
      </c>
      <c r="B73" s="309" t="s">
        <v>14</v>
      </c>
      <c r="C73" s="309" t="s">
        <v>42</v>
      </c>
      <c r="D73" s="366" t="str">
        <f ca="1">IFERROR(OFFSET(Camp_List[P_Code],MATCH(Data_Demography_t[[#This Row],[Camp]],Camp_List[Camp Name],0)-1,0,1,1),"")</f>
        <v>MMR012CMP018</v>
      </c>
      <c r="E73" s="314" t="s">
        <v>883</v>
      </c>
      <c r="F73" s="315" t="s">
        <v>725</v>
      </c>
      <c r="G73" s="310">
        <v>599</v>
      </c>
      <c r="H73" s="156">
        <f t="shared" si="1"/>
        <v>-599</v>
      </c>
      <c r="I73" s="309" t="s">
        <v>288</v>
      </c>
      <c r="J73" s="869">
        <v>42825</v>
      </c>
      <c r="L73"/>
      <c r="M73"/>
    </row>
    <row r="74" spans="1:13" x14ac:dyDescent="0.25">
      <c r="A74" s="312" t="s">
        <v>7</v>
      </c>
      <c r="B74" s="309" t="s">
        <v>14</v>
      </c>
      <c r="C74" s="309" t="s">
        <v>42</v>
      </c>
      <c r="D74" s="366" t="str">
        <f ca="1">IFERROR(OFFSET(Camp_List[P_Code],MATCH(Data_Demography_t[[#This Row],[Camp]],Camp_List[Camp Name],0)-1,0,1,1),"")</f>
        <v>MMR012CMP018</v>
      </c>
      <c r="E74" s="314" t="s">
        <v>883</v>
      </c>
      <c r="F74" s="315" t="s">
        <v>726</v>
      </c>
      <c r="G74" s="310">
        <v>602</v>
      </c>
      <c r="H74" s="156">
        <f t="shared" si="1"/>
        <v>602</v>
      </c>
      <c r="I74" s="309" t="s">
        <v>288</v>
      </c>
      <c r="J74" s="869">
        <v>42825</v>
      </c>
      <c r="L74"/>
      <c r="M74"/>
    </row>
    <row r="75" spans="1:13" s="793" customFormat="1" x14ac:dyDescent="0.25">
      <c r="A75" s="312" t="s">
        <v>7</v>
      </c>
      <c r="B75" s="309" t="s">
        <v>14</v>
      </c>
      <c r="C75" s="309" t="s">
        <v>42</v>
      </c>
      <c r="D75" s="366" t="str">
        <f ca="1">IFERROR(OFFSET(Camp_List[P_Code],MATCH(Data_Demography_t[[#This Row],[Camp]],Camp_List[Camp Name],0)-1,0,1,1),"")</f>
        <v>MMR012CMP018</v>
      </c>
      <c r="E75" s="314" t="s">
        <v>859</v>
      </c>
      <c r="F75" s="315" t="s">
        <v>725</v>
      </c>
      <c r="G75" s="310">
        <v>104</v>
      </c>
      <c r="H75" s="156">
        <f t="shared" si="1"/>
        <v>-104</v>
      </c>
      <c r="I75" s="309" t="s">
        <v>288</v>
      </c>
      <c r="J75" s="869">
        <v>42825</v>
      </c>
      <c r="K75" s="304"/>
    </row>
    <row r="76" spans="1:13" s="793" customFormat="1" x14ac:dyDescent="0.25">
      <c r="A76" s="312" t="s">
        <v>7</v>
      </c>
      <c r="B76" s="309" t="s">
        <v>14</v>
      </c>
      <c r="C76" s="309" t="s">
        <v>42</v>
      </c>
      <c r="D76" s="366" t="str">
        <f ca="1">IFERROR(OFFSET(Camp_List[P_Code],MATCH(Data_Demography_t[[#This Row],[Camp]],Camp_List[Camp Name],0)-1,0,1,1),"")</f>
        <v>MMR012CMP018</v>
      </c>
      <c r="E76" s="314" t="s">
        <v>859</v>
      </c>
      <c r="F76" s="315" t="s">
        <v>726</v>
      </c>
      <c r="G76" s="310">
        <v>96</v>
      </c>
      <c r="H76" s="156">
        <f t="shared" si="1"/>
        <v>96</v>
      </c>
      <c r="I76" s="309" t="s">
        <v>288</v>
      </c>
      <c r="J76" s="869">
        <v>42825</v>
      </c>
      <c r="K76" s="304"/>
    </row>
    <row r="77" spans="1:13" x14ac:dyDescent="0.25">
      <c r="A77" s="312" t="s">
        <v>7</v>
      </c>
      <c r="B77" s="309" t="s">
        <v>19</v>
      </c>
      <c r="C77" s="313" t="s">
        <v>629</v>
      </c>
      <c r="D77" s="366" t="str">
        <f ca="1">IFERROR(OFFSET(Camp_List[P_Code],MATCH(Data_Demography_t[[#This Row],[Camp]],Camp_List[Camp Name],0)-1,0,1,1),"")</f>
        <v>MMR012CMP092</v>
      </c>
      <c r="E77" s="483" t="s">
        <v>1151</v>
      </c>
      <c r="F77" s="315" t="s">
        <v>725</v>
      </c>
      <c r="G77" s="310">
        <v>328</v>
      </c>
      <c r="H77" s="156">
        <f t="shared" si="1"/>
        <v>-328</v>
      </c>
      <c r="I77" s="313" t="s">
        <v>971</v>
      </c>
      <c r="J77" s="869">
        <v>42825</v>
      </c>
      <c r="L77"/>
      <c r="M77"/>
    </row>
    <row r="78" spans="1:13" x14ac:dyDescent="0.25">
      <c r="A78" s="312" t="s">
        <v>7</v>
      </c>
      <c r="B78" s="309" t="s">
        <v>19</v>
      </c>
      <c r="C78" s="313" t="s">
        <v>629</v>
      </c>
      <c r="D78" s="366" t="str">
        <f ca="1">IFERROR(OFFSET(Camp_List[P_Code],MATCH(Data_Demography_t[[#This Row],[Camp]],Camp_List[Camp Name],0)-1,0,1,1),"")</f>
        <v>MMR012CMP092</v>
      </c>
      <c r="E78" s="483" t="s">
        <v>1151</v>
      </c>
      <c r="F78" s="315" t="s">
        <v>726</v>
      </c>
      <c r="G78" s="310">
        <v>308</v>
      </c>
      <c r="H78" s="156">
        <f t="shared" si="1"/>
        <v>308</v>
      </c>
      <c r="I78" s="313" t="s">
        <v>971</v>
      </c>
      <c r="J78" s="869">
        <v>42825</v>
      </c>
      <c r="L78"/>
      <c r="M78"/>
    </row>
    <row r="79" spans="1:13" x14ac:dyDescent="0.25">
      <c r="A79" s="312" t="s">
        <v>7</v>
      </c>
      <c r="B79" s="309" t="s">
        <v>19</v>
      </c>
      <c r="C79" s="313" t="s">
        <v>629</v>
      </c>
      <c r="D79" s="366" t="str">
        <f ca="1">IFERROR(OFFSET(Camp_List[P_Code],MATCH(Data_Demography_t[[#This Row],[Camp]],Camp_List[Camp Name],0)-1,0,1,1),"")</f>
        <v>MMR012CMP092</v>
      </c>
      <c r="E79" s="483" t="s">
        <v>881</v>
      </c>
      <c r="F79" s="315" t="s">
        <v>725</v>
      </c>
      <c r="G79" s="310">
        <v>295</v>
      </c>
      <c r="H79" s="156">
        <f t="shared" si="1"/>
        <v>-295</v>
      </c>
      <c r="I79" s="313" t="s">
        <v>971</v>
      </c>
      <c r="J79" s="869">
        <v>42825</v>
      </c>
      <c r="L79"/>
      <c r="M79"/>
    </row>
    <row r="80" spans="1:13" x14ac:dyDescent="0.25">
      <c r="A80" s="312" t="s">
        <v>7</v>
      </c>
      <c r="B80" s="309" t="s">
        <v>19</v>
      </c>
      <c r="C80" s="313" t="s">
        <v>629</v>
      </c>
      <c r="D80" s="366" t="str">
        <f ca="1">IFERROR(OFFSET(Camp_List[P_Code],MATCH(Data_Demography_t[[#This Row],[Camp]],Camp_List[Camp Name],0)-1,0,1,1),"")</f>
        <v>MMR012CMP092</v>
      </c>
      <c r="E80" s="483" t="s">
        <v>881</v>
      </c>
      <c r="F80" s="315" t="s">
        <v>726</v>
      </c>
      <c r="G80" s="310">
        <v>285</v>
      </c>
      <c r="H80" s="156">
        <f t="shared" si="1"/>
        <v>285</v>
      </c>
      <c r="I80" s="313" t="s">
        <v>971</v>
      </c>
      <c r="J80" s="869">
        <v>42825</v>
      </c>
      <c r="L80"/>
      <c r="M80"/>
    </row>
    <row r="81" spans="1:13" x14ac:dyDescent="0.25">
      <c r="A81" s="312" t="s">
        <v>7</v>
      </c>
      <c r="B81" s="309" t="s">
        <v>19</v>
      </c>
      <c r="C81" s="313" t="s">
        <v>629</v>
      </c>
      <c r="D81" s="366" t="str">
        <f ca="1">IFERROR(OFFSET(Camp_List[P_Code],MATCH(Data_Demography_t[[#This Row],[Camp]],Camp_List[Camp Name],0)-1,0,1,1),"")</f>
        <v>MMR012CMP092</v>
      </c>
      <c r="E81" s="314" t="s">
        <v>656</v>
      </c>
      <c r="F81" s="315" t="s">
        <v>725</v>
      </c>
      <c r="G81" s="310">
        <v>236</v>
      </c>
      <c r="H81" s="156">
        <f t="shared" si="1"/>
        <v>-236</v>
      </c>
      <c r="I81" s="313" t="s">
        <v>971</v>
      </c>
      <c r="J81" s="869">
        <v>42825</v>
      </c>
      <c r="L81"/>
      <c r="M81"/>
    </row>
    <row r="82" spans="1:13" x14ac:dyDescent="0.25">
      <c r="A82" s="312" t="s">
        <v>7</v>
      </c>
      <c r="B82" s="309" t="s">
        <v>19</v>
      </c>
      <c r="C82" s="313" t="s">
        <v>629</v>
      </c>
      <c r="D82" s="366" t="str">
        <f ca="1">IFERROR(OFFSET(Camp_List[P_Code],MATCH(Data_Demography_t[[#This Row],[Camp]],Camp_List[Camp Name],0)-1,0,1,1),"")</f>
        <v>MMR012CMP092</v>
      </c>
      <c r="E82" s="314" t="s">
        <v>656</v>
      </c>
      <c r="F82" s="315" t="s">
        <v>726</v>
      </c>
      <c r="G82" s="310">
        <v>271</v>
      </c>
      <c r="H82" s="156">
        <f t="shared" si="1"/>
        <v>271</v>
      </c>
      <c r="I82" s="313" t="s">
        <v>971</v>
      </c>
      <c r="J82" s="869">
        <v>42825</v>
      </c>
    </row>
    <row r="83" spans="1:13" x14ac:dyDescent="0.25">
      <c r="A83" s="312" t="s">
        <v>7</v>
      </c>
      <c r="B83" s="309" t="s">
        <v>19</v>
      </c>
      <c r="C83" s="313" t="s">
        <v>629</v>
      </c>
      <c r="D83" s="366" t="str">
        <f ca="1">IFERROR(OFFSET(Camp_List[P_Code],MATCH(Data_Demography_t[[#This Row],[Camp]],Camp_List[Camp Name],0)-1,0,1,1),"")</f>
        <v>MMR012CMP092</v>
      </c>
      <c r="E83" s="314" t="s">
        <v>882</v>
      </c>
      <c r="F83" s="315" t="s">
        <v>725</v>
      </c>
      <c r="G83" s="310">
        <v>382</v>
      </c>
      <c r="H83" s="156">
        <f t="shared" si="1"/>
        <v>-382</v>
      </c>
      <c r="I83" s="313" t="s">
        <v>971</v>
      </c>
      <c r="J83" s="869">
        <v>42825</v>
      </c>
    </row>
    <row r="84" spans="1:13" x14ac:dyDescent="0.25">
      <c r="A84" s="312" t="s">
        <v>7</v>
      </c>
      <c r="B84" s="309" t="s">
        <v>19</v>
      </c>
      <c r="C84" s="313" t="s">
        <v>629</v>
      </c>
      <c r="D84" s="366" t="str">
        <f ca="1">IFERROR(OFFSET(Camp_List[P_Code],MATCH(Data_Demography_t[[#This Row],[Camp]],Camp_List[Camp Name],0)-1,0,1,1),"")</f>
        <v>MMR012CMP092</v>
      </c>
      <c r="E84" s="314" t="s">
        <v>882</v>
      </c>
      <c r="F84" s="315" t="s">
        <v>726</v>
      </c>
      <c r="G84" s="310">
        <v>285</v>
      </c>
      <c r="H84" s="156">
        <f t="shared" si="1"/>
        <v>285</v>
      </c>
      <c r="I84" s="313" t="s">
        <v>971</v>
      </c>
      <c r="J84" s="869">
        <v>42825</v>
      </c>
    </row>
    <row r="85" spans="1:13" x14ac:dyDescent="0.25">
      <c r="A85" s="312" t="s">
        <v>7</v>
      </c>
      <c r="B85" s="309" t="s">
        <v>19</v>
      </c>
      <c r="C85" s="313" t="s">
        <v>629</v>
      </c>
      <c r="D85" s="366" t="str">
        <f ca="1">IFERROR(OFFSET(Camp_List[P_Code],MATCH(Data_Demography_t[[#This Row],[Camp]],Camp_List[Camp Name],0)-1,0,1,1),"")</f>
        <v>MMR012CMP092</v>
      </c>
      <c r="E85" s="314" t="s">
        <v>883</v>
      </c>
      <c r="F85" s="315" t="s">
        <v>725</v>
      </c>
      <c r="G85" s="310">
        <v>445</v>
      </c>
      <c r="H85" s="156">
        <f t="shared" si="1"/>
        <v>-445</v>
      </c>
      <c r="I85" s="313" t="s">
        <v>971</v>
      </c>
      <c r="J85" s="869">
        <v>42825</v>
      </c>
    </row>
    <row r="86" spans="1:13" x14ac:dyDescent="0.25">
      <c r="A86" s="312" t="s">
        <v>7</v>
      </c>
      <c r="B86" s="309" t="s">
        <v>19</v>
      </c>
      <c r="C86" s="313" t="s">
        <v>629</v>
      </c>
      <c r="D86" s="366" t="str">
        <f ca="1">IFERROR(OFFSET(Camp_List[P_Code],MATCH(Data_Demography_t[[#This Row],[Camp]],Camp_List[Camp Name],0)-1,0,1,1),"")</f>
        <v>MMR012CMP092</v>
      </c>
      <c r="E86" s="314" t="s">
        <v>883</v>
      </c>
      <c r="F86" s="315" t="s">
        <v>726</v>
      </c>
      <c r="G86" s="310">
        <v>436</v>
      </c>
      <c r="H86" s="156">
        <f t="shared" si="1"/>
        <v>436</v>
      </c>
      <c r="I86" s="313" t="s">
        <v>971</v>
      </c>
      <c r="J86" s="869">
        <v>42825</v>
      </c>
    </row>
    <row r="87" spans="1:13" x14ac:dyDescent="0.25">
      <c r="A87" s="312" t="s">
        <v>7</v>
      </c>
      <c r="B87" s="309" t="s">
        <v>19</v>
      </c>
      <c r="C87" s="313" t="s">
        <v>629</v>
      </c>
      <c r="D87" s="366" t="str">
        <f ca="1">IFERROR(OFFSET(Camp_List[P_Code],MATCH(Data_Demography_t[[#This Row],[Camp]],Camp_List[Camp Name],0)-1,0,1,1),"")</f>
        <v>MMR012CMP092</v>
      </c>
      <c r="E87" s="314" t="s">
        <v>859</v>
      </c>
      <c r="F87" s="315" t="s">
        <v>725</v>
      </c>
      <c r="G87" s="310">
        <v>80</v>
      </c>
      <c r="H87" s="156">
        <f t="shared" si="1"/>
        <v>-80</v>
      </c>
      <c r="I87" s="313" t="s">
        <v>971</v>
      </c>
      <c r="J87" s="869">
        <v>42825</v>
      </c>
    </row>
    <row r="88" spans="1:13" x14ac:dyDescent="0.25">
      <c r="A88" s="312" t="s">
        <v>7</v>
      </c>
      <c r="B88" s="309" t="s">
        <v>19</v>
      </c>
      <c r="C88" s="313" t="s">
        <v>629</v>
      </c>
      <c r="D88" s="366" t="str">
        <f ca="1">IFERROR(OFFSET(Camp_List[P_Code],MATCH(Data_Demography_t[[#This Row],[Camp]],Camp_List[Camp Name],0)-1,0,1,1),"")</f>
        <v>MMR012CMP092</v>
      </c>
      <c r="E88" s="314" t="s">
        <v>859</v>
      </c>
      <c r="F88" s="315" t="s">
        <v>726</v>
      </c>
      <c r="G88" s="310">
        <v>72</v>
      </c>
      <c r="H88" s="156">
        <f t="shared" si="1"/>
        <v>72</v>
      </c>
      <c r="I88" s="313" t="s">
        <v>971</v>
      </c>
      <c r="J88" s="869">
        <v>42825</v>
      </c>
    </row>
    <row r="89" spans="1:13" s="793" customFormat="1" x14ac:dyDescent="0.25">
      <c r="A89" s="312" t="s">
        <v>7</v>
      </c>
      <c r="B89" s="309" t="s">
        <v>14</v>
      </c>
      <c r="C89" s="313" t="s">
        <v>1070</v>
      </c>
      <c r="D89" s="366" t="str">
        <f ca="1">IFERROR(OFFSET(Camp_List[P_Code],MATCH(Data_Demography_t[[#This Row],[Camp]],Camp_List[Camp Name],0)-1,0,1,1),"")</f>
        <v>MMR012CMP017</v>
      </c>
      <c r="E89" s="483" t="s">
        <v>1151</v>
      </c>
      <c r="F89" s="313" t="s">
        <v>725</v>
      </c>
      <c r="G89" s="310">
        <v>459</v>
      </c>
      <c r="H89" s="156">
        <f t="shared" si="1"/>
        <v>-459</v>
      </c>
      <c r="I89" s="313" t="s">
        <v>624</v>
      </c>
      <c r="J89" s="869">
        <v>42825</v>
      </c>
      <c r="K89" s="304"/>
    </row>
    <row r="90" spans="1:13" s="793" customFormat="1" x14ac:dyDescent="0.25">
      <c r="A90" s="312" t="s">
        <v>7</v>
      </c>
      <c r="B90" s="309" t="s">
        <v>14</v>
      </c>
      <c r="C90" s="313" t="s">
        <v>1070</v>
      </c>
      <c r="D90" s="366" t="str">
        <f ca="1">IFERROR(OFFSET(Camp_List[P_Code],MATCH(Data_Demography_t[[#This Row],[Camp]],Camp_List[Camp Name],0)-1,0,1,1),"")</f>
        <v>MMR012CMP017</v>
      </c>
      <c r="E90" s="483" t="s">
        <v>1151</v>
      </c>
      <c r="F90" s="353" t="s">
        <v>726</v>
      </c>
      <c r="G90" s="310">
        <v>553</v>
      </c>
      <c r="H90" s="156">
        <f t="shared" si="1"/>
        <v>553</v>
      </c>
      <c r="I90" s="313" t="s">
        <v>624</v>
      </c>
      <c r="J90" s="869">
        <v>42825</v>
      </c>
      <c r="K90" s="304"/>
    </row>
    <row r="91" spans="1:13" x14ac:dyDescent="0.25">
      <c r="A91" s="312" t="s">
        <v>7</v>
      </c>
      <c r="B91" s="309" t="s">
        <v>14</v>
      </c>
      <c r="C91" s="313" t="s">
        <v>1070</v>
      </c>
      <c r="D91" s="366" t="str">
        <f ca="1">IFERROR(OFFSET(Camp_List[P_Code],MATCH(Data_Demography_t[[#This Row],[Camp]],Camp_List[Camp Name],0)-1,0,1,1),"")</f>
        <v>MMR012CMP017</v>
      </c>
      <c r="E91" s="483" t="s">
        <v>881</v>
      </c>
      <c r="F91" s="313" t="s">
        <v>725</v>
      </c>
      <c r="G91" s="310">
        <v>373</v>
      </c>
      <c r="H91" s="156">
        <f t="shared" si="1"/>
        <v>-373</v>
      </c>
      <c r="I91" s="313" t="s">
        <v>624</v>
      </c>
      <c r="J91" s="869">
        <v>42825</v>
      </c>
    </row>
    <row r="92" spans="1:13" x14ac:dyDescent="0.25">
      <c r="A92" s="312" t="s">
        <v>7</v>
      </c>
      <c r="B92" s="309" t="s">
        <v>14</v>
      </c>
      <c r="C92" s="313" t="s">
        <v>1070</v>
      </c>
      <c r="D92" s="366" t="str">
        <f ca="1">IFERROR(OFFSET(Camp_List[P_Code],MATCH(Data_Demography_t[[#This Row],[Camp]],Camp_List[Camp Name],0)-1,0,1,1),"")</f>
        <v>MMR012CMP017</v>
      </c>
      <c r="E92" s="483" t="s">
        <v>881</v>
      </c>
      <c r="F92" s="353" t="s">
        <v>726</v>
      </c>
      <c r="G92" s="310">
        <v>329</v>
      </c>
      <c r="H92" s="156">
        <f t="shared" si="1"/>
        <v>329</v>
      </c>
      <c r="I92" s="313" t="s">
        <v>624</v>
      </c>
      <c r="J92" s="869">
        <v>42825</v>
      </c>
    </row>
    <row r="93" spans="1:13" x14ac:dyDescent="0.25">
      <c r="A93" s="312" t="s">
        <v>7</v>
      </c>
      <c r="B93" s="309" t="s">
        <v>14</v>
      </c>
      <c r="C93" s="313" t="s">
        <v>1070</v>
      </c>
      <c r="D93" s="366" t="str">
        <f ca="1">IFERROR(OFFSET(Camp_List[P_Code],MATCH(Data_Demography_t[[#This Row],[Camp]],Camp_List[Camp Name],0)-1,0,1,1),"")</f>
        <v>MMR012CMP017</v>
      </c>
      <c r="E93" s="314" t="s">
        <v>656</v>
      </c>
      <c r="F93" s="315" t="s">
        <v>725</v>
      </c>
      <c r="G93" s="310">
        <v>222</v>
      </c>
      <c r="H93" s="156">
        <f t="shared" si="1"/>
        <v>-222</v>
      </c>
      <c r="I93" s="313" t="s">
        <v>624</v>
      </c>
      <c r="J93" s="869">
        <v>42825</v>
      </c>
    </row>
    <row r="94" spans="1:13" x14ac:dyDescent="0.25">
      <c r="A94" s="312" t="s">
        <v>7</v>
      </c>
      <c r="B94" s="309" t="s">
        <v>14</v>
      </c>
      <c r="C94" s="313" t="s">
        <v>1070</v>
      </c>
      <c r="D94" s="366" t="str">
        <f ca="1">IFERROR(OFFSET(Camp_List[P_Code],MATCH(Data_Demography_t[[#This Row],[Camp]],Camp_List[Camp Name],0)-1,0,1,1),"")</f>
        <v>MMR012CMP017</v>
      </c>
      <c r="E94" s="314" t="s">
        <v>656</v>
      </c>
      <c r="F94" s="315" t="s">
        <v>726</v>
      </c>
      <c r="G94" s="310">
        <v>207</v>
      </c>
      <c r="H94" s="156">
        <f t="shared" si="1"/>
        <v>207</v>
      </c>
      <c r="I94" s="313" t="s">
        <v>624</v>
      </c>
      <c r="J94" s="869">
        <v>42825</v>
      </c>
    </row>
    <row r="95" spans="1:13" x14ac:dyDescent="0.25">
      <c r="A95" s="312" t="s">
        <v>7</v>
      </c>
      <c r="B95" s="309" t="s">
        <v>14</v>
      </c>
      <c r="C95" s="313" t="s">
        <v>1070</v>
      </c>
      <c r="D95" s="366" t="str">
        <f ca="1">IFERROR(OFFSET(Camp_List[P_Code],MATCH(Data_Demography_t[[#This Row],[Camp]],Camp_List[Camp Name],0)-1,0,1,1),"")</f>
        <v>MMR012CMP017</v>
      </c>
      <c r="E95" s="314" t="s">
        <v>882</v>
      </c>
      <c r="F95" s="315" t="s">
        <v>725</v>
      </c>
      <c r="G95" s="310">
        <v>323</v>
      </c>
      <c r="H95" s="156">
        <f t="shared" si="1"/>
        <v>-323</v>
      </c>
      <c r="I95" s="313" t="s">
        <v>624</v>
      </c>
      <c r="J95" s="869">
        <v>42825</v>
      </c>
    </row>
    <row r="96" spans="1:13" x14ac:dyDescent="0.25">
      <c r="A96" s="312" t="s">
        <v>7</v>
      </c>
      <c r="B96" s="309" t="s">
        <v>14</v>
      </c>
      <c r="C96" s="313" t="s">
        <v>1070</v>
      </c>
      <c r="D96" s="366" t="str">
        <f ca="1">IFERROR(OFFSET(Camp_List[P_Code],MATCH(Data_Demography_t[[#This Row],[Camp]],Camp_List[Camp Name],0)-1,0,1,1),"")</f>
        <v>MMR012CMP017</v>
      </c>
      <c r="E96" s="314" t="s">
        <v>882</v>
      </c>
      <c r="F96" s="315" t="s">
        <v>726</v>
      </c>
      <c r="G96" s="310">
        <v>449</v>
      </c>
      <c r="H96" s="156">
        <f t="shared" si="1"/>
        <v>449</v>
      </c>
      <c r="I96" s="313" t="s">
        <v>624</v>
      </c>
      <c r="J96" s="869">
        <v>42825</v>
      </c>
    </row>
    <row r="97" spans="1:11" x14ac:dyDescent="0.25">
      <c r="A97" s="312" t="s">
        <v>7</v>
      </c>
      <c r="B97" s="309" t="s">
        <v>14</v>
      </c>
      <c r="C97" s="313" t="s">
        <v>1070</v>
      </c>
      <c r="D97" s="366" t="str">
        <f ca="1">IFERROR(OFFSET(Camp_List[P_Code],MATCH(Data_Demography_t[[#This Row],[Camp]],Camp_List[Camp Name],0)-1,0,1,1),"")</f>
        <v>MMR012CMP017</v>
      </c>
      <c r="E97" s="314" t="s">
        <v>883</v>
      </c>
      <c r="F97" s="315" t="s">
        <v>725</v>
      </c>
      <c r="G97" s="310">
        <v>438</v>
      </c>
      <c r="H97" s="156">
        <f t="shared" ref="H97:H136" si="2">IF(F97="M",-G97,G97)</f>
        <v>-438</v>
      </c>
      <c r="I97" s="313" t="s">
        <v>624</v>
      </c>
      <c r="J97" s="869">
        <v>42825</v>
      </c>
    </row>
    <row r="98" spans="1:11" x14ac:dyDescent="0.25">
      <c r="A98" s="312" t="s">
        <v>7</v>
      </c>
      <c r="B98" s="309" t="s">
        <v>14</v>
      </c>
      <c r="C98" s="313" t="s">
        <v>1070</v>
      </c>
      <c r="D98" s="366" t="str">
        <f ca="1">IFERROR(OFFSET(Camp_List[P_Code],MATCH(Data_Demography_t[[#This Row],[Camp]],Camp_List[Camp Name],0)-1,0,1,1),"")</f>
        <v>MMR012CMP017</v>
      </c>
      <c r="E98" s="314" t="s">
        <v>883</v>
      </c>
      <c r="F98" s="315" t="s">
        <v>726</v>
      </c>
      <c r="G98" s="310">
        <v>347</v>
      </c>
      <c r="H98" s="156">
        <f t="shared" si="2"/>
        <v>347</v>
      </c>
      <c r="I98" s="313" t="s">
        <v>624</v>
      </c>
      <c r="J98" s="869">
        <v>42825</v>
      </c>
    </row>
    <row r="99" spans="1:11" x14ac:dyDescent="0.25">
      <c r="A99" s="312" t="s">
        <v>7</v>
      </c>
      <c r="B99" s="309" t="s">
        <v>14</v>
      </c>
      <c r="C99" s="313" t="s">
        <v>1070</v>
      </c>
      <c r="D99" s="366" t="str">
        <f ca="1">IFERROR(OFFSET(Camp_List[P_Code],MATCH(Data_Demography_t[[#This Row],[Camp]],Camp_List[Camp Name],0)-1,0,1,1),"")</f>
        <v>MMR012CMP017</v>
      </c>
      <c r="E99" s="314" t="s">
        <v>859</v>
      </c>
      <c r="F99" s="315" t="s">
        <v>725</v>
      </c>
      <c r="G99" s="310">
        <v>84</v>
      </c>
      <c r="H99" s="156">
        <f t="shared" si="2"/>
        <v>-84</v>
      </c>
      <c r="I99" s="313" t="s">
        <v>624</v>
      </c>
      <c r="J99" s="869">
        <v>42825</v>
      </c>
    </row>
    <row r="100" spans="1:11" x14ac:dyDescent="0.25">
      <c r="A100" s="312" t="s">
        <v>7</v>
      </c>
      <c r="B100" s="309" t="s">
        <v>14</v>
      </c>
      <c r="C100" s="313" t="s">
        <v>1070</v>
      </c>
      <c r="D100" s="366" t="str">
        <f ca="1">IFERROR(OFFSET(Camp_List[P_Code],MATCH(Data_Demography_t[[#This Row],[Camp]],Camp_List[Camp Name],0)-1,0,1,1),"")</f>
        <v>MMR012CMP017</v>
      </c>
      <c r="E100" s="314" t="s">
        <v>859</v>
      </c>
      <c r="F100" s="315" t="s">
        <v>726</v>
      </c>
      <c r="G100" s="310">
        <v>65</v>
      </c>
      <c r="H100" s="156">
        <f t="shared" si="2"/>
        <v>65</v>
      </c>
      <c r="I100" s="313" t="s">
        <v>624</v>
      </c>
      <c r="J100" s="869">
        <v>42825</v>
      </c>
    </row>
    <row r="101" spans="1:11" x14ac:dyDescent="0.25">
      <c r="A101" s="312" t="s">
        <v>7</v>
      </c>
      <c r="B101" s="309" t="s">
        <v>19</v>
      </c>
      <c r="C101" s="313" t="s">
        <v>634</v>
      </c>
      <c r="D101" s="366" t="str">
        <f ca="1">IFERROR(OFFSET(Camp_List[P_Code],MATCH(Data_Demography_t[[#This Row],[Camp]],Camp_List[Camp Name],0)-1,0,1,1),"")</f>
        <v>MMR012CMP098</v>
      </c>
      <c r="E101" s="483" t="s">
        <v>1151</v>
      </c>
      <c r="F101" s="325" t="s">
        <v>725</v>
      </c>
      <c r="G101" s="310">
        <v>352</v>
      </c>
      <c r="H101" s="156">
        <f t="shared" si="2"/>
        <v>-352</v>
      </c>
      <c r="I101" s="313" t="s">
        <v>288</v>
      </c>
      <c r="J101" s="869">
        <v>42825</v>
      </c>
    </row>
    <row r="102" spans="1:11" x14ac:dyDescent="0.25">
      <c r="A102" s="312" t="s">
        <v>7</v>
      </c>
      <c r="B102" s="309" t="s">
        <v>19</v>
      </c>
      <c r="C102" s="313" t="s">
        <v>634</v>
      </c>
      <c r="D102" s="366" t="str">
        <f ca="1">IFERROR(OFFSET(Camp_List[P_Code],MATCH(Data_Demography_t[[#This Row],[Camp]],Camp_List[Camp Name],0)-1,0,1,1),"")</f>
        <v>MMR012CMP098</v>
      </c>
      <c r="E102" s="483" t="s">
        <v>1151</v>
      </c>
      <c r="F102" s="325" t="s">
        <v>726</v>
      </c>
      <c r="G102" s="310">
        <v>415</v>
      </c>
      <c r="H102" s="156">
        <f t="shared" si="2"/>
        <v>415</v>
      </c>
      <c r="I102" s="313" t="s">
        <v>288</v>
      </c>
      <c r="J102" s="869">
        <v>42825</v>
      </c>
    </row>
    <row r="103" spans="1:11" s="793" customFormat="1" x14ac:dyDescent="0.25">
      <c r="A103" s="312" t="s">
        <v>7</v>
      </c>
      <c r="B103" s="309" t="s">
        <v>19</v>
      </c>
      <c r="C103" s="313" t="s">
        <v>634</v>
      </c>
      <c r="D103" s="366" t="str">
        <f ca="1">IFERROR(OFFSET(Camp_List[P_Code],MATCH(Data_Demography_t[[#This Row],[Camp]],Camp_List[Camp Name],0)-1,0,1,1),"")</f>
        <v>MMR012CMP098</v>
      </c>
      <c r="E103" s="483" t="s">
        <v>881</v>
      </c>
      <c r="F103" s="325" t="s">
        <v>725</v>
      </c>
      <c r="G103" s="364">
        <v>429</v>
      </c>
      <c r="H103" s="365">
        <f t="shared" si="2"/>
        <v>-429</v>
      </c>
      <c r="I103" s="313" t="s">
        <v>288</v>
      </c>
      <c r="J103" s="869">
        <v>42825</v>
      </c>
      <c r="K103" s="304"/>
    </row>
    <row r="104" spans="1:11" s="793" customFormat="1" x14ac:dyDescent="0.25">
      <c r="A104" s="312" t="s">
        <v>7</v>
      </c>
      <c r="B104" s="309" t="s">
        <v>19</v>
      </c>
      <c r="C104" s="313" t="s">
        <v>634</v>
      </c>
      <c r="D104" s="366" t="str">
        <f ca="1">IFERROR(OFFSET(Camp_List[P_Code],MATCH(Data_Demography_t[[#This Row],[Camp]],Camp_List[Camp Name],0)-1,0,1,1),"")</f>
        <v>MMR012CMP098</v>
      </c>
      <c r="E104" s="483" t="s">
        <v>881</v>
      </c>
      <c r="F104" s="325" t="s">
        <v>726</v>
      </c>
      <c r="G104" s="364">
        <v>365</v>
      </c>
      <c r="H104" s="365">
        <f t="shared" si="2"/>
        <v>365</v>
      </c>
      <c r="I104" s="313" t="s">
        <v>288</v>
      </c>
      <c r="J104" s="869">
        <v>42825</v>
      </c>
      <c r="K104" s="304"/>
    </row>
    <row r="105" spans="1:11" x14ac:dyDescent="0.25">
      <c r="A105" s="312" t="s">
        <v>7</v>
      </c>
      <c r="B105" s="309" t="s">
        <v>19</v>
      </c>
      <c r="C105" s="313" t="s">
        <v>634</v>
      </c>
      <c r="D105" s="366" t="str">
        <f ca="1">IFERROR(OFFSET(Camp_List[P_Code],MATCH(Data_Demography_t[[#This Row],[Camp]],Camp_List[Camp Name],0)-1,0,1,1),"")</f>
        <v>MMR012CMP098</v>
      </c>
      <c r="E105" s="327" t="s">
        <v>656</v>
      </c>
      <c r="F105" s="325" t="s">
        <v>725</v>
      </c>
      <c r="G105" s="942">
        <v>259</v>
      </c>
      <c r="H105" s="156">
        <f t="shared" si="2"/>
        <v>-259</v>
      </c>
      <c r="I105" s="313" t="s">
        <v>288</v>
      </c>
      <c r="J105" s="869">
        <v>42825</v>
      </c>
    </row>
    <row r="106" spans="1:11" x14ac:dyDescent="0.25">
      <c r="A106" s="312" t="s">
        <v>7</v>
      </c>
      <c r="B106" s="309" t="s">
        <v>19</v>
      </c>
      <c r="C106" s="313" t="s">
        <v>634</v>
      </c>
      <c r="D106" s="366" t="str">
        <f ca="1">IFERROR(OFFSET(Camp_List[P_Code],MATCH(Data_Demography_t[[#This Row],[Camp]],Camp_List[Camp Name],0)-1,0,1,1),"")</f>
        <v>MMR012CMP098</v>
      </c>
      <c r="E106" s="327" t="s">
        <v>656</v>
      </c>
      <c r="F106" s="325" t="s">
        <v>726</v>
      </c>
      <c r="G106" s="942">
        <v>224</v>
      </c>
      <c r="H106" s="156">
        <f t="shared" si="2"/>
        <v>224</v>
      </c>
      <c r="I106" s="313" t="s">
        <v>288</v>
      </c>
      <c r="J106" s="869">
        <v>42825</v>
      </c>
    </row>
    <row r="107" spans="1:11" x14ac:dyDescent="0.25">
      <c r="A107" s="312" t="s">
        <v>7</v>
      </c>
      <c r="B107" s="309" t="s">
        <v>19</v>
      </c>
      <c r="C107" s="313" t="s">
        <v>634</v>
      </c>
      <c r="D107" s="366" t="str">
        <f ca="1">IFERROR(OFFSET(Camp_List[P_Code],MATCH(Data_Demography_t[[#This Row],[Camp]],Camp_List[Camp Name],0)-1,0,1,1),"")</f>
        <v>MMR012CMP098</v>
      </c>
      <c r="E107" s="314" t="s">
        <v>882</v>
      </c>
      <c r="F107" s="313" t="s">
        <v>725</v>
      </c>
      <c r="G107" s="942">
        <v>243</v>
      </c>
      <c r="H107" s="156">
        <f t="shared" si="2"/>
        <v>-243</v>
      </c>
      <c r="I107" s="313" t="s">
        <v>288</v>
      </c>
      <c r="J107" s="869">
        <v>42825</v>
      </c>
    </row>
    <row r="108" spans="1:11" x14ac:dyDescent="0.25">
      <c r="A108" s="312" t="s">
        <v>7</v>
      </c>
      <c r="B108" s="309" t="s">
        <v>19</v>
      </c>
      <c r="C108" s="313" t="s">
        <v>634</v>
      </c>
      <c r="D108" s="366" t="str">
        <f ca="1">IFERROR(OFFSET(Camp_List[P_Code],MATCH(Data_Demography_t[[#This Row],[Camp]],Camp_List[Camp Name],0)-1,0,1,1),"")</f>
        <v>MMR012CMP098</v>
      </c>
      <c r="E108" s="314" t="s">
        <v>882</v>
      </c>
      <c r="F108" s="353" t="s">
        <v>726</v>
      </c>
      <c r="G108" s="942">
        <v>291</v>
      </c>
      <c r="H108" s="156">
        <f t="shared" si="2"/>
        <v>291</v>
      </c>
      <c r="I108" s="313" t="s">
        <v>288</v>
      </c>
      <c r="J108" s="869">
        <v>42825</v>
      </c>
    </row>
    <row r="109" spans="1:11" x14ac:dyDescent="0.25">
      <c r="A109" s="312" t="s">
        <v>7</v>
      </c>
      <c r="B109" s="309" t="s">
        <v>19</v>
      </c>
      <c r="C109" s="313" t="s">
        <v>634</v>
      </c>
      <c r="D109" s="366" t="str">
        <f ca="1">IFERROR(OFFSET(Camp_List[P_Code],MATCH(Data_Demography_t[[#This Row],[Camp]],Camp_List[Camp Name],0)-1,0,1,1),"")</f>
        <v>MMR012CMP098</v>
      </c>
      <c r="E109" s="314" t="s">
        <v>883</v>
      </c>
      <c r="F109" s="313" t="s">
        <v>725</v>
      </c>
      <c r="G109" s="310">
        <v>364</v>
      </c>
      <c r="H109" s="156">
        <f t="shared" si="2"/>
        <v>-364</v>
      </c>
      <c r="I109" s="313" t="s">
        <v>288</v>
      </c>
      <c r="J109" s="869">
        <v>42825</v>
      </c>
    </row>
    <row r="110" spans="1:11" x14ac:dyDescent="0.25">
      <c r="A110" s="312" t="s">
        <v>7</v>
      </c>
      <c r="B110" s="309" t="s">
        <v>19</v>
      </c>
      <c r="C110" s="313" t="s">
        <v>634</v>
      </c>
      <c r="D110" s="366" t="str">
        <f ca="1">IFERROR(OFFSET(Camp_List[P_Code],MATCH(Data_Demography_t[[#This Row],[Camp]],Camp_List[Camp Name],0)-1,0,1,1),"")</f>
        <v>MMR012CMP098</v>
      </c>
      <c r="E110" s="314" t="s">
        <v>883</v>
      </c>
      <c r="F110" s="353" t="s">
        <v>726</v>
      </c>
      <c r="G110" s="310">
        <v>375</v>
      </c>
      <c r="H110" s="156">
        <f t="shared" si="2"/>
        <v>375</v>
      </c>
      <c r="I110" s="313" t="s">
        <v>288</v>
      </c>
      <c r="J110" s="869">
        <v>42825</v>
      </c>
    </row>
    <row r="111" spans="1:11" x14ac:dyDescent="0.25">
      <c r="A111" s="312" t="s">
        <v>7</v>
      </c>
      <c r="B111" s="309" t="s">
        <v>19</v>
      </c>
      <c r="C111" s="313" t="s">
        <v>634</v>
      </c>
      <c r="D111" s="366" t="str">
        <f ca="1">IFERROR(OFFSET(Camp_List[P_Code],MATCH(Data_Demography_t[[#This Row],[Camp]],Camp_List[Camp Name],0)-1,0,1,1),"")</f>
        <v>MMR012CMP098</v>
      </c>
      <c r="E111" s="314" t="s">
        <v>859</v>
      </c>
      <c r="F111" s="313" t="s">
        <v>725</v>
      </c>
      <c r="G111" s="310">
        <v>45</v>
      </c>
      <c r="H111" s="156">
        <f t="shared" si="2"/>
        <v>-45</v>
      </c>
      <c r="I111" s="313" t="s">
        <v>288</v>
      </c>
      <c r="J111" s="869">
        <v>42825</v>
      </c>
    </row>
    <row r="112" spans="1:11" x14ac:dyDescent="0.25">
      <c r="A112" s="312" t="s">
        <v>7</v>
      </c>
      <c r="B112" s="309" t="s">
        <v>19</v>
      </c>
      <c r="C112" s="313" t="s">
        <v>634</v>
      </c>
      <c r="D112" s="366" t="str">
        <f ca="1">IFERROR(OFFSET(Camp_List[P_Code],MATCH(Data_Demography_t[[#This Row],[Camp]],Camp_List[Camp Name],0)-1,0,1,1),"")</f>
        <v>MMR012CMP098</v>
      </c>
      <c r="E112" s="314" t="s">
        <v>859</v>
      </c>
      <c r="F112" s="353" t="s">
        <v>726</v>
      </c>
      <c r="G112" s="310">
        <v>27</v>
      </c>
      <c r="H112" s="156">
        <f t="shared" si="2"/>
        <v>27</v>
      </c>
      <c r="I112" s="313" t="s">
        <v>288</v>
      </c>
      <c r="J112" s="869">
        <v>42825</v>
      </c>
    </row>
    <row r="113" spans="1:11" x14ac:dyDescent="0.25">
      <c r="A113" s="351" t="s">
        <v>7</v>
      </c>
      <c r="B113" s="352" t="s">
        <v>19</v>
      </c>
      <c r="C113" s="355" t="s">
        <v>635</v>
      </c>
      <c r="D113" s="366" t="str">
        <f ca="1">IFERROR(OFFSET(Camp_List[P_Code],MATCH(Data_Demography_t[[#This Row],[Camp]],Camp_List[Camp Name],0)-1,0,1,1),"")</f>
        <v>MMR012CMP115</v>
      </c>
      <c r="E113" s="483" t="s">
        <v>1151</v>
      </c>
      <c r="F113" s="357" t="s">
        <v>725</v>
      </c>
      <c r="G113" s="322">
        <v>1479</v>
      </c>
      <c r="H113" s="156">
        <f t="shared" ref="H113:H124" si="3">IF(F113="M",-G113,G113)</f>
        <v>-1479</v>
      </c>
      <c r="I113" s="355" t="s">
        <v>288</v>
      </c>
      <c r="J113" s="869">
        <v>42825</v>
      </c>
    </row>
    <row r="114" spans="1:11" x14ac:dyDescent="0.25">
      <c r="A114" s="351" t="s">
        <v>7</v>
      </c>
      <c r="B114" s="352" t="s">
        <v>19</v>
      </c>
      <c r="C114" s="355" t="s">
        <v>635</v>
      </c>
      <c r="D114" s="366" t="str">
        <f ca="1">IFERROR(OFFSET(Camp_List[P_Code],MATCH(Data_Demography_t[[#This Row],[Camp]],Camp_List[Camp Name],0)-1,0,1,1),"")</f>
        <v>MMR012CMP115</v>
      </c>
      <c r="E114" s="483" t="s">
        <v>1151</v>
      </c>
      <c r="F114" s="357" t="s">
        <v>726</v>
      </c>
      <c r="G114" s="322">
        <v>1429</v>
      </c>
      <c r="H114" s="156">
        <f t="shared" si="3"/>
        <v>1429</v>
      </c>
      <c r="I114" s="355" t="s">
        <v>288</v>
      </c>
      <c r="J114" s="869">
        <v>42825</v>
      </c>
    </row>
    <row r="115" spans="1:11" x14ac:dyDescent="0.25">
      <c r="A115" s="351" t="s">
        <v>7</v>
      </c>
      <c r="B115" s="352" t="s">
        <v>19</v>
      </c>
      <c r="C115" s="355" t="s">
        <v>635</v>
      </c>
      <c r="D115" s="366" t="str">
        <f ca="1">IFERROR(OFFSET(Camp_List[P_Code],MATCH(Data_Demography_t[[#This Row],[Camp]],Camp_List[Camp Name],0)-1,0,1,1),"")</f>
        <v>MMR012CMP115</v>
      </c>
      <c r="E115" s="483" t="s">
        <v>881</v>
      </c>
      <c r="F115" s="357" t="s">
        <v>725</v>
      </c>
      <c r="G115" s="322">
        <v>1461</v>
      </c>
      <c r="H115" s="156">
        <f t="shared" si="3"/>
        <v>-1461</v>
      </c>
      <c r="I115" s="355" t="s">
        <v>288</v>
      </c>
      <c r="J115" s="869">
        <v>42825</v>
      </c>
    </row>
    <row r="116" spans="1:11" x14ac:dyDescent="0.25">
      <c r="A116" s="351" t="s">
        <v>7</v>
      </c>
      <c r="B116" s="352" t="s">
        <v>19</v>
      </c>
      <c r="C116" s="355" t="s">
        <v>635</v>
      </c>
      <c r="D116" s="366" t="str">
        <f ca="1">IFERROR(OFFSET(Camp_List[P_Code],MATCH(Data_Demography_t[[#This Row],[Camp]],Camp_List[Camp Name],0)-1,0,1,1),"")</f>
        <v>MMR012CMP115</v>
      </c>
      <c r="E116" s="483" t="s">
        <v>881</v>
      </c>
      <c r="F116" s="357" t="s">
        <v>726</v>
      </c>
      <c r="G116" s="322">
        <v>1300</v>
      </c>
      <c r="H116" s="156">
        <f t="shared" si="3"/>
        <v>1300</v>
      </c>
      <c r="I116" s="355" t="s">
        <v>288</v>
      </c>
      <c r="J116" s="869">
        <v>42825</v>
      </c>
    </row>
    <row r="117" spans="1:11" s="793" customFormat="1" x14ac:dyDescent="0.25">
      <c r="A117" s="351" t="s">
        <v>7</v>
      </c>
      <c r="B117" s="352" t="s">
        <v>19</v>
      </c>
      <c r="C117" s="355" t="s">
        <v>635</v>
      </c>
      <c r="D117" s="366" t="str">
        <f ca="1">IFERROR(OFFSET(Camp_List[P_Code],MATCH(Data_Demography_t[[#This Row],[Camp]],Camp_List[Camp Name],0)-1,0,1,1),"")</f>
        <v>MMR012CMP115</v>
      </c>
      <c r="E117" s="356" t="s">
        <v>656</v>
      </c>
      <c r="F117" s="357" t="s">
        <v>725</v>
      </c>
      <c r="G117" s="943">
        <v>1004</v>
      </c>
      <c r="H117" s="156">
        <f t="shared" si="3"/>
        <v>-1004</v>
      </c>
      <c r="I117" s="355" t="s">
        <v>288</v>
      </c>
      <c r="J117" s="869">
        <v>42825</v>
      </c>
      <c r="K117" s="304"/>
    </row>
    <row r="118" spans="1:11" s="793" customFormat="1" x14ac:dyDescent="0.25">
      <c r="A118" s="351" t="s">
        <v>7</v>
      </c>
      <c r="B118" s="352" t="s">
        <v>19</v>
      </c>
      <c r="C118" s="355" t="s">
        <v>635</v>
      </c>
      <c r="D118" s="366" t="str">
        <f ca="1">IFERROR(OFFSET(Camp_List[P_Code],MATCH(Data_Demography_t[[#This Row],[Camp]],Camp_List[Camp Name],0)-1,0,1,1),"")</f>
        <v>MMR012CMP115</v>
      </c>
      <c r="E118" s="356" t="s">
        <v>656</v>
      </c>
      <c r="F118" s="357" t="s">
        <v>726</v>
      </c>
      <c r="G118" s="943">
        <v>907</v>
      </c>
      <c r="H118" s="156">
        <f t="shared" si="3"/>
        <v>907</v>
      </c>
      <c r="I118" s="355" t="s">
        <v>288</v>
      </c>
      <c r="J118" s="869">
        <v>42825</v>
      </c>
      <c r="K118" s="304"/>
    </row>
    <row r="119" spans="1:11" x14ac:dyDescent="0.25">
      <c r="A119" s="312" t="s">
        <v>7</v>
      </c>
      <c r="B119" s="309" t="s">
        <v>19</v>
      </c>
      <c r="C119" s="313" t="s">
        <v>635</v>
      </c>
      <c r="D119" s="366" t="str">
        <f ca="1">IFERROR(OFFSET(Camp_List[P_Code],MATCH(Data_Demography_t[[#This Row],[Camp]],Camp_List[Camp Name],0)-1,0,1,1),"")</f>
        <v>MMR012CMP115</v>
      </c>
      <c r="E119" s="327" t="s">
        <v>882</v>
      </c>
      <c r="F119" s="325" t="s">
        <v>725</v>
      </c>
      <c r="G119" s="310">
        <v>1034</v>
      </c>
      <c r="H119" s="156">
        <f t="shared" si="3"/>
        <v>-1034</v>
      </c>
      <c r="I119" s="313" t="s">
        <v>288</v>
      </c>
      <c r="J119" s="869">
        <v>42825</v>
      </c>
    </row>
    <row r="120" spans="1:11" x14ac:dyDescent="0.25">
      <c r="A120" s="312" t="s">
        <v>7</v>
      </c>
      <c r="B120" s="309" t="s">
        <v>19</v>
      </c>
      <c r="C120" s="313" t="s">
        <v>635</v>
      </c>
      <c r="D120" s="366" t="str">
        <f ca="1">IFERROR(OFFSET(Camp_List[P_Code],MATCH(Data_Demography_t[[#This Row],[Camp]],Camp_List[Camp Name],0)-1,0,1,1),"")</f>
        <v>MMR012CMP115</v>
      </c>
      <c r="E120" s="327" t="s">
        <v>882</v>
      </c>
      <c r="F120" s="325" t="s">
        <v>726</v>
      </c>
      <c r="G120" s="310">
        <v>1495</v>
      </c>
      <c r="H120" s="156">
        <f t="shared" si="3"/>
        <v>1495</v>
      </c>
      <c r="I120" s="313" t="s">
        <v>288</v>
      </c>
      <c r="J120" s="869">
        <v>42825</v>
      </c>
    </row>
    <row r="121" spans="1:11" x14ac:dyDescent="0.25">
      <c r="A121" s="312" t="s">
        <v>7</v>
      </c>
      <c r="B121" s="309" t="s">
        <v>19</v>
      </c>
      <c r="C121" s="313" t="s">
        <v>635</v>
      </c>
      <c r="D121" s="366" t="str">
        <f ca="1">IFERROR(OFFSET(Camp_List[P_Code],MATCH(Data_Demography_t[[#This Row],[Camp]],Camp_List[Camp Name],0)-1,0,1,1),"")</f>
        <v>MMR012CMP115</v>
      </c>
      <c r="E121" s="327" t="s">
        <v>883</v>
      </c>
      <c r="F121" s="325" t="s">
        <v>725</v>
      </c>
      <c r="G121" s="310">
        <v>1406</v>
      </c>
      <c r="H121" s="156">
        <f t="shared" si="3"/>
        <v>-1406</v>
      </c>
      <c r="I121" s="313" t="s">
        <v>288</v>
      </c>
      <c r="J121" s="869">
        <v>42825</v>
      </c>
    </row>
    <row r="122" spans="1:11" x14ac:dyDescent="0.25">
      <c r="A122" s="312" t="s">
        <v>7</v>
      </c>
      <c r="B122" s="309" t="s">
        <v>19</v>
      </c>
      <c r="C122" s="313" t="s">
        <v>635</v>
      </c>
      <c r="D122" s="366" t="str">
        <f ca="1">IFERROR(OFFSET(Camp_List[P_Code],MATCH(Data_Demography_t[[#This Row],[Camp]],Camp_List[Camp Name],0)-1,0,1,1),"")</f>
        <v>MMR012CMP115</v>
      </c>
      <c r="E122" s="327" t="s">
        <v>883</v>
      </c>
      <c r="F122" s="325" t="s">
        <v>726</v>
      </c>
      <c r="G122" s="310">
        <v>1562</v>
      </c>
      <c r="H122" s="156">
        <f t="shared" si="3"/>
        <v>1562</v>
      </c>
      <c r="I122" s="313" t="s">
        <v>288</v>
      </c>
      <c r="J122" s="869">
        <v>42825</v>
      </c>
    </row>
    <row r="123" spans="1:11" x14ac:dyDescent="0.25">
      <c r="A123" s="312" t="s">
        <v>7</v>
      </c>
      <c r="B123" s="309" t="s">
        <v>19</v>
      </c>
      <c r="C123" s="313" t="s">
        <v>635</v>
      </c>
      <c r="D123" s="366" t="str">
        <f ca="1">IFERROR(OFFSET(Camp_List[P_Code],MATCH(Data_Demography_t[[#This Row],[Camp]],Camp_List[Camp Name],0)-1,0,1,1),"")</f>
        <v>MMR012CMP115</v>
      </c>
      <c r="E123" s="327" t="s">
        <v>859</v>
      </c>
      <c r="F123" s="325" t="s">
        <v>725</v>
      </c>
      <c r="G123" s="310">
        <v>259</v>
      </c>
      <c r="H123" s="156">
        <f t="shared" si="3"/>
        <v>-259</v>
      </c>
      <c r="I123" s="313" t="s">
        <v>288</v>
      </c>
      <c r="J123" s="869">
        <v>42825</v>
      </c>
    </row>
    <row r="124" spans="1:11" x14ac:dyDescent="0.25">
      <c r="A124" s="312" t="s">
        <v>7</v>
      </c>
      <c r="B124" s="309" t="s">
        <v>19</v>
      </c>
      <c r="C124" s="313" t="s">
        <v>635</v>
      </c>
      <c r="D124" s="366" t="str">
        <f ca="1">IFERROR(OFFSET(Camp_List[P_Code],MATCH(Data_Demography_t[[#This Row],[Camp]],Camp_List[Camp Name],0)-1,0,1,1),"")</f>
        <v>MMR012CMP115</v>
      </c>
      <c r="E124" s="327" t="s">
        <v>859</v>
      </c>
      <c r="F124" s="325" t="s">
        <v>726</v>
      </c>
      <c r="G124" s="310">
        <v>319</v>
      </c>
      <c r="H124" s="156">
        <f t="shared" si="3"/>
        <v>319</v>
      </c>
      <c r="I124" s="313" t="s">
        <v>288</v>
      </c>
      <c r="J124" s="869">
        <v>42825</v>
      </c>
    </row>
    <row r="125" spans="1:11" x14ac:dyDescent="0.25">
      <c r="A125" s="312" t="s">
        <v>7</v>
      </c>
      <c r="B125" s="309" t="s">
        <v>19</v>
      </c>
      <c r="C125" s="309" t="s">
        <v>636</v>
      </c>
      <c r="D125" s="366" t="str">
        <f ca="1">IFERROR(OFFSET(Camp_List[P_Code],MATCH(Data_Demography_t[[#This Row],[Camp]],Camp_List[Camp Name],0)-1,0,1,1),"")</f>
        <v>MMR012CMP116</v>
      </c>
      <c r="E125" s="483" t="s">
        <v>1151</v>
      </c>
      <c r="F125" s="313" t="s">
        <v>725</v>
      </c>
      <c r="G125" s="310">
        <v>1298</v>
      </c>
      <c r="H125" s="156">
        <f t="shared" si="2"/>
        <v>-1298</v>
      </c>
      <c r="I125" s="309" t="s">
        <v>624</v>
      </c>
      <c r="J125" s="869">
        <v>42825</v>
      </c>
    </row>
    <row r="126" spans="1:11" x14ac:dyDescent="0.25">
      <c r="A126" s="312" t="s">
        <v>7</v>
      </c>
      <c r="B126" s="309" t="s">
        <v>19</v>
      </c>
      <c r="C126" s="309" t="s">
        <v>636</v>
      </c>
      <c r="D126" s="366" t="str">
        <f ca="1">IFERROR(OFFSET(Camp_List[P_Code],MATCH(Data_Demography_t[[#This Row],[Camp]],Camp_List[Camp Name],0)-1,0,1,1),"")</f>
        <v>MMR012CMP116</v>
      </c>
      <c r="E126" s="483" t="s">
        <v>1151</v>
      </c>
      <c r="F126" s="353" t="s">
        <v>726</v>
      </c>
      <c r="G126" s="310">
        <v>1251</v>
      </c>
      <c r="H126" s="156">
        <f t="shared" si="2"/>
        <v>1251</v>
      </c>
      <c r="I126" s="309" t="s">
        <v>624</v>
      </c>
      <c r="J126" s="869">
        <v>42825</v>
      </c>
    </row>
    <row r="127" spans="1:11" x14ac:dyDescent="0.25">
      <c r="A127" s="312" t="s">
        <v>7</v>
      </c>
      <c r="B127" s="309" t="s">
        <v>19</v>
      </c>
      <c r="C127" s="309" t="s">
        <v>636</v>
      </c>
      <c r="D127" s="366" t="str">
        <f ca="1">IFERROR(OFFSET(Camp_List[P_Code],MATCH(Data_Demography_t[[#This Row],[Camp]],Camp_List[Camp Name],0)-1,0,1,1),"")</f>
        <v>MMR012CMP116</v>
      </c>
      <c r="E127" s="483" t="s">
        <v>881</v>
      </c>
      <c r="F127" s="313" t="s">
        <v>725</v>
      </c>
      <c r="G127" s="310">
        <v>1239</v>
      </c>
      <c r="H127" s="156">
        <f t="shared" si="2"/>
        <v>-1239</v>
      </c>
      <c r="I127" s="309" t="s">
        <v>624</v>
      </c>
      <c r="J127" s="869">
        <v>42825</v>
      </c>
    </row>
    <row r="128" spans="1:11" x14ac:dyDescent="0.25">
      <c r="A128" s="312" t="s">
        <v>7</v>
      </c>
      <c r="B128" s="309" t="s">
        <v>19</v>
      </c>
      <c r="C128" s="309" t="s">
        <v>636</v>
      </c>
      <c r="D128" s="366" t="str">
        <f ca="1">IFERROR(OFFSET(Camp_List[P_Code],MATCH(Data_Demography_t[[#This Row],[Camp]],Camp_List[Camp Name],0)-1,0,1,1),"")</f>
        <v>MMR012CMP116</v>
      </c>
      <c r="E128" s="483" t="s">
        <v>881</v>
      </c>
      <c r="F128" s="353" t="s">
        <v>726</v>
      </c>
      <c r="G128" s="310">
        <v>1110</v>
      </c>
      <c r="H128" s="156">
        <f t="shared" si="2"/>
        <v>1110</v>
      </c>
      <c r="I128" s="309" t="s">
        <v>624</v>
      </c>
      <c r="J128" s="869">
        <v>42825</v>
      </c>
    </row>
    <row r="129" spans="1:11" x14ac:dyDescent="0.25">
      <c r="A129" s="312" t="s">
        <v>7</v>
      </c>
      <c r="B129" s="309" t="s">
        <v>19</v>
      </c>
      <c r="C129" s="309" t="s">
        <v>636</v>
      </c>
      <c r="D129" s="366" t="str">
        <f ca="1">IFERROR(OFFSET(Camp_List[P_Code],MATCH(Data_Demography_t[[#This Row],[Camp]],Camp_List[Camp Name],0)-1,0,1,1),"")</f>
        <v>MMR012CMP116</v>
      </c>
      <c r="E129" s="311" t="s">
        <v>656</v>
      </c>
      <c r="F129" s="313" t="s">
        <v>725</v>
      </c>
      <c r="G129" s="310">
        <v>852</v>
      </c>
      <c r="H129" s="156">
        <f t="shared" si="2"/>
        <v>-852</v>
      </c>
      <c r="I129" s="309" t="s">
        <v>624</v>
      </c>
      <c r="J129" s="869">
        <v>42825</v>
      </c>
    </row>
    <row r="130" spans="1:11" x14ac:dyDescent="0.25">
      <c r="A130" s="312" t="s">
        <v>7</v>
      </c>
      <c r="B130" s="309" t="s">
        <v>19</v>
      </c>
      <c r="C130" s="309" t="s">
        <v>636</v>
      </c>
      <c r="D130" s="366" t="str">
        <f ca="1">IFERROR(OFFSET(Camp_List[P_Code],MATCH(Data_Demography_t[[#This Row],[Camp]],Camp_List[Camp Name],0)-1,0,1,1),"")</f>
        <v>MMR012CMP116</v>
      </c>
      <c r="E130" s="311" t="s">
        <v>656</v>
      </c>
      <c r="F130" s="353" t="s">
        <v>726</v>
      </c>
      <c r="G130" s="310">
        <v>816</v>
      </c>
      <c r="H130" s="156">
        <f t="shared" si="2"/>
        <v>816</v>
      </c>
      <c r="I130" s="309" t="s">
        <v>624</v>
      </c>
      <c r="J130" s="869">
        <v>42825</v>
      </c>
    </row>
    <row r="131" spans="1:11" s="793" customFormat="1" x14ac:dyDescent="0.25">
      <c r="A131" s="312" t="s">
        <v>7</v>
      </c>
      <c r="B131" s="309" t="s">
        <v>19</v>
      </c>
      <c r="C131" s="309" t="s">
        <v>636</v>
      </c>
      <c r="D131" s="366" t="str">
        <f ca="1">IFERROR(OFFSET(Camp_List[P_Code],MATCH(Data_Demography_t[[#This Row],[Camp]],Camp_List[Camp Name],0)-1,0,1,1),"")</f>
        <v>MMR012CMP116</v>
      </c>
      <c r="E131" s="314" t="s">
        <v>882</v>
      </c>
      <c r="F131" s="313" t="s">
        <v>725</v>
      </c>
      <c r="G131" s="310">
        <v>734</v>
      </c>
      <c r="H131" s="156">
        <f t="shared" si="2"/>
        <v>-734</v>
      </c>
      <c r="I131" s="309" t="s">
        <v>624</v>
      </c>
      <c r="J131" s="869">
        <v>42825</v>
      </c>
      <c r="K131" s="304"/>
    </row>
    <row r="132" spans="1:11" s="793" customFormat="1" x14ac:dyDescent="0.25">
      <c r="A132" s="312" t="s">
        <v>7</v>
      </c>
      <c r="B132" s="309" t="s">
        <v>19</v>
      </c>
      <c r="C132" s="309" t="s">
        <v>636</v>
      </c>
      <c r="D132" s="366" t="str">
        <f ca="1">IFERROR(OFFSET(Camp_List[P_Code],MATCH(Data_Demography_t[[#This Row],[Camp]],Camp_List[Camp Name],0)-1,0,1,1),"")</f>
        <v>MMR012CMP116</v>
      </c>
      <c r="E132" s="314" t="s">
        <v>882</v>
      </c>
      <c r="F132" s="353" t="s">
        <v>726</v>
      </c>
      <c r="G132" s="310">
        <v>1089</v>
      </c>
      <c r="H132" s="156">
        <f t="shared" si="2"/>
        <v>1089</v>
      </c>
      <c r="I132" s="309" t="s">
        <v>624</v>
      </c>
      <c r="J132" s="869">
        <v>42825</v>
      </c>
      <c r="K132" s="304"/>
    </row>
    <row r="133" spans="1:11" x14ac:dyDescent="0.25">
      <c r="A133" s="351" t="s">
        <v>7</v>
      </c>
      <c r="B133" s="352" t="s">
        <v>19</v>
      </c>
      <c r="C133" s="355" t="s">
        <v>636</v>
      </c>
      <c r="D133" s="366" t="str">
        <f ca="1">IFERROR(OFFSET(Camp_List[P_Code],MATCH(Data_Demography_t[[#This Row],[Camp]],Camp_List[Camp Name],0)-1,0,1,1),"")</f>
        <v>MMR012CMP116</v>
      </c>
      <c r="E133" s="356" t="s">
        <v>883</v>
      </c>
      <c r="F133" s="357" t="s">
        <v>725</v>
      </c>
      <c r="G133" s="322">
        <v>1338</v>
      </c>
      <c r="H133" s="156">
        <f t="shared" si="2"/>
        <v>-1338</v>
      </c>
      <c r="I133" s="355" t="s">
        <v>624</v>
      </c>
      <c r="J133" s="869">
        <v>42825</v>
      </c>
    </row>
    <row r="134" spans="1:11" x14ac:dyDescent="0.25">
      <c r="A134" s="351" t="s">
        <v>7</v>
      </c>
      <c r="B134" s="352" t="s">
        <v>19</v>
      </c>
      <c r="C134" s="355" t="s">
        <v>636</v>
      </c>
      <c r="D134" s="366" t="str">
        <f ca="1">IFERROR(OFFSET(Camp_List[P_Code],MATCH(Data_Demography_t[[#This Row],[Camp]],Camp_List[Camp Name],0)-1,0,1,1),"")</f>
        <v>MMR012CMP116</v>
      </c>
      <c r="E134" s="356" t="s">
        <v>883</v>
      </c>
      <c r="F134" s="357" t="s">
        <v>726</v>
      </c>
      <c r="G134" s="322">
        <v>1522</v>
      </c>
      <c r="H134" s="156">
        <f t="shared" si="2"/>
        <v>1522</v>
      </c>
      <c r="I134" s="355" t="s">
        <v>624</v>
      </c>
      <c r="J134" s="869">
        <v>42825</v>
      </c>
    </row>
    <row r="135" spans="1:11" x14ac:dyDescent="0.25">
      <c r="A135" s="351" t="s">
        <v>7</v>
      </c>
      <c r="B135" s="352" t="s">
        <v>19</v>
      </c>
      <c r="C135" s="355" t="s">
        <v>636</v>
      </c>
      <c r="D135" s="366" t="str">
        <f ca="1">IFERROR(OFFSET(Camp_List[P_Code],MATCH(Data_Demography_t[[#This Row],[Camp]],Camp_List[Camp Name],0)-1,0,1,1),"")</f>
        <v>MMR012CMP116</v>
      </c>
      <c r="E135" s="356" t="s">
        <v>859</v>
      </c>
      <c r="F135" s="357" t="s">
        <v>725</v>
      </c>
      <c r="G135" s="322">
        <v>166</v>
      </c>
      <c r="H135" s="156">
        <f t="shared" si="2"/>
        <v>-166</v>
      </c>
      <c r="I135" s="355" t="s">
        <v>624</v>
      </c>
      <c r="J135" s="869">
        <v>42825</v>
      </c>
    </row>
    <row r="136" spans="1:11" x14ac:dyDescent="0.25">
      <c r="A136" s="351" t="s">
        <v>7</v>
      </c>
      <c r="B136" s="352" t="s">
        <v>19</v>
      </c>
      <c r="C136" s="355" t="s">
        <v>636</v>
      </c>
      <c r="D136" s="366" t="str">
        <f ca="1">IFERROR(OFFSET(Camp_List[P_Code],MATCH(Data_Demography_t[[#This Row],[Camp]],Camp_List[Camp Name],0)-1,0,1,1),"")</f>
        <v>MMR012CMP116</v>
      </c>
      <c r="E136" s="356" t="s">
        <v>859</v>
      </c>
      <c r="F136" s="357" t="s">
        <v>726</v>
      </c>
      <c r="G136" s="322">
        <v>171</v>
      </c>
      <c r="H136" s="156">
        <f t="shared" si="2"/>
        <v>171</v>
      </c>
      <c r="I136" s="355" t="s">
        <v>624</v>
      </c>
      <c r="J136" s="869">
        <v>42825</v>
      </c>
    </row>
    <row r="137" spans="1:11" s="264" customFormat="1" x14ac:dyDescent="0.25">
      <c r="A137" s="312" t="s">
        <v>7</v>
      </c>
      <c r="B137" s="309" t="s">
        <v>19</v>
      </c>
      <c r="C137" s="313" t="s">
        <v>67</v>
      </c>
      <c r="D137" s="366" t="str">
        <f ca="1">IFERROR(OFFSET(Camp_List[P_Code],MATCH(Data_Demography_t[[#This Row],[Camp]],Camp_List[Camp Name],0)-1,0,1,1),"")</f>
        <v>MMR012CMP045</v>
      </c>
      <c r="E137" s="483" t="s">
        <v>1151</v>
      </c>
      <c r="F137" s="313" t="s">
        <v>725</v>
      </c>
      <c r="G137" s="310">
        <v>1277</v>
      </c>
      <c r="H137" s="156">
        <f t="shared" ref="H137:H148" si="4">IF(F137="M",-G137,G137)</f>
        <v>-1277</v>
      </c>
      <c r="I137" s="313" t="s">
        <v>288</v>
      </c>
      <c r="J137" s="869">
        <v>42825</v>
      </c>
      <c r="K137" s="326"/>
    </row>
    <row r="138" spans="1:11" s="264" customFormat="1" x14ac:dyDescent="0.25">
      <c r="A138" s="312" t="s">
        <v>7</v>
      </c>
      <c r="B138" s="309" t="s">
        <v>19</v>
      </c>
      <c r="C138" s="313" t="s">
        <v>67</v>
      </c>
      <c r="D138" s="366" t="str">
        <f ca="1">IFERROR(OFFSET(Camp_List[P_Code],MATCH(Data_Demography_t[[#This Row],[Camp]],Camp_List[Camp Name],0)-1,0,1,1),"")</f>
        <v>MMR012CMP045</v>
      </c>
      <c r="E138" s="483" t="s">
        <v>1151</v>
      </c>
      <c r="F138" s="353" t="s">
        <v>726</v>
      </c>
      <c r="G138" s="310">
        <v>1293</v>
      </c>
      <c r="H138" s="156">
        <f t="shared" si="4"/>
        <v>1293</v>
      </c>
      <c r="I138" s="313" t="s">
        <v>288</v>
      </c>
      <c r="J138" s="869">
        <v>42825</v>
      </c>
      <c r="K138" s="326"/>
    </row>
    <row r="139" spans="1:11" s="264" customFormat="1" x14ac:dyDescent="0.25">
      <c r="A139" s="312" t="s">
        <v>7</v>
      </c>
      <c r="B139" s="309" t="s">
        <v>19</v>
      </c>
      <c r="C139" s="313" t="s">
        <v>67</v>
      </c>
      <c r="D139" s="366" t="str">
        <f ca="1">IFERROR(OFFSET(Camp_List[P_Code],MATCH(Data_Demography_t[[#This Row],[Camp]],Camp_List[Camp Name],0)-1,0,1,1),"")</f>
        <v>MMR012CMP045</v>
      </c>
      <c r="E139" s="483" t="s">
        <v>881</v>
      </c>
      <c r="F139" s="313" t="s">
        <v>725</v>
      </c>
      <c r="G139" s="310">
        <v>1337</v>
      </c>
      <c r="H139" s="156">
        <f t="shared" si="4"/>
        <v>-1337</v>
      </c>
      <c r="I139" s="313" t="s">
        <v>288</v>
      </c>
      <c r="J139" s="869">
        <v>42825</v>
      </c>
      <c r="K139" s="326"/>
    </row>
    <row r="140" spans="1:11" s="264" customFormat="1" x14ac:dyDescent="0.25">
      <c r="A140" s="312" t="s">
        <v>7</v>
      </c>
      <c r="B140" s="309" t="s">
        <v>19</v>
      </c>
      <c r="C140" s="313" t="s">
        <v>67</v>
      </c>
      <c r="D140" s="366" t="str">
        <f ca="1">IFERROR(OFFSET(Camp_List[P_Code],MATCH(Data_Demography_t[[#This Row],[Camp]],Camp_List[Camp Name],0)-1,0,1,1),"")</f>
        <v>MMR012CMP045</v>
      </c>
      <c r="E140" s="483" t="s">
        <v>881</v>
      </c>
      <c r="F140" s="353" t="s">
        <v>726</v>
      </c>
      <c r="G140" s="310">
        <v>1218</v>
      </c>
      <c r="H140" s="156">
        <f t="shared" si="4"/>
        <v>1218</v>
      </c>
      <c r="I140" s="313" t="s">
        <v>288</v>
      </c>
      <c r="J140" s="869">
        <v>42825</v>
      </c>
      <c r="K140" s="326"/>
    </row>
    <row r="141" spans="1:11" s="264" customFormat="1" x14ac:dyDescent="0.25">
      <c r="A141" s="312" t="s">
        <v>7</v>
      </c>
      <c r="B141" s="309" t="s">
        <v>19</v>
      </c>
      <c r="C141" s="313" t="s">
        <v>67</v>
      </c>
      <c r="D141" s="366" t="str">
        <f ca="1">IFERROR(OFFSET(Camp_List[P_Code],MATCH(Data_Demography_t[[#This Row],[Camp]],Camp_List[Camp Name],0)-1,0,1,1),"")</f>
        <v>MMR012CMP045</v>
      </c>
      <c r="E141" s="311" t="s">
        <v>656</v>
      </c>
      <c r="F141" s="313" t="s">
        <v>725</v>
      </c>
      <c r="G141" s="942">
        <v>852</v>
      </c>
      <c r="H141" s="156">
        <f t="shared" si="4"/>
        <v>-852</v>
      </c>
      <c r="I141" s="313" t="s">
        <v>288</v>
      </c>
      <c r="J141" s="869">
        <v>42825</v>
      </c>
      <c r="K141" s="326"/>
    </row>
    <row r="142" spans="1:11" s="264" customFormat="1" x14ac:dyDescent="0.25">
      <c r="A142" s="312" t="s">
        <v>7</v>
      </c>
      <c r="B142" s="309" t="s">
        <v>19</v>
      </c>
      <c r="C142" s="313" t="s">
        <v>67</v>
      </c>
      <c r="D142" s="366" t="str">
        <f ca="1">IFERROR(OFFSET(Camp_List[P_Code],MATCH(Data_Demography_t[[#This Row],[Camp]],Camp_List[Camp Name],0)-1,0,1,1),"")</f>
        <v>MMR012CMP045</v>
      </c>
      <c r="E142" s="311" t="s">
        <v>656</v>
      </c>
      <c r="F142" s="353" t="s">
        <v>726</v>
      </c>
      <c r="G142" s="942">
        <v>844</v>
      </c>
      <c r="H142" s="156">
        <f t="shared" si="4"/>
        <v>844</v>
      </c>
      <c r="I142" s="313" t="s">
        <v>288</v>
      </c>
      <c r="J142" s="869">
        <v>42825</v>
      </c>
      <c r="K142" s="326"/>
    </row>
    <row r="143" spans="1:11" s="264" customFormat="1" x14ac:dyDescent="0.25">
      <c r="A143" s="312" t="s">
        <v>7</v>
      </c>
      <c r="B143" s="309" t="s">
        <v>19</v>
      </c>
      <c r="C143" s="313" t="s">
        <v>67</v>
      </c>
      <c r="D143" s="366" t="str">
        <f ca="1">IFERROR(OFFSET(Camp_List[P_Code],MATCH(Data_Demography_t[[#This Row],[Camp]],Camp_List[Camp Name],0)-1,0,1,1),"")</f>
        <v>MMR012CMP045</v>
      </c>
      <c r="E143" s="314" t="s">
        <v>882</v>
      </c>
      <c r="F143" s="313" t="s">
        <v>725</v>
      </c>
      <c r="G143" s="310">
        <v>901</v>
      </c>
      <c r="H143" s="156">
        <f t="shared" si="4"/>
        <v>-901</v>
      </c>
      <c r="I143" s="313" t="s">
        <v>288</v>
      </c>
      <c r="J143" s="869">
        <v>42825</v>
      </c>
      <c r="K143" s="326"/>
    </row>
    <row r="144" spans="1:11" s="264" customFormat="1" x14ac:dyDescent="0.25">
      <c r="A144" s="312" t="s">
        <v>7</v>
      </c>
      <c r="B144" s="309" t="s">
        <v>19</v>
      </c>
      <c r="C144" s="313" t="s">
        <v>67</v>
      </c>
      <c r="D144" s="366" t="str">
        <f ca="1">IFERROR(OFFSET(Camp_List[P_Code],MATCH(Data_Demography_t[[#This Row],[Camp]],Camp_List[Camp Name],0)-1,0,1,1),"")</f>
        <v>MMR012CMP045</v>
      </c>
      <c r="E144" s="314" t="s">
        <v>882</v>
      </c>
      <c r="F144" s="353" t="s">
        <v>726</v>
      </c>
      <c r="G144" s="310">
        <v>1275</v>
      </c>
      <c r="H144" s="156">
        <f t="shared" si="4"/>
        <v>1275</v>
      </c>
      <c r="I144" s="313" t="s">
        <v>288</v>
      </c>
      <c r="J144" s="869">
        <v>42825</v>
      </c>
      <c r="K144" s="326"/>
    </row>
    <row r="145" spans="1:11" s="264" customFormat="1" x14ac:dyDescent="0.25">
      <c r="A145" s="312" t="s">
        <v>7</v>
      </c>
      <c r="B145" s="309" t="s">
        <v>19</v>
      </c>
      <c r="C145" s="313" t="s">
        <v>67</v>
      </c>
      <c r="D145" s="366" t="str">
        <f ca="1">IFERROR(OFFSET(Camp_List[P_Code],MATCH(Data_Demography_t[[#This Row],[Camp]],Camp_List[Camp Name],0)-1,0,1,1),"")</f>
        <v>MMR012CMP045</v>
      </c>
      <c r="E145" s="314" t="s">
        <v>883</v>
      </c>
      <c r="F145" s="313" t="s">
        <v>725</v>
      </c>
      <c r="G145" s="310">
        <v>1335</v>
      </c>
      <c r="H145" s="156">
        <f t="shared" si="4"/>
        <v>-1335</v>
      </c>
      <c r="I145" s="313" t="s">
        <v>288</v>
      </c>
      <c r="J145" s="869">
        <v>42825</v>
      </c>
      <c r="K145" s="326"/>
    </row>
    <row r="146" spans="1:11" s="264" customFormat="1" x14ac:dyDescent="0.25">
      <c r="A146" s="312" t="s">
        <v>7</v>
      </c>
      <c r="B146" s="309" t="s">
        <v>19</v>
      </c>
      <c r="C146" s="313" t="s">
        <v>67</v>
      </c>
      <c r="D146" s="366" t="str">
        <f ca="1">IFERROR(OFFSET(Camp_List[P_Code],MATCH(Data_Demography_t[[#This Row],[Camp]],Camp_List[Camp Name],0)-1,0,1,1),"")</f>
        <v>MMR012CMP045</v>
      </c>
      <c r="E146" s="314" t="s">
        <v>883</v>
      </c>
      <c r="F146" s="353" t="s">
        <v>726</v>
      </c>
      <c r="G146" s="310">
        <v>1475</v>
      </c>
      <c r="H146" s="156">
        <f t="shared" si="4"/>
        <v>1475</v>
      </c>
      <c r="I146" s="313" t="s">
        <v>288</v>
      </c>
      <c r="J146" s="869">
        <v>42825</v>
      </c>
      <c r="K146" s="326"/>
    </row>
    <row r="147" spans="1:11" s="264" customFormat="1" x14ac:dyDescent="0.25">
      <c r="A147" s="312" t="s">
        <v>7</v>
      </c>
      <c r="B147" s="313" t="s">
        <v>19</v>
      </c>
      <c r="C147" s="313" t="s">
        <v>67</v>
      </c>
      <c r="D147" s="366" t="str">
        <f ca="1">IFERROR(OFFSET(Camp_List[P_Code],MATCH(Data_Demography_t[[#This Row],[Camp]],Camp_List[Camp Name],0)-1,0,1,1),"")</f>
        <v>MMR012CMP045</v>
      </c>
      <c r="E147" s="327" t="s">
        <v>859</v>
      </c>
      <c r="F147" s="325" t="s">
        <v>725</v>
      </c>
      <c r="G147" s="310">
        <v>190</v>
      </c>
      <c r="H147" s="156">
        <f t="shared" si="4"/>
        <v>-190</v>
      </c>
      <c r="I147" s="313" t="s">
        <v>288</v>
      </c>
      <c r="J147" s="869">
        <v>42825</v>
      </c>
      <c r="K147" s="326"/>
    </row>
    <row r="148" spans="1:11" s="264" customFormat="1" ht="17.25" customHeight="1" x14ac:dyDescent="0.25">
      <c r="A148" s="312" t="s">
        <v>7</v>
      </c>
      <c r="B148" s="313" t="s">
        <v>19</v>
      </c>
      <c r="C148" s="313" t="s">
        <v>67</v>
      </c>
      <c r="D148" s="366" t="str">
        <f ca="1">IFERROR(OFFSET(Camp_List[P_Code],MATCH(Data_Demography_t[[#This Row],[Camp]],Camp_List[Camp Name],0)-1,0,1,1),"")</f>
        <v>MMR012CMP045</v>
      </c>
      <c r="E148" s="327" t="s">
        <v>859</v>
      </c>
      <c r="F148" s="325" t="s">
        <v>726</v>
      </c>
      <c r="G148" s="310">
        <v>180</v>
      </c>
      <c r="H148" s="156">
        <f t="shared" si="4"/>
        <v>180</v>
      </c>
      <c r="I148" s="313" t="s">
        <v>288</v>
      </c>
      <c r="J148" s="869">
        <v>42825</v>
      </c>
      <c r="K148" s="326"/>
    </row>
    <row r="149" spans="1:11" s="264" customFormat="1" ht="17.25" customHeight="1" x14ac:dyDescent="0.25">
      <c r="A149" s="312" t="s">
        <v>7</v>
      </c>
      <c r="B149" s="309" t="s">
        <v>14</v>
      </c>
      <c r="C149" s="313" t="s">
        <v>43</v>
      </c>
      <c r="D149" s="366" t="str">
        <f ca="1">IFERROR(OFFSET(Camp_List[P_Code],MATCH(Data_Demography_t[[#This Row],[Camp]],Camp_List[Camp Name],0)-1,0,1,1),"")</f>
        <v>MMR012CMP019</v>
      </c>
      <c r="E149" s="483" t="s">
        <v>1151</v>
      </c>
      <c r="F149" s="313" t="s">
        <v>725</v>
      </c>
      <c r="G149" s="310">
        <v>206</v>
      </c>
      <c r="H149" s="156">
        <f t="shared" ref="H149:H150" si="5">IF(F149="M",-G149,G149)</f>
        <v>-206</v>
      </c>
      <c r="I149" s="313" t="s">
        <v>288</v>
      </c>
      <c r="J149" s="868">
        <v>42825</v>
      </c>
      <c r="K149" s="326"/>
    </row>
    <row r="150" spans="1:11" s="264" customFormat="1" x14ac:dyDescent="0.25">
      <c r="A150" s="312" t="s">
        <v>7</v>
      </c>
      <c r="B150" s="309" t="s">
        <v>14</v>
      </c>
      <c r="C150" s="313" t="s">
        <v>43</v>
      </c>
      <c r="D150" s="366" t="str">
        <f ca="1">IFERROR(OFFSET(Camp_List[P_Code],MATCH(Data_Demography_t[[#This Row],[Camp]],Camp_List[Camp Name],0)-1,0,1,1),"")</f>
        <v>MMR012CMP019</v>
      </c>
      <c r="E150" s="483" t="s">
        <v>1151</v>
      </c>
      <c r="F150" s="353" t="s">
        <v>726</v>
      </c>
      <c r="G150" s="310">
        <v>211</v>
      </c>
      <c r="H150" s="156">
        <f t="shared" si="5"/>
        <v>211</v>
      </c>
      <c r="I150" s="313" t="s">
        <v>288</v>
      </c>
      <c r="J150" s="868">
        <v>42825</v>
      </c>
      <c r="K150" s="326"/>
    </row>
    <row r="151" spans="1:11" x14ac:dyDescent="0.25">
      <c r="A151" s="312" t="s">
        <v>7</v>
      </c>
      <c r="B151" s="309" t="s">
        <v>14</v>
      </c>
      <c r="C151" s="313" t="s">
        <v>43</v>
      </c>
      <c r="D151" s="366" t="str">
        <f ca="1">IFERROR(OFFSET(Camp_List[P_Code],MATCH(Data_Demography_t[[#This Row],[Camp]],Camp_List[Camp Name],0)-1,0,1,1),"")</f>
        <v>MMR012CMP019</v>
      </c>
      <c r="E151" s="483" t="s">
        <v>881</v>
      </c>
      <c r="F151" s="313" t="s">
        <v>725</v>
      </c>
      <c r="G151" s="310">
        <v>198</v>
      </c>
      <c r="H151" s="156">
        <f t="shared" ref="H151:H196" si="6">IF(F151="M",-G151,G151)</f>
        <v>-198</v>
      </c>
      <c r="I151" s="313" t="s">
        <v>288</v>
      </c>
      <c r="J151" s="868">
        <v>42825</v>
      </c>
    </row>
    <row r="152" spans="1:11" x14ac:dyDescent="0.25">
      <c r="A152" s="312" t="s">
        <v>7</v>
      </c>
      <c r="B152" s="309" t="s">
        <v>14</v>
      </c>
      <c r="C152" s="313" t="s">
        <v>43</v>
      </c>
      <c r="D152" s="366" t="str">
        <f ca="1">IFERROR(OFFSET(Camp_List[P_Code],MATCH(Data_Demography_t[[#This Row],[Camp]],Camp_List[Camp Name],0)-1,0,1,1),"")</f>
        <v>MMR012CMP019</v>
      </c>
      <c r="E152" s="483" t="s">
        <v>881</v>
      </c>
      <c r="F152" s="353" t="s">
        <v>726</v>
      </c>
      <c r="G152" s="310">
        <v>218</v>
      </c>
      <c r="H152" s="156">
        <f t="shared" si="6"/>
        <v>218</v>
      </c>
      <c r="I152" s="313" t="s">
        <v>288</v>
      </c>
      <c r="J152" s="868">
        <v>42825</v>
      </c>
    </row>
    <row r="153" spans="1:11" x14ac:dyDescent="0.25">
      <c r="A153" s="312" t="s">
        <v>7</v>
      </c>
      <c r="B153" s="309" t="s">
        <v>14</v>
      </c>
      <c r="C153" s="313" t="s">
        <v>43</v>
      </c>
      <c r="D153" s="366" t="str">
        <f ca="1">IFERROR(OFFSET(Camp_List[P_Code],MATCH(Data_Demography_t[[#This Row],[Camp]],Camp_List[Camp Name],0)-1,0,1,1),"")</f>
        <v>MMR012CMP019</v>
      </c>
      <c r="E153" s="311" t="s">
        <v>656</v>
      </c>
      <c r="F153" s="313" t="s">
        <v>725</v>
      </c>
      <c r="G153" s="310">
        <v>135</v>
      </c>
      <c r="H153" s="156">
        <f t="shared" si="6"/>
        <v>-135</v>
      </c>
      <c r="I153" s="313" t="s">
        <v>288</v>
      </c>
      <c r="J153" s="868">
        <v>42825</v>
      </c>
    </row>
    <row r="154" spans="1:11" x14ac:dyDescent="0.25">
      <c r="A154" s="312" t="s">
        <v>7</v>
      </c>
      <c r="B154" s="309" t="s">
        <v>14</v>
      </c>
      <c r="C154" s="313" t="s">
        <v>43</v>
      </c>
      <c r="D154" s="366" t="str">
        <f ca="1">IFERROR(OFFSET(Camp_List[P_Code],MATCH(Data_Demography_t[[#This Row],[Camp]],Camp_List[Camp Name],0)-1,0,1,1),"")</f>
        <v>MMR012CMP019</v>
      </c>
      <c r="E154" s="311" t="s">
        <v>656</v>
      </c>
      <c r="F154" s="353" t="s">
        <v>726</v>
      </c>
      <c r="G154" s="310">
        <v>139</v>
      </c>
      <c r="H154" s="156">
        <f t="shared" si="6"/>
        <v>139</v>
      </c>
      <c r="I154" s="313" t="s">
        <v>288</v>
      </c>
      <c r="J154" s="868">
        <v>42825</v>
      </c>
    </row>
    <row r="155" spans="1:11" x14ac:dyDescent="0.25">
      <c r="A155" s="312" t="s">
        <v>7</v>
      </c>
      <c r="B155" s="309" t="s">
        <v>14</v>
      </c>
      <c r="C155" s="313" t="s">
        <v>43</v>
      </c>
      <c r="D155" s="366" t="str">
        <f ca="1">IFERROR(OFFSET(Camp_List[P_Code],MATCH(Data_Demography_t[[#This Row],[Camp]],Camp_List[Camp Name],0)-1,0,1,1),"")</f>
        <v>MMR012CMP019</v>
      </c>
      <c r="E155" s="314" t="s">
        <v>882</v>
      </c>
      <c r="F155" s="313" t="s">
        <v>725</v>
      </c>
      <c r="G155" s="310">
        <v>0</v>
      </c>
      <c r="H155" s="156">
        <f t="shared" si="6"/>
        <v>0</v>
      </c>
      <c r="I155" s="313" t="s">
        <v>288</v>
      </c>
      <c r="J155" s="868">
        <v>42825</v>
      </c>
    </row>
    <row r="156" spans="1:11" x14ac:dyDescent="0.25">
      <c r="A156" s="312" t="s">
        <v>7</v>
      </c>
      <c r="B156" s="309" t="s">
        <v>14</v>
      </c>
      <c r="C156" s="313" t="s">
        <v>43</v>
      </c>
      <c r="D156" s="366" t="str">
        <f ca="1">IFERROR(OFFSET(Camp_List[P_Code],MATCH(Data_Demography_t[[#This Row],[Camp]],Camp_List[Camp Name],0)-1,0,1,1),"")</f>
        <v>MMR012CMP019</v>
      </c>
      <c r="E156" s="314" t="s">
        <v>882</v>
      </c>
      <c r="F156" s="353" t="s">
        <v>726</v>
      </c>
      <c r="G156" s="310">
        <v>0</v>
      </c>
      <c r="H156" s="156">
        <f t="shared" si="6"/>
        <v>0</v>
      </c>
      <c r="I156" s="313" t="s">
        <v>288</v>
      </c>
      <c r="J156" s="868">
        <v>42825</v>
      </c>
    </row>
    <row r="157" spans="1:11" s="793" customFormat="1" x14ac:dyDescent="0.25">
      <c r="A157" s="312" t="s">
        <v>7</v>
      </c>
      <c r="B157" s="309" t="s">
        <v>14</v>
      </c>
      <c r="C157" s="313" t="s">
        <v>43</v>
      </c>
      <c r="D157" s="366" t="str">
        <f ca="1">IFERROR(OFFSET(Camp_List[P_Code],MATCH(Data_Demography_t[[#This Row],[Camp]],Camp_List[Camp Name],0)-1,0,1,1),"")</f>
        <v>MMR012CMP019</v>
      </c>
      <c r="E157" s="314" t="s">
        <v>883</v>
      </c>
      <c r="F157" s="313" t="s">
        <v>725</v>
      </c>
      <c r="G157" s="310">
        <v>575</v>
      </c>
      <c r="H157" s="156">
        <f t="shared" si="6"/>
        <v>-575</v>
      </c>
      <c r="I157" s="313" t="s">
        <v>288</v>
      </c>
      <c r="J157" s="868">
        <v>42825</v>
      </c>
      <c r="K157" s="304"/>
    </row>
    <row r="158" spans="1:11" s="793" customFormat="1" x14ac:dyDescent="0.25">
      <c r="A158" s="312" t="s">
        <v>7</v>
      </c>
      <c r="B158" s="309" t="s">
        <v>14</v>
      </c>
      <c r="C158" s="313" t="s">
        <v>43</v>
      </c>
      <c r="D158" s="366" t="str">
        <f ca="1">IFERROR(OFFSET(Camp_List[P_Code],MATCH(Data_Demography_t[[#This Row],[Camp]],Camp_List[Camp Name],0)-1,0,1,1),"")</f>
        <v>MMR012CMP019</v>
      </c>
      <c r="E158" s="314" t="s">
        <v>883</v>
      </c>
      <c r="F158" s="353" t="s">
        <v>726</v>
      </c>
      <c r="G158" s="310">
        <v>641</v>
      </c>
      <c r="H158" s="156">
        <f t="shared" si="6"/>
        <v>641</v>
      </c>
      <c r="I158" s="313" t="s">
        <v>288</v>
      </c>
      <c r="J158" s="868">
        <v>42825</v>
      </c>
      <c r="K158" s="304"/>
    </row>
    <row r="159" spans="1:11" s="793" customFormat="1" x14ac:dyDescent="0.25">
      <c r="A159" s="312" t="s">
        <v>7</v>
      </c>
      <c r="B159" s="309" t="s">
        <v>14</v>
      </c>
      <c r="C159" s="313" t="s">
        <v>43</v>
      </c>
      <c r="D159" s="366" t="str">
        <f ca="1">IFERROR(OFFSET(Camp_List[P_Code],MATCH(Data_Demography_t[[#This Row],[Camp]],Camp_List[Camp Name],0)-1,0,1,1),"")</f>
        <v>MMR012CMP019</v>
      </c>
      <c r="E159" s="314" t="s">
        <v>859</v>
      </c>
      <c r="F159" s="315" t="s">
        <v>725</v>
      </c>
      <c r="G159" s="310">
        <v>35</v>
      </c>
      <c r="H159" s="156">
        <f t="shared" si="6"/>
        <v>-35</v>
      </c>
      <c r="I159" s="313" t="s">
        <v>288</v>
      </c>
      <c r="J159" s="868">
        <v>42825</v>
      </c>
      <c r="K159" s="304"/>
    </row>
    <row r="160" spans="1:11" s="793" customFormat="1" x14ac:dyDescent="0.25">
      <c r="A160" s="312" t="s">
        <v>7</v>
      </c>
      <c r="B160" s="309" t="s">
        <v>14</v>
      </c>
      <c r="C160" s="313" t="s">
        <v>43</v>
      </c>
      <c r="D160" s="366" t="str">
        <f ca="1">IFERROR(OFFSET(Camp_List[P_Code],MATCH(Data_Demography_t[[#This Row],[Camp]],Camp_List[Camp Name],0)-1,0,1,1),"")</f>
        <v>MMR012CMP019</v>
      </c>
      <c r="E160" s="314" t="s">
        <v>859</v>
      </c>
      <c r="F160" s="315" t="s">
        <v>726</v>
      </c>
      <c r="G160" s="310">
        <v>47</v>
      </c>
      <c r="H160" s="156">
        <f t="shared" si="6"/>
        <v>47</v>
      </c>
      <c r="I160" s="313" t="s">
        <v>288</v>
      </c>
      <c r="J160" s="868">
        <v>42825</v>
      </c>
      <c r="K160" s="304"/>
    </row>
    <row r="161" spans="1:11" x14ac:dyDescent="0.25">
      <c r="A161" s="312" t="s">
        <v>7</v>
      </c>
      <c r="B161" s="342" t="s">
        <v>867</v>
      </c>
      <c r="C161" s="353" t="s">
        <v>38</v>
      </c>
      <c r="D161" s="366" t="str">
        <f ca="1">IFERROR(OFFSET(Camp_List[P_Code],MATCH(Data_Demography_t[[#This Row],[Camp]],Camp_List[Camp Name],0)-1,0,1,1),"")</f>
        <v>MMR012CMP014</v>
      </c>
      <c r="E161" s="483" t="s">
        <v>1151</v>
      </c>
      <c r="F161" s="313" t="s">
        <v>725</v>
      </c>
      <c r="G161">
        <v>228</v>
      </c>
      <c r="H161" s="365">
        <f t="shared" si="6"/>
        <v>-228</v>
      </c>
      <c r="I161" s="362" t="s">
        <v>707</v>
      </c>
      <c r="J161" s="870">
        <v>42825</v>
      </c>
    </row>
    <row r="162" spans="1:11" x14ac:dyDescent="0.25">
      <c r="A162" s="312" t="s">
        <v>7</v>
      </c>
      <c r="B162" s="342" t="s">
        <v>867</v>
      </c>
      <c r="C162" s="353" t="s">
        <v>38</v>
      </c>
      <c r="D162" s="366" t="str">
        <f ca="1">IFERROR(OFFSET(Camp_List[P_Code],MATCH(Data_Demography_t[[#This Row],[Camp]],Camp_List[Camp Name],0)-1,0,1,1),"")</f>
        <v>MMR012CMP014</v>
      </c>
      <c r="E162" s="483" t="s">
        <v>1151</v>
      </c>
      <c r="F162" s="353" t="s">
        <v>726</v>
      </c>
      <c r="G162" s="941">
        <v>230</v>
      </c>
      <c r="H162" s="941">
        <v>218</v>
      </c>
      <c r="I162" s="362" t="s">
        <v>707</v>
      </c>
      <c r="J162" s="870">
        <v>42825</v>
      </c>
    </row>
    <row r="163" spans="1:11" x14ac:dyDescent="0.25">
      <c r="A163" s="312" t="s">
        <v>7</v>
      </c>
      <c r="B163" s="342" t="s">
        <v>867</v>
      </c>
      <c r="C163" s="353" t="s">
        <v>38</v>
      </c>
      <c r="D163" s="366" t="str">
        <f ca="1">IFERROR(OFFSET(Camp_List[P_Code],MATCH(Data_Demography_t[[#This Row],[Camp]],Camp_List[Camp Name],0)-1,0,1,1),"")</f>
        <v>MMR012CMP014</v>
      </c>
      <c r="E163" s="483" t="s">
        <v>881</v>
      </c>
      <c r="F163" s="313" t="s">
        <v>725</v>
      </c>
      <c r="G163" s="364">
        <v>238</v>
      </c>
      <c r="H163" s="365">
        <f t="shared" si="6"/>
        <v>-238</v>
      </c>
      <c r="I163" s="362" t="s">
        <v>707</v>
      </c>
      <c r="J163" s="870">
        <v>42825</v>
      </c>
    </row>
    <row r="164" spans="1:11" x14ac:dyDescent="0.25">
      <c r="A164" s="312" t="s">
        <v>7</v>
      </c>
      <c r="B164" s="342" t="s">
        <v>867</v>
      </c>
      <c r="C164" s="353" t="s">
        <v>38</v>
      </c>
      <c r="D164" s="366" t="str">
        <f ca="1">IFERROR(OFFSET(Camp_List[P_Code],MATCH(Data_Demography_t[[#This Row],[Camp]],Camp_List[Camp Name],0)-1,0,1,1),"")</f>
        <v>MMR012CMP014</v>
      </c>
      <c r="E164" s="483" t="s">
        <v>881</v>
      </c>
      <c r="F164" s="353" t="s">
        <v>726</v>
      </c>
      <c r="G164" s="364">
        <v>243</v>
      </c>
      <c r="H164" s="365">
        <f t="shared" si="6"/>
        <v>243</v>
      </c>
      <c r="I164" s="362" t="s">
        <v>707</v>
      </c>
      <c r="J164" s="870">
        <v>42825</v>
      </c>
    </row>
    <row r="165" spans="1:11" x14ac:dyDescent="0.25">
      <c r="A165" s="312" t="s">
        <v>7</v>
      </c>
      <c r="B165" s="342" t="s">
        <v>867</v>
      </c>
      <c r="C165" s="353" t="s">
        <v>38</v>
      </c>
      <c r="D165" s="366" t="str">
        <f ca="1">IFERROR(OFFSET(Camp_List[P_Code],MATCH(Data_Demography_t[[#This Row],[Camp]],Camp_List[Camp Name],0)-1,0,1,1),"")</f>
        <v>MMR012CMP014</v>
      </c>
      <c r="E165" s="311" t="s">
        <v>656</v>
      </c>
      <c r="F165" s="313" t="s">
        <v>725</v>
      </c>
      <c r="G165" s="364">
        <v>203</v>
      </c>
      <c r="H165" s="365">
        <f t="shared" si="6"/>
        <v>-203</v>
      </c>
      <c r="I165" s="362" t="s">
        <v>707</v>
      </c>
      <c r="J165" s="870">
        <v>42825</v>
      </c>
    </row>
    <row r="166" spans="1:11" x14ac:dyDescent="0.25">
      <c r="A166" s="312" t="s">
        <v>7</v>
      </c>
      <c r="B166" s="342" t="s">
        <v>867</v>
      </c>
      <c r="C166" s="353" t="s">
        <v>38</v>
      </c>
      <c r="D166" s="366" t="str">
        <f ca="1">IFERROR(OFFSET(Camp_List[P_Code],MATCH(Data_Demography_t[[#This Row],[Camp]],Camp_List[Camp Name],0)-1,0,1,1),"")</f>
        <v>MMR012CMP014</v>
      </c>
      <c r="E166" s="311" t="s">
        <v>656</v>
      </c>
      <c r="F166" s="353" t="s">
        <v>726</v>
      </c>
      <c r="G166" s="364">
        <v>207</v>
      </c>
      <c r="H166" s="365">
        <f t="shared" si="6"/>
        <v>207</v>
      </c>
      <c r="I166" s="362" t="s">
        <v>707</v>
      </c>
      <c r="J166" s="870">
        <v>42825</v>
      </c>
    </row>
    <row r="167" spans="1:11" x14ac:dyDescent="0.25">
      <c r="A167" s="312" t="s">
        <v>7</v>
      </c>
      <c r="B167" s="342" t="s">
        <v>867</v>
      </c>
      <c r="C167" s="353" t="s">
        <v>38</v>
      </c>
      <c r="D167" s="366" t="str">
        <f ca="1">IFERROR(OFFSET(Camp_List[P_Code],MATCH(Data_Demography_t[[#This Row],[Camp]],Camp_List[Camp Name],0)-1,0,1,1),"")</f>
        <v>MMR012CMP014</v>
      </c>
      <c r="E167" s="314" t="s">
        <v>882</v>
      </c>
      <c r="F167" s="313" t="s">
        <v>725</v>
      </c>
      <c r="G167" s="364">
        <v>178</v>
      </c>
      <c r="H167" s="365">
        <f t="shared" si="6"/>
        <v>-178</v>
      </c>
      <c r="I167" s="362" t="s">
        <v>707</v>
      </c>
      <c r="J167" s="870">
        <v>42825</v>
      </c>
    </row>
    <row r="168" spans="1:11" x14ac:dyDescent="0.25">
      <c r="A168" s="312" t="s">
        <v>7</v>
      </c>
      <c r="B168" s="342" t="s">
        <v>867</v>
      </c>
      <c r="C168" s="353" t="s">
        <v>38</v>
      </c>
      <c r="D168" s="366" t="str">
        <f ca="1">IFERROR(OFFSET(Camp_List[P_Code],MATCH(Data_Demography_t[[#This Row],[Camp]],Camp_List[Camp Name],0)-1,0,1,1),"")</f>
        <v>MMR012CMP014</v>
      </c>
      <c r="E168" s="314" t="s">
        <v>882</v>
      </c>
      <c r="F168" s="353" t="s">
        <v>726</v>
      </c>
      <c r="G168" s="310">
        <v>244</v>
      </c>
      <c r="H168" s="156">
        <f t="shared" si="6"/>
        <v>244</v>
      </c>
      <c r="I168" s="362" t="s">
        <v>707</v>
      </c>
      <c r="J168" s="870">
        <v>42825</v>
      </c>
    </row>
    <row r="169" spans="1:11" x14ac:dyDescent="0.25">
      <c r="A169" s="312" t="s">
        <v>7</v>
      </c>
      <c r="B169" s="342" t="s">
        <v>867</v>
      </c>
      <c r="C169" s="353" t="s">
        <v>38</v>
      </c>
      <c r="D169" s="366" t="str">
        <f ca="1">IFERROR(OFFSET(Camp_List[P_Code],MATCH(Data_Demography_t[[#This Row],[Camp]],Camp_List[Camp Name],0)-1,0,1,1),"")</f>
        <v>MMR012CMP014</v>
      </c>
      <c r="E169" s="314" t="s">
        <v>883</v>
      </c>
      <c r="F169" s="313" t="s">
        <v>725</v>
      </c>
      <c r="G169" s="310">
        <v>341</v>
      </c>
      <c r="H169" s="156">
        <f t="shared" si="6"/>
        <v>-341</v>
      </c>
      <c r="I169" s="362" t="s">
        <v>707</v>
      </c>
      <c r="J169" s="870">
        <v>42825</v>
      </c>
    </row>
    <row r="170" spans="1:11" x14ac:dyDescent="0.25">
      <c r="A170" s="312" t="s">
        <v>7</v>
      </c>
      <c r="B170" s="342" t="s">
        <v>867</v>
      </c>
      <c r="C170" s="353" t="s">
        <v>38</v>
      </c>
      <c r="D170" s="366" t="str">
        <f ca="1">IFERROR(OFFSET(Camp_List[P_Code],MATCH(Data_Demography_t[[#This Row],[Camp]],Camp_List[Camp Name],0)-1,0,1,1),"")</f>
        <v>MMR012CMP014</v>
      </c>
      <c r="E170" s="314" t="s">
        <v>883</v>
      </c>
      <c r="F170" s="353" t="s">
        <v>726</v>
      </c>
      <c r="G170" s="364">
        <v>441</v>
      </c>
      <c r="H170" s="365">
        <f t="shared" si="6"/>
        <v>441</v>
      </c>
      <c r="I170" s="362" t="s">
        <v>707</v>
      </c>
      <c r="J170" s="870">
        <v>42825</v>
      </c>
    </row>
    <row r="171" spans="1:11" x14ac:dyDescent="0.25">
      <c r="A171" s="312" t="s">
        <v>7</v>
      </c>
      <c r="B171" s="309" t="s">
        <v>867</v>
      </c>
      <c r="C171" s="313" t="s">
        <v>38</v>
      </c>
      <c r="D171" s="366" t="str">
        <f ca="1">IFERROR(OFFSET(Camp_List[P_Code],MATCH(Data_Demography_t[[#This Row],[Camp]],Camp_List[Camp Name],0)-1,0,1,1),"")</f>
        <v>MMR012CMP014</v>
      </c>
      <c r="E171" s="314" t="s">
        <v>859</v>
      </c>
      <c r="F171" s="315" t="s">
        <v>725</v>
      </c>
      <c r="G171" s="310">
        <v>69</v>
      </c>
      <c r="H171" s="156">
        <f t="shared" si="6"/>
        <v>-69</v>
      </c>
      <c r="I171" s="313" t="s">
        <v>707</v>
      </c>
      <c r="J171" s="870">
        <v>42825</v>
      </c>
    </row>
    <row r="172" spans="1:11" x14ac:dyDescent="0.25">
      <c r="A172" s="312" t="s">
        <v>7</v>
      </c>
      <c r="B172" s="309" t="s">
        <v>867</v>
      </c>
      <c r="C172" s="313" t="s">
        <v>38</v>
      </c>
      <c r="D172" s="366" t="str">
        <f ca="1">IFERROR(OFFSET(Camp_List[P_Code],MATCH(Data_Demography_t[[#This Row],[Camp]],Camp_List[Camp Name],0)-1,0,1,1),"")</f>
        <v>MMR012CMP014</v>
      </c>
      <c r="E172" s="314" t="s">
        <v>859</v>
      </c>
      <c r="F172" s="315" t="s">
        <v>726</v>
      </c>
      <c r="G172" s="310">
        <v>57</v>
      </c>
      <c r="H172" s="156">
        <f t="shared" si="6"/>
        <v>57</v>
      </c>
      <c r="I172" s="313" t="s">
        <v>707</v>
      </c>
      <c r="J172" s="870">
        <v>42825</v>
      </c>
    </row>
    <row r="173" spans="1:11" s="793" customFormat="1" x14ac:dyDescent="0.25">
      <c r="A173" s="312" t="s">
        <v>7</v>
      </c>
      <c r="B173" s="309" t="s">
        <v>19</v>
      </c>
      <c r="C173" s="313" t="s">
        <v>68</v>
      </c>
      <c r="D173" s="366" t="str">
        <f ca="1">IFERROR(OFFSET(Camp_List[P_Code],MATCH(Data_Demography_t[[#This Row],[Camp]],Camp_List[Camp Name],0)-1,0,1,1),"")</f>
        <v>MMR012CMP046</v>
      </c>
      <c r="E173" s="483" t="s">
        <v>1151</v>
      </c>
      <c r="F173" s="313" t="s">
        <v>725</v>
      </c>
      <c r="G173" s="310">
        <v>916</v>
      </c>
      <c r="H173" s="156">
        <f t="shared" si="6"/>
        <v>-916</v>
      </c>
      <c r="I173" s="313" t="s">
        <v>624</v>
      </c>
      <c r="J173" s="869">
        <v>42825</v>
      </c>
      <c r="K173" s="304"/>
    </row>
    <row r="174" spans="1:11" s="793" customFormat="1" x14ac:dyDescent="0.25">
      <c r="A174" s="312" t="s">
        <v>7</v>
      </c>
      <c r="B174" s="309" t="s">
        <v>19</v>
      </c>
      <c r="C174" s="313" t="s">
        <v>68</v>
      </c>
      <c r="D174" s="366" t="str">
        <f ca="1">IFERROR(OFFSET(Camp_List[P_Code],MATCH(Data_Demography_t[[#This Row],[Camp]],Camp_List[Camp Name],0)-1,0,1,1),"")</f>
        <v>MMR012CMP046</v>
      </c>
      <c r="E174" s="483" t="s">
        <v>1151</v>
      </c>
      <c r="F174" s="353" t="s">
        <v>726</v>
      </c>
      <c r="G174" s="310">
        <v>1030</v>
      </c>
      <c r="H174" s="156">
        <f t="shared" si="6"/>
        <v>1030</v>
      </c>
      <c r="I174" s="313" t="s">
        <v>624</v>
      </c>
      <c r="J174" s="869">
        <v>42825</v>
      </c>
      <c r="K174" s="304"/>
    </row>
    <row r="175" spans="1:11" x14ac:dyDescent="0.25">
      <c r="A175" s="312" t="s">
        <v>7</v>
      </c>
      <c r="B175" s="309" t="s">
        <v>19</v>
      </c>
      <c r="C175" s="313" t="s">
        <v>68</v>
      </c>
      <c r="D175" s="366" t="str">
        <f ca="1">IFERROR(OFFSET(Camp_List[P_Code],MATCH(Data_Demography_t[[#This Row],[Camp]],Camp_List[Camp Name],0)-1,0,1,1),"")</f>
        <v>MMR012CMP046</v>
      </c>
      <c r="E175" s="483" t="s">
        <v>881</v>
      </c>
      <c r="F175" s="313" t="s">
        <v>725</v>
      </c>
      <c r="G175" s="310">
        <v>1024</v>
      </c>
      <c r="H175" s="156">
        <f t="shared" si="6"/>
        <v>-1024</v>
      </c>
      <c r="I175" s="313" t="s">
        <v>624</v>
      </c>
      <c r="J175" s="869">
        <v>42825</v>
      </c>
    </row>
    <row r="176" spans="1:11" x14ac:dyDescent="0.25">
      <c r="A176" s="312" t="s">
        <v>7</v>
      </c>
      <c r="B176" s="309" t="s">
        <v>19</v>
      </c>
      <c r="C176" s="313" t="s">
        <v>68</v>
      </c>
      <c r="D176" s="366" t="str">
        <f ca="1">IFERROR(OFFSET(Camp_List[P_Code],MATCH(Data_Demography_t[[#This Row],[Camp]],Camp_List[Camp Name],0)-1,0,1,1),"")</f>
        <v>MMR012CMP046</v>
      </c>
      <c r="E176" s="483" t="s">
        <v>881</v>
      </c>
      <c r="F176" s="353" t="s">
        <v>726</v>
      </c>
      <c r="G176" s="310">
        <v>984</v>
      </c>
      <c r="H176" s="156">
        <f t="shared" si="6"/>
        <v>984</v>
      </c>
      <c r="I176" s="313" t="s">
        <v>624</v>
      </c>
      <c r="J176" s="869">
        <v>42825</v>
      </c>
    </row>
    <row r="177" spans="1:10" x14ac:dyDescent="0.25">
      <c r="A177" s="312" t="s">
        <v>7</v>
      </c>
      <c r="B177" s="309" t="s">
        <v>19</v>
      </c>
      <c r="C177" s="313" t="s">
        <v>68</v>
      </c>
      <c r="D177" s="366" t="str">
        <f ca="1">IFERROR(OFFSET(Camp_List[P_Code],MATCH(Data_Demography_t[[#This Row],[Camp]],Camp_List[Camp Name],0)-1,0,1,1),"")</f>
        <v>MMR012CMP046</v>
      </c>
      <c r="E177" s="311" t="s">
        <v>656</v>
      </c>
      <c r="F177" s="313" t="s">
        <v>725</v>
      </c>
      <c r="G177" s="310">
        <v>958</v>
      </c>
      <c r="H177" s="156">
        <f t="shared" si="6"/>
        <v>-958</v>
      </c>
      <c r="I177" s="313" t="s">
        <v>624</v>
      </c>
      <c r="J177" s="869">
        <v>42825</v>
      </c>
    </row>
    <row r="178" spans="1:10" x14ac:dyDescent="0.25">
      <c r="A178" s="312" t="s">
        <v>7</v>
      </c>
      <c r="B178" s="309" t="s">
        <v>19</v>
      </c>
      <c r="C178" s="313" t="s">
        <v>68</v>
      </c>
      <c r="D178" s="366" t="str">
        <f ca="1">IFERROR(OFFSET(Camp_List[P_Code],MATCH(Data_Demography_t[[#This Row],[Camp]],Camp_List[Camp Name],0)-1,0,1,1),"")</f>
        <v>MMR012CMP046</v>
      </c>
      <c r="E178" s="311" t="s">
        <v>656</v>
      </c>
      <c r="F178" s="353" t="s">
        <v>726</v>
      </c>
      <c r="G178" s="310">
        <v>922</v>
      </c>
      <c r="H178" s="156">
        <f t="shared" si="6"/>
        <v>922</v>
      </c>
      <c r="I178" s="313" t="s">
        <v>624</v>
      </c>
      <c r="J178" s="869">
        <v>42825</v>
      </c>
    </row>
    <row r="179" spans="1:10" x14ac:dyDescent="0.25">
      <c r="A179" s="312" t="s">
        <v>7</v>
      </c>
      <c r="B179" s="309" t="s">
        <v>19</v>
      </c>
      <c r="C179" s="313" t="s">
        <v>68</v>
      </c>
      <c r="D179" s="366" t="str">
        <f ca="1">IFERROR(OFFSET(Camp_List[P_Code],MATCH(Data_Demography_t[[#This Row],[Camp]],Camp_List[Camp Name],0)-1,0,1,1),"")</f>
        <v>MMR012CMP046</v>
      </c>
      <c r="E179" s="314" t="s">
        <v>882</v>
      </c>
      <c r="F179" s="313" t="s">
        <v>725</v>
      </c>
      <c r="G179" s="310">
        <v>998</v>
      </c>
      <c r="H179" s="156">
        <f t="shared" si="6"/>
        <v>-998</v>
      </c>
      <c r="I179" s="313" t="s">
        <v>624</v>
      </c>
      <c r="J179" s="869">
        <v>42825</v>
      </c>
    </row>
    <row r="180" spans="1:10" x14ac:dyDescent="0.25">
      <c r="A180" s="312" t="s">
        <v>7</v>
      </c>
      <c r="B180" s="309" t="s">
        <v>19</v>
      </c>
      <c r="C180" s="313" t="s">
        <v>68</v>
      </c>
      <c r="D180" s="366" t="str">
        <f ca="1">IFERROR(OFFSET(Camp_List[P_Code],MATCH(Data_Demography_t[[#This Row],[Camp]],Camp_List[Camp Name],0)-1,0,1,1),"")</f>
        <v>MMR012CMP046</v>
      </c>
      <c r="E180" s="314" t="s">
        <v>882</v>
      </c>
      <c r="F180" s="353" t="s">
        <v>726</v>
      </c>
      <c r="G180" s="310">
        <v>1212</v>
      </c>
      <c r="H180" s="156">
        <f t="shared" si="6"/>
        <v>1212</v>
      </c>
      <c r="I180" s="313" t="s">
        <v>624</v>
      </c>
      <c r="J180" s="869">
        <v>42825</v>
      </c>
    </row>
    <row r="181" spans="1:10" x14ac:dyDescent="0.25">
      <c r="A181" s="312" t="s">
        <v>7</v>
      </c>
      <c r="B181" s="309" t="s">
        <v>19</v>
      </c>
      <c r="C181" s="313" t="s">
        <v>68</v>
      </c>
      <c r="D181" s="366" t="str">
        <f ca="1">IFERROR(OFFSET(Camp_List[P_Code],MATCH(Data_Demography_t[[#This Row],[Camp]],Camp_List[Camp Name],0)-1,0,1,1),"")</f>
        <v>MMR012CMP046</v>
      </c>
      <c r="E181" s="314" t="s">
        <v>883</v>
      </c>
      <c r="F181" s="313" t="s">
        <v>725</v>
      </c>
      <c r="G181" s="364">
        <v>1546</v>
      </c>
      <c r="H181" s="365">
        <f t="shared" si="6"/>
        <v>-1546</v>
      </c>
      <c r="I181" s="313" t="s">
        <v>624</v>
      </c>
      <c r="J181" s="869">
        <v>42825</v>
      </c>
    </row>
    <row r="182" spans="1:10" x14ac:dyDescent="0.25">
      <c r="A182" s="312" t="s">
        <v>7</v>
      </c>
      <c r="B182" s="309" t="s">
        <v>19</v>
      </c>
      <c r="C182" s="313" t="s">
        <v>68</v>
      </c>
      <c r="D182" s="366" t="str">
        <f ca="1">IFERROR(OFFSET(Camp_List[P_Code],MATCH(Data_Demography_t[[#This Row],[Camp]],Camp_List[Camp Name],0)-1,0,1,1),"")</f>
        <v>MMR012CMP046</v>
      </c>
      <c r="E182" s="314" t="s">
        <v>883</v>
      </c>
      <c r="F182" s="353" t="s">
        <v>726</v>
      </c>
      <c r="G182" s="364">
        <v>1808</v>
      </c>
      <c r="H182" s="365">
        <f t="shared" si="6"/>
        <v>1808</v>
      </c>
      <c r="I182" s="313" t="s">
        <v>624</v>
      </c>
      <c r="J182" s="869">
        <v>42825</v>
      </c>
    </row>
    <row r="183" spans="1:10" x14ac:dyDescent="0.25">
      <c r="A183" s="312" t="s">
        <v>7</v>
      </c>
      <c r="B183" s="342" t="s">
        <v>19</v>
      </c>
      <c r="C183" s="353" t="s">
        <v>68</v>
      </c>
      <c r="D183" s="366" t="str">
        <f ca="1">IFERROR(OFFSET(Camp_List[P_Code],MATCH(Data_Demography_t[[#This Row],[Camp]],Camp_List[Camp Name],0)-1,0,1,1),"")</f>
        <v>MMR012CMP046</v>
      </c>
      <c r="E183" s="314" t="s">
        <v>859</v>
      </c>
      <c r="F183" s="313" t="s">
        <v>725</v>
      </c>
      <c r="G183" s="364">
        <v>200</v>
      </c>
      <c r="H183" s="365">
        <f t="shared" si="6"/>
        <v>-200</v>
      </c>
      <c r="I183" s="362" t="s">
        <v>624</v>
      </c>
      <c r="J183" s="869">
        <v>42825</v>
      </c>
    </row>
    <row r="184" spans="1:10" x14ac:dyDescent="0.25">
      <c r="A184" s="312" t="s">
        <v>7</v>
      </c>
      <c r="B184" s="342" t="s">
        <v>19</v>
      </c>
      <c r="C184" s="353" t="s">
        <v>68</v>
      </c>
      <c r="D184" s="366" t="str">
        <f ca="1">IFERROR(OFFSET(Camp_List[P_Code],MATCH(Data_Demography_t[[#This Row],[Camp]],Camp_List[Camp Name],0)-1,0,1,1),"")</f>
        <v>MMR012CMP046</v>
      </c>
      <c r="E184" s="314" t="s">
        <v>859</v>
      </c>
      <c r="F184" s="353" t="s">
        <v>726</v>
      </c>
      <c r="G184" s="364">
        <v>166</v>
      </c>
      <c r="H184" s="365">
        <f t="shared" si="6"/>
        <v>166</v>
      </c>
      <c r="I184" s="362" t="s">
        <v>624</v>
      </c>
      <c r="J184" s="869">
        <v>42825</v>
      </c>
    </row>
    <row r="185" spans="1:10" x14ac:dyDescent="0.25">
      <c r="A185" s="312" t="s">
        <v>7</v>
      </c>
      <c r="B185" s="309" t="s">
        <v>19</v>
      </c>
      <c r="C185" s="313" t="s">
        <v>70</v>
      </c>
      <c r="D185" s="366" t="str">
        <f ca="1">IFERROR(OFFSET(Camp_List[P_Code],MATCH(Data_Demography_t[[#This Row],[Camp]],Camp_List[Camp Name],0)-1,0,1,1),"")</f>
        <v>MMR012CMP048</v>
      </c>
      <c r="E185" s="483" t="s">
        <v>1151</v>
      </c>
      <c r="F185" s="315" t="s">
        <v>725</v>
      </c>
      <c r="G185" s="310">
        <v>550</v>
      </c>
      <c r="H185" s="156">
        <f t="shared" si="6"/>
        <v>-550</v>
      </c>
      <c r="I185" s="313" t="s">
        <v>971</v>
      </c>
      <c r="J185" s="869">
        <v>42825</v>
      </c>
    </row>
    <row r="186" spans="1:10" x14ac:dyDescent="0.25">
      <c r="A186" s="312" t="s">
        <v>7</v>
      </c>
      <c r="B186" s="309" t="s">
        <v>19</v>
      </c>
      <c r="C186" s="313" t="s">
        <v>70</v>
      </c>
      <c r="D186" s="366" t="str">
        <f ca="1">IFERROR(OFFSET(Camp_List[P_Code],MATCH(Data_Demography_t[[#This Row],[Camp]],Camp_List[Camp Name],0)-1,0,1,1),"")</f>
        <v>MMR012CMP048</v>
      </c>
      <c r="E186" s="483" t="s">
        <v>1151</v>
      </c>
      <c r="F186" s="315" t="s">
        <v>726</v>
      </c>
      <c r="G186" s="310">
        <v>534</v>
      </c>
      <c r="H186" s="156">
        <f t="shared" si="6"/>
        <v>534</v>
      </c>
      <c r="I186" s="313" t="s">
        <v>971</v>
      </c>
      <c r="J186" s="869">
        <v>42825</v>
      </c>
    </row>
    <row r="187" spans="1:10" x14ac:dyDescent="0.25">
      <c r="A187" s="312" t="s">
        <v>7</v>
      </c>
      <c r="B187" s="309" t="s">
        <v>19</v>
      </c>
      <c r="C187" s="313" t="s">
        <v>70</v>
      </c>
      <c r="D187" s="366" t="str">
        <f ca="1">IFERROR(OFFSET(Camp_List[P_Code],MATCH(Data_Demography_t[[#This Row],[Camp]],Camp_List[Camp Name],0)-1,0,1,1),"")</f>
        <v>MMR012CMP048</v>
      </c>
      <c r="E187" s="483" t="s">
        <v>881</v>
      </c>
      <c r="F187" s="315" t="s">
        <v>725</v>
      </c>
      <c r="G187" s="310">
        <v>485</v>
      </c>
      <c r="H187" s="156">
        <f t="shared" si="6"/>
        <v>-485</v>
      </c>
      <c r="I187" s="313" t="s">
        <v>971</v>
      </c>
      <c r="J187" s="869">
        <v>42825</v>
      </c>
    </row>
    <row r="188" spans="1:10" x14ac:dyDescent="0.25">
      <c r="A188" s="312" t="s">
        <v>7</v>
      </c>
      <c r="B188" s="309" t="s">
        <v>19</v>
      </c>
      <c r="C188" s="313" t="s">
        <v>70</v>
      </c>
      <c r="D188" s="366" t="str">
        <f ca="1">IFERROR(OFFSET(Camp_List[P_Code],MATCH(Data_Demography_t[[#This Row],[Camp]],Camp_List[Camp Name],0)-1,0,1,1),"")</f>
        <v>MMR012CMP048</v>
      </c>
      <c r="E188" s="483" t="s">
        <v>881</v>
      </c>
      <c r="F188" s="315" t="s">
        <v>726</v>
      </c>
      <c r="G188" s="310">
        <v>535</v>
      </c>
      <c r="H188" s="156">
        <f t="shared" si="6"/>
        <v>535</v>
      </c>
      <c r="I188" s="313" t="s">
        <v>971</v>
      </c>
      <c r="J188" s="869">
        <v>42825</v>
      </c>
    </row>
    <row r="189" spans="1:10" x14ac:dyDescent="0.25">
      <c r="A189" s="312" t="s">
        <v>7</v>
      </c>
      <c r="B189" s="309" t="s">
        <v>19</v>
      </c>
      <c r="C189" s="313" t="s">
        <v>70</v>
      </c>
      <c r="D189" s="366" t="str">
        <f ca="1">IFERROR(OFFSET(Camp_List[P_Code],MATCH(Data_Demography_t[[#This Row],[Camp]],Camp_List[Camp Name],0)-1,0,1,1),"")</f>
        <v>MMR012CMP048</v>
      </c>
      <c r="E189" s="314" t="s">
        <v>656</v>
      </c>
      <c r="F189" s="315" t="s">
        <v>725</v>
      </c>
      <c r="G189" s="310">
        <v>438</v>
      </c>
      <c r="H189" s="156">
        <f t="shared" si="6"/>
        <v>-438</v>
      </c>
      <c r="I189" s="313" t="s">
        <v>971</v>
      </c>
      <c r="J189" s="869">
        <v>42825</v>
      </c>
    </row>
    <row r="190" spans="1:10" x14ac:dyDescent="0.25">
      <c r="A190" s="312" t="s">
        <v>7</v>
      </c>
      <c r="B190" s="309" t="s">
        <v>19</v>
      </c>
      <c r="C190" s="313" t="s">
        <v>70</v>
      </c>
      <c r="D190" s="366" t="str">
        <f ca="1">IFERROR(OFFSET(Camp_List[P_Code],MATCH(Data_Demography_t[[#This Row],[Camp]],Camp_List[Camp Name],0)-1,0,1,1),"")</f>
        <v>MMR012CMP048</v>
      </c>
      <c r="E190" s="314" t="s">
        <v>656</v>
      </c>
      <c r="F190" s="315" t="s">
        <v>726</v>
      </c>
      <c r="G190" s="310">
        <v>439</v>
      </c>
      <c r="H190" s="156">
        <f t="shared" si="6"/>
        <v>439</v>
      </c>
      <c r="I190" s="313" t="s">
        <v>971</v>
      </c>
      <c r="J190" s="869">
        <v>42825</v>
      </c>
    </row>
    <row r="191" spans="1:10" x14ac:dyDescent="0.25">
      <c r="A191" s="312" t="s">
        <v>7</v>
      </c>
      <c r="B191" s="309" t="s">
        <v>19</v>
      </c>
      <c r="C191" s="313" t="s">
        <v>70</v>
      </c>
      <c r="D191" s="366" t="str">
        <f ca="1">IFERROR(OFFSET(Camp_List[P_Code],MATCH(Data_Demography_t[[#This Row],[Camp]],Camp_List[Camp Name],0)-1,0,1,1),"")</f>
        <v>MMR012CMP048</v>
      </c>
      <c r="E191" s="314" t="s">
        <v>882</v>
      </c>
      <c r="F191" s="315" t="s">
        <v>725</v>
      </c>
      <c r="G191" s="310">
        <v>645</v>
      </c>
      <c r="H191" s="156">
        <f t="shared" si="6"/>
        <v>-645</v>
      </c>
      <c r="I191" s="313" t="s">
        <v>971</v>
      </c>
      <c r="J191" s="869">
        <v>42825</v>
      </c>
    </row>
    <row r="192" spans="1:10" x14ac:dyDescent="0.25">
      <c r="A192" s="312" t="s">
        <v>7</v>
      </c>
      <c r="B192" s="309" t="s">
        <v>19</v>
      </c>
      <c r="C192" s="313" t="s">
        <v>70</v>
      </c>
      <c r="D192" s="366" t="str">
        <f ca="1">IFERROR(OFFSET(Camp_List[P_Code],MATCH(Data_Demography_t[[#This Row],[Camp]],Camp_List[Camp Name],0)-1,0,1,1),"")</f>
        <v>MMR012CMP048</v>
      </c>
      <c r="E192" s="314" t="s">
        <v>882</v>
      </c>
      <c r="F192" s="315" t="s">
        <v>726</v>
      </c>
      <c r="G192" s="310">
        <v>460</v>
      </c>
      <c r="H192" s="156">
        <f t="shared" si="6"/>
        <v>460</v>
      </c>
      <c r="I192" s="313" t="s">
        <v>971</v>
      </c>
      <c r="J192" s="869">
        <v>42825</v>
      </c>
    </row>
    <row r="193" spans="1:11" x14ac:dyDescent="0.25">
      <c r="A193" s="312" t="s">
        <v>7</v>
      </c>
      <c r="B193" s="309" t="s">
        <v>19</v>
      </c>
      <c r="C193" s="313" t="s">
        <v>70</v>
      </c>
      <c r="D193" s="366" t="str">
        <f ca="1">IFERROR(OFFSET(Camp_List[P_Code],MATCH(Data_Demography_t[[#This Row],[Camp]],Camp_List[Camp Name],0)-1,0,1,1),"")</f>
        <v>MMR012CMP048</v>
      </c>
      <c r="E193" s="314" t="s">
        <v>883</v>
      </c>
      <c r="F193" s="315" t="s">
        <v>725</v>
      </c>
      <c r="G193" s="310">
        <v>756</v>
      </c>
      <c r="H193" s="156">
        <f t="shared" si="6"/>
        <v>-756</v>
      </c>
      <c r="I193" s="313" t="s">
        <v>971</v>
      </c>
      <c r="J193" s="869">
        <v>42825</v>
      </c>
    </row>
    <row r="194" spans="1:11" x14ac:dyDescent="0.25">
      <c r="A194" s="312" t="s">
        <v>7</v>
      </c>
      <c r="B194" s="309" t="s">
        <v>19</v>
      </c>
      <c r="C194" s="313" t="s">
        <v>70</v>
      </c>
      <c r="D194" s="366" t="str">
        <f ca="1">IFERROR(OFFSET(Camp_List[P_Code],MATCH(Data_Demography_t[[#This Row],[Camp]],Camp_List[Camp Name],0)-1,0,1,1),"")</f>
        <v>MMR012CMP048</v>
      </c>
      <c r="E194" s="314" t="s">
        <v>883</v>
      </c>
      <c r="F194" s="315" t="s">
        <v>726</v>
      </c>
      <c r="G194" s="310">
        <v>725</v>
      </c>
      <c r="H194" s="156">
        <f t="shared" si="6"/>
        <v>725</v>
      </c>
      <c r="I194" s="313" t="s">
        <v>971</v>
      </c>
      <c r="J194" s="869">
        <v>42825</v>
      </c>
    </row>
    <row r="195" spans="1:11" x14ac:dyDescent="0.25">
      <c r="A195" s="312" t="s">
        <v>7</v>
      </c>
      <c r="B195" s="309" t="s">
        <v>19</v>
      </c>
      <c r="C195" s="313" t="s">
        <v>70</v>
      </c>
      <c r="D195" s="366" t="str">
        <f ca="1">IFERROR(OFFSET(Camp_List[P_Code],MATCH(Data_Demography_t[[#This Row],[Camp]],Camp_List[Camp Name],0)-1,0,1,1),"")</f>
        <v>MMR012CMP048</v>
      </c>
      <c r="E195" s="314" t="s">
        <v>859</v>
      </c>
      <c r="F195" s="313" t="s">
        <v>725</v>
      </c>
      <c r="G195" s="310">
        <v>134</v>
      </c>
      <c r="H195" s="156">
        <f t="shared" si="6"/>
        <v>-134</v>
      </c>
      <c r="I195" s="313" t="s">
        <v>971</v>
      </c>
      <c r="J195" s="869">
        <v>42825</v>
      </c>
    </row>
    <row r="196" spans="1:11" x14ac:dyDescent="0.25">
      <c r="A196" s="316" t="s">
        <v>7</v>
      </c>
      <c r="B196" s="350" t="s">
        <v>19</v>
      </c>
      <c r="C196" s="349" t="s">
        <v>70</v>
      </c>
      <c r="D196" s="366" t="str">
        <f ca="1">IFERROR(OFFSET(Camp_List[P_Code],MATCH(Data_Demography_t[[#This Row],[Camp]],Camp_List[Camp Name],0)-1,0,1,1),"")</f>
        <v>MMR012CMP048</v>
      </c>
      <c r="E196" s="318" t="s">
        <v>859</v>
      </c>
      <c r="F196" s="354" t="s">
        <v>726</v>
      </c>
      <c r="G196" s="317">
        <v>129</v>
      </c>
      <c r="H196" s="306">
        <f t="shared" si="6"/>
        <v>129</v>
      </c>
      <c r="I196" s="349" t="s">
        <v>971</v>
      </c>
      <c r="J196" s="869">
        <v>42825</v>
      </c>
    </row>
    <row r="197" spans="1:11" x14ac:dyDescent="0.25">
      <c r="A197" s="854" t="s">
        <v>7</v>
      </c>
      <c r="B197" s="855" t="s">
        <v>19</v>
      </c>
      <c r="C197" s="852" t="s">
        <v>61</v>
      </c>
      <c r="D197" s="366" t="str">
        <f ca="1">IFERROR(OFFSET(Camp_List[P_Code],MATCH(Data_Demography_t[[#This Row],[Camp]],Camp_List[Camp Name],0)-1,0,1,1),"")</f>
        <v>MMR012CMP039</v>
      </c>
      <c r="E197" s="483" t="s">
        <v>1151</v>
      </c>
      <c r="F197" s="859" t="s">
        <v>725</v>
      </c>
      <c r="G197" s="853">
        <v>236</v>
      </c>
      <c r="H197" s="852">
        <f t="shared" ref="H197:H208" si="7">IF(F197="M",-G197,G197)</f>
        <v>-236</v>
      </c>
      <c r="I197" s="856" t="s">
        <v>624</v>
      </c>
      <c r="J197" s="871">
        <v>42825</v>
      </c>
    </row>
    <row r="198" spans="1:11" x14ac:dyDescent="0.25">
      <c r="A198" s="854" t="s">
        <v>7</v>
      </c>
      <c r="B198" s="855" t="s">
        <v>19</v>
      </c>
      <c r="C198" s="852" t="s">
        <v>61</v>
      </c>
      <c r="D198" s="366" t="str">
        <f ca="1">IFERROR(OFFSET(Camp_List[P_Code],MATCH(Data_Demography_t[[#This Row],[Camp]],Camp_List[Camp Name],0)-1,0,1,1),"")</f>
        <v>MMR012CMP039</v>
      </c>
      <c r="E198" s="483" t="s">
        <v>1151</v>
      </c>
      <c r="F198" s="859" t="s">
        <v>726</v>
      </c>
      <c r="G198" s="853">
        <v>208</v>
      </c>
      <c r="H198" s="852">
        <f t="shared" si="7"/>
        <v>208</v>
      </c>
      <c r="I198" s="856" t="s">
        <v>624</v>
      </c>
      <c r="J198" s="871">
        <v>42825</v>
      </c>
    </row>
    <row r="199" spans="1:11" s="793" customFormat="1" x14ac:dyDescent="0.25">
      <c r="A199" s="854" t="s">
        <v>7</v>
      </c>
      <c r="B199" s="855" t="s">
        <v>19</v>
      </c>
      <c r="C199" s="856" t="s">
        <v>61</v>
      </c>
      <c r="D199" s="366" t="str">
        <f ca="1">IFERROR(OFFSET(Camp_List[P_Code],MATCH(Data_Demography_t[[#This Row],[Camp]],Camp_List[Camp Name],0)-1,0,1,1),"")</f>
        <v>MMR012CMP039</v>
      </c>
      <c r="E199" s="483" t="s">
        <v>881</v>
      </c>
      <c r="F199" s="859" t="s">
        <v>725</v>
      </c>
      <c r="G199" s="853">
        <v>175</v>
      </c>
      <c r="H199" s="852">
        <f t="shared" si="7"/>
        <v>-175</v>
      </c>
      <c r="I199" s="856" t="s">
        <v>624</v>
      </c>
      <c r="J199" s="871">
        <v>42825</v>
      </c>
      <c r="K199" s="304"/>
    </row>
    <row r="200" spans="1:11" s="793" customFormat="1" x14ac:dyDescent="0.25">
      <c r="A200" s="854" t="s">
        <v>7</v>
      </c>
      <c r="B200" s="855" t="s">
        <v>19</v>
      </c>
      <c r="C200" s="856" t="s">
        <v>61</v>
      </c>
      <c r="D200" s="366" t="str">
        <f ca="1">IFERROR(OFFSET(Camp_List[P_Code],MATCH(Data_Demography_t[[#This Row],[Camp]],Camp_List[Camp Name],0)-1,0,1,1),"")</f>
        <v>MMR012CMP039</v>
      </c>
      <c r="E200" s="483" t="s">
        <v>881</v>
      </c>
      <c r="F200" s="859" t="s">
        <v>726</v>
      </c>
      <c r="G200" s="853">
        <v>161</v>
      </c>
      <c r="H200" s="852">
        <f t="shared" si="7"/>
        <v>161</v>
      </c>
      <c r="I200" s="856" t="s">
        <v>624</v>
      </c>
      <c r="J200" s="871">
        <v>42825</v>
      </c>
      <c r="K200" s="304"/>
    </row>
    <row r="201" spans="1:11" s="793" customFormat="1" x14ac:dyDescent="0.25">
      <c r="A201" s="854" t="s">
        <v>7</v>
      </c>
      <c r="B201" s="855" t="s">
        <v>19</v>
      </c>
      <c r="C201" s="856" t="s">
        <v>61</v>
      </c>
      <c r="D201" s="366" t="str">
        <f ca="1">IFERROR(OFFSET(Camp_List[P_Code],MATCH(Data_Demography_t[[#This Row],[Camp]],Camp_List[Camp Name],0)-1,0,1,1),"")</f>
        <v>MMR012CMP039</v>
      </c>
      <c r="E201" s="857" t="s">
        <v>656</v>
      </c>
      <c r="F201" s="859" t="s">
        <v>725</v>
      </c>
      <c r="G201" s="853">
        <v>147</v>
      </c>
      <c r="H201" s="852">
        <f t="shared" si="7"/>
        <v>-147</v>
      </c>
      <c r="I201" s="856" t="s">
        <v>624</v>
      </c>
      <c r="J201" s="871">
        <v>42825</v>
      </c>
      <c r="K201" s="304"/>
    </row>
    <row r="202" spans="1:11" s="793" customFormat="1" x14ac:dyDescent="0.25">
      <c r="A202" s="854" t="s">
        <v>7</v>
      </c>
      <c r="B202" s="855" t="s">
        <v>19</v>
      </c>
      <c r="C202" s="856" t="s">
        <v>61</v>
      </c>
      <c r="D202" s="366" t="str">
        <f ca="1">IFERROR(OFFSET(Camp_List[P_Code],MATCH(Data_Demography_t[[#This Row],[Camp]],Camp_List[Camp Name],0)-1,0,1,1),"")</f>
        <v>MMR012CMP039</v>
      </c>
      <c r="E202" s="857" t="s">
        <v>656</v>
      </c>
      <c r="F202" s="859" t="s">
        <v>726</v>
      </c>
      <c r="G202" s="853">
        <v>134</v>
      </c>
      <c r="H202" s="852">
        <f t="shared" si="7"/>
        <v>134</v>
      </c>
      <c r="I202" s="856" t="s">
        <v>624</v>
      </c>
      <c r="J202" s="871">
        <v>42825</v>
      </c>
      <c r="K202" s="304"/>
    </row>
    <row r="203" spans="1:11" x14ac:dyDescent="0.25">
      <c r="A203" s="854" t="s">
        <v>7</v>
      </c>
      <c r="B203" s="855" t="s">
        <v>19</v>
      </c>
      <c r="C203" s="856" t="s">
        <v>61</v>
      </c>
      <c r="D203" s="366" t="str">
        <f ca="1">IFERROR(OFFSET(Camp_List[P_Code],MATCH(Data_Demography_t[[#This Row],[Camp]],Camp_List[Camp Name],0)-1,0,1,1),"")</f>
        <v>MMR012CMP039</v>
      </c>
      <c r="E203" s="857" t="s">
        <v>882</v>
      </c>
      <c r="F203" s="859" t="s">
        <v>725</v>
      </c>
      <c r="G203" s="853">
        <v>138</v>
      </c>
      <c r="H203" s="852">
        <f t="shared" si="7"/>
        <v>-138</v>
      </c>
      <c r="I203" s="856" t="s">
        <v>624</v>
      </c>
      <c r="J203" s="871">
        <v>42825</v>
      </c>
    </row>
    <row r="204" spans="1:11" x14ac:dyDescent="0.25">
      <c r="A204" s="854" t="s">
        <v>7</v>
      </c>
      <c r="B204" s="855" t="s">
        <v>19</v>
      </c>
      <c r="C204" s="856" t="s">
        <v>61</v>
      </c>
      <c r="D204" s="366" t="str">
        <f ca="1">IFERROR(OFFSET(Camp_List[P_Code],MATCH(Data_Demography_t[[#This Row],[Camp]],Camp_List[Camp Name],0)-1,0,1,1),"")</f>
        <v>MMR012CMP039</v>
      </c>
      <c r="E204" s="857" t="s">
        <v>882</v>
      </c>
      <c r="F204" s="859" t="s">
        <v>726</v>
      </c>
      <c r="G204" s="853">
        <v>218</v>
      </c>
      <c r="H204" s="852">
        <f t="shared" si="7"/>
        <v>218</v>
      </c>
      <c r="I204" s="856" t="s">
        <v>624</v>
      </c>
      <c r="J204" s="871">
        <v>42825</v>
      </c>
    </row>
    <row r="205" spans="1:11" x14ac:dyDescent="0.25">
      <c r="A205" s="854" t="s">
        <v>7</v>
      </c>
      <c r="B205" s="855" t="s">
        <v>19</v>
      </c>
      <c r="C205" s="856" t="s">
        <v>61</v>
      </c>
      <c r="D205" s="366" t="str">
        <f ca="1">IFERROR(OFFSET(Camp_List[P_Code],MATCH(Data_Demography_t[[#This Row],[Camp]],Camp_List[Camp Name],0)-1,0,1,1),"")</f>
        <v>MMR012CMP039</v>
      </c>
      <c r="E205" s="858" t="s">
        <v>883</v>
      </c>
      <c r="F205" s="859" t="s">
        <v>725</v>
      </c>
      <c r="G205" s="853">
        <v>312</v>
      </c>
      <c r="H205" s="852">
        <f t="shared" si="7"/>
        <v>-312</v>
      </c>
      <c r="I205" s="856" t="s">
        <v>624</v>
      </c>
      <c r="J205" s="871">
        <v>42825</v>
      </c>
    </row>
    <row r="206" spans="1:11" x14ac:dyDescent="0.25">
      <c r="A206" s="854" t="s">
        <v>7</v>
      </c>
      <c r="B206" s="855" t="s">
        <v>19</v>
      </c>
      <c r="C206" s="856" t="s">
        <v>61</v>
      </c>
      <c r="D206" s="366" t="str">
        <f ca="1">IFERROR(OFFSET(Camp_List[P_Code],MATCH(Data_Demography_t[[#This Row],[Camp]],Camp_List[Camp Name],0)-1,0,1,1),"")</f>
        <v>MMR012CMP039</v>
      </c>
      <c r="E206" s="858" t="s">
        <v>883</v>
      </c>
      <c r="F206" s="859" t="s">
        <v>726</v>
      </c>
      <c r="G206" s="853">
        <v>333</v>
      </c>
      <c r="H206" s="852">
        <f t="shared" si="7"/>
        <v>333</v>
      </c>
      <c r="I206" s="856" t="s">
        <v>624</v>
      </c>
      <c r="J206" s="871">
        <v>42825</v>
      </c>
    </row>
    <row r="207" spans="1:11" x14ac:dyDescent="0.25">
      <c r="A207" s="854" t="s">
        <v>7</v>
      </c>
      <c r="B207" s="855" t="s">
        <v>19</v>
      </c>
      <c r="C207" s="856" t="s">
        <v>61</v>
      </c>
      <c r="D207" s="366" t="str">
        <f ca="1">IFERROR(OFFSET(Camp_List[P_Code],MATCH(Data_Demography_t[[#This Row],[Camp]],Camp_List[Camp Name],0)-1,0,1,1),"")</f>
        <v>MMR012CMP039</v>
      </c>
      <c r="E207" s="857" t="s">
        <v>859</v>
      </c>
      <c r="F207" s="859" t="s">
        <v>725</v>
      </c>
      <c r="G207" s="853">
        <v>51</v>
      </c>
      <c r="H207" s="852">
        <f t="shared" si="7"/>
        <v>-51</v>
      </c>
      <c r="I207" s="856" t="s">
        <v>624</v>
      </c>
      <c r="J207" s="871">
        <v>42825</v>
      </c>
    </row>
    <row r="208" spans="1:11" x14ac:dyDescent="0.25">
      <c r="A208" s="860" t="s">
        <v>7</v>
      </c>
      <c r="B208" s="861" t="s">
        <v>19</v>
      </c>
      <c r="C208" s="862" t="s">
        <v>61</v>
      </c>
      <c r="D208" s="366" t="str">
        <f ca="1">IFERROR(OFFSET(Camp_List[P_Code],MATCH(Data_Demography_t[[#This Row],[Camp]],Camp_List[Camp Name],0)-1,0,1,1),"")</f>
        <v>MMR012CMP039</v>
      </c>
      <c r="E208" s="863" t="s">
        <v>859</v>
      </c>
      <c r="F208" s="864" t="s">
        <v>726</v>
      </c>
      <c r="G208" s="865">
        <v>62</v>
      </c>
      <c r="H208" s="866">
        <f t="shared" si="7"/>
        <v>62</v>
      </c>
      <c r="I208" s="862" t="s">
        <v>624</v>
      </c>
      <c r="J208" s="871">
        <v>42825</v>
      </c>
    </row>
    <row r="215" spans="1:11" s="793" customFormat="1" x14ac:dyDescent="0.25">
      <c r="A215" s="90"/>
      <c r="B215" s="90"/>
      <c r="C215" s="90"/>
      <c r="D215" s="90"/>
      <c r="E215" s="90"/>
      <c r="F215" s="90"/>
      <c r="G215" s="26"/>
      <c r="H215"/>
      <c r="I215" s="90"/>
      <c r="J215" s="304"/>
      <c r="K215" s="304"/>
    </row>
    <row r="216" spans="1:11" s="793" customFormat="1" x14ac:dyDescent="0.25">
      <c r="A216" s="90"/>
      <c r="B216" s="90"/>
      <c r="C216" s="90"/>
      <c r="D216" s="90"/>
      <c r="E216" s="90"/>
      <c r="F216" s="90"/>
      <c r="G216" s="26"/>
      <c r="H216"/>
      <c r="I216" s="90"/>
      <c r="J216" s="304"/>
      <c r="K216" s="304"/>
    </row>
    <row r="229" spans="1:11" s="793" customFormat="1" x14ac:dyDescent="0.25">
      <c r="A229" s="90"/>
      <c r="B229" s="90"/>
      <c r="C229" s="90"/>
      <c r="D229" s="90"/>
      <c r="E229" s="90"/>
      <c r="F229" s="90"/>
      <c r="G229" s="26"/>
      <c r="H229"/>
      <c r="I229" s="90"/>
      <c r="J229" s="304"/>
      <c r="K229" s="304"/>
    </row>
    <row r="230" spans="1:11" s="793" customFormat="1" x14ac:dyDescent="0.25">
      <c r="A230" s="90"/>
      <c r="B230" s="90"/>
      <c r="C230" s="90"/>
      <c r="D230" s="90"/>
      <c r="E230" s="90"/>
      <c r="F230" s="90"/>
      <c r="G230" s="26"/>
      <c r="H230"/>
      <c r="I230" s="90"/>
      <c r="J230" s="304"/>
      <c r="K230" s="304"/>
    </row>
  </sheetData>
  <dataValidations count="4">
    <dataValidation type="list" allowBlank="1" showInputMessage="1" showErrorMessage="1" sqref="A5:A208">
      <formula1>State</formula1>
    </dataValidation>
    <dataValidation type="list" allowBlank="1" showInputMessage="1" showErrorMessage="1" sqref="E5:E208">
      <formula1>Age_Category</formula1>
    </dataValidation>
    <dataValidation type="list" showInputMessage="1" showErrorMessage="1" sqref="B5:B208">
      <formula1>INDIRECT(A5)</formula1>
    </dataValidation>
    <dataValidation type="list" errorStyle="warning" showInputMessage="1" showErrorMessage="1" sqref="C5:C208">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topLeftCell="A16" zoomScale="80" zoomScaleNormal="80" workbookViewId="0">
      <selection activeCell="K46" sqref="K46"/>
    </sheetView>
  </sheetViews>
  <sheetFormatPr defaultColWidth="9.140625" defaultRowHeight="12.75" x14ac:dyDescent="0.2"/>
  <cols>
    <col min="1" max="1" width="7.28515625" style="155" bestFit="1" customWidth="1"/>
    <col min="2" max="2" width="10.5703125" style="155" bestFit="1" customWidth="1"/>
    <col min="3" max="3" width="51.4257812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x14ac:dyDescent="0.25">
      <c r="A1" s="591" t="s">
        <v>10</v>
      </c>
      <c r="B1" s="592" t="s">
        <v>1</v>
      </c>
      <c r="C1" s="592" t="s">
        <v>9</v>
      </c>
      <c r="D1" s="592" t="s">
        <v>566</v>
      </c>
      <c r="E1" s="593" t="s">
        <v>735</v>
      </c>
      <c r="F1" s="594" t="s">
        <v>5</v>
      </c>
      <c r="G1" s="594" t="s">
        <v>340</v>
      </c>
      <c r="H1" s="595" t="s">
        <v>871</v>
      </c>
      <c r="J1" s="941"/>
      <c r="K1"/>
      <c r="O1"/>
      <c r="P1"/>
      <c r="Q1"/>
      <c r="R1"/>
      <c r="S1"/>
      <c r="T1"/>
      <c r="U1"/>
      <c r="V1"/>
      <c r="W1"/>
      <c r="X1"/>
      <c r="Y1"/>
      <c r="Z1"/>
      <c r="AA1"/>
      <c r="AB1"/>
      <c r="AC1"/>
      <c r="AD1"/>
      <c r="AE1"/>
      <c r="AF1"/>
      <c r="AG1"/>
      <c r="AH1"/>
    </row>
    <row r="2" spans="1:34" ht="15" x14ac:dyDescent="0.25">
      <c r="A2" s="312" t="s">
        <v>7</v>
      </c>
      <c r="B2" s="328" t="s">
        <v>14</v>
      </c>
      <c r="C2" s="313" t="s">
        <v>40</v>
      </c>
      <c r="D2" s="313" t="str">
        <f ca="1">IFERROR(OFFSET(Camp_List[P_Code],MATCH(Data_Vulnerability_t[[#This Row],[Camp Name]],Camp_List[Camp Name],0)-1,0,1,1),"")</f>
        <v>MMR012CMP016</v>
      </c>
      <c r="E2" s="314" t="s">
        <v>1107</v>
      </c>
      <c r="F2" s="156">
        <v>36</v>
      </c>
      <c r="G2" s="309" t="s">
        <v>624</v>
      </c>
      <c r="H2" s="868">
        <v>42825</v>
      </c>
      <c r="J2" s="941"/>
      <c r="K2" s="941"/>
      <c r="O2"/>
      <c r="P2"/>
      <c r="Q2"/>
      <c r="R2"/>
      <c r="S2"/>
      <c r="T2"/>
      <c r="U2"/>
      <c r="V2"/>
      <c r="W2"/>
      <c r="X2"/>
      <c r="Y2"/>
      <c r="Z2"/>
      <c r="AA2"/>
      <c r="AB2"/>
      <c r="AC2"/>
      <c r="AD2"/>
      <c r="AE2"/>
      <c r="AF2"/>
      <c r="AG2"/>
      <c r="AH2"/>
    </row>
    <row r="3" spans="1:34" ht="15" x14ac:dyDescent="0.25">
      <c r="A3" s="312" t="s">
        <v>7</v>
      </c>
      <c r="B3" s="328" t="s">
        <v>14</v>
      </c>
      <c r="C3" s="313" t="s">
        <v>40</v>
      </c>
      <c r="D3" s="313" t="str">
        <f ca="1">IFERROR(OFFSET(Camp_List[P_Code],MATCH(Data_Vulnerability_t[[#This Row],[Camp Name]],Camp_List[Camp Name],0)-1,0,1,1),"")</f>
        <v>MMR012CMP016</v>
      </c>
      <c r="E3" s="314" t="s">
        <v>1108</v>
      </c>
      <c r="F3" s="156">
        <v>14</v>
      </c>
      <c r="G3" s="309" t="s">
        <v>624</v>
      </c>
      <c r="H3" s="868">
        <v>42825</v>
      </c>
      <c r="J3" s="941"/>
      <c r="K3" s="941"/>
      <c r="O3"/>
      <c r="P3"/>
      <c r="Q3"/>
      <c r="R3"/>
      <c r="S3"/>
      <c r="T3"/>
      <c r="U3"/>
      <c r="V3"/>
      <c r="W3"/>
      <c r="X3"/>
      <c r="Y3"/>
      <c r="Z3"/>
      <c r="AA3"/>
      <c r="AB3"/>
      <c r="AC3"/>
      <c r="AD3"/>
      <c r="AE3"/>
      <c r="AF3"/>
      <c r="AG3"/>
      <c r="AH3"/>
    </row>
    <row r="4" spans="1:34" ht="15" x14ac:dyDescent="0.25">
      <c r="A4" s="312" t="s">
        <v>7</v>
      </c>
      <c r="B4" s="328" t="s">
        <v>14</v>
      </c>
      <c r="C4" s="313" t="s">
        <v>40</v>
      </c>
      <c r="D4" s="313" t="str">
        <f ca="1">IFERROR(OFFSET(Camp_List[P_Code],MATCH(Data_Vulnerability_t[[#This Row],[Camp Name]],Camp_List[Camp Name],0)-1,0,1,1),"")</f>
        <v>MMR012CMP016</v>
      </c>
      <c r="E4" s="314" t="s">
        <v>1109</v>
      </c>
      <c r="F4" s="156">
        <v>14</v>
      </c>
      <c r="G4" s="309" t="s">
        <v>624</v>
      </c>
      <c r="H4" s="868">
        <v>42825</v>
      </c>
      <c r="J4" s="941"/>
      <c r="K4" s="941"/>
      <c r="O4"/>
      <c r="P4"/>
      <c r="Q4"/>
      <c r="R4"/>
      <c r="S4"/>
      <c r="T4"/>
      <c r="U4"/>
      <c r="V4"/>
      <c r="W4"/>
      <c r="X4"/>
      <c r="Y4"/>
      <c r="Z4"/>
      <c r="AA4"/>
      <c r="AB4"/>
      <c r="AC4"/>
      <c r="AD4"/>
      <c r="AE4"/>
      <c r="AF4"/>
      <c r="AG4"/>
      <c r="AH4"/>
    </row>
    <row r="5" spans="1:34" ht="15" x14ac:dyDescent="0.25">
      <c r="A5" s="312" t="s">
        <v>7</v>
      </c>
      <c r="B5" s="328" t="s">
        <v>14</v>
      </c>
      <c r="C5" s="313" t="s">
        <v>40</v>
      </c>
      <c r="D5" s="313" t="str">
        <f ca="1">IFERROR(OFFSET(Camp_List[P_Code],MATCH(Data_Vulnerability_t[[#This Row],[Camp Name]],Camp_List[Camp Name],0)-1,0,1,1),"")</f>
        <v>MMR012CMP016</v>
      </c>
      <c r="E5" s="314" t="s">
        <v>1110</v>
      </c>
      <c r="F5" s="156">
        <v>0</v>
      </c>
      <c r="G5" s="309" t="s">
        <v>624</v>
      </c>
      <c r="H5" s="868">
        <v>42825</v>
      </c>
      <c r="J5" s="941"/>
      <c r="K5" s="941"/>
      <c r="O5"/>
      <c r="P5"/>
      <c r="Q5"/>
      <c r="R5"/>
      <c r="S5"/>
      <c r="T5"/>
      <c r="U5"/>
      <c r="V5"/>
      <c r="W5"/>
      <c r="X5"/>
      <c r="Y5"/>
      <c r="Z5"/>
      <c r="AA5"/>
      <c r="AB5"/>
      <c r="AC5"/>
      <c r="AD5"/>
      <c r="AE5"/>
      <c r="AF5"/>
      <c r="AG5"/>
      <c r="AH5"/>
    </row>
    <row r="6" spans="1:34" ht="15" x14ac:dyDescent="0.25">
      <c r="A6" s="312" t="s">
        <v>7</v>
      </c>
      <c r="B6" s="328" t="s">
        <v>14</v>
      </c>
      <c r="C6" s="313" t="s">
        <v>40</v>
      </c>
      <c r="D6" s="313" t="str">
        <f ca="1">IFERROR(OFFSET(Camp_List[P_Code],MATCH(Data_Vulnerability_t[[#This Row],[Camp Name]],Camp_List[Camp Name],0)-1,0,1,1),"")</f>
        <v>MMR012CMP016</v>
      </c>
      <c r="E6" s="314" t="s">
        <v>1111</v>
      </c>
      <c r="F6" s="156">
        <v>0</v>
      </c>
      <c r="G6" s="309" t="s">
        <v>624</v>
      </c>
      <c r="H6" s="868">
        <v>42825</v>
      </c>
      <c r="J6" s="941"/>
      <c r="K6" s="941"/>
      <c r="O6"/>
      <c r="P6"/>
      <c r="Q6"/>
      <c r="R6"/>
      <c r="S6"/>
      <c r="T6"/>
      <c r="U6"/>
      <c r="V6"/>
      <c r="W6"/>
      <c r="X6"/>
      <c r="Y6"/>
      <c r="Z6"/>
      <c r="AA6"/>
      <c r="AB6"/>
      <c r="AC6"/>
      <c r="AD6"/>
      <c r="AE6"/>
      <c r="AF6"/>
      <c r="AG6"/>
      <c r="AH6"/>
    </row>
    <row r="7" spans="1:34" ht="15" x14ac:dyDescent="0.25">
      <c r="A7" s="312" t="s">
        <v>7</v>
      </c>
      <c r="B7" s="328" t="s">
        <v>14</v>
      </c>
      <c r="C7" s="313" t="s">
        <v>40</v>
      </c>
      <c r="D7" s="313" t="str">
        <f ca="1">IFERROR(OFFSET(Camp_List[P_Code],MATCH(Data_Vulnerability_t[[#This Row],[Camp Name]],Camp_List[Camp Name],0)-1,0,1,1),"")</f>
        <v>MMR012CMP016</v>
      </c>
      <c r="E7" s="314" t="s">
        <v>1112</v>
      </c>
      <c r="F7" s="156">
        <v>94</v>
      </c>
      <c r="G7" s="309" t="s">
        <v>624</v>
      </c>
      <c r="H7" s="868">
        <v>42825</v>
      </c>
      <c r="J7" s="941"/>
      <c r="K7" s="941"/>
      <c r="O7"/>
      <c r="P7"/>
      <c r="Q7"/>
      <c r="R7"/>
      <c r="S7"/>
      <c r="T7"/>
      <c r="U7"/>
      <c r="V7"/>
      <c r="W7"/>
      <c r="X7"/>
      <c r="Y7"/>
      <c r="Z7"/>
      <c r="AA7"/>
      <c r="AB7"/>
      <c r="AC7"/>
      <c r="AD7"/>
      <c r="AE7"/>
      <c r="AF7"/>
      <c r="AG7"/>
      <c r="AH7"/>
    </row>
    <row r="8" spans="1:34" ht="15" x14ac:dyDescent="0.25">
      <c r="A8" s="312" t="s">
        <v>7</v>
      </c>
      <c r="B8" s="328" t="s">
        <v>14</v>
      </c>
      <c r="C8" s="313" t="s">
        <v>40</v>
      </c>
      <c r="D8" s="313" t="str">
        <f ca="1">IFERROR(OFFSET(Camp_List[P_Code],MATCH(Data_Vulnerability_t[[#This Row],[Camp Name]],Camp_List[Camp Name],0)-1,0,1,1),"")</f>
        <v>MMR012CMP016</v>
      </c>
      <c r="E8" s="314" t="s">
        <v>1113</v>
      </c>
      <c r="F8" s="156">
        <v>199</v>
      </c>
      <c r="G8" s="309" t="s">
        <v>624</v>
      </c>
      <c r="H8" s="868">
        <v>42825</v>
      </c>
      <c r="J8" s="941"/>
      <c r="K8" s="941"/>
      <c r="O8"/>
      <c r="P8"/>
      <c r="Q8"/>
      <c r="R8"/>
      <c r="S8"/>
      <c r="T8"/>
      <c r="U8"/>
      <c r="V8"/>
      <c r="W8"/>
      <c r="X8"/>
      <c r="Y8"/>
      <c r="Z8"/>
      <c r="AA8"/>
      <c r="AB8"/>
      <c r="AC8"/>
      <c r="AD8"/>
      <c r="AE8"/>
      <c r="AF8"/>
      <c r="AG8"/>
      <c r="AH8"/>
    </row>
    <row r="9" spans="1:34" ht="15" x14ac:dyDescent="0.25">
      <c r="A9" s="312" t="s">
        <v>7</v>
      </c>
      <c r="B9" s="328" t="s">
        <v>14</v>
      </c>
      <c r="C9" s="313" t="s">
        <v>40</v>
      </c>
      <c r="D9" s="313" t="str">
        <f ca="1">IFERROR(OFFSET(Camp_List[P_Code],MATCH(Data_Vulnerability_t[[#This Row],[Camp Name]],Camp_List[Camp Name],0)-1,0,1,1),"")</f>
        <v>MMR012CMP016</v>
      </c>
      <c r="E9" s="314" t="s">
        <v>1114</v>
      </c>
      <c r="F9" s="156">
        <v>93</v>
      </c>
      <c r="G9" s="309" t="s">
        <v>624</v>
      </c>
      <c r="H9" s="868">
        <v>42825</v>
      </c>
      <c r="J9" s="941"/>
      <c r="K9" s="941"/>
      <c r="O9"/>
      <c r="P9"/>
      <c r="Q9"/>
      <c r="R9"/>
      <c r="S9"/>
      <c r="T9"/>
      <c r="U9"/>
      <c r="V9"/>
      <c r="W9"/>
      <c r="X9"/>
      <c r="Y9"/>
      <c r="Z9"/>
      <c r="AA9"/>
      <c r="AB9"/>
      <c r="AC9"/>
      <c r="AD9"/>
      <c r="AE9"/>
      <c r="AF9"/>
      <c r="AG9"/>
      <c r="AH9"/>
    </row>
    <row r="10" spans="1:34" ht="15.75" customHeight="1" x14ac:dyDescent="0.25">
      <c r="A10" s="312" t="s">
        <v>7</v>
      </c>
      <c r="B10" s="328" t="s">
        <v>14</v>
      </c>
      <c r="C10" s="313" t="s">
        <v>40</v>
      </c>
      <c r="D10" s="366" t="str">
        <f ca="1">IFERROR(OFFSET(Camp_List[P_Code],MATCH(Data_Vulnerability_t[[#This Row],[Camp Name]],Camp_List[Camp Name],0)-1,0,1,1),"")</f>
        <v>MMR012CMP016</v>
      </c>
      <c r="E10" s="314" t="s">
        <v>827</v>
      </c>
      <c r="F10" s="156">
        <v>323</v>
      </c>
      <c r="G10" s="309" t="s">
        <v>624</v>
      </c>
      <c r="H10" s="868">
        <v>42825</v>
      </c>
      <c r="J10" s="941"/>
      <c r="K10" s="941"/>
      <c r="O10" s="793"/>
      <c r="P10" s="793"/>
      <c r="Q10" s="793"/>
      <c r="R10" s="793"/>
      <c r="S10" s="793"/>
      <c r="T10" s="793"/>
      <c r="U10" s="793"/>
      <c r="V10" s="793"/>
      <c r="W10" s="793"/>
      <c r="X10" s="793"/>
      <c r="Y10" s="793"/>
      <c r="Z10" s="793"/>
      <c r="AA10" s="793"/>
      <c r="AB10" s="793"/>
      <c r="AC10" s="793"/>
      <c r="AD10" s="793"/>
      <c r="AE10" s="793"/>
      <c r="AF10" s="793"/>
      <c r="AG10" s="793"/>
      <c r="AH10" s="793"/>
    </row>
    <row r="11" spans="1:34" ht="15" customHeight="1" x14ac:dyDescent="0.25">
      <c r="A11" s="312" t="s">
        <v>7</v>
      </c>
      <c r="B11" s="328" t="s">
        <v>19</v>
      </c>
      <c r="C11" s="313" t="s">
        <v>61</v>
      </c>
      <c r="D11" s="313" t="str">
        <f ca="1">IFERROR(OFFSET(Camp_List[P_Code],MATCH(Data_Vulnerability_t[[#This Row],[Camp Name]],Camp_List[Camp Name],0)-1,0,1,1),"")</f>
        <v>MMR012CMP039</v>
      </c>
      <c r="E11" s="314" t="s">
        <v>1107</v>
      </c>
      <c r="F11" s="156">
        <v>46</v>
      </c>
      <c r="G11" s="309" t="s">
        <v>624</v>
      </c>
      <c r="H11" s="868">
        <v>42825</v>
      </c>
      <c r="J11" s="941"/>
      <c r="K11" s="941"/>
      <c r="L11"/>
      <c r="M11"/>
    </row>
    <row r="12" spans="1:34" ht="12.75" customHeight="1" x14ac:dyDescent="0.25">
      <c r="A12" s="312" t="s">
        <v>7</v>
      </c>
      <c r="B12" s="319" t="s">
        <v>19</v>
      </c>
      <c r="C12" s="313" t="s">
        <v>61</v>
      </c>
      <c r="D12" s="313" t="str">
        <f ca="1">IFERROR(OFFSET(Camp_List[P_Code],MATCH(Data_Vulnerability_t[[#This Row],[Camp Name]],Camp_List[Camp Name],0)-1,0,1,1),"")</f>
        <v>MMR012CMP039</v>
      </c>
      <c r="E12" s="314" t="s">
        <v>1108</v>
      </c>
      <c r="F12" s="308">
        <v>7</v>
      </c>
      <c r="G12" s="309" t="s">
        <v>624</v>
      </c>
      <c r="H12" s="868">
        <v>42825</v>
      </c>
      <c r="J12" s="941"/>
      <c r="K12" s="941"/>
      <c r="L12"/>
      <c r="M12"/>
    </row>
    <row r="13" spans="1:34" ht="12.75" customHeight="1" x14ac:dyDescent="0.25">
      <c r="A13" s="312" t="s">
        <v>7</v>
      </c>
      <c r="B13" s="319" t="s">
        <v>19</v>
      </c>
      <c r="C13" s="313" t="s">
        <v>61</v>
      </c>
      <c r="D13" s="313" t="str">
        <f ca="1">IFERROR(OFFSET(Camp_List[P_Code],MATCH(Data_Vulnerability_t[[#This Row],[Camp Name]],Camp_List[Camp Name],0)-1,0,1,1),"")</f>
        <v>MMR012CMP039</v>
      </c>
      <c r="E13" s="314" t="s">
        <v>1109</v>
      </c>
      <c r="F13" s="308">
        <v>5</v>
      </c>
      <c r="G13" s="309" t="s">
        <v>624</v>
      </c>
      <c r="H13" s="868">
        <v>42825</v>
      </c>
      <c r="J13" s="941"/>
      <c r="K13" s="941"/>
      <c r="L13"/>
    </row>
    <row r="14" spans="1:34" ht="12.75" customHeight="1" x14ac:dyDescent="0.25">
      <c r="A14" s="312" t="s">
        <v>7</v>
      </c>
      <c r="B14" s="328" t="s">
        <v>19</v>
      </c>
      <c r="C14" s="313" t="s">
        <v>61</v>
      </c>
      <c r="D14" s="313" t="str">
        <f ca="1">IFERROR(OFFSET(Camp_List[P_Code],MATCH(Data_Vulnerability_t[[#This Row],[Camp Name]],Camp_List[Camp Name],0)-1,0,1,1),"")</f>
        <v>MMR012CMP039</v>
      </c>
      <c r="E14" s="314" t="s">
        <v>1110</v>
      </c>
      <c r="F14" s="156">
        <v>0</v>
      </c>
      <c r="G14" s="309" t="s">
        <v>624</v>
      </c>
      <c r="H14" s="868">
        <v>42825</v>
      </c>
      <c r="J14" s="941"/>
      <c r="K14" s="941"/>
      <c r="L14"/>
    </row>
    <row r="15" spans="1:34" ht="12.75" customHeight="1" x14ac:dyDescent="0.25">
      <c r="A15" s="312" t="s">
        <v>7</v>
      </c>
      <c r="B15" s="328" t="s">
        <v>19</v>
      </c>
      <c r="C15" s="313" t="s">
        <v>61</v>
      </c>
      <c r="D15" s="313" t="str">
        <f ca="1">IFERROR(OFFSET(Camp_List[P_Code],MATCH(Data_Vulnerability_t[[#This Row],[Camp Name]],Camp_List[Camp Name],0)-1,0,1,1),"")</f>
        <v>MMR012CMP039</v>
      </c>
      <c r="E15" s="314" t="s">
        <v>1111</v>
      </c>
      <c r="F15" s="156">
        <v>0</v>
      </c>
      <c r="G15" s="309" t="s">
        <v>624</v>
      </c>
      <c r="H15" s="868">
        <v>42825</v>
      </c>
      <c r="J15" s="941"/>
      <c r="K15" s="941"/>
      <c r="L15"/>
    </row>
    <row r="16" spans="1:34" ht="12.75" customHeight="1" x14ac:dyDescent="0.25">
      <c r="A16" s="312" t="s">
        <v>7</v>
      </c>
      <c r="B16" s="328" t="s">
        <v>19</v>
      </c>
      <c r="C16" s="313" t="s">
        <v>61</v>
      </c>
      <c r="D16" s="363" t="str">
        <f ca="1">IFERROR(OFFSET(Camp_List[P_Code],MATCH(Data_Vulnerability_t[[#This Row],[Camp Name]],Camp_List[Camp Name],0)-1,0,1,1),"")</f>
        <v>MMR012CMP039</v>
      </c>
      <c r="E16" s="314" t="s">
        <v>1112</v>
      </c>
      <c r="F16" s="365">
        <v>66</v>
      </c>
      <c r="G16" s="309" t="s">
        <v>624</v>
      </c>
      <c r="H16" s="868">
        <v>42825</v>
      </c>
      <c r="J16" s="941"/>
      <c r="K16" s="941"/>
      <c r="L16"/>
    </row>
    <row r="17" spans="1:12" ht="12.75" customHeight="1" x14ac:dyDescent="0.25">
      <c r="A17" s="312" t="s">
        <v>7</v>
      </c>
      <c r="B17" s="328" t="s">
        <v>19</v>
      </c>
      <c r="C17" s="313" t="s">
        <v>61</v>
      </c>
      <c r="D17" s="363" t="str">
        <f ca="1">IFERROR(OFFSET(Camp_List[P_Code],MATCH(Data_Vulnerability_t[[#This Row],[Camp Name]],Camp_List[Camp Name],0)-1,0,1,1),"")</f>
        <v>MMR012CMP039</v>
      </c>
      <c r="E17" s="314" t="s">
        <v>1113</v>
      </c>
      <c r="F17" s="365">
        <v>46</v>
      </c>
      <c r="G17" s="309" t="s">
        <v>624</v>
      </c>
      <c r="H17" s="868">
        <v>42825</v>
      </c>
      <c r="J17"/>
      <c r="K17"/>
      <c r="L17"/>
    </row>
    <row r="18" spans="1:12" ht="12.75" customHeight="1" x14ac:dyDescent="0.25">
      <c r="A18" s="312" t="s">
        <v>7</v>
      </c>
      <c r="B18" s="328" t="s">
        <v>19</v>
      </c>
      <c r="C18" s="313" t="s">
        <v>61</v>
      </c>
      <c r="D18" s="313" t="str">
        <f ca="1">IFERROR(OFFSET(Camp_List[P_Code],MATCH(Data_Vulnerability_t[[#This Row],[Camp Name]],Camp_List[Camp Name],0)-1,0,1,1),"")</f>
        <v>MMR012CMP039</v>
      </c>
      <c r="E18" s="314" t="s">
        <v>1114</v>
      </c>
      <c r="F18" s="156">
        <v>19</v>
      </c>
      <c r="G18" s="309" t="s">
        <v>624</v>
      </c>
      <c r="H18" s="868">
        <v>42825</v>
      </c>
      <c r="J18"/>
      <c r="K18"/>
      <c r="L18"/>
    </row>
    <row r="19" spans="1:12" ht="12.75" customHeight="1" x14ac:dyDescent="0.25">
      <c r="A19" s="312" t="s">
        <v>7</v>
      </c>
      <c r="B19" s="328" t="s">
        <v>19</v>
      </c>
      <c r="C19" s="313" t="s">
        <v>61</v>
      </c>
      <c r="D19" s="366" t="str">
        <f ca="1">IFERROR(OFFSET(Camp_List[P_Code],MATCH(Data_Vulnerability_t[[#This Row],[Camp Name]],Camp_List[Camp Name],0)-1,0,1,1),"")</f>
        <v>MMR012CMP039</v>
      </c>
      <c r="E19" s="314" t="s">
        <v>827</v>
      </c>
      <c r="F19" s="156">
        <v>29</v>
      </c>
      <c r="G19" s="309" t="s">
        <v>624</v>
      </c>
      <c r="H19" s="868">
        <v>42825</v>
      </c>
      <c r="J19" s="793"/>
      <c r="K19" s="793"/>
      <c r="L19" s="793"/>
    </row>
    <row r="20" spans="1:12" ht="12.75" customHeight="1" x14ac:dyDescent="0.25">
      <c r="A20" s="312" t="s">
        <v>7</v>
      </c>
      <c r="B20" s="328" t="s">
        <v>19</v>
      </c>
      <c r="C20" s="313" t="s">
        <v>630</v>
      </c>
      <c r="D20" s="313" t="str">
        <f ca="1">IFERROR(OFFSET(Camp_List[P_Code],MATCH(Data_Vulnerability_t[[#This Row],[Camp Name]],Camp_List[Camp Name],0)-1,0,1,1),"")</f>
        <v>MMR012CMP113</v>
      </c>
      <c r="E20" s="314" t="s">
        <v>1107</v>
      </c>
      <c r="F20" s="156">
        <v>28</v>
      </c>
      <c r="G20" s="309" t="s">
        <v>288</v>
      </c>
      <c r="H20" s="868">
        <v>42825</v>
      </c>
      <c r="J20"/>
      <c r="K20"/>
      <c r="L20"/>
    </row>
    <row r="21" spans="1:12" ht="12.75" customHeight="1" x14ac:dyDescent="0.25">
      <c r="A21" s="312" t="s">
        <v>7</v>
      </c>
      <c r="B21" s="328" t="s">
        <v>19</v>
      </c>
      <c r="C21" s="313" t="s">
        <v>630</v>
      </c>
      <c r="D21" s="313" t="str">
        <f ca="1">IFERROR(OFFSET(Camp_List[P_Code],MATCH(Data_Vulnerability_t[[#This Row],[Camp Name]],Camp_List[Camp Name],0)-1,0,1,1),"")</f>
        <v>MMR012CMP113</v>
      </c>
      <c r="E21" s="314" t="s">
        <v>1108</v>
      </c>
      <c r="F21" s="156">
        <v>0</v>
      </c>
      <c r="G21" s="309" t="s">
        <v>288</v>
      </c>
      <c r="H21" s="868">
        <v>42825</v>
      </c>
      <c r="J21"/>
      <c r="K21"/>
      <c r="L21"/>
    </row>
    <row r="22" spans="1:12" ht="12.75" customHeight="1" x14ac:dyDescent="0.25">
      <c r="A22" s="312" t="s">
        <v>7</v>
      </c>
      <c r="B22" s="328" t="s">
        <v>19</v>
      </c>
      <c r="C22" s="313" t="s">
        <v>630</v>
      </c>
      <c r="D22" s="313" t="str">
        <f ca="1">IFERROR(OFFSET(Camp_List[P_Code],MATCH(Data_Vulnerability_t[[#This Row],[Camp Name]],Camp_List[Camp Name],0)-1,0,1,1),"")</f>
        <v>MMR012CMP113</v>
      </c>
      <c r="E22" s="314" t="s">
        <v>1109</v>
      </c>
      <c r="F22" s="156">
        <v>40</v>
      </c>
      <c r="G22" s="309" t="s">
        <v>288</v>
      </c>
      <c r="H22" s="868">
        <v>42825</v>
      </c>
      <c r="J22"/>
      <c r="K22"/>
      <c r="L22"/>
    </row>
    <row r="23" spans="1:12" ht="15" x14ac:dyDescent="0.25">
      <c r="A23" s="312" t="s">
        <v>7</v>
      </c>
      <c r="B23" s="328" t="s">
        <v>19</v>
      </c>
      <c r="C23" s="313" t="s">
        <v>630</v>
      </c>
      <c r="D23" s="313" t="str">
        <f ca="1">IFERROR(OFFSET(Camp_List[P_Code],MATCH(Data_Vulnerability_t[[#This Row],[Camp Name]],Camp_List[Camp Name],0)-1,0,1,1),"")</f>
        <v>MMR012CMP113</v>
      </c>
      <c r="E23" s="314" t="s">
        <v>1110</v>
      </c>
      <c r="F23" s="156">
        <v>12</v>
      </c>
      <c r="G23" s="309" t="s">
        <v>288</v>
      </c>
      <c r="H23" s="868">
        <v>42825</v>
      </c>
      <c r="K23"/>
      <c r="L23"/>
    </row>
    <row r="24" spans="1:12" ht="15" x14ac:dyDescent="0.25">
      <c r="A24" s="312" t="s">
        <v>7</v>
      </c>
      <c r="B24" s="328" t="s">
        <v>19</v>
      </c>
      <c r="C24" s="313" t="s">
        <v>630</v>
      </c>
      <c r="D24" s="313" t="str">
        <f ca="1">IFERROR(OFFSET(Camp_List[P_Code],MATCH(Data_Vulnerability_t[[#This Row],[Camp Name]],Camp_List[Camp Name],0)-1,0,1,1),"")</f>
        <v>MMR012CMP113</v>
      </c>
      <c r="E24" s="314" t="s">
        <v>1111</v>
      </c>
      <c r="F24" s="156">
        <v>14</v>
      </c>
      <c r="G24" s="309" t="s">
        <v>288</v>
      </c>
      <c r="H24" s="868">
        <v>42825</v>
      </c>
      <c r="K24"/>
      <c r="L24"/>
    </row>
    <row r="25" spans="1:12" ht="15" x14ac:dyDescent="0.25">
      <c r="A25" s="312" t="s">
        <v>7</v>
      </c>
      <c r="B25" s="328" t="s">
        <v>19</v>
      </c>
      <c r="C25" s="313" t="s">
        <v>630</v>
      </c>
      <c r="D25" s="313" t="str">
        <f ca="1">IFERROR(OFFSET(Camp_List[P_Code],MATCH(Data_Vulnerability_t[[#This Row],[Camp Name]],Camp_List[Camp Name],0)-1,0,1,1),"")</f>
        <v>MMR012CMP113</v>
      </c>
      <c r="E25" s="314" t="s">
        <v>1112</v>
      </c>
      <c r="F25" s="156">
        <v>15</v>
      </c>
      <c r="G25" s="309" t="s">
        <v>288</v>
      </c>
      <c r="H25" s="868">
        <v>42766</v>
      </c>
      <c r="K25"/>
      <c r="L25"/>
    </row>
    <row r="26" spans="1:12" ht="15" x14ac:dyDescent="0.25">
      <c r="A26" s="312" t="s">
        <v>7</v>
      </c>
      <c r="B26" s="328" t="s">
        <v>19</v>
      </c>
      <c r="C26" s="313" t="s">
        <v>630</v>
      </c>
      <c r="D26" s="313" t="str">
        <f ca="1">IFERROR(OFFSET(Camp_List[P_Code],MATCH(Data_Vulnerability_t[[#This Row],[Camp Name]],Camp_List[Camp Name],0)-1,0,1,1),"")</f>
        <v>MMR012CMP113</v>
      </c>
      <c r="E26" s="314" t="s">
        <v>1113</v>
      </c>
      <c r="F26" s="156">
        <v>125</v>
      </c>
      <c r="G26" s="309" t="s">
        <v>288</v>
      </c>
      <c r="H26" s="868">
        <v>42766</v>
      </c>
      <c r="K26"/>
      <c r="L26"/>
    </row>
    <row r="27" spans="1:12" ht="15" x14ac:dyDescent="0.25">
      <c r="A27" s="312" t="s">
        <v>7</v>
      </c>
      <c r="B27" s="328" t="s">
        <v>19</v>
      </c>
      <c r="C27" s="313" t="s">
        <v>630</v>
      </c>
      <c r="D27" s="313" t="str">
        <f ca="1">IFERROR(OFFSET(Camp_List[P_Code],MATCH(Data_Vulnerability_t[[#This Row],[Camp Name]],Camp_List[Camp Name],0)-1,0,1,1),"")</f>
        <v>MMR012CMP113</v>
      </c>
      <c r="E27" s="314" t="s">
        <v>1114</v>
      </c>
      <c r="F27" s="156">
        <v>0</v>
      </c>
      <c r="G27" s="309" t="s">
        <v>288</v>
      </c>
      <c r="H27" s="868">
        <v>42766</v>
      </c>
      <c r="K27"/>
      <c r="L27"/>
    </row>
    <row r="28" spans="1:12" ht="15" x14ac:dyDescent="0.25">
      <c r="A28" s="312" t="s">
        <v>7</v>
      </c>
      <c r="B28" s="328" t="s">
        <v>19</v>
      </c>
      <c r="C28" s="313" t="s">
        <v>630</v>
      </c>
      <c r="D28" s="366" t="str">
        <f ca="1">IFERROR(OFFSET(Camp_List[P_Code],MATCH(Data_Vulnerability_t[[#This Row],[Camp Name]],Camp_List[Camp Name],0)-1,0,1,1),"")</f>
        <v>MMR012CMP113</v>
      </c>
      <c r="E28" s="314" t="s">
        <v>827</v>
      </c>
      <c r="F28" s="156">
        <v>0</v>
      </c>
      <c r="G28" s="309" t="s">
        <v>288</v>
      </c>
      <c r="H28" s="868">
        <v>42766</v>
      </c>
      <c r="K28" s="793"/>
      <c r="L28" s="793"/>
    </row>
    <row r="29" spans="1:12" ht="15" x14ac:dyDescent="0.25">
      <c r="A29" s="312" t="s">
        <v>7</v>
      </c>
      <c r="B29" s="328" t="s">
        <v>19</v>
      </c>
      <c r="C29" s="353" t="s">
        <v>631</v>
      </c>
      <c r="D29" s="313" t="str">
        <f ca="1">IFERROR(OFFSET(Camp_List[P_Code],MATCH(Data_Vulnerability_t[[#This Row],[Camp Name]],Camp_List[Camp Name],0)-1,0,1,1),"")</f>
        <v>MMR012CMP114</v>
      </c>
      <c r="E29" s="314" t="s">
        <v>1107</v>
      </c>
      <c r="F29" s="156">
        <v>43</v>
      </c>
      <c r="G29" s="309" t="s">
        <v>288</v>
      </c>
      <c r="H29" s="868">
        <v>42825</v>
      </c>
      <c r="K29"/>
      <c r="L29"/>
    </row>
    <row r="30" spans="1:12" ht="15" x14ac:dyDescent="0.25">
      <c r="A30" s="312" t="s">
        <v>7</v>
      </c>
      <c r="B30" s="328" t="s">
        <v>19</v>
      </c>
      <c r="C30" s="353" t="s">
        <v>631</v>
      </c>
      <c r="D30" s="313" t="str">
        <f ca="1">IFERROR(OFFSET(Camp_List[P_Code],MATCH(Data_Vulnerability_t[[#This Row],[Camp Name]],Camp_List[Camp Name],0)-1,0,1,1),"")</f>
        <v>MMR012CMP114</v>
      </c>
      <c r="E30" s="314" t="s">
        <v>1108</v>
      </c>
      <c r="F30" s="156">
        <v>0</v>
      </c>
      <c r="G30" s="309" t="s">
        <v>288</v>
      </c>
      <c r="H30" s="868">
        <v>42825</v>
      </c>
      <c r="K30"/>
      <c r="L30"/>
    </row>
    <row r="31" spans="1:12" ht="15" x14ac:dyDescent="0.25">
      <c r="A31" s="312" t="s">
        <v>7</v>
      </c>
      <c r="B31" s="328" t="s">
        <v>19</v>
      </c>
      <c r="C31" s="353" t="s">
        <v>631</v>
      </c>
      <c r="D31" s="313" t="str">
        <f ca="1">IFERROR(OFFSET(Camp_List[P_Code],MATCH(Data_Vulnerability_t[[#This Row],[Camp Name]],Camp_List[Camp Name],0)-1,0,1,1),"")</f>
        <v>MMR012CMP114</v>
      </c>
      <c r="E31" s="314" t="s">
        <v>1109</v>
      </c>
      <c r="F31" s="156">
        <v>55</v>
      </c>
      <c r="G31" s="309" t="s">
        <v>288</v>
      </c>
      <c r="H31" s="868">
        <v>42825</v>
      </c>
      <c r="K31"/>
      <c r="L31"/>
    </row>
    <row r="32" spans="1:12" ht="15" x14ac:dyDescent="0.25">
      <c r="A32" s="312" t="s">
        <v>7</v>
      </c>
      <c r="B32" s="328" t="s">
        <v>19</v>
      </c>
      <c r="C32" s="353" t="s">
        <v>631</v>
      </c>
      <c r="D32" s="313" t="str">
        <f ca="1">IFERROR(OFFSET(Camp_List[P_Code],MATCH(Data_Vulnerability_t[[#This Row],[Camp Name]],Camp_List[Camp Name],0)-1,0,1,1),"")</f>
        <v>MMR012CMP114</v>
      </c>
      <c r="E32" s="314" t="s">
        <v>1110</v>
      </c>
      <c r="F32" s="156">
        <v>34</v>
      </c>
      <c r="G32" s="309" t="s">
        <v>288</v>
      </c>
      <c r="H32" s="868">
        <v>42825</v>
      </c>
      <c r="K32"/>
      <c r="L32"/>
    </row>
    <row r="33" spans="1:14" ht="15" x14ac:dyDescent="0.25">
      <c r="A33" s="312" t="s">
        <v>7</v>
      </c>
      <c r="B33" s="328" t="s">
        <v>19</v>
      </c>
      <c r="C33" s="353" t="s">
        <v>631</v>
      </c>
      <c r="D33" s="313" t="str">
        <f ca="1">IFERROR(OFFSET(Camp_List[P_Code],MATCH(Data_Vulnerability_t[[#This Row],[Camp Name]],Camp_List[Camp Name],0)-1,0,1,1),"")</f>
        <v>MMR012CMP114</v>
      </c>
      <c r="E33" s="314" t="s">
        <v>1111</v>
      </c>
      <c r="F33" s="156">
        <v>13</v>
      </c>
      <c r="G33" s="309" t="s">
        <v>288</v>
      </c>
      <c r="H33" s="868">
        <v>42825</v>
      </c>
      <c r="K33"/>
      <c r="L33"/>
    </row>
    <row r="34" spans="1:14" ht="15" x14ac:dyDescent="0.25">
      <c r="A34" s="312" t="s">
        <v>7</v>
      </c>
      <c r="B34" s="328" t="s">
        <v>19</v>
      </c>
      <c r="C34" s="353" t="s">
        <v>631</v>
      </c>
      <c r="D34" s="313" t="str">
        <f ca="1">IFERROR(OFFSET(Camp_List[P_Code],MATCH(Data_Vulnerability_t[[#This Row],[Camp Name]],Camp_List[Camp Name],0)-1,0,1,1),"")</f>
        <v>MMR012CMP114</v>
      </c>
      <c r="E34" s="314" t="s">
        <v>1112</v>
      </c>
      <c r="F34" s="156">
        <v>26</v>
      </c>
      <c r="G34" s="309" t="s">
        <v>288</v>
      </c>
      <c r="H34" s="868">
        <v>42825</v>
      </c>
      <c r="K34"/>
      <c r="L34"/>
    </row>
    <row r="35" spans="1:14" ht="15" x14ac:dyDescent="0.25">
      <c r="A35" s="312" t="s">
        <v>7</v>
      </c>
      <c r="B35" s="328" t="s">
        <v>19</v>
      </c>
      <c r="C35" s="353" t="s">
        <v>631</v>
      </c>
      <c r="D35" s="313" t="str">
        <f ca="1">IFERROR(OFFSET(Camp_List[P_Code],MATCH(Data_Vulnerability_t[[#This Row],[Camp Name]],Camp_List[Camp Name],0)-1,0,1,1),"")</f>
        <v>MMR012CMP114</v>
      </c>
      <c r="E35" s="314" t="s">
        <v>1113</v>
      </c>
      <c r="F35" s="156">
        <v>185</v>
      </c>
      <c r="G35" s="309" t="s">
        <v>288</v>
      </c>
      <c r="H35" s="868">
        <v>42825</v>
      </c>
      <c r="K35"/>
      <c r="L35"/>
    </row>
    <row r="36" spans="1:14" ht="15" x14ac:dyDescent="0.25">
      <c r="A36" s="312" t="s">
        <v>7</v>
      </c>
      <c r="B36" s="328" t="s">
        <v>19</v>
      </c>
      <c r="C36" s="353" t="s">
        <v>631</v>
      </c>
      <c r="D36" s="313" t="str">
        <f ca="1">IFERROR(OFFSET(Camp_List[P_Code],MATCH(Data_Vulnerability_t[[#This Row],[Camp Name]],Camp_List[Camp Name],0)-1,0,1,1),"")</f>
        <v>MMR012CMP114</v>
      </c>
      <c r="E36" s="314" t="s">
        <v>1114</v>
      </c>
      <c r="F36" s="156">
        <v>0</v>
      </c>
      <c r="G36" s="309" t="s">
        <v>288</v>
      </c>
      <c r="H36" s="868">
        <v>42825</v>
      </c>
      <c r="K36" s="90"/>
      <c r="L36" s="90"/>
    </row>
    <row r="37" spans="1:14" ht="15" x14ac:dyDescent="0.25">
      <c r="A37" s="312" t="s">
        <v>7</v>
      </c>
      <c r="B37" s="328" t="s">
        <v>19</v>
      </c>
      <c r="C37" s="353" t="s">
        <v>631</v>
      </c>
      <c r="D37" s="366" t="str">
        <f ca="1">IFERROR(OFFSET(Camp_List[P_Code],MATCH(Data_Vulnerability_t[[#This Row],[Camp Name]],Camp_List[Camp Name],0)-1,0,1,1),"")</f>
        <v>MMR012CMP114</v>
      </c>
      <c r="E37" s="314" t="s">
        <v>827</v>
      </c>
      <c r="F37" s="156">
        <v>0</v>
      </c>
      <c r="G37" s="309" t="s">
        <v>288</v>
      </c>
      <c r="H37" s="868">
        <v>42825</v>
      </c>
      <c r="K37" s="793"/>
      <c r="L37" s="793"/>
    </row>
    <row r="38" spans="1:14" ht="15" x14ac:dyDescent="0.25">
      <c r="A38" s="312" t="s">
        <v>7</v>
      </c>
      <c r="B38" s="328" t="s">
        <v>19</v>
      </c>
      <c r="C38" s="313" t="s">
        <v>63</v>
      </c>
      <c r="D38" s="313" t="str">
        <f ca="1">IFERROR(OFFSET(Camp_List[P_Code],MATCH(Data_Vulnerability_t[[#This Row],[Camp Name]],Camp_List[Camp Name],0)-1,0,1,1),"")</f>
        <v>MMR012CMP041</v>
      </c>
      <c r="E38" s="314" t="s">
        <v>1107</v>
      </c>
      <c r="F38" s="156">
        <v>94</v>
      </c>
      <c r="G38" s="309" t="s">
        <v>288</v>
      </c>
      <c r="H38" s="868">
        <v>42825</v>
      </c>
      <c r="K38" s="90"/>
      <c r="L38" s="90"/>
    </row>
    <row r="39" spans="1:14" ht="15" x14ac:dyDescent="0.25">
      <c r="A39" s="312" t="s">
        <v>7</v>
      </c>
      <c r="B39" s="328" t="s">
        <v>19</v>
      </c>
      <c r="C39" s="313" t="s">
        <v>63</v>
      </c>
      <c r="D39" s="313" t="str">
        <f ca="1">IFERROR(OFFSET(Camp_List[P_Code],MATCH(Data_Vulnerability_t[[#This Row],[Camp Name]],Camp_List[Camp Name],0)-1,0,1,1),"")</f>
        <v>MMR012CMP041</v>
      </c>
      <c r="E39" s="314" t="s">
        <v>1108</v>
      </c>
      <c r="F39" s="156">
        <v>0</v>
      </c>
      <c r="G39" s="309" t="s">
        <v>288</v>
      </c>
      <c r="H39" s="868">
        <v>42825</v>
      </c>
      <c r="J39" s="199" t="s">
        <v>535</v>
      </c>
      <c r="K39" s="199" t="s">
        <v>665</v>
      </c>
      <c r="L39"/>
      <c r="M39"/>
      <c r="N39"/>
    </row>
    <row r="40" spans="1:14" ht="15" x14ac:dyDescent="0.25">
      <c r="A40" s="312" t="s">
        <v>7</v>
      </c>
      <c r="B40" s="328" t="s">
        <v>19</v>
      </c>
      <c r="C40" s="313" t="s">
        <v>63</v>
      </c>
      <c r="D40" s="313" t="str">
        <f ca="1">IFERROR(OFFSET(Camp_List[P_Code],MATCH(Data_Vulnerability_t[[#This Row],[Camp Name]],Camp_List[Camp Name],0)-1,0,1,1),"")</f>
        <v>MMR012CMP041</v>
      </c>
      <c r="E40" s="314" t="s">
        <v>1109</v>
      </c>
      <c r="F40" s="156">
        <v>69</v>
      </c>
      <c r="G40" s="309" t="s">
        <v>288</v>
      </c>
      <c r="H40" s="868">
        <v>42825</v>
      </c>
      <c r="J40" s="199" t="s">
        <v>212</v>
      </c>
      <c r="K40" s="201" t="s">
        <v>19</v>
      </c>
      <c r="L40" s="201" t="s">
        <v>14</v>
      </c>
      <c r="M40" s="202" t="s">
        <v>867</v>
      </c>
      <c r="N40" s="202" t="s">
        <v>213</v>
      </c>
    </row>
    <row r="41" spans="1:14" ht="15" x14ac:dyDescent="0.25">
      <c r="A41" s="312" t="s">
        <v>7</v>
      </c>
      <c r="B41" s="328" t="s">
        <v>19</v>
      </c>
      <c r="C41" s="313" t="s">
        <v>63</v>
      </c>
      <c r="D41" s="313" t="str">
        <f ca="1">IFERROR(OFFSET(Camp_List[P_Code],MATCH(Data_Vulnerability_t[[#This Row],[Camp Name]],Camp_List[Camp Name],0)-1,0,1,1),"")</f>
        <v>MMR012CMP041</v>
      </c>
      <c r="E41" s="314" t="s">
        <v>1110</v>
      </c>
      <c r="F41" s="156">
        <v>32</v>
      </c>
      <c r="G41" s="309" t="s">
        <v>288</v>
      </c>
      <c r="H41" s="868">
        <v>42825</v>
      </c>
      <c r="J41" s="659" t="s">
        <v>1114</v>
      </c>
      <c r="K41" s="656">
        <v>547</v>
      </c>
      <c r="L41" s="656">
        <v>199</v>
      </c>
      <c r="M41" s="656">
        <v>25</v>
      </c>
      <c r="N41" s="657">
        <v>771</v>
      </c>
    </row>
    <row r="42" spans="1:14" ht="15" x14ac:dyDescent="0.25">
      <c r="A42" s="312" t="s">
        <v>7</v>
      </c>
      <c r="B42" s="328" t="s">
        <v>19</v>
      </c>
      <c r="C42" s="313" t="s">
        <v>63</v>
      </c>
      <c r="D42" s="313" t="str">
        <f ca="1">IFERROR(OFFSET(Camp_List[P_Code],MATCH(Data_Vulnerability_t[[#This Row],[Camp Name]],Camp_List[Camp Name],0)-1,0,1,1),"")</f>
        <v>MMR012CMP041</v>
      </c>
      <c r="E42" s="314" t="s">
        <v>1111</v>
      </c>
      <c r="F42" s="156">
        <v>40</v>
      </c>
      <c r="G42" s="309" t="s">
        <v>288</v>
      </c>
      <c r="H42" s="868">
        <v>42825</v>
      </c>
      <c r="J42" s="658" t="s">
        <v>827</v>
      </c>
      <c r="K42" s="614">
        <v>1539</v>
      </c>
      <c r="L42" s="614">
        <v>573</v>
      </c>
      <c r="M42" s="614">
        <v>45</v>
      </c>
      <c r="N42" s="655">
        <v>2157</v>
      </c>
    </row>
    <row r="43" spans="1:14" ht="15" x14ac:dyDescent="0.25">
      <c r="A43" s="312" t="s">
        <v>7</v>
      </c>
      <c r="B43" s="328" t="s">
        <v>19</v>
      </c>
      <c r="C43" s="313" t="s">
        <v>63</v>
      </c>
      <c r="D43" s="313" t="str">
        <f ca="1">IFERROR(OFFSET(Camp_List[P_Code],MATCH(Data_Vulnerability_t[[#This Row],[Camp Name]],Camp_List[Camp Name],0)-1,0,1,1),"")</f>
        <v>MMR012CMP041</v>
      </c>
      <c r="E43" s="314" t="s">
        <v>1112</v>
      </c>
      <c r="F43" s="156">
        <v>32</v>
      </c>
      <c r="G43" s="309" t="s">
        <v>288</v>
      </c>
      <c r="H43" s="868">
        <v>42825</v>
      </c>
      <c r="J43" s="658" t="s">
        <v>1107</v>
      </c>
      <c r="K43" s="614">
        <v>762</v>
      </c>
      <c r="L43" s="614">
        <v>117</v>
      </c>
      <c r="M43" s="614">
        <v>35</v>
      </c>
      <c r="N43" s="655">
        <v>914</v>
      </c>
    </row>
    <row r="44" spans="1:14" ht="15" x14ac:dyDescent="0.25">
      <c r="A44" s="312" t="s">
        <v>7</v>
      </c>
      <c r="B44" s="328" t="s">
        <v>19</v>
      </c>
      <c r="C44" s="313" t="s">
        <v>63</v>
      </c>
      <c r="D44" s="313" t="str">
        <f ca="1">IFERROR(OFFSET(Camp_List[P_Code],MATCH(Data_Vulnerability_t[[#This Row],[Camp Name]],Camp_List[Camp Name],0)-1,0,1,1),"")</f>
        <v>MMR012CMP041</v>
      </c>
      <c r="E44" s="314" t="s">
        <v>1113</v>
      </c>
      <c r="F44" s="156">
        <v>229</v>
      </c>
      <c r="G44" s="309" t="s">
        <v>288</v>
      </c>
      <c r="H44" s="868">
        <v>42825</v>
      </c>
      <c r="J44" s="658" t="s">
        <v>1108</v>
      </c>
      <c r="K44" s="614">
        <v>97</v>
      </c>
      <c r="L44" s="614">
        <v>21</v>
      </c>
      <c r="M44" s="614">
        <v>14</v>
      </c>
      <c r="N44" s="655">
        <v>132</v>
      </c>
    </row>
    <row r="45" spans="1:14" ht="15" x14ac:dyDescent="0.25">
      <c r="A45" s="312" t="s">
        <v>7</v>
      </c>
      <c r="B45" s="328" t="s">
        <v>19</v>
      </c>
      <c r="C45" s="313" t="s">
        <v>63</v>
      </c>
      <c r="D45" s="313" t="str">
        <f ca="1">IFERROR(OFFSET(Camp_List[P_Code],MATCH(Data_Vulnerability_t[[#This Row],[Camp Name]],Camp_List[Camp Name],0)-1,0,1,1),"")</f>
        <v>MMR012CMP041</v>
      </c>
      <c r="E45" s="314" t="s">
        <v>1114</v>
      </c>
      <c r="F45" s="156">
        <v>0</v>
      </c>
      <c r="G45" s="309" t="s">
        <v>288</v>
      </c>
      <c r="H45" s="868">
        <v>42825</v>
      </c>
      <c r="J45" s="658" t="s">
        <v>1109</v>
      </c>
      <c r="K45" s="614">
        <v>636</v>
      </c>
      <c r="L45" s="614">
        <v>148</v>
      </c>
      <c r="M45" s="614">
        <v>158</v>
      </c>
      <c r="N45" s="655">
        <v>942</v>
      </c>
    </row>
    <row r="46" spans="1:14" ht="15" x14ac:dyDescent="0.25">
      <c r="A46" s="312" t="s">
        <v>7</v>
      </c>
      <c r="B46" s="328" t="s">
        <v>19</v>
      </c>
      <c r="C46" s="313" t="s">
        <v>63</v>
      </c>
      <c r="D46" s="366" t="str">
        <f ca="1">IFERROR(OFFSET(Camp_List[P_Code],MATCH(Data_Vulnerability_t[[#This Row],[Camp Name]],Camp_List[Camp Name],0)-1,0,1,1),"")</f>
        <v>MMR012CMP041</v>
      </c>
      <c r="E46" s="314" t="s">
        <v>827</v>
      </c>
      <c r="F46" s="156">
        <v>21</v>
      </c>
      <c r="G46" s="309" t="s">
        <v>288</v>
      </c>
      <c r="H46" s="868">
        <v>42766</v>
      </c>
      <c r="J46" s="658" t="s">
        <v>1110</v>
      </c>
      <c r="K46" s="614">
        <v>337</v>
      </c>
      <c r="L46" s="614">
        <v>12</v>
      </c>
      <c r="M46" s="614">
        <v>0</v>
      </c>
      <c r="N46" s="655">
        <v>349</v>
      </c>
    </row>
    <row r="47" spans="1:14" ht="15" x14ac:dyDescent="0.25">
      <c r="A47" s="312" t="s">
        <v>7</v>
      </c>
      <c r="B47" s="328" t="s">
        <v>19</v>
      </c>
      <c r="C47" s="313" t="s">
        <v>64</v>
      </c>
      <c r="D47" s="313" t="str">
        <f ca="1">IFERROR(OFFSET(Camp_List[P_Code],MATCH(Data_Vulnerability_t[[#This Row],[Camp Name]],Camp_List[Camp Name],0)-1,0,1,1),"")</f>
        <v>MMR012CMP042</v>
      </c>
      <c r="E47" s="314" t="s">
        <v>1107</v>
      </c>
      <c r="F47" s="156">
        <v>74</v>
      </c>
      <c r="G47" s="309" t="s">
        <v>624</v>
      </c>
      <c r="H47" s="868">
        <v>42766</v>
      </c>
      <c r="J47" s="658" t="s">
        <v>1111</v>
      </c>
      <c r="K47" s="614">
        <v>232</v>
      </c>
      <c r="L47" s="614">
        <v>21</v>
      </c>
      <c r="M47" s="614">
        <v>4</v>
      </c>
      <c r="N47" s="655">
        <v>257</v>
      </c>
    </row>
    <row r="48" spans="1:14" ht="15" x14ac:dyDescent="0.25">
      <c r="A48" s="312" t="s">
        <v>7</v>
      </c>
      <c r="B48" s="328" t="s">
        <v>19</v>
      </c>
      <c r="C48" s="313" t="s">
        <v>64</v>
      </c>
      <c r="D48" s="313" t="str">
        <f ca="1">IFERROR(OFFSET(Camp_List[P_Code],MATCH(Data_Vulnerability_t[[#This Row],[Camp Name]],Camp_List[Camp Name],0)-1,0,1,1),"")</f>
        <v>MMR012CMP042</v>
      </c>
      <c r="E48" s="314" t="s">
        <v>1108</v>
      </c>
      <c r="F48" s="156">
        <v>21</v>
      </c>
      <c r="G48" s="309" t="s">
        <v>624</v>
      </c>
      <c r="H48" s="868">
        <v>42766</v>
      </c>
      <c r="J48" s="658" t="s">
        <v>1112</v>
      </c>
      <c r="K48" s="614">
        <v>820</v>
      </c>
      <c r="L48" s="614">
        <v>273</v>
      </c>
      <c r="M48" s="614">
        <v>4</v>
      </c>
      <c r="N48" s="655">
        <v>1097</v>
      </c>
    </row>
    <row r="49" spans="1:14" ht="15" x14ac:dyDescent="0.25">
      <c r="A49" s="312" t="s">
        <v>7</v>
      </c>
      <c r="B49" s="328" t="s">
        <v>19</v>
      </c>
      <c r="C49" s="313" t="s">
        <v>64</v>
      </c>
      <c r="D49" s="313" t="str">
        <f ca="1">IFERROR(OFFSET(Camp_List[P_Code],MATCH(Data_Vulnerability_t[[#This Row],[Camp Name]],Camp_List[Camp Name],0)-1,0,1,1),"")</f>
        <v>MMR012CMP042</v>
      </c>
      <c r="E49" s="314" t="s">
        <v>1109</v>
      </c>
      <c r="F49" s="156">
        <v>1</v>
      </c>
      <c r="G49" s="309" t="s">
        <v>624</v>
      </c>
      <c r="H49" s="868">
        <v>42766</v>
      </c>
      <c r="J49" s="570" t="s">
        <v>1113</v>
      </c>
      <c r="K49" s="505">
        <v>2041</v>
      </c>
      <c r="L49" s="505">
        <v>316</v>
      </c>
      <c r="M49" s="505">
        <v>143</v>
      </c>
      <c r="N49" s="282">
        <v>2500</v>
      </c>
    </row>
    <row r="50" spans="1:14" ht="15" x14ac:dyDescent="0.25">
      <c r="A50" s="312" t="s">
        <v>7</v>
      </c>
      <c r="B50" s="328" t="s">
        <v>19</v>
      </c>
      <c r="C50" s="313" t="s">
        <v>64</v>
      </c>
      <c r="D50" s="313" t="str">
        <f ca="1">IFERROR(OFFSET(Camp_List[P_Code],MATCH(Data_Vulnerability_t[[#This Row],[Camp Name]],Camp_List[Camp Name],0)-1,0,1,1),"")</f>
        <v>MMR012CMP042</v>
      </c>
      <c r="E50" s="314" t="s">
        <v>1110</v>
      </c>
      <c r="F50" s="156">
        <v>0</v>
      </c>
      <c r="G50" s="309" t="s">
        <v>624</v>
      </c>
      <c r="H50" s="868">
        <v>42766</v>
      </c>
      <c r="J50" s="570" t="s">
        <v>213</v>
      </c>
      <c r="K50" s="571">
        <v>7011</v>
      </c>
      <c r="L50" s="505">
        <v>1680</v>
      </c>
      <c r="M50" s="505">
        <v>428</v>
      </c>
      <c r="N50" s="282">
        <v>9119</v>
      </c>
    </row>
    <row r="51" spans="1:14" x14ac:dyDescent="0.2">
      <c r="A51" s="312" t="s">
        <v>7</v>
      </c>
      <c r="B51" s="328" t="s">
        <v>19</v>
      </c>
      <c r="C51" s="313" t="s">
        <v>64</v>
      </c>
      <c r="D51" s="313" t="str">
        <f ca="1">IFERROR(OFFSET(Camp_List[P_Code],MATCH(Data_Vulnerability_t[[#This Row],[Camp Name]],Camp_List[Camp Name],0)-1,0,1,1),"")</f>
        <v>MMR012CMP042</v>
      </c>
      <c r="E51" s="314" t="s">
        <v>1111</v>
      </c>
      <c r="F51" s="156">
        <v>0</v>
      </c>
      <c r="G51" s="309" t="s">
        <v>624</v>
      </c>
      <c r="H51" s="868">
        <v>42766</v>
      </c>
    </row>
    <row r="52" spans="1:14" x14ac:dyDescent="0.2">
      <c r="A52" s="312" t="s">
        <v>7</v>
      </c>
      <c r="B52" s="328" t="s">
        <v>19</v>
      </c>
      <c r="C52" s="313" t="s">
        <v>64</v>
      </c>
      <c r="D52" s="313" t="str">
        <f ca="1">IFERROR(OFFSET(Camp_List[P_Code],MATCH(Data_Vulnerability_t[[#This Row],[Camp Name]],Camp_List[Camp Name],0)-1,0,1,1),"")</f>
        <v>MMR012CMP042</v>
      </c>
      <c r="E52" s="314" t="s">
        <v>1112</v>
      </c>
      <c r="F52" s="156">
        <v>0</v>
      </c>
      <c r="G52" s="309" t="s">
        <v>624</v>
      </c>
      <c r="H52" s="868">
        <v>42766</v>
      </c>
    </row>
    <row r="53" spans="1:14" x14ac:dyDescent="0.2">
      <c r="A53" s="312" t="s">
        <v>7</v>
      </c>
      <c r="B53" s="328" t="s">
        <v>19</v>
      </c>
      <c r="C53" s="313" t="s">
        <v>64</v>
      </c>
      <c r="D53" s="313" t="str">
        <f ca="1">IFERROR(OFFSET(Camp_List[P_Code],MATCH(Data_Vulnerability_t[[#This Row],[Camp Name]],Camp_List[Camp Name],0)-1,0,1,1),"")</f>
        <v>MMR012CMP042</v>
      </c>
      <c r="E53" s="314" t="s">
        <v>1113</v>
      </c>
      <c r="F53" s="156">
        <v>67</v>
      </c>
      <c r="G53" s="309" t="s">
        <v>624</v>
      </c>
      <c r="H53" s="868">
        <v>42766</v>
      </c>
    </row>
    <row r="54" spans="1:14" x14ac:dyDescent="0.2">
      <c r="A54" s="312" t="s">
        <v>7</v>
      </c>
      <c r="B54" s="328" t="s">
        <v>19</v>
      </c>
      <c r="C54" s="313" t="s">
        <v>64</v>
      </c>
      <c r="D54" s="313" t="str">
        <f ca="1">IFERROR(OFFSET(Camp_List[P_Code],MATCH(Data_Vulnerability_t[[#This Row],[Camp Name]],Camp_List[Camp Name],0)-1,0,1,1),"")</f>
        <v>MMR012CMP042</v>
      </c>
      <c r="E54" s="314" t="s">
        <v>1114</v>
      </c>
      <c r="F54" s="156">
        <v>75</v>
      </c>
      <c r="G54" s="309" t="s">
        <v>624</v>
      </c>
      <c r="H54" s="868">
        <v>42766</v>
      </c>
    </row>
    <row r="55" spans="1:14" x14ac:dyDescent="0.2">
      <c r="A55" s="312" t="s">
        <v>7</v>
      </c>
      <c r="B55" s="328" t="s">
        <v>19</v>
      </c>
      <c r="C55" s="313" t="s">
        <v>64</v>
      </c>
      <c r="D55" s="366" t="str">
        <f ca="1">IFERROR(OFFSET(Camp_List[P_Code],MATCH(Data_Vulnerability_t[[#This Row],[Camp Name]],Camp_List[Camp Name],0)-1,0,1,1),"")</f>
        <v>MMR012CMP042</v>
      </c>
      <c r="E55" s="314" t="s">
        <v>827</v>
      </c>
      <c r="F55" s="156">
        <v>266</v>
      </c>
      <c r="G55" s="309" t="s">
        <v>624</v>
      </c>
      <c r="H55" s="868">
        <v>42766</v>
      </c>
    </row>
    <row r="56" spans="1:14" x14ac:dyDescent="0.2">
      <c r="A56" s="312" t="s">
        <v>7</v>
      </c>
      <c r="B56" s="328" t="s">
        <v>14</v>
      </c>
      <c r="C56" s="313" t="s">
        <v>42</v>
      </c>
      <c r="D56" s="313" t="str">
        <f ca="1">IFERROR(OFFSET(Camp_List[P_Code],MATCH(Data_Vulnerability_t[[#This Row],[Camp Name]],Camp_List[Camp Name],0)-1,0,1,1),"")</f>
        <v>MMR012CMP018</v>
      </c>
      <c r="E56" s="314" t="s">
        <v>1107</v>
      </c>
      <c r="F56" s="156">
        <v>33</v>
      </c>
      <c r="G56" s="309" t="s">
        <v>288</v>
      </c>
      <c r="H56" s="868">
        <v>42825</v>
      </c>
    </row>
    <row r="57" spans="1:14" x14ac:dyDescent="0.2">
      <c r="A57" s="312" t="s">
        <v>7</v>
      </c>
      <c r="B57" s="328" t="s">
        <v>14</v>
      </c>
      <c r="C57" s="313" t="s">
        <v>42</v>
      </c>
      <c r="D57" s="313" t="str">
        <f ca="1">IFERROR(OFFSET(Camp_List[P_Code],MATCH(Data_Vulnerability_t[[#This Row],[Camp Name]],Camp_List[Camp Name],0)-1,0,1,1),"")</f>
        <v>MMR012CMP018</v>
      </c>
      <c r="E57" s="314" t="s">
        <v>1108</v>
      </c>
      <c r="F57" s="156">
        <v>0</v>
      </c>
      <c r="G57" s="309" t="s">
        <v>288</v>
      </c>
      <c r="H57" s="868">
        <v>42825</v>
      </c>
    </row>
    <row r="58" spans="1:14" x14ac:dyDescent="0.2">
      <c r="A58" s="312" t="s">
        <v>7</v>
      </c>
      <c r="B58" s="328" t="s">
        <v>14</v>
      </c>
      <c r="C58" s="313" t="s">
        <v>42</v>
      </c>
      <c r="D58" s="313" t="str">
        <f ca="1">IFERROR(OFFSET(Camp_List[P_Code],MATCH(Data_Vulnerability_t[[#This Row],[Camp Name]],Camp_List[Camp Name],0)-1,0,1,1),"")</f>
        <v>MMR012CMP018</v>
      </c>
      <c r="E58" s="314" t="s">
        <v>1109</v>
      </c>
      <c r="F58" s="156">
        <v>83</v>
      </c>
      <c r="G58" s="309" t="s">
        <v>288</v>
      </c>
      <c r="H58" s="868">
        <v>42825</v>
      </c>
    </row>
    <row r="59" spans="1:14" x14ac:dyDescent="0.2">
      <c r="A59" s="312" t="s">
        <v>7</v>
      </c>
      <c r="B59" s="328" t="s">
        <v>14</v>
      </c>
      <c r="C59" s="313" t="s">
        <v>42</v>
      </c>
      <c r="D59" s="313" t="str">
        <f ca="1">IFERROR(OFFSET(Camp_List[P_Code],MATCH(Data_Vulnerability_t[[#This Row],[Camp Name]],Camp_List[Camp Name],0)-1,0,1,1),"")</f>
        <v>MMR012CMP018</v>
      </c>
      <c r="E59" s="314" t="s">
        <v>1110</v>
      </c>
      <c r="F59" s="156">
        <v>2</v>
      </c>
      <c r="G59" s="309" t="s">
        <v>288</v>
      </c>
      <c r="H59" s="868">
        <v>42825</v>
      </c>
    </row>
    <row r="60" spans="1:14" x14ac:dyDescent="0.2">
      <c r="A60" s="312" t="s">
        <v>7</v>
      </c>
      <c r="B60" s="328" t="s">
        <v>14</v>
      </c>
      <c r="C60" s="313" t="s">
        <v>42</v>
      </c>
      <c r="D60" s="313" t="str">
        <f ca="1">IFERROR(OFFSET(Camp_List[P_Code],MATCH(Data_Vulnerability_t[[#This Row],[Camp Name]],Camp_List[Camp Name],0)-1,0,1,1),"")</f>
        <v>MMR012CMP018</v>
      </c>
      <c r="E60" s="314" t="s">
        <v>1111</v>
      </c>
      <c r="F60" s="156">
        <v>4</v>
      </c>
      <c r="G60" s="309" t="s">
        <v>288</v>
      </c>
      <c r="H60" s="868">
        <v>42825</v>
      </c>
    </row>
    <row r="61" spans="1:14" x14ac:dyDescent="0.2">
      <c r="A61" s="312" t="s">
        <v>7</v>
      </c>
      <c r="B61" s="328" t="s">
        <v>14</v>
      </c>
      <c r="C61" s="313" t="s">
        <v>42</v>
      </c>
      <c r="D61" s="313" t="str">
        <f ca="1">IFERROR(OFFSET(Camp_List[P_Code],MATCH(Data_Vulnerability_t[[#This Row],[Camp Name]],Camp_List[Camp Name],0)-1,0,1,1),"")</f>
        <v>MMR012CMP018</v>
      </c>
      <c r="E61" s="314" t="s">
        <v>1112</v>
      </c>
      <c r="F61" s="156">
        <v>21</v>
      </c>
      <c r="G61" s="309" t="s">
        <v>288</v>
      </c>
      <c r="H61" s="868">
        <v>42825</v>
      </c>
    </row>
    <row r="62" spans="1:14" x14ac:dyDescent="0.2">
      <c r="A62" s="312" t="s">
        <v>7</v>
      </c>
      <c r="B62" s="328" t="s">
        <v>14</v>
      </c>
      <c r="C62" s="313" t="s">
        <v>42</v>
      </c>
      <c r="D62" s="313" t="str">
        <f ca="1">IFERROR(OFFSET(Camp_List[P_Code],MATCH(Data_Vulnerability_t[[#This Row],[Camp Name]],Camp_List[Camp Name],0)-1,0,1,1),"")</f>
        <v>MMR012CMP018</v>
      </c>
      <c r="E62" s="314" t="s">
        <v>1113</v>
      </c>
      <c r="F62" s="156">
        <v>0</v>
      </c>
      <c r="G62" s="309" t="s">
        <v>288</v>
      </c>
      <c r="H62" s="868">
        <v>42825</v>
      </c>
    </row>
    <row r="63" spans="1:14" x14ac:dyDescent="0.2">
      <c r="A63" s="312" t="s">
        <v>7</v>
      </c>
      <c r="B63" s="328" t="s">
        <v>14</v>
      </c>
      <c r="C63" s="313" t="s">
        <v>42</v>
      </c>
      <c r="D63" s="313" t="str">
        <f ca="1">IFERROR(OFFSET(Camp_List[P_Code],MATCH(Data_Vulnerability_t[[#This Row],[Camp Name]],Camp_List[Camp Name],0)-1,0,1,1),"")</f>
        <v>MMR012CMP018</v>
      </c>
      <c r="E63" s="314" t="s">
        <v>1114</v>
      </c>
      <c r="F63" s="156">
        <v>38</v>
      </c>
      <c r="G63" s="309" t="s">
        <v>288</v>
      </c>
      <c r="H63" s="868">
        <v>42825</v>
      </c>
    </row>
    <row r="64" spans="1:14" ht="15" x14ac:dyDescent="0.25">
      <c r="A64" s="312" t="s">
        <v>7</v>
      </c>
      <c r="B64" s="328" t="s">
        <v>14</v>
      </c>
      <c r="C64" s="313" t="s">
        <v>42</v>
      </c>
      <c r="D64" s="366" t="str">
        <f ca="1">IFERROR(OFFSET(Camp_List[P_Code],MATCH(Data_Vulnerability_t[[#This Row],[Camp Name]],Camp_List[Camp Name],0)-1,0,1,1),"")</f>
        <v>MMR012CMP018</v>
      </c>
      <c r="E64" s="314" t="s">
        <v>827</v>
      </c>
      <c r="F64" s="156">
        <v>16</v>
      </c>
      <c r="G64" s="309" t="s">
        <v>288</v>
      </c>
      <c r="H64" s="868">
        <v>42825</v>
      </c>
      <c r="K64" s="793"/>
      <c r="L64" s="793"/>
    </row>
    <row r="65" spans="1:12" ht="15" x14ac:dyDescent="0.25">
      <c r="A65" s="312" t="s">
        <v>7</v>
      </c>
      <c r="B65" s="328" t="s">
        <v>19</v>
      </c>
      <c r="C65" s="313" t="s">
        <v>629</v>
      </c>
      <c r="D65" s="313" t="str">
        <f ca="1">IFERROR(OFFSET(Camp_List[P_Code],MATCH(Data_Vulnerability_t[[#This Row],[Camp Name]],Camp_List[Camp Name],0)-1,0,1,1),"")</f>
        <v>MMR012CMP092</v>
      </c>
      <c r="E65" s="314" t="s">
        <v>1107</v>
      </c>
      <c r="F65" s="156">
        <v>29</v>
      </c>
      <c r="G65" s="309" t="s">
        <v>971</v>
      </c>
      <c r="H65" s="868">
        <v>42825</v>
      </c>
      <c r="K65"/>
      <c r="L65"/>
    </row>
    <row r="66" spans="1:12" ht="15" x14ac:dyDescent="0.25">
      <c r="A66" s="312" t="s">
        <v>7</v>
      </c>
      <c r="B66" s="328" t="s">
        <v>19</v>
      </c>
      <c r="C66" s="309" t="s">
        <v>629</v>
      </c>
      <c r="D66" s="313" t="str">
        <f ca="1">IFERROR(OFFSET(Camp_List[P_Code],MATCH(Data_Vulnerability_t[[#This Row],[Camp Name]],Camp_List[Camp Name],0)-1,0,1,1),"")</f>
        <v>MMR012CMP092</v>
      </c>
      <c r="E66" s="314" t="s">
        <v>1108</v>
      </c>
      <c r="F66" s="156">
        <v>0</v>
      </c>
      <c r="G66" s="309" t="s">
        <v>971</v>
      </c>
      <c r="H66" s="868">
        <v>42825</v>
      </c>
      <c r="K66"/>
      <c r="L66"/>
    </row>
    <row r="67" spans="1:12" ht="15" x14ac:dyDescent="0.25">
      <c r="A67" s="312" t="s">
        <v>7</v>
      </c>
      <c r="B67" s="328" t="s">
        <v>19</v>
      </c>
      <c r="C67" s="309" t="s">
        <v>629</v>
      </c>
      <c r="D67" s="313" t="str">
        <f ca="1">IFERROR(OFFSET(Camp_List[P_Code],MATCH(Data_Vulnerability_t[[#This Row],[Camp Name]],Camp_List[Camp Name],0)-1,0,1,1),"")</f>
        <v>MMR012CMP092</v>
      </c>
      <c r="E67" s="314" t="s">
        <v>1109</v>
      </c>
      <c r="F67" s="156">
        <v>30</v>
      </c>
      <c r="G67" s="309" t="s">
        <v>971</v>
      </c>
      <c r="H67" s="868">
        <v>42825</v>
      </c>
      <c r="K67"/>
      <c r="L67"/>
    </row>
    <row r="68" spans="1:12" ht="15" x14ac:dyDescent="0.25">
      <c r="A68" s="312" t="s">
        <v>7</v>
      </c>
      <c r="B68" s="328" t="s">
        <v>19</v>
      </c>
      <c r="C68" s="309" t="s">
        <v>629</v>
      </c>
      <c r="D68" s="313" t="str">
        <f ca="1">IFERROR(OFFSET(Camp_List[P_Code],MATCH(Data_Vulnerability_t[[#This Row],[Camp Name]],Camp_List[Camp Name],0)-1,0,1,1),"")</f>
        <v>MMR012CMP092</v>
      </c>
      <c r="E68" s="314" t="s">
        <v>1110</v>
      </c>
      <c r="F68" s="156">
        <v>5</v>
      </c>
      <c r="G68" s="309" t="s">
        <v>971</v>
      </c>
      <c r="H68" s="868">
        <v>42825</v>
      </c>
      <c r="K68"/>
      <c r="L68"/>
    </row>
    <row r="69" spans="1:12" ht="15" x14ac:dyDescent="0.25">
      <c r="A69" s="312" t="s">
        <v>7</v>
      </c>
      <c r="B69" s="328" t="s">
        <v>19</v>
      </c>
      <c r="C69" s="309" t="s">
        <v>629</v>
      </c>
      <c r="D69" s="313" t="str">
        <f ca="1">IFERROR(OFFSET(Camp_List[P_Code],MATCH(Data_Vulnerability_t[[#This Row],[Camp Name]],Camp_List[Camp Name],0)-1,0,1,1),"")</f>
        <v>MMR012CMP092</v>
      </c>
      <c r="E69" s="314" t="s">
        <v>1111</v>
      </c>
      <c r="F69" s="156">
        <v>0</v>
      </c>
      <c r="G69" s="309" t="s">
        <v>971</v>
      </c>
      <c r="H69" s="868">
        <v>42825</v>
      </c>
      <c r="K69"/>
      <c r="L69"/>
    </row>
    <row r="70" spans="1:12" ht="15" x14ac:dyDescent="0.25">
      <c r="A70" s="312" t="s">
        <v>7</v>
      </c>
      <c r="B70" s="328" t="s">
        <v>19</v>
      </c>
      <c r="C70" s="309" t="s">
        <v>629</v>
      </c>
      <c r="D70" s="313" t="str">
        <f ca="1">IFERROR(OFFSET(Camp_List[P_Code],MATCH(Data_Vulnerability_t[[#This Row],[Camp Name]],Camp_List[Camp Name],0)-1,0,1,1),"")</f>
        <v>MMR012CMP092</v>
      </c>
      <c r="E70" s="314" t="s">
        <v>1112</v>
      </c>
      <c r="F70" s="156">
        <v>54</v>
      </c>
      <c r="G70" s="309" t="s">
        <v>971</v>
      </c>
      <c r="H70" s="868">
        <v>42825</v>
      </c>
      <c r="K70"/>
      <c r="L70"/>
    </row>
    <row r="71" spans="1:12" ht="15" x14ac:dyDescent="0.25">
      <c r="A71" s="312" t="s">
        <v>7</v>
      </c>
      <c r="B71" s="328" t="s">
        <v>19</v>
      </c>
      <c r="C71" s="309" t="s">
        <v>629</v>
      </c>
      <c r="D71" s="313" t="str">
        <f ca="1">IFERROR(OFFSET(Camp_List[P_Code],MATCH(Data_Vulnerability_t[[#This Row],[Camp Name]],Camp_List[Camp Name],0)-1,0,1,1),"")</f>
        <v>MMR012CMP092</v>
      </c>
      <c r="E71" s="314" t="s">
        <v>1113</v>
      </c>
      <c r="F71" s="156">
        <v>9</v>
      </c>
      <c r="G71" s="309" t="s">
        <v>971</v>
      </c>
      <c r="H71" s="868">
        <v>42825</v>
      </c>
      <c r="K71"/>
      <c r="L71"/>
    </row>
    <row r="72" spans="1:12" ht="15" x14ac:dyDescent="0.25">
      <c r="A72" s="312" t="s">
        <v>7</v>
      </c>
      <c r="B72" s="328" t="s">
        <v>19</v>
      </c>
      <c r="C72" s="309" t="s">
        <v>629</v>
      </c>
      <c r="D72" s="313" t="str">
        <f ca="1">IFERROR(OFFSET(Camp_List[P_Code],MATCH(Data_Vulnerability_t[[#This Row],[Camp Name]],Camp_List[Camp Name],0)-1,0,1,1),"")</f>
        <v>MMR012CMP092</v>
      </c>
      <c r="E72" s="314" t="s">
        <v>1114</v>
      </c>
      <c r="F72" s="156">
        <v>33</v>
      </c>
      <c r="G72" s="309" t="s">
        <v>971</v>
      </c>
      <c r="H72" s="868">
        <v>42825</v>
      </c>
      <c r="K72"/>
      <c r="L72"/>
    </row>
    <row r="73" spans="1:12" ht="15" x14ac:dyDescent="0.25">
      <c r="A73" s="312" t="s">
        <v>7</v>
      </c>
      <c r="B73" s="328" t="s">
        <v>19</v>
      </c>
      <c r="C73" s="313" t="s">
        <v>629</v>
      </c>
      <c r="D73" s="366" t="str">
        <f ca="1">IFERROR(OFFSET(Camp_List[P_Code],MATCH(Data_Vulnerability_t[[#This Row],[Camp Name]],Camp_List[Camp Name],0)-1,0,1,1),"")</f>
        <v>MMR012CMP092</v>
      </c>
      <c r="E73" s="314" t="s">
        <v>827</v>
      </c>
      <c r="F73" s="156">
        <v>202</v>
      </c>
      <c r="G73" s="309" t="s">
        <v>971</v>
      </c>
      <c r="H73" s="868">
        <v>42825</v>
      </c>
      <c r="K73" s="793"/>
      <c r="L73" s="793"/>
    </row>
    <row r="74" spans="1:12" ht="15" x14ac:dyDescent="0.25">
      <c r="A74" s="312" t="s">
        <v>7</v>
      </c>
      <c r="B74" s="328" t="s">
        <v>14</v>
      </c>
      <c r="C74" s="309" t="s">
        <v>1070</v>
      </c>
      <c r="D74" s="313" t="str">
        <f ca="1">IFERROR(OFFSET(Camp_List[P_Code],MATCH(Data_Vulnerability_t[[#This Row],[Camp Name]],Camp_List[Camp Name],0)-1,0,1,1),"")</f>
        <v>MMR012CMP017</v>
      </c>
      <c r="E74" s="314" t="s">
        <v>1107</v>
      </c>
      <c r="F74" s="156">
        <v>38</v>
      </c>
      <c r="G74" s="309" t="s">
        <v>624</v>
      </c>
      <c r="H74" s="868">
        <v>42825</v>
      </c>
      <c r="K74"/>
      <c r="L74"/>
    </row>
    <row r="75" spans="1:12" ht="15" x14ac:dyDescent="0.25">
      <c r="A75" s="312" t="s">
        <v>7</v>
      </c>
      <c r="B75" s="328" t="s">
        <v>14</v>
      </c>
      <c r="C75" s="309" t="s">
        <v>1070</v>
      </c>
      <c r="D75" s="313" t="str">
        <f ca="1">IFERROR(OFFSET(Camp_List[P_Code],MATCH(Data_Vulnerability_t[[#This Row],[Camp Name]],Camp_List[Camp Name],0)-1,0,1,1),"")</f>
        <v>MMR012CMP017</v>
      </c>
      <c r="E75" s="314" t="s">
        <v>1108</v>
      </c>
      <c r="F75" s="156">
        <v>7</v>
      </c>
      <c r="G75" s="309" t="s">
        <v>624</v>
      </c>
      <c r="H75" s="868">
        <v>42825</v>
      </c>
      <c r="K75"/>
      <c r="L75"/>
    </row>
    <row r="76" spans="1:12" ht="15" x14ac:dyDescent="0.25">
      <c r="A76" s="312" t="s">
        <v>7</v>
      </c>
      <c r="B76" s="328" t="s">
        <v>14</v>
      </c>
      <c r="C76" s="309" t="s">
        <v>1070</v>
      </c>
      <c r="D76" s="313" t="str">
        <f ca="1">IFERROR(OFFSET(Camp_List[P_Code],MATCH(Data_Vulnerability_t[[#This Row],[Camp Name]],Camp_List[Camp Name],0)-1,0,1,1),"")</f>
        <v>MMR012CMP017</v>
      </c>
      <c r="E76" s="314" t="s">
        <v>1109</v>
      </c>
      <c r="F76" s="156">
        <v>14</v>
      </c>
      <c r="G76" s="309" t="s">
        <v>624</v>
      </c>
      <c r="H76" s="868">
        <v>42825</v>
      </c>
      <c r="K76"/>
      <c r="L76"/>
    </row>
    <row r="77" spans="1:12" ht="15" x14ac:dyDescent="0.25">
      <c r="A77" s="312" t="s">
        <v>7</v>
      </c>
      <c r="B77" s="328" t="s">
        <v>14</v>
      </c>
      <c r="C77" s="309" t="s">
        <v>1070</v>
      </c>
      <c r="D77" s="313" t="str">
        <f ca="1">IFERROR(OFFSET(Camp_List[P_Code],MATCH(Data_Vulnerability_t[[#This Row],[Camp Name]],Camp_List[Camp Name],0)-1,0,1,1),"")</f>
        <v>MMR012CMP017</v>
      </c>
      <c r="E77" s="314" t="s">
        <v>1110</v>
      </c>
      <c r="F77" s="156">
        <v>8</v>
      </c>
      <c r="G77" s="309" t="s">
        <v>624</v>
      </c>
      <c r="H77" s="868">
        <v>42825</v>
      </c>
      <c r="K77"/>
      <c r="L77"/>
    </row>
    <row r="78" spans="1:12" ht="15" x14ac:dyDescent="0.25">
      <c r="A78" s="312" t="s">
        <v>7</v>
      </c>
      <c r="B78" s="328" t="s">
        <v>14</v>
      </c>
      <c r="C78" s="309" t="s">
        <v>1070</v>
      </c>
      <c r="D78" s="313" t="str">
        <f ca="1">IFERROR(OFFSET(Camp_List[P_Code],MATCH(Data_Vulnerability_t[[#This Row],[Camp Name]],Camp_List[Camp Name],0)-1,0,1,1),"")</f>
        <v>MMR012CMP017</v>
      </c>
      <c r="E78" s="314" t="s">
        <v>1111</v>
      </c>
      <c r="F78" s="156">
        <v>14</v>
      </c>
      <c r="G78" s="309" t="s">
        <v>624</v>
      </c>
      <c r="H78" s="868">
        <v>42825</v>
      </c>
      <c r="K78"/>
      <c r="L78"/>
    </row>
    <row r="79" spans="1:12" ht="15" x14ac:dyDescent="0.25">
      <c r="A79" s="312" t="s">
        <v>7</v>
      </c>
      <c r="B79" s="328" t="s">
        <v>14</v>
      </c>
      <c r="C79" s="309" t="s">
        <v>1070</v>
      </c>
      <c r="D79" s="313" t="str">
        <f ca="1">IFERROR(OFFSET(Camp_List[P_Code],MATCH(Data_Vulnerability_t[[#This Row],[Camp Name]],Camp_List[Camp Name],0)-1,0,1,1),"")</f>
        <v>MMR012CMP017</v>
      </c>
      <c r="E79" s="314" t="s">
        <v>1112</v>
      </c>
      <c r="F79" s="156">
        <v>57</v>
      </c>
      <c r="G79" s="309" t="s">
        <v>624</v>
      </c>
      <c r="H79" s="868">
        <v>42825</v>
      </c>
      <c r="K79"/>
      <c r="L79"/>
    </row>
    <row r="80" spans="1:12" ht="15" x14ac:dyDescent="0.25">
      <c r="A80" s="312" t="s">
        <v>7</v>
      </c>
      <c r="B80" s="328" t="s">
        <v>14</v>
      </c>
      <c r="C80" s="309" t="s">
        <v>1070</v>
      </c>
      <c r="D80" s="313" t="str">
        <f ca="1">IFERROR(OFFSET(Camp_List[P_Code],MATCH(Data_Vulnerability_t[[#This Row],[Camp Name]],Camp_List[Camp Name],0)-1,0,1,1),"")</f>
        <v>MMR012CMP017</v>
      </c>
      <c r="E80" s="314" t="s">
        <v>1113</v>
      </c>
      <c r="F80" s="156">
        <v>116</v>
      </c>
      <c r="G80" s="309" t="s">
        <v>624</v>
      </c>
      <c r="H80" s="868">
        <v>42825</v>
      </c>
      <c r="K80"/>
      <c r="L80"/>
    </row>
    <row r="81" spans="1:12" ht="15" x14ac:dyDescent="0.25">
      <c r="A81" s="312" t="s">
        <v>7</v>
      </c>
      <c r="B81" s="328" t="s">
        <v>14</v>
      </c>
      <c r="C81" s="309" t="s">
        <v>1070</v>
      </c>
      <c r="D81" s="313" t="str">
        <f ca="1">IFERROR(OFFSET(Camp_List[P_Code],MATCH(Data_Vulnerability_t[[#This Row],[Camp Name]],Camp_List[Camp Name],0)-1,0,1,1),"")</f>
        <v>MMR012CMP017</v>
      </c>
      <c r="E81" s="314" t="s">
        <v>1114</v>
      </c>
      <c r="F81" s="156">
        <v>68</v>
      </c>
      <c r="G81" s="309" t="s">
        <v>624</v>
      </c>
      <c r="H81" s="868">
        <v>42825</v>
      </c>
      <c r="K81"/>
      <c r="L81"/>
    </row>
    <row r="82" spans="1:12" ht="15" x14ac:dyDescent="0.25">
      <c r="A82" s="312" t="s">
        <v>7</v>
      </c>
      <c r="B82" s="328" t="s">
        <v>14</v>
      </c>
      <c r="C82" s="309" t="s">
        <v>1070</v>
      </c>
      <c r="D82" s="366" t="str">
        <f ca="1">IFERROR(OFFSET(Camp_List[P_Code],MATCH(Data_Vulnerability_t[[#This Row],[Camp Name]],Camp_List[Camp Name],0)-1,0,1,1),"")</f>
        <v>MMR012CMP017</v>
      </c>
      <c r="E82" s="314" t="s">
        <v>827</v>
      </c>
      <c r="F82" s="156">
        <v>234</v>
      </c>
      <c r="G82" s="309" t="s">
        <v>624</v>
      </c>
      <c r="H82" s="868">
        <v>42825</v>
      </c>
      <c r="K82" s="793"/>
      <c r="L82" s="793"/>
    </row>
    <row r="83" spans="1:12" ht="15" x14ac:dyDescent="0.25">
      <c r="A83" s="312" t="s">
        <v>7</v>
      </c>
      <c r="B83" s="328" t="s">
        <v>19</v>
      </c>
      <c r="C83" s="309" t="s">
        <v>634</v>
      </c>
      <c r="D83" s="313" t="str">
        <f ca="1">IFERROR(OFFSET(Camp_List[P_Code],MATCH(Data_Vulnerability_t[[#This Row],[Camp Name]],Camp_List[Camp Name],0)-1,0,1,1),"")</f>
        <v>MMR012CMP098</v>
      </c>
      <c r="E83" s="314" t="s">
        <v>1107</v>
      </c>
      <c r="F83" s="156">
        <v>32</v>
      </c>
      <c r="G83" s="309" t="s">
        <v>288</v>
      </c>
      <c r="H83" s="868">
        <v>42825</v>
      </c>
      <c r="K83"/>
      <c r="L83"/>
    </row>
    <row r="84" spans="1:12" ht="15" x14ac:dyDescent="0.25">
      <c r="A84" s="312" t="s">
        <v>7</v>
      </c>
      <c r="B84" s="328" t="s">
        <v>19</v>
      </c>
      <c r="C84" s="309" t="s">
        <v>634</v>
      </c>
      <c r="D84" s="313" t="str">
        <f ca="1">IFERROR(OFFSET(Camp_List[P_Code],MATCH(Data_Vulnerability_t[[#This Row],[Camp Name]],Camp_List[Camp Name],0)-1,0,1,1),"")</f>
        <v>MMR012CMP098</v>
      </c>
      <c r="E84" s="314" t="s">
        <v>1108</v>
      </c>
      <c r="F84" s="156">
        <v>0</v>
      </c>
      <c r="G84" s="309" t="s">
        <v>288</v>
      </c>
      <c r="H84" s="868">
        <v>42825</v>
      </c>
      <c r="K84"/>
      <c r="L84"/>
    </row>
    <row r="85" spans="1:12" ht="15" x14ac:dyDescent="0.25">
      <c r="A85" s="312" t="s">
        <v>7</v>
      </c>
      <c r="B85" s="328" t="s">
        <v>19</v>
      </c>
      <c r="C85" s="309" t="s">
        <v>634</v>
      </c>
      <c r="D85" s="313" t="str">
        <f ca="1">IFERROR(OFFSET(Camp_List[P_Code],MATCH(Data_Vulnerability_t[[#This Row],[Camp Name]],Camp_List[Camp Name],0)-1,0,1,1),"")</f>
        <v>MMR012CMP098</v>
      </c>
      <c r="E85" s="314" t="s">
        <v>1109</v>
      </c>
      <c r="F85" s="156">
        <v>49</v>
      </c>
      <c r="G85" s="309" t="s">
        <v>288</v>
      </c>
      <c r="H85" s="868">
        <v>42825</v>
      </c>
      <c r="K85"/>
      <c r="L85"/>
    </row>
    <row r="86" spans="1:12" ht="15" x14ac:dyDescent="0.25">
      <c r="A86" s="312" t="s">
        <v>7</v>
      </c>
      <c r="B86" s="328" t="s">
        <v>19</v>
      </c>
      <c r="C86" s="342" t="s">
        <v>634</v>
      </c>
      <c r="D86" s="313" t="str">
        <f ca="1">IFERROR(OFFSET(Camp_List[P_Code],MATCH(Data_Vulnerability_t[[#This Row],[Camp Name]],Camp_List[Camp Name],0)-1,0,1,1),"")</f>
        <v>MMR012CMP098</v>
      </c>
      <c r="E86" s="314" t="s">
        <v>1110</v>
      </c>
      <c r="F86" s="156">
        <v>1</v>
      </c>
      <c r="G86" s="309" t="s">
        <v>288</v>
      </c>
      <c r="H86" s="868">
        <v>42825</v>
      </c>
      <c r="K86"/>
      <c r="L86"/>
    </row>
    <row r="87" spans="1:12" ht="15" x14ac:dyDescent="0.25">
      <c r="A87" s="312" t="s">
        <v>7</v>
      </c>
      <c r="B87" s="328" t="s">
        <v>19</v>
      </c>
      <c r="C87" s="342" t="s">
        <v>634</v>
      </c>
      <c r="D87" s="313" t="str">
        <f ca="1">IFERROR(OFFSET(Camp_List[P_Code],MATCH(Data_Vulnerability_t[[#This Row],[Camp Name]],Camp_List[Camp Name],0)-1,0,1,1),"")</f>
        <v>MMR012CMP098</v>
      </c>
      <c r="E87" s="314" t="s">
        <v>1111</v>
      </c>
      <c r="F87" s="156">
        <v>20</v>
      </c>
      <c r="G87" s="309" t="s">
        <v>288</v>
      </c>
      <c r="H87" s="868">
        <v>42825</v>
      </c>
      <c r="K87"/>
      <c r="L87"/>
    </row>
    <row r="88" spans="1:12" ht="15" x14ac:dyDescent="0.25">
      <c r="A88" s="312" t="s">
        <v>7</v>
      </c>
      <c r="B88" s="328" t="s">
        <v>19</v>
      </c>
      <c r="C88" s="342" t="s">
        <v>634</v>
      </c>
      <c r="D88" s="313" t="str">
        <f ca="1">IFERROR(OFFSET(Camp_List[P_Code],MATCH(Data_Vulnerability_t[[#This Row],[Camp Name]],Camp_List[Camp Name],0)-1,0,1,1),"")</f>
        <v>MMR012CMP098</v>
      </c>
      <c r="E88" s="314" t="s">
        <v>1112</v>
      </c>
      <c r="F88" s="156">
        <v>12</v>
      </c>
      <c r="G88" s="309" t="s">
        <v>288</v>
      </c>
      <c r="H88" s="868">
        <v>42825</v>
      </c>
      <c r="K88"/>
      <c r="L88"/>
    </row>
    <row r="89" spans="1:12" ht="17.25" customHeight="1" x14ac:dyDescent="0.25">
      <c r="A89" s="312" t="s">
        <v>7</v>
      </c>
      <c r="B89" s="328" t="s">
        <v>19</v>
      </c>
      <c r="C89" s="342" t="s">
        <v>634</v>
      </c>
      <c r="D89" s="313" t="str">
        <f ca="1">IFERROR(OFFSET(Camp_List[P_Code],MATCH(Data_Vulnerability_t[[#This Row],[Camp Name]],Camp_List[Camp Name],0)-1,0,1,1),"")</f>
        <v>MMR012CMP098</v>
      </c>
      <c r="E89" s="314" t="s">
        <v>1113</v>
      </c>
      <c r="F89" s="156">
        <v>82</v>
      </c>
      <c r="G89" s="309" t="s">
        <v>288</v>
      </c>
      <c r="H89" s="868">
        <v>42825</v>
      </c>
      <c r="K89"/>
      <c r="L89"/>
    </row>
    <row r="90" spans="1:12" ht="15" x14ac:dyDescent="0.25">
      <c r="A90" s="312" t="s">
        <v>7</v>
      </c>
      <c r="B90" s="328" t="s">
        <v>19</v>
      </c>
      <c r="C90" s="342" t="s">
        <v>634</v>
      </c>
      <c r="D90" s="313" t="str">
        <f ca="1">IFERROR(OFFSET(Camp_List[P_Code],MATCH(Data_Vulnerability_t[[#This Row],[Camp Name]],Camp_List[Camp Name],0)-1,0,1,1),"")</f>
        <v>MMR012CMP098</v>
      </c>
      <c r="E90" s="314" t="s">
        <v>1114</v>
      </c>
      <c r="F90" s="156">
        <v>0</v>
      </c>
      <c r="G90" s="309" t="s">
        <v>288</v>
      </c>
      <c r="H90" s="868">
        <v>42825</v>
      </c>
      <c r="K90"/>
      <c r="L90"/>
    </row>
    <row r="91" spans="1:12" ht="15" x14ac:dyDescent="0.25">
      <c r="A91" s="312" t="s">
        <v>7</v>
      </c>
      <c r="B91" s="328" t="s">
        <v>19</v>
      </c>
      <c r="C91" s="353" t="s">
        <v>634</v>
      </c>
      <c r="D91" s="366" t="str">
        <f ca="1">IFERROR(OFFSET(Camp_List[P_Code],MATCH(Data_Vulnerability_t[[#This Row],[Camp Name]],Camp_List[Camp Name],0)-1,0,1,1),"")</f>
        <v>MMR012CMP098</v>
      </c>
      <c r="E91" s="314" t="s">
        <v>827</v>
      </c>
      <c r="F91" s="156">
        <v>0</v>
      </c>
      <c r="G91" s="309" t="s">
        <v>288</v>
      </c>
      <c r="H91" s="868">
        <v>42825</v>
      </c>
      <c r="K91" s="793"/>
      <c r="L91" s="793"/>
    </row>
    <row r="92" spans="1:12" ht="15" x14ac:dyDescent="0.25">
      <c r="A92" s="312" t="s">
        <v>7</v>
      </c>
      <c r="B92" s="328" t="s">
        <v>19</v>
      </c>
      <c r="C92" s="342" t="s">
        <v>635</v>
      </c>
      <c r="D92" s="313" t="str">
        <f ca="1">IFERROR(OFFSET(Camp_List[P_Code],MATCH(Data_Vulnerability_t[[#This Row],[Camp Name]],Camp_List[Camp Name],0)-1,0,1,1),"")</f>
        <v>MMR012CMP115</v>
      </c>
      <c r="E92" s="314" t="s">
        <v>1107</v>
      </c>
      <c r="F92" s="156">
        <v>146</v>
      </c>
      <c r="G92" s="309" t="s">
        <v>288</v>
      </c>
      <c r="H92" s="868">
        <v>42825</v>
      </c>
      <c r="K92"/>
      <c r="L92"/>
    </row>
    <row r="93" spans="1:12" ht="15" x14ac:dyDescent="0.25">
      <c r="A93" s="312" t="s">
        <v>7</v>
      </c>
      <c r="B93" s="328" t="s">
        <v>19</v>
      </c>
      <c r="C93" s="342" t="s">
        <v>635</v>
      </c>
      <c r="D93" s="313" t="str">
        <f ca="1">IFERROR(OFFSET(Camp_List[P_Code],MATCH(Data_Vulnerability_t[[#This Row],[Camp Name]],Camp_List[Camp Name],0)-1,0,1,1),"")</f>
        <v>MMR012CMP115</v>
      </c>
      <c r="E93" s="314" t="s">
        <v>1108</v>
      </c>
      <c r="F93" s="156">
        <v>0</v>
      </c>
      <c r="G93" s="309" t="s">
        <v>288</v>
      </c>
      <c r="H93" s="868">
        <v>42825</v>
      </c>
      <c r="K93"/>
      <c r="L93"/>
    </row>
    <row r="94" spans="1:12" ht="15" x14ac:dyDescent="0.25">
      <c r="A94" s="312" t="s">
        <v>7</v>
      </c>
      <c r="B94" s="328" t="s">
        <v>19</v>
      </c>
      <c r="C94" s="342" t="s">
        <v>635</v>
      </c>
      <c r="D94" s="313" t="str">
        <f ca="1">IFERROR(OFFSET(Camp_List[P_Code],MATCH(Data_Vulnerability_t[[#This Row],[Camp Name]],Camp_List[Camp Name],0)-1,0,1,1),"")</f>
        <v>MMR012CMP115</v>
      </c>
      <c r="E94" s="314" t="s">
        <v>1109</v>
      </c>
      <c r="F94" s="156">
        <v>161</v>
      </c>
      <c r="G94" s="309" t="s">
        <v>288</v>
      </c>
      <c r="H94" s="868">
        <v>42825</v>
      </c>
      <c r="K94"/>
      <c r="L94"/>
    </row>
    <row r="95" spans="1:12" ht="15" x14ac:dyDescent="0.25">
      <c r="A95" s="312" t="s">
        <v>7</v>
      </c>
      <c r="B95" s="328" t="s">
        <v>19</v>
      </c>
      <c r="C95" s="313" t="s">
        <v>635</v>
      </c>
      <c r="D95" s="313" t="str">
        <f ca="1">IFERROR(OFFSET(Camp_List[P_Code],MATCH(Data_Vulnerability_t[[#This Row],[Camp Name]],Camp_List[Camp Name],0)-1,0,1,1),"")</f>
        <v>MMR012CMP115</v>
      </c>
      <c r="E95" s="314" t="s">
        <v>1110</v>
      </c>
      <c r="F95" s="156">
        <v>133</v>
      </c>
      <c r="G95" s="309" t="s">
        <v>288</v>
      </c>
      <c r="H95" s="868">
        <v>42766</v>
      </c>
      <c r="K95"/>
      <c r="L95"/>
    </row>
    <row r="96" spans="1:12" ht="15" x14ac:dyDescent="0.25">
      <c r="A96" s="312" t="s">
        <v>7</v>
      </c>
      <c r="B96" s="328" t="s">
        <v>19</v>
      </c>
      <c r="C96" s="313" t="s">
        <v>635</v>
      </c>
      <c r="D96" s="313" t="str">
        <f ca="1">IFERROR(OFFSET(Camp_List[P_Code],MATCH(Data_Vulnerability_t[[#This Row],[Camp Name]],Camp_List[Camp Name],0)-1,0,1,1),"")</f>
        <v>MMR012CMP115</v>
      </c>
      <c r="E96" s="314" t="s">
        <v>1111</v>
      </c>
      <c r="F96" s="156">
        <v>72</v>
      </c>
      <c r="G96" s="309" t="s">
        <v>288</v>
      </c>
      <c r="H96" s="868">
        <v>42825</v>
      </c>
      <c r="K96"/>
      <c r="L96"/>
    </row>
    <row r="97" spans="1:12" ht="15" x14ac:dyDescent="0.25">
      <c r="A97" s="312" t="s">
        <v>7</v>
      </c>
      <c r="B97" s="328" t="s">
        <v>19</v>
      </c>
      <c r="C97" s="313" t="s">
        <v>635</v>
      </c>
      <c r="D97" s="313" t="str">
        <f ca="1">IFERROR(OFFSET(Camp_List[P_Code],MATCH(Data_Vulnerability_t[[#This Row],[Camp Name]],Camp_List[Camp Name],0)-1,0,1,1),"")</f>
        <v>MMR012CMP115</v>
      </c>
      <c r="E97" s="314" t="s">
        <v>1112</v>
      </c>
      <c r="F97" s="156">
        <v>94</v>
      </c>
      <c r="G97" s="309" t="s">
        <v>288</v>
      </c>
      <c r="H97" s="868">
        <v>42766</v>
      </c>
      <c r="K97"/>
      <c r="L97"/>
    </row>
    <row r="98" spans="1:12" ht="15" x14ac:dyDescent="0.25">
      <c r="A98" s="312" t="s">
        <v>7</v>
      </c>
      <c r="B98" s="328" t="s">
        <v>19</v>
      </c>
      <c r="C98" s="313" t="s">
        <v>635</v>
      </c>
      <c r="D98" s="313" t="str">
        <f ca="1">IFERROR(OFFSET(Camp_List[P_Code],MATCH(Data_Vulnerability_t[[#This Row],[Camp Name]],Camp_List[Camp Name],0)-1,0,1,1),"")</f>
        <v>MMR012CMP115</v>
      </c>
      <c r="E98" s="314" t="s">
        <v>1113</v>
      </c>
      <c r="F98" s="156">
        <v>587</v>
      </c>
      <c r="G98" s="309" t="s">
        <v>288</v>
      </c>
      <c r="H98" s="868">
        <v>42766</v>
      </c>
      <c r="K98"/>
      <c r="L98"/>
    </row>
    <row r="99" spans="1:12" ht="15" x14ac:dyDescent="0.25">
      <c r="A99" s="312" t="s">
        <v>7</v>
      </c>
      <c r="B99" s="328" t="s">
        <v>19</v>
      </c>
      <c r="C99" s="313" t="s">
        <v>635</v>
      </c>
      <c r="D99" s="313" t="str">
        <f ca="1">IFERROR(OFFSET(Camp_List[P_Code],MATCH(Data_Vulnerability_t[[#This Row],[Camp Name]],Camp_List[Camp Name],0)-1,0,1,1),"")</f>
        <v>MMR012CMP115</v>
      </c>
      <c r="E99" s="314" t="s">
        <v>1114</v>
      </c>
      <c r="F99" s="156">
        <v>0</v>
      </c>
      <c r="G99" s="309" t="s">
        <v>288</v>
      </c>
      <c r="H99" s="868">
        <v>42766</v>
      </c>
      <c r="K99"/>
      <c r="L99"/>
    </row>
    <row r="100" spans="1:12" ht="15" x14ac:dyDescent="0.25">
      <c r="A100" s="312" t="s">
        <v>7</v>
      </c>
      <c r="B100" s="328" t="s">
        <v>19</v>
      </c>
      <c r="C100" s="313" t="s">
        <v>635</v>
      </c>
      <c r="D100" s="366" t="str">
        <f ca="1">IFERROR(OFFSET(Camp_List[P_Code],MATCH(Data_Vulnerability_t[[#This Row],[Camp Name]],Camp_List[Camp Name],0)-1,0,1,1),"")</f>
        <v>MMR012CMP115</v>
      </c>
      <c r="E100" s="314" t="s">
        <v>827</v>
      </c>
      <c r="F100" s="156">
        <v>0</v>
      </c>
      <c r="G100" s="309" t="s">
        <v>288</v>
      </c>
      <c r="H100" s="868">
        <v>42766</v>
      </c>
      <c r="K100" s="793"/>
      <c r="L100" s="793"/>
    </row>
    <row r="101" spans="1:12" ht="15" x14ac:dyDescent="0.25">
      <c r="A101" s="312" t="s">
        <v>7</v>
      </c>
      <c r="B101" s="328" t="s">
        <v>19</v>
      </c>
      <c r="C101" s="313" t="s">
        <v>636</v>
      </c>
      <c r="D101" s="313" t="str">
        <f ca="1">IFERROR(OFFSET(Camp_List[P_Code],MATCH(Data_Vulnerability_t[[#This Row],[Camp Name]],Camp_List[Camp Name],0)-1,0,1,1),"")</f>
        <v>MMR012CMP116</v>
      </c>
      <c r="E101" s="314" t="s">
        <v>1107</v>
      </c>
      <c r="F101" s="156">
        <v>60</v>
      </c>
      <c r="G101" s="309" t="s">
        <v>624</v>
      </c>
      <c r="H101" s="868">
        <v>42825</v>
      </c>
      <c r="K101"/>
      <c r="L101"/>
    </row>
    <row r="102" spans="1:12" ht="15" x14ac:dyDescent="0.25">
      <c r="A102" s="312" t="s">
        <v>7</v>
      </c>
      <c r="B102" s="328" t="s">
        <v>19</v>
      </c>
      <c r="C102" s="313" t="s">
        <v>636</v>
      </c>
      <c r="D102" s="313" t="str">
        <f ca="1">IFERROR(OFFSET(Camp_List[P_Code],MATCH(Data_Vulnerability_t[[#This Row],[Camp Name]],Camp_List[Camp Name],0)-1,0,1,1),"")</f>
        <v>MMR012CMP116</v>
      </c>
      <c r="E102" s="314" t="s">
        <v>1108</v>
      </c>
      <c r="F102" s="156">
        <v>28</v>
      </c>
      <c r="G102" s="309" t="s">
        <v>624</v>
      </c>
      <c r="H102" s="868">
        <v>42825</v>
      </c>
      <c r="K102"/>
      <c r="L102"/>
    </row>
    <row r="103" spans="1:12" ht="15" x14ac:dyDescent="0.25">
      <c r="A103" s="312" t="s">
        <v>7</v>
      </c>
      <c r="B103" s="328" t="s">
        <v>19</v>
      </c>
      <c r="C103" s="313" t="s">
        <v>636</v>
      </c>
      <c r="D103" s="313" t="str">
        <f ca="1">IFERROR(OFFSET(Camp_List[P_Code],MATCH(Data_Vulnerability_t[[#This Row],[Camp Name]],Camp_List[Camp Name],0)-1,0,1,1),"")</f>
        <v>MMR012CMP116</v>
      </c>
      <c r="E103" s="314" t="s">
        <v>1109</v>
      </c>
      <c r="F103" s="156">
        <v>14</v>
      </c>
      <c r="G103" s="309" t="s">
        <v>624</v>
      </c>
      <c r="H103" s="868">
        <v>42825</v>
      </c>
      <c r="K103"/>
      <c r="L103"/>
    </row>
    <row r="104" spans="1:12" ht="15" x14ac:dyDescent="0.25">
      <c r="A104" s="312" t="s">
        <v>7</v>
      </c>
      <c r="B104" s="328" t="s">
        <v>19</v>
      </c>
      <c r="C104" s="313" t="s">
        <v>636</v>
      </c>
      <c r="D104" s="313" t="str">
        <f ca="1">IFERROR(OFFSET(Camp_List[P_Code],MATCH(Data_Vulnerability_t[[#This Row],[Camp Name]],Camp_List[Camp Name],0)-1,0,1,1),"")</f>
        <v>MMR012CMP116</v>
      </c>
      <c r="E104" s="314" t="s">
        <v>1110</v>
      </c>
      <c r="F104" s="156">
        <v>12</v>
      </c>
      <c r="G104" s="309" t="s">
        <v>624</v>
      </c>
      <c r="H104" s="868">
        <v>42825</v>
      </c>
      <c r="K104"/>
      <c r="L104"/>
    </row>
    <row r="105" spans="1:12" ht="15" x14ac:dyDescent="0.25">
      <c r="A105" s="312" t="s">
        <v>7</v>
      </c>
      <c r="B105" s="328" t="s">
        <v>19</v>
      </c>
      <c r="C105" s="309" t="s">
        <v>636</v>
      </c>
      <c r="D105" s="313" t="str">
        <f ca="1">IFERROR(OFFSET(Camp_List[P_Code],MATCH(Data_Vulnerability_t[[#This Row],[Camp Name]],Camp_List[Camp Name],0)-1,0,1,1),"")</f>
        <v>MMR012CMP116</v>
      </c>
      <c r="E105" s="314" t="s">
        <v>1111</v>
      </c>
      <c r="F105" s="157">
        <v>40</v>
      </c>
      <c r="G105" s="309" t="s">
        <v>624</v>
      </c>
      <c r="H105" s="868">
        <v>42825</v>
      </c>
      <c r="K105"/>
      <c r="L105"/>
    </row>
    <row r="106" spans="1:12" ht="15" x14ac:dyDescent="0.25">
      <c r="A106" s="312" t="s">
        <v>7</v>
      </c>
      <c r="B106" s="328" t="s">
        <v>19</v>
      </c>
      <c r="C106" s="309" t="s">
        <v>636</v>
      </c>
      <c r="D106" s="313" t="str">
        <f ca="1">IFERROR(OFFSET(Camp_List[P_Code],MATCH(Data_Vulnerability_t[[#This Row],[Camp Name]],Camp_List[Camp Name],0)-1,0,1,1),"")</f>
        <v>MMR012CMP116</v>
      </c>
      <c r="E106" s="314" t="s">
        <v>1112</v>
      </c>
      <c r="F106" s="157">
        <v>147</v>
      </c>
      <c r="G106" s="309" t="s">
        <v>624</v>
      </c>
      <c r="H106" s="868">
        <v>42825</v>
      </c>
      <c r="K106"/>
      <c r="L106"/>
    </row>
    <row r="107" spans="1:12" ht="15" x14ac:dyDescent="0.25">
      <c r="A107" s="312" t="s">
        <v>7</v>
      </c>
      <c r="B107" s="328" t="s">
        <v>19</v>
      </c>
      <c r="C107" s="309" t="s">
        <v>636</v>
      </c>
      <c r="D107" s="313" t="str">
        <f ca="1">IFERROR(OFFSET(Camp_List[P_Code],MATCH(Data_Vulnerability_t[[#This Row],[Camp Name]],Camp_List[Camp Name],0)-1,0,1,1),"")</f>
        <v>MMR012CMP116</v>
      </c>
      <c r="E107" s="314" t="s">
        <v>1113</v>
      </c>
      <c r="F107" s="157">
        <v>169</v>
      </c>
      <c r="G107" s="309" t="s">
        <v>624</v>
      </c>
      <c r="H107" s="868">
        <v>42825</v>
      </c>
      <c r="K107"/>
      <c r="L107"/>
    </row>
    <row r="108" spans="1:12" ht="15" x14ac:dyDescent="0.25">
      <c r="A108" s="312" t="s">
        <v>7</v>
      </c>
      <c r="B108" s="328" t="s">
        <v>19</v>
      </c>
      <c r="C108" s="309" t="s">
        <v>636</v>
      </c>
      <c r="D108" s="313" t="str">
        <f ca="1">IFERROR(OFFSET(Camp_List[P_Code],MATCH(Data_Vulnerability_t[[#This Row],[Camp Name]],Camp_List[Camp Name],0)-1,0,1,1),"")</f>
        <v>MMR012CMP116</v>
      </c>
      <c r="E108" s="314" t="s">
        <v>1114</v>
      </c>
      <c r="F108" s="157">
        <v>225</v>
      </c>
      <c r="G108" s="309" t="s">
        <v>624</v>
      </c>
      <c r="H108" s="868">
        <v>42825</v>
      </c>
      <c r="K108"/>
      <c r="L108"/>
    </row>
    <row r="109" spans="1:12" ht="15" x14ac:dyDescent="0.25">
      <c r="A109" s="312" t="s">
        <v>7</v>
      </c>
      <c r="B109" s="328" t="s">
        <v>19</v>
      </c>
      <c r="C109" s="313" t="s">
        <v>636</v>
      </c>
      <c r="D109" s="366" t="str">
        <f ca="1">IFERROR(OFFSET(Camp_List[P_Code],MATCH(Data_Vulnerability_t[[#This Row],[Camp Name]],Camp_List[Camp Name],0)-1,0,1,1),"")</f>
        <v>MMR012CMP116</v>
      </c>
      <c r="E109" s="314" t="s">
        <v>827</v>
      </c>
      <c r="F109" s="157">
        <v>319</v>
      </c>
      <c r="G109" s="309" t="s">
        <v>624</v>
      </c>
      <c r="H109" s="868">
        <v>42825</v>
      </c>
      <c r="K109" s="793"/>
      <c r="L109" s="793"/>
    </row>
    <row r="110" spans="1:12" ht="15" x14ac:dyDescent="0.25">
      <c r="A110" s="312" t="s">
        <v>7</v>
      </c>
      <c r="B110" s="328" t="s">
        <v>19</v>
      </c>
      <c r="C110" s="309" t="s">
        <v>67</v>
      </c>
      <c r="D110" s="313" t="str">
        <f ca="1">IFERROR(OFFSET(Camp_List[P_Code],MATCH(Data_Vulnerability_t[[#This Row],[Camp Name]],Camp_List[Camp Name],0)-1,0,1,1),"")</f>
        <v>MMR012CMP045</v>
      </c>
      <c r="E110" s="314" t="s">
        <v>1107</v>
      </c>
      <c r="F110" s="156">
        <v>104</v>
      </c>
      <c r="G110" s="309" t="s">
        <v>288</v>
      </c>
      <c r="H110" s="868">
        <v>42825</v>
      </c>
      <c r="K110"/>
      <c r="L110"/>
    </row>
    <row r="111" spans="1:12" ht="15" x14ac:dyDescent="0.25">
      <c r="A111" s="312" t="s">
        <v>7</v>
      </c>
      <c r="B111" s="328" t="s">
        <v>19</v>
      </c>
      <c r="C111" s="309" t="s">
        <v>67</v>
      </c>
      <c r="D111" s="313" t="str">
        <f ca="1">IFERROR(OFFSET(Camp_List[P_Code],MATCH(Data_Vulnerability_t[[#This Row],[Camp Name]],Camp_List[Camp Name],0)-1,0,1,1),"")</f>
        <v>MMR012CMP045</v>
      </c>
      <c r="E111" s="314" t="s">
        <v>1108</v>
      </c>
      <c r="F111" s="156">
        <v>0</v>
      </c>
      <c r="G111" s="309" t="s">
        <v>288</v>
      </c>
      <c r="H111" s="868">
        <v>42825</v>
      </c>
      <c r="K111"/>
      <c r="L111"/>
    </row>
    <row r="112" spans="1:12" ht="15" x14ac:dyDescent="0.25">
      <c r="A112" s="312" t="s">
        <v>7</v>
      </c>
      <c r="B112" s="328" t="s">
        <v>19</v>
      </c>
      <c r="C112" s="309" t="s">
        <v>67</v>
      </c>
      <c r="D112" s="313" t="str">
        <f ca="1">IFERROR(OFFSET(Camp_List[P_Code],MATCH(Data_Vulnerability_t[[#This Row],[Camp Name]],Camp_List[Camp Name],0)-1,0,1,1),"")</f>
        <v>MMR012CMP045</v>
      </c>
      <c r="E112" s="314" t="s">
        <v>1109</v>
      </c>
      <c r="F112" s="156">
        <v>144</v>
      </c>
      <c r="G112" s="309" t="s">
        <v>288</v>
      </c>
      <c r="H112" s="868">
        <v>42825</v>
      </c>
      <c r="K112"/>
      <c r="L112"/>
    </row>
    <row r="113" spans="1:12" ht="15" x14ac:dyDescent="0.25">
      <c r="A113" s="312" t="s">
        <v>7</v>
      </c>
      <c r="B113" s="328" t="s">
        <v>19</v>
      </c>
      <c r="C113" s="309" t="s">
        <v>67</v>
      </c>
      <c r="D113" s="313" t="str">
        <f ca="1">IFERROR(OFFSET(Camp_List[P_Code],MATCH(Data_Vulnerability_t[[#This Row],[Camp Name]],Camp_List[Camp Name],0)-1,0,1,1),"")</f>
        <v>MMR012CMP045</v>
      </c>
      <c r="E113" s="314" t="s">
        <v>1110</v>
      </c>
      <c r="F113" s="156">
        <v>78</v>
      </c>
      <c r="G113" s="309" t="s">
        <v>288</v>
      </c>
      <c r="H113" s="868">
        <v>42825</v>
      </c>
      <c r="K113"/>
      <c r="L113"/>
    </row>
    <row r="114" spans="1:12" x14ac:dyDescent="0.2">
      <c r="A114" s="312" t="s">
        <v>7</v>
      </c>
      <c r="B114" s="328" t="s">
        <v>19</v>
      </c>
      <c r="C114" s="309" t="s">
        <v>67</v>
      </c>
      <c r="D114" s="313" t="str">
        <f ca="1">IFERROR(OFFSET(Camp_List[P_Code],MATCH(Data_Vulnerability_t[[#This Row],[Camp Name]],Camp_List[Camp Name],0)-1,0,1,1),"")</f>
        <v>MMR012CMP045</v>
      </c>
      <c r="E114" s="314" t="s">
        <v>1111</v>
      </c>
      <c r="F114" s="156">
        <v>18</v>
      </c>
      <c r="G114" s="309" t="s">
        <v>288</v>
      </c>
      <c r="H114" s="868">
        <v>42825</v>
      </c>
    </row>
    <row r="115" spans="1:12" x14ac:dyDescent="0.2">
      <c r="A115" s="312" t="s">
        <v>7</v>
      </c>
      <c r="B115" s="328" t="s">
        <v>19</v>
      </c>
      <c r="C115" s="309" t="s">
        <v>67</v>
      </c>
      <c r="D115" s="313" t="str">
        <f ca="1">IFERROR(OFFSET(Camp_List[P_Code],MATCH(Data_Vulnerability_t[[#This Row],[Camp Name]],Camp_List[Camp Name],0)-1,0,1,1),"")</f>
        <v>MMR012CMP045</v>
      </c>
      <c r="E115" s="314" t="s">
        <v>1112</v>
      </c>
      <c r="F115" s="156">
        <v>26</v>
      </c>
      <c r="G115" s="309" t="s">
        <v>288</v>
      </c>
      <c r="H115" s="868">
        <v>42825</v>
      </c>
    </row>
    <row r="116" spans="1:12" x14ac:dyDescent="0.2">
      <c r="A116" s="312" t="s">
        <v>7</v>
      </c>
      <c r="B116" s="328" t="s">
        <v>19</v>
      </c>
      <c r="C116" s="313" t="s">
        <v>67</v>
      </c>
      <c r="D116" s="313" t="str">
        <f ca="1">IFERROR(OFFSET(Camp_List[P_Code],MATCH(Data_Vulnerability_t[[#This Row],[Camp Name]],Camp_List[Camp Name],0)-1,0,1,1),"")</f>
        <v>MMR012CMP045</v>
      </c>
      <c r="E116" s="314" t="s">
        <v>1113</v>
      </c>
      <c r="F116" s="156">
        <v>467</v>
      </c>
      <c r="G116" s="309" t="s">
        <v>288</v>
      </c>
      <c r="H116" s="868">
        <v>42825</v>
      </c>
    </row>
    <row r="117" spans="1:12" x14ac:dyDescent="0.2">
      <c r="A117" s="312" t="s">
        <v>7</v>
      </c>
      <c r="B117" s="328" t="s">
        <v>19</v>
      </c>
      <c r="C117" s="313" t="s">
        <v>67</v>
      </c>
      <c r="D117" s="313" t="str">
        <f ca="1">IFERROR(OFFSET(Camp_List[P_Code],MATCH(Data_Vulnerability_t[[#This Row],[Camp Name]],Camp_List[Camp Name],0)-1,0,1,1),"")</f>
        <v>MMR012CMP045</v>
      </c>
      <c r="E117" s="314" t="s">
        <v>1114</v>
      </c>
      <c r="F117" s="156">
        <v>0</v>
      </c>
      <c r="G117" s="309" t="s">
        <v>288</v>
      </c>
      <c r="H117" s="868">
        <v>42825</v>
      </c>
    </row>
    <row r="118" spans="1:12" x14ac:dyDescent="0.2">
      <c r="A118" s="312" t="s">
        <v>7</v>
      </c>
      <c r="B118" s="328" t="s">
        <v>19</v>
      </c>
      <c r="C118" s="313" t="s">
        <v>67</v>
      </c>
      <c r="D118" s="366" t="str">
        <f ca="1">IFERROR(OFFSET(Camp_List[P_Code],MATCH(Data_Vulnerability_t[[#This Row],[Camp Name]],Camp_List[Camp Name],0)-1,0,1,1),"")</f>
        <v>MMR012CMP045</v>
      </c>
      <c r="E118" s="314" t="s">
        <v>827</v>
      </c>
      <c r="F118" s="156">
        <v>56</v>
      </c>
      <c r="G118" s="309" t="s">
        <v>288</v>
      </c>
      <c r="H118" s="868">
        <v>42825</v>
      </c>
    </row>
    <row r="119" spans="1:12" x14ac:dyDescent="0.2">
      <c r="A119" s="312" t="s">
        <v>7</v>
      </c>
      <c r="B119" s="328" t="s">
        <v>14</v>
      </c>
      <c r="C119" s="313" t="s">
        <v>43</v>
      </c>
      <c r="D119" s="313" t="str">
        <f ca="1">IFERROR(OFFSET(Camp_List[P_Code],MATCH(Data_Vulnerability_t[[#This Row],[Camp Name]],Camp_List[Camp Name],0)-1,0,1,1),"")</f>
        <v>MMR012CMP019</v>
      </c>
      <c r="E119" s="314" t="s">
        <v>1107</v>
      </c>
      <c r="F119" s="156">
        <v>10</v>
      </c>
      <c r="G119" s="309" t="s">
        <v>288</v>
      </c>
      <c r="H119" s="868">
        <v>42825</v>
      </c>
    </row>
    <row r="120" spans="1:12" x14ac:dyDescent="0.2">
      <c r="A120" s="312" t="s">
        <v>7</v>
      </c>
      <c r="B120" s="328" t="s">
        <v>14</v>
      </c>
      <c r="C120" s="313" t="s">
        <v>43</v>
      </c>
      <c r="D120" s="313" t="str">
        <f ca="1">IFERROR(OFFSET(Camp_List[P_Code],MATCH(Data_Vulnerability_t[[#This Row],[Camp Name]],Camp_List[Camp Name],0)-1,0,1,1),"")</f>
        <v>MMR012CMP019</v>
      </c>
      <c r="E120" s="314" t="s">
        <v>1108</v>
      </c>
      <c r="F120" s="156">
        <v>0</v>
      </c>
      <c r="G120" s="309" t="s">
        <v>288</v>
      </c>
      <c r="H120" s="868">
        <v>42825</v>
      </c>
    </row>
    <row r="121" spans="1:12" x14ac:dyDescent="0.2">
      <c r="A121" s="312" t="s">
        <v>7</v>
      </c>
      <c r="B121" s="328" t="s">
        <v>14</v>
      </c>
      <c r="C121" s="313" t="s">
        <v>43</v>
      </c>
      <c r="D121" s="313" t="str">
        <f ca="1">IFERROR(OFFSET(Camp_List[P_Code],MATCH(Data_Vulnerability_t[[#This Row],[Camp Name]],Camp_List[Camp Name],0)-1,0,1,1),"")</f>
        <v>MMR012CMP019</v>
      </c>
      <c r="E121" s="314" t="s">
        <v>1109</v>
      </c>
      <c r="F121" s="156">
        <v>37</v>
      </c>
      <c r="G121" s="309" t="s">
        <v>288</v>
      </c>
      <c r="H121" s="868">
        <v>42825</v>
      </c>
    </row>
    <row r="122" spans="1:12" x14ac:dyDescent="0.2">
      <c r="A122" s="312" t="s">
        <v>7</v>
      </c>
      <c r="B122" s="328" t="s">
        <v>14</v>
      </c>
      <c r="C122" s="313" t="s">
        <v>43</v>
      </c>
      <c r="D122" s="313" t="str">
        <f ca="1">IFERROR(OFFSET(Camp_List[P_Code],MATCH(Data_Vulnerability_t[[#This Row],[Camp Name]],Camp_List[Camp Name],0)-1,0,1,1),"")</f>
        <v>MMR012CMP019</v>
      </c>
      <c r="E122" s="314" t="s">
        <v>1110</v>
      </c>
      <c r="F122" s="156">
        <v>2</v>
      </c>
      <c r="G122" s="309" t="s">
        <v>288</v>
      </c>
      <c r="H122" s="868">
        <v>42825</v>
      </c>
    </row>
    <row r="123" spans="1:12" x14ac:dyDescent="0.2">
      <c r="A123" s="312" t="s">
        <v>7</v>
      </c>
      <c r="B123" s="328" t="s">
        <v>14</v>
      </c>
      <c r="C123" s="313" t="s">
        <v>43</v>
      </c>
      <c r="D123" s="313" t="str">
        <f ca="1">IFERROR(OFFSET(Camp_List[P_Code],MATCH(Data_Vulnerability_t[[#This Row],[Camp Name]],Camp_List[Camp Name],0)-1,0,1,1),"")</f>
        <v>MMR012CMP019</v>
      </c>
      <c r="E123" s="314" t="s">
        <v>1111</v>
      </c>
      <c r="F123" s="156">
        <v>3</v>
      </c>
      <c r="G123" s="309" t="s">
        <v>288</v>
      </c>
      <c r="H123" s="868">
        <v>42825</v>
      </c>
    </row>
    <row r="124" spans="1:12" x14ac:dyDescent="0.2">
      <c r="A124" s="312" t="s">
        <v>7</v>
      </c>
      <c r="B124" s="328" t="s">
        <v>14</v>
      </c>
      <c r="C124" s="313" t="s">
        <v>43</v>
      </c>
      <c r="D124" s="313" t="str">
        <f ca="1">IFERROR(OFFSET(Camp_List[P_Code],MATCH(Data_Vulnerability_t[[#This Row],[Camp Name]],Camp_List[Camp Name],0)-1,0,1,1),"")</f>
        <v>MMR012CMP019</v>
      </c>
      <c r="E124" s="314" t="s">
        <v>1112</v>
      </c>
      <c r="F124" s="156">
        <v>101</v>
      </c>
      <c r="G124" s="309" t="s">
        <v>288</v>
      </c>
      <c r="H124" s="868">
        <v>42825</v>
      </c>
    </row>
    <row r="125" spans="1:12" x14ac:dyDescent="0.2">
      <c r="A125" s="312" t="s">
        <v>7</v>
      </c>
      <c r="B125" s="328" t="s">
        <v>14</v>
      </c>
      <c r="C125" s="313" t="s">
        <v>43</v>
      </c>
      <c r="D125" s="313" t="str">
        <f ca="1">IFERROR(OFFSET(Camp_List[P_Code],MATCH(Data_Vulnerability_t[[#This Row],[Camp Name]],Camp_List[Camp Name],0)-1,0,1,1),"")</f>
        <v>MMR012CMP019</v>
      </c>
      <c r="E125" s="314" t="s">
        <v>1113</v>
      </c>
      <c r="F125" s="156">
        <v>1</v>
      </c>
      <c r="G125" s="309" t="s">
        <v>288</v>
      </c>
      <c r="H125" s="868">
        <v>42825</v>
      </c>
    </row>
    <row r="126" spans="1:12" x14ac:dyDescent="0.2">
      <c r="A126" s="312" t="s">
        <v>7</v>
      </c>
      <c r="B126" s="328" t="s">
        <v>14</v>
      </c>
      <c r="C126" s="313" t="s">
        <v>43</v>
      </c>
      <c r="D126" s="313" t="str">
        <f ca="1">IFERROR(OFFSET(Camp_List[P_Code],MATCH(Data_Vulnerability_t[[#This Row],[Camp Name]],Camp_List[Camp Name],0)-1,0,1,1),"")</f>
        <v>MMR012CMP019</v>
      </c>
      <c r="E126" s="314" t="s">
        <v>1114</v>
      </c>
      <c r="F126" s="156">
        <v>0</v>
      </c>
      <c r="G126" s="309" t="s">
        <v>288</v>
      </c>
      <c r="H126" s="868">
        <v>42825</v>
      </c>
    </row>
    <row r="127" spans="1:12" x14ac:dyDescent="0.2">
      <c r="A127" s="312" t="s">
        <v>7</v>
      </c>
      <c r="B127" s="328" t="s">
        <v>14</v>
      </c>
      <c r="C127" s="313" t="s">
        <v>43</v>
      </c>
      <c r="D127" s="366" t="str">
        <f ca="1">IFERROR(OFFSET(Camp_List[P_Code],MATCH(Data_Vulnerability_t[[#This Row],[Camp Name]],Camp_List[Camp Name],0)-1,0,1,1),"")</f>
        <v>MMR012CMP019</v>
      </c>
      <c r="E127" s="314" t="s">
        <v>827</v>
      </c>
      <c r="F127" s="156">
        <v>0</v>
      </c>
      <c r="G127" s="309" t="s">
        <v>288</v>
      </c>
      <c r="H127" s="868">
        <v>42825</v>
      </c>
    </row>
    <row r="128" spans="1:12" x14ac:dyDescent="0.2">
      <c r="A128" s="312" t="s">
        <v>7</v>
      </c>
      <c r="B128" s="328" t="s">
        <v>867</v>
      </c>
      <c r="C128" s="313" t="s">
        <v>38</v>
      </c>
      <c r="D128" s="366" t="s">
        <v>124</v>
      </c>
      <c r="E128" s="314" t="s">
        <v>1107</v>
      </c>
      <c r="F128" s="156">
        <v>35</v>
      </c>
      <c r="G128" s="309" t="s">
        <v>707</v>
      </c>
      <c r="H128" s="868">
        <v>42825</v>
      </c>
    </row>
    <row r="129" spans="1:8" x14ac:dyDescent="0.2">
      <c r="A129" s="312" t="s">
        <v>7</v>
      </c>
      <c r="B129" s="328" t="s">
        <v>867</v>
      </c>
      <c r="C129" s="313" t="s">
        <v>38</v>
      </c>
      <c r="D129" s="366" t="s">
        <v>124</v>
      </c>
      <c r="E129" s="314" t="s">
        <v>1108</v>
      </c>
      <c r="F129" s="156">
        <v>14</v>
      </c>
      <c r="G129" s="309" t="s">
        <v>707</v>
      </c>
      <c r="H129" s="868">
        <v>42825</v>
      </c>
    </row>
    <row r="130" spans="1:8" x14ac:dyDescent="0.2">
      <c r="A130" s="312" t="s">
        <v>7</v>
      </c>
      <c r="B130" s="328" t="s">
        <v>867</v>
      </c>
      <c r="C130" s="313" t="s">
        <v>38</v>
      </c>
      <c r="D130" s="366" t="s">
        <v>124</v>
      </c>
      <c r="E130" s="314" t="s">
        <v>1113</v>
      </c>
      <c r="F130" s="156">
        <v>143</v>
      </c>
      <c r="G130" s="309" t="s">
        <v>707</v>
      </c>
      <c r="H130" s="868">
        <v>42825</v>
      </c>
    </row>
    <row r="131" spans="1:8" x14ac:dyDescent="0.2">
      <c r="A131" s="312" t="s">
        <v>7</v>
      </c>
      <c r="B131" s="328" t="s">
        <v>867</v>
      </c>
      <c r="C131" s="313" t="s">
        <v>38</v>
      </c>
      <c r="D131" s="366" t="s">
        <v>124</v>
      </c>
      <c r="E131" s="314" t="s">
        <v>1114</v>
      </c>
      <c r="F131" s="156">
        <v>25</v>
      </c>
      <c r="G131" s="309" t="s">
        <v>707</v>
      </c>
      <c r="H131" s="868">
        <v>42825</v>
      </c>
    </row>
    <row r="132" spans="1:8" x14ac:dyDescent="0.2">
      <c r="A132" s="312" t="s">
        <v>7</v>
      </c>
      <c r="B132" s="328" t="s">
        <v>867</v>
      </c>
      <c r="C132" s="313" t="s">
        <v>38</v>
      </c>
      <c r="D132" s="366" t="s">
        <v>124</v>
      </c>
      <c r="E132" s="314" t="s">
        <v>827</v>
      </c>
      <c r="F132" s="156">
        <v>45</v>
      </c>
      <c r="G132" s="309" t="s">
        <v>707</v>
      </c>
      <c r="H132" s="868">
        <v>42825</v>
      </c>
    </row>
    <row r="133" spans="1:8" x14ac:dyDescent="0.2">
      <c r="A133" s="312" t="s">
        <v>7</v>
      </c>
      <c r="B133" s="328" t="s">
        <v>867</v>
      </c>
      <c r="C133" s="313" t="s">
        <v>38</v>
      </c>
      <c r="D133" s="313" t="str">
        <f ca="1">IFERROR(OFFSET(Camp_List[P_Code],MATCH(Data_Vulnerability_t[[#This Row],[Camp Name]],Camp_List[Camp Name],0)-1,0,1,1),"")</f>
        <v>MMR012CMP014</v>
      </c>
      <c r="E133" s="314" t="s">
        <v>1111</v>
      </c>
      <c r="F133" s="156">
        <v>4</v>
      </c>
      <c r="G133" s="309" t="s">
        <v>707</v>
      </c>
      <c r="H133" s="868">
        <v>42825</v>
      </c>
    </row>
    <row r="134" spans="1:8" x14ac:dyDescent="0.2">
      <c r="A134" s="312" t="s">
        <v>7</v>
      </c>
      <c r="B134" s="328" t="s">
        <v>867</v>
      </c>
      <c r="C134" s="313" t="s">
        <v>38</v>
      </c>
      <c r="D134" s="313" t="str">
        <f ca="1">IFERROR(OFFSET(Camp_List[P_Code],MATCH(Data_Vulnerability_t[[#This Row],[Camp Name]],Camp_List[Camp Name],0)-1,0,1,1),"")</f>
        <v>MMR012CMP014</v>
      </c>
      <c r="E134" s="314" t="s">
        <v>1110</v>
      </c>
      <c r="F134" s="156">
        <v>0</v>
      </c>
      <c r="G134" s="309" t="s">
        <v>707</v>
      </c>
      <c r="H134" s="868">
        <v>42825</v>
      </c>
    </row>
    <row r="135" spans="1:8" x14ac:dyDescent="0.2">
      <c r="A135" s="312" t="s">
        <v>7</v>
      </c>
      <c r="B135" s="328" t="s">
        <v>867</v>
      </c>
      <c r="C135" s="313" t="s">
        <v>38</v>
      </c>
      <c r="D135" s="313" t="str">
        <f ca="1">IFERROR(OFFSET(Camp_List[P_Code],MATCH(Data_Vulnerability_t[[#This Row],[Camp Name]],Camp_List[Camp Name],0)-1,0,1,1),"")</f>
        <v>MMR012CMP014</v>
      </c>
      <c r="E135" s="314" t="s">
        <v>1112</v>
      </c>
      <c r="F135" s="156">
        <v>4</v>
      </c>
      <c r="G135" s="309" t="s">
        <v>707</v>
      </c>
      <c r="H135" s="868">
        <v>42825</v>
      </c>
    </row>
    <row r="136" spans="1:8" x14ac:dyDescent="0.2">
      <c r="A136" s="312" t="s">
        <v>7</v>
      </c>
      <c r="B136" s="328" t="s">
        <v>867</v>
      </c>
      <c r="C136" s="313" t="s">
        <v>38</v>
      </c>
      <c r="D136" s="313" t="str">
        <f ca="1">IFERROR(OFFSET(Camp_List[P_Code],MATCH(Data_Vulnerability_t[[#This Row],[Camp Name]],Camp_List[Camp Name],0)-1,0,1,1),"")</f>
        <v>MMR012CMP014</v>
      </c>
      <c r="E136" s="314" t="s">
        <v>1109</v>
      </c>
      <c r="F136" s="156">
        <v>158</v>
      </c>
      <c r="G136" s="309" t="s">
        <v>707</v>
      </c>
      <c r="H136" s="868">
        <v>42825</v>
      </c>
    </row>
    <row r="137" spans="1:8" x14ac:dyDescent="0.2">
      <c r="A137" s="312" t="s">
        <v>7</v>
      </c>
      <c r="B137" s="328" t="s">
        <v>19</v>
      </c>
      <c r="C137" s="313" t="s">
        <v>68</v>
      </c>
      <c r="D137" s="313" t="str">
        <f ca="1">IFERROR(OFFSET(Camp_List[P_Code],MATCH(Data_Vulnerability_t[[#This Row],[Camp Name]],Camp_List[Camp Name],0)-1,0,1,1),"")</f>
        <v>MMR012CMP046</v>
      </c>
      <c r="E137" s="314" t="s">
        <v>1107</v>
      </c>
      <c r="F137" s="156">
        <v>68</v>
      </c>
      <c r="G137" s="309" t="s">
        <v>624</v>
      </c>
      <c r="H137" s="868">
        <v>42825</v>
      </c>
    </row>
    <row r="138" spans="1:8" x14ac:dyDescent="0.2">
      <c r="A138" s="312" t="s">
        <v>7</v>
      </c>
      <c r="B138" s="328" t="s">
        <v>19</v>
      </c>
      <c r="C138" s="313" t="s">
        <v>68</v>
      </c>
      <c r="D138" s="313" t="str">
        <f ca="1">IFERROR(OFFSET(Camp_List[P_Code],MATCH(Data_Vulnerability_t[[#This Row],[Camp Name]],Camp_List[Camp Name],0)-1,0,1,1),"")</f>
        <v>MMR012CMP046</v>
      </c>
      <c r="E138" s="314" t="s">
        <v>1108</v>
      </c>
      <c r="F138" s="156">
        <v>41</v>
      </c>
      <c r="G138" s="309" t="s">
        <v>624</v>
      </c>
      <c r="H138" s="868">
        <v>42825</v>
      </c>
    </row>
    <row r="139" spans="1:8" x14ac:dyDescent="0.2">
      <c r="A139" s="312" t="s">
        <v>7</v>
      </c>
      <c r="B139" s="328" t="s">
        <v>19</v>
      </c>
      <c r="C139" s="313" t="s">
        <v>68</v>
      </c>
      <c r="D139" s="313" t="str">
        <f ca="1">IFERROR(OFFSET(Camp_List[P_Code],MATCH(Data_Vulnerability_t[[#This Row],[Camp Name]],Camp_List[Camp Name],0)-1,0,1,1),"")</f>
        <v>MMR012CMP046</v>
      </c>
      <c r="E139" s="314" t="s">
        <v>1109</v>
      </c>
      <c r="F139" s="156">
        <v>23</v>
      </c>
      <c r="G139" s="309" t="s">
        <v>624</v>
      </c>
      <c r="H139" s="868">
        <v>42825</v>
      </c>
    </row>
    <row r="140" spans="1:8" x14ac:dyDescent="0.2">
      <c r="A140" s="312" t="s">
        <v>7</v>
      </c>
      <c r="B140" s="328" t="s">
        <v>19</v>
      </c>
      <c r="C140" s="313" t="s">
        <v>68</v>
      </c>
      <c r="D140" s="313" t="str">
        <f ca="1">IFERROR(OFFSET(Camp_List[P_Code],MATCH(Data_Vulnerability_t[[#This Row],[Camp Name]],Camp_List[Camp Name],0)-1,0,1,1),"")</f>
        <v>MMR012CMP046</v>
      </c>
      <c r="E140" s="314" t="s">
        <v>1110</v>
      </c>
      <c r="F140" s="156">
        <v>10</v>
      </c>
      <c r="G140" s="309" t="s">
        <v>624</v>
      </c>
      <c r="H140" s="868">
        <v>42825</v>
      </c>
    </row>
    <row r="141" spans="1:8" x14ac:dyDescent="0.2">
      <c r="A141" s="312" t="s">
        <v>7</v>
      </c>
      <c r="B141" s="328" t="s">
        <v>19</v>
      </c>
      <c r="C141" s="313" t="s">
        <v>68</v>
      </c>
      <c r="D141" s="313" t="str">
        <f ca="1">IFERROR(OFFSET(Camp_List[P_Code],MATCH(Data_Vulnerability_t[[#This Row],[Camp Name]],Camp_List[Camp Name],0)-1,0,1,1),"")</f>
        <v>MMR012CMP046</v>
      </c>
      <c r="E141" s="314" t="s">
        <v>1111</v>
      </c>
      <c r="F141" s="156">
        <v>15</v>
      </c>
      <c r="G141" s="309" t="s">
        <v>624</v>
      </c>
      <c r="H141" s="868">
        <v>42825</v>
      </c>
    </row>
    <row r="142" spans="1:8" x14ac:dyDescent="0.2">
      <c r="A142" s="312" t="s">
        <v>7</v>
      </c>
      <c r="B142" s="328" t="s">
        <v>19</v>
      </c>
      <c r="C142" s="313" t="s">
        <v>68</v>
      </c>
      <c r="D142" s="313" t="str">
        <f ca="1">IFERROR(OFFSET(Camp_List[P_Code],MATCH(Data_Vulnerability_t[[#This Row],[Camp Name]],Camp_List[Camp Name],0)-1,0,1,1),"")</f>
        <v>MMR012CMP046</v>
      </c>
      <c r="E142" s="314" t="s">
        <v>1112</v>
      </c>
      <c r="F142" s="156">
        <v>319</v>
      </c>
      <c r="G142" s="309" t="s">
        <v>624</v>
      </c>
      <c r="H142" s="868">
        <v>42825</v>
      </c>
    </row>
    <row r="143" spans="1:8" x14ac:dyDescent="0.2">
      <c r="A143" s="481" t="s">
        <v>7</v>
      </c>
      <c r="B143" s="485" t="s">
        <v>19</v>
      </c>
      <c r="C143" s="156" t="s">
        <v>68</v>
      </c>
      <c r="D143" s="366" t="str">
        <f ca="1">IFERROR(OFFSET(Camp_List[P_Code],MATCH(Data_Vulnerability_t[[#This Row],[Camp Name]],Camp_List[Camp Name],0)-1,0,1,1),"")</f>
        <v>MMR012CMP046</v>
      </c>
      <c r="E143" s="483" t="s">
        <v>1113</v>
      </c>
      <c r="F143" s="156">
        <v>41</v>
      </c>
      <c r="G143" s="482" t="s">
        <v>624</v>
      </c>
      <c r="H143" s="868">
        <v>42825</v>
      </c>
    </row>
    <row r="144" spans="1:8" x14ac:dyDescent="0.2">
      <c r="A144" s="481" t="s">
        <v>7</v>
      </c>
      <c r="B144" s="485" t="s">
        <v>19</v>
      </c>
      <c r="C144" s="156" t="s">
        <v>68</v>
      </c>
      <c r="D144" s="366" t="str">
        <f ca="1">IFERROR(OFFSET(Camp_List[P_Code],MATCH(Data_Vulnerability_t[[#This Row],[Camp Name]],Camp_List[Camp Name],0)-1,0,1,1),"")</f>
        <v>MMR012CMP046</v>
      </c>
      <c r="E144" s="483" t="s">
        <v>1114</v>
      </c>
      <c r="F144" s="156">
        <v>154</v>
      </c>
      <c r="G144" s="482" t="s">
        <v>624</v>
      </c>
      <c r="H144" s="868">
        <v>42825</v>
      </c>
    </row>
    <row r="145" spans="1:8" x14ac:dyDescent="0.2">
      <c r="A145" s="481" t="s">
        <v>7</v>
      </c>
      <c r="B145" s="485" t="s">
        <v>19</v>
      </c>
      <c r="C145" s="156" t="s">
        <v>68</v>
      </c>
      <c r="D145" s="366" t="str">
        <f ca="1">IFERROR(OFFSET(Camp_List[P_Code],MATCH(Data_Vulnerability_t[[#This Row],[Camp Name]],Camp_List[Camp Name],0)-1,0,1,1),"")</f>
        <v>MMR012CMP046</v>
      </c>
      <c r="E145" s="483" t="s">
        <v>827</v>
      </c>
      <c r="F145" s="156">
        <v>396</v>
      </c>
      <c r="G145" s="482" t="s">
        <v>624</v>
      </c>
      <c r="H145" s="868">
        <v>42825</v>
      </c>
    </row>
    <row r="146" spans="1:8" x14ac:dyDescent="0.2">
      <c r="A146" s="481" t="s">
        <v>7</v>
      </c>
      <c r="B146" s="485" t="s">
        <v>19</v>
      </c>
      <c r="C146" s="156" t="s">
        <v>70</v>
      </c>
      <c r="D146" s="366" t="str">
        <f ca="1">IFERROR(OFFSET(Camp_List[P_Code],MATCH(Data_Vulnerability_t[[#This Row],[Camp Name]],Camp_List[Camp Name],0)-1,0,1,1),"")</f>
        <v>MMR012CMP048</v>
      </c>
      <c r="E146" s="483" t="s">
        <v>1107</v>
      </c>
      <c r="F146" s="156">
        <v>38</v>
      </c>
      <c r="G146" s="482" t="s">
        <v>971</v>
      </c>
      <c r="H146" s="868">
        <v>42825</v>
      </c>
    </row>
    <row r="147" spans="1:8" ht="12" customHeight="1" x14ac:dyDescent="0.2">
      <c r="A147" s="481" t="s">
        <v>7</v>
      </c>
      <c r="B147" s="485" t="s">
        <v>19</v>
      </c>
      <c r="C147" s="156" t="s">
        <v>70</v>
      </c>
      <c r="D147" s="366" t="str">
        <f ca="1">IFERROR(OFFSET(Camp_List[P_Code],MATCH(Data_Vulnerability_t[[#This Row],[Camp Name]],Camp_List[Camp Name],0)-1,0,1,1),"")</f>
        <v>MMR012CMP048</v>
      </c>
      <c r="E147" s="483" t="s">
        <v>1108</v>
      </c>
      <c r="F147" s="156">
        <v>0</v>
      </c>
      <c r="G147" s="482" t="s">
        <v>971</v>
      </c>
      <c r="H147" s="868">
        <v>42825</v>
      </c>
    </row>
    <row r="148" spans="1:8" x14ac:dyDescent="0.2">
      <c r="A148" s="481" t="s">
        <v>7</v>
      </c>
      <c r="B148" s="485" t="s">
        <v>19</v>
      </c>
      <c r="C148" s="156" t="s">
        <v>70</v>
      </c>
      <c r="D148" s="366" t="str">
        <f ca="1">IFERROR(OFFSET(Camp_List[P_Code],MATCH(Data_Vulnerability_t[[#This Row],[Camp Name]],Camp_List[Camp Name],0)-1,0,1,1),"")</f>
        <v>MMR012CMP048</v>
      </c>
      <c r="E148" s="483" t="s">
        <v>1109</v>
      </c>
      <c r="F148" s="156">
        <v>45</v>
      </c>
      <c r="G148" s="482" t="s">
        <v>971</v>
      </c>
      <c r="H148" s="868">
        <v>42825</v>
      </c>
    </row>
    <row r="149" spans="1:8" x14ac:dyDescent="0.2">
      <c r="A149" s="481" t="s">
        <v>7</v>
      </c>
      <c r="B149" s="485" t="s">
        <v>19</v>
      </c>
      <c r="C149" s="156" t="s">
        <v>70</v>
      </c>
      <c r="D149" s="366" t="str">
        <f ca="1">IFERROR(OFFSET(Camp_List[P_Code],MATCH(Data_Vulnerability_t[[#This Row],[Camp Name]],Camp_List[Camp Name],0)-1,0,1,1),"")</f>
        <v>MMR012CMP048</v>
      </c>
      <c r="E149" s="483" t="s">
        <v>1110</v>
      </c>
      <c r="F149" s="156">
        <v>20</v>
      </c>
      <c r="G149" s="482" t="s">
        <v>971</v>
      </c>
      <c r="H149" s="868">
        <v>42825</v>
      </c>
    </row>
    <row r="150" spans="1:8" x14ac:dyDescent="0.2">
      <c r="A150" s="481" t="s">
        <v>7</v>
      </c>
      <c r="B150" s="485" t="s">
        <v>19</v>
      </c>
      <c r="C150" s="156" t="s">
        <v>70</v>
      </c>
      <c r="D150" s="366" t="str">
        <f ca="1">IFERROR(OFFSET(Camp_List[P_Code],MATCH(Data_Vulnerability_t[[#This Row],[Camp Name]],Camp_List[Camp Name],0)-1,0,1,1),"")</f>
        <v>MMR012CMP048</v>
      </c>
      <c r="E150" s="483" t="s">
        <v>1111</v>
      </c>
      <c r="F150" s="156">
        <v>0</v>
      </c>
      <c r="G150" s="482" t="s">
        <v>971</v>
      </c>
      <c r="H150" s="868">
        <v>42825</v>
      </c>
    </row>
    <row r="151" spans="1:8" x14ac:dyDescent="0.2">
      <c r="A151" s="481" t="s">
        <v>7</v>
      </c>
      <c r="B151" s="485" t="s">
        <v>19</v>
      </c>
      <c r="C151" s="156" t="s">
        <v>70</v>
      </c>
      <c r="D151" s="366" t="str">
        <f ca="1">IFERROR(OFFSET(Camp_List[P_Code],MATCH(Data_Vulnerability_t[[#This Row],[Camp Name]],Camp_List[Camp Name],0)-1,0,1,1),"")</f>
        <v>MMR012CMP048</v>
      </c>
      <c r="E151" s="483" t="s">
        <v>1112</v>
      </c>
      <c r="F151" s="156">
        <v>29</v>
      </c>
      <c r="G151" s="482" t="s">
        <v>971</v>
      </c>
      <c r="H151" s="868">
        <v>42825</v>
      </c>
    </row>
    <row r="152" spans="1:8" x14ac:dyDescent="0.2">
      <c r="A152" s="481" t="s">
        <v>7</v>
      </c>
      <c r="B152" s="485" t="s">
        <v>19</v>
      </c>
      <c r="C152" s="156" t="s">
        <v>70</v>
      </c>
      <c r="D152" s="366" t="str">
        <f ca="1">IFERROR(OFFSET(Camp_List[P_Code],MATCH(Data_Vulnerability_t[[#This Row],[Camp Name]],Camp_List[Camp Name],0)-1,0,1,1),"")</f>
        <v>MMR012CMP048</v>
      </c>
      <c r="E152" s="483" t="s">
        <v>1113</v>
      </c>
      <c r="F152" s="156">
        <v>34</v>
      </c>
      <c r="G152" s="482" t="s">
        <v>971</v>
      </c>
      <c r="H152" s="868">
        <v>42825</v>
      </c>
    </row>
    <row r="153" spans="1:8" x14ac:dyDescent="0.2">
      <c r="A153" s="596" t="s">
        <v>7</v>
      </c>
      <c r="B153" s="597" t="s">
        <v>19</v>
      </c>
      <c r="C153" s="306" t="s">
        <v>70</v>
      </c>
      <c r="D153" s="486" t="str">
        <f ca="1">IFERROR(OFFSET(Camp_List[P_Code],MATCH(Data_Vulnerability_t[[#This Row],[Camp Name]],Camp_List[Camp Name],0)-1,0,1,1),"")</f>
        <v>MMR012CMP048</v>
      </c>
      <c r="E153" s="487" t="s">
        <v>1114</v>
      </c>
      <c r="F153" s="306">
        <v>41</v>
      </c>
      <c r="G153" s="598" t="s">
        <v>971</v>
      </c>
      <c r="H153" s="868">
        <v>42825</v>
      </c>
    </row>
    <row r="154" spans="1:8" x14ac:dyDescent="0.2">
      <c r="A154" s="596" t="s">
        <v>7</v>
      </c>
      <c r="B154" s="597" t="s">
        <v>19</v>
      </c>
      <c r="C154" s="306" t="s">
        <v>70</v>
      </c>
      <c r="D154" s="486" t="str">
        <f ca="1">IFERROR(OFFSET(Camp_List[P_Code],MATCH(Data_Vulnerability_t[[#This Row],[Camp Name]],Camp_List[Camp Name],0)-1,0,1,1),"")</f>
        <v>MMR012CMP048</v>
      </c>
      <c r="E154" s="487" t="s">
        <v>827</v>
      </c>
      <c r="F154" s="306">
        <v>250</v>
      </c>
      <c r="G154" s="598" t="s">
        <v>971</v>
      </c>
      <c r="H154" s="868">
        <v>42825</v>
      </c>
    </row>
    <row r="158" spans="1:8" x14ac:dyDescent="0.2">
      <c r="E158" s="867"/>
      <c r="F158" s="867"/>
    </row>
    <row r="159" spans="1:8" x14ac:dyDescent="0.2">
      <c r="E159" s="867"/>
      <c r="F159" s="867"/>
    </row>
    <row r="160" spans="1:8" ht="16.5" customHeight="1" x14ac:dyDescent="0.2">
      <c r="C160" s="284"/>
      <c r="D160" s="941"/>
      <c r="E160" s="867"/>
      <c r="F160" s="867"/>
      <c r="H160" s="155"/>
    </row>
    <row r="161" spans="3:6" ht="28.5" customHeight="1" x14ac:dyDescent="0.2">
      <c r="C161" s="284"/>
      <c r="D161" s="941"/>
      <c r="E161" s="867"/>
      <c r="F161" s="867"/>
    </row>
    <row r="162" spans="3:6" ht="16.5" customHeight="1" x14ac:dyDescent="0.2">
      <c r="C162" s="284"/>
      <c r="D162" s="941"/>
      <c r="E162" s="867"/>
      <c r="F162" s="867"/>
    </row>
    <row r="163" spans="3:6" ht="16.5" customHeight="1" x14ac:dyDescent="0.2">
      <c r="C163" s="284"/>
      <c r="D163" s="941"/>
      <c r="E163" s="867"/>
      <c r="F163" s="867"/>
    </row>
    <row r="164" spans="3:6" ht="16.5" customHeight="1" x14ac:dyDescent="0.2">
      <c r="C164" s="284"/>
      <c r="D164" s="941"/>
      <c r="E164" s="867"/>
      <c r="F164" s="867"/>
    </row>
    <row r="165" spans="3:6" ht="16.5" customHeight="1" x14ac:dyDescent="0.2">
      <c r="C165" s="284"/>
      <c r="D165" s="941"/>
      <c r="E165" s="867"/>
      <c r="F165" s="867"/>
    </row>
    <row r="166" spans="3:6" ht="16.5" customHeight="1" x14ac:dyDescent="0.2">
      <c r="C166" s="284"/>
      <c r="D166" s="941"/>
      <c r="E166" s="867"/>
      <c r="F166" s="867"/>
    </row>
    <row r="167" spans="3:6" ht="16.5" customHeight="1" x14ac:dyDescent="0.2">
      <c r="C167" s="284"/>
      <c r="D167" s="941"/>
    </row>
    <row r="168" spans="3:6" ht="16.5" customHeight="1" x14ac:dyDescent="0.2">
      <c r="C168" s="284"/>
      <c r="D168" s="941"/>
    </row>
    <row r="169" spans="3:6" ht="16.5" customHeight="1" x14ac:dyDescent="0.2">
      <c r="C169" s="284"/>
      <c r="D169" s="941"/>
    </row>
    <row r="170" spans="3:6" ht="16.5" customHeight="1" x14ac:dyDescent="0.2">
      <c r="C170" s="284"/>
      <c r="D170" s="941"/>
    </row>
    <row r="171" spans="3:6" ht="16.5" customHeight="1" x14ac:dyDescent="0.2">
      <c r="C171" s="284"/>
      <c r="D171" s="941"/>
    </row>
    <row r="172" spans="3:6" ht="16.5" customHeight="1" x14ac:dyDescent="0.2">
      <c r="C172" s="284"/>
      <c r="D172" s="941"/>
    </row>
    <row r="173" spans="3:6" ht="16.5" customHeight="1" x14ac:dyDescent="0.2">
      <c r="C173" s="284"/>
      <c r="D173" s="941"/>
    </row>
    <row r="174" spans="3:6" ht="16.5" customHeight="1" x14ac:dyDescent="0.2">
      <c r="C174" s="284"/>
      <c r="D174" s="941"/>
    </row>
    <row r="175" spans="3:6" ht="16.5" customHeight="1" x14ac:dyDescent="0.2">
      <c r="C175" s="284"/>
      <c r="D175" s="941"/>
    </row>
    <row r="176" spans="3:6" ht="15" x14ac:dyDescent="0.2">
      <c r="C176" s="284"/>
      <c r="D176" s="941"/>
    </row>
    <row r="177" spans="3:4" ht="15" x14ac:dyDescent="0.2">
      <c r="C177" s="284"/>
      <c r="D177" s="941"/>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x14ac:dyDescent="0.25"/>
  <cols>
    <col min="1" max="1" width="1.7109375" style="90" customWidth="1"/>
  </cols>
  <sheetData>
    <row r="1" spans="2:62" s="90" customFormat="1" ht="8.25" customHeight="1" thickBot="1" x14ac:dyDescent="0.3"/>
    <row r="2" spans="2:62" s="1" customFormat="1" ht="36.75" customHeight="1" x14ac:dyDescent="0.25">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x14ac:dyDescent="0.25">
      <c r="B3" s="410" t="s">
        <v>785</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x14ac:dyDescent="0.25">
      <c r="B4" s="1035">
        <f>Report_Date</f>
        <v>42795</v>
      </c>
      <c r="C4" s="1004"/>
      <c r="D4" s="1004"/>
      <c r="E4" s="191"/>
      <c r="F4" s="191"/>
      <c r="G4" s="191"/>
      <c r="H4" s="191"/>
      <c r="I4" s="191"/>
      <c r="J4" s="191"/>
      <c r="K4" s="191"/>
      <c r="L4" s="192"/>
      <c r="M4" s="191"/>
      <c r="N4" s="191"/>
      <c r="O4" s="191"/>
      <c r="P4" s="418"/>
      <c r="Q4" s="90"/>
      <c r="R4" s="90"/>
      <c r="S4" s="90"/>
      <c r="T4" s="90"/>
      <c r="U4" s="90"/>
      <c r="V4" s="90"/>
      <c r="W4" s="90"/>
      <c r="X4" s="90"/>
      <c r="Y4" s="90"/>
      <c r="Z4" s="90"/>
      <c r="BG4" s="69"/>
      <c r="BH4" s="69"/>
    </row>
    <row r="5" spans="2:62" x14ac:dyDescent="0.25">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x14ac:dyDescent="0.25">
      <c r="B6" s="411"/>
      <c r="C6" s="183"/>
      <c r="D6" s="183"/>
      <c r="E6" s="183"/>
      <c r="F6" s="183"/>
      <c r="G6" s="183"/>
      <c r="H6" s="183"/>
      <c r="I6" s="183"/>
      <c r="J6" s="183"/>
      <c r="K6" s="183"/>
      <c r="L6" s="183"/>
      <c r="M6" s="183"/>
      <c r="N6" s="183"/>
      <c r="O6" s="183"/>
      <c r="P6" s="412"/>
    </row>
    <row r="7" spans="2:62" x14ac:dyDescent="0.25">
      <c r="B7" s="411"/>
      <c r="C7" s="183"/>
      <c r="D7" s="183"/>
      <c r="E7" s="183"/>
      <c r="F7" s="183"/>
      <c r="G7" s="183"/>
      <c r="H7" s="183"/>
      <c r="I7" s="183"/>
      <c r="J7" s="183"/>
      <c r="K7" s="183"/>
      <c r="L7" s="183"/>
      <c r="M7" s="183"/>
      <c r="N7" s="183"/>
      <c r="O7" s="183"/>
      <c r="P7" s="412"/>
    </row>
    <row r="8" spans="2:62" x14ac:dyDescent="0.25">
      <c r="B8" s="411"/>
      <c r="C8" s="183"/>
      <c r="D8" s="183"/>
      <c r="E8" s="183"/>
      <c r="F8" s="183"/>
      <c r="G8" s="183"/>
      <c r="H8" s="183"/>
      <c r="I8" s="183"/>
      <c r="J8" s="183"/>
      <c r="K8" s="183"/>
      <c r="L8" s="183"/>
      <c r="M8" s="183"/>
      <c r="N8" s="183"/>
      <c r="O8" s="183"/>
      <c r="P8" s="412"/>
    </row>
    <row r="9" spans="2:62" x14ac:dyDescent="0.25">
      <c r="B9" s="411"/>
      <c r="C9" s="183"/>
      <c r="D9" s="183"/>
      <c r="E9" s="183"/>
      <c r="F9" s="183"/>
      <c r="G9" s="183"/>
      <c r="H9" s="183"/>
      <c r="I9" s="183"/>
      <c r="J9" s="183"/>
      <c r="K9" s="183"/>
      <c r="L9" s="183"/>
      <c r="M9" s="183"/>
      <c r="N9" s="183"/>
      <c r="O9" s="183"/>
      <c r="P9" s="412"/>
    </row>
    <row r="10" spans="2:62" x14ac:dyDescent="0.25">
      <c r="B10" s="411"/>
      <c r="C10" s="183"/>
      <c r="D10" s="183"/>
      <c r="E10" s="183"/>
      <c r="F10" s="183"/>
      <c r="G10" s="183"/>
      <c r="H10" s="183"/>
      <c r="I10" s="183"/>
      <c r="J10" s="183"/>
      <c r="K10" s="183"/>
      <c r="L10" s="183"/>
      <c r="M10" s="183"/>
      <c r="N10" s="183"/>
      <c r="O10" s="183"/>
      <c r="P10" s="412"/>
    </row>
    <row r="11" spans="2:62" x14ac:dyDescent="0.25">
      <c r="B11" s="411"/>
      <c r="C11" s="183"/>
      <c r="D11" s="183"/>
      <c r="E11" s="183"/>
      <c r="F11" s="183"/>
      <c r="G11" s="183"/>
      <c r="H11" s="183"/>
      <c r="I11" s="183"/>
      <c r="J11" s="183"/>
      <c r="K11" s="183"/>
      <c r="L11" s="183"/>
      <c r="M11" s="183"/>
      <c r="N11" s="183"/>
      <c r="O11" s="183"/>
      <c r="P11" s="412"/>
    </row>
    <row r="12" spans="2:62" x14ac:dyDescent="0.25">
      <c r="B12" s="411"/>
      <c r="C12" s="183"/>
      <c r="D12" s="183"/>
      <c r="E12" s="183"/>
      <c r="F12" s="183"/>
      <c r="G12" s="183"/>
      <c r="H12" s="183"/>
      <c r="I12" s="183"/>
      <c r="J12" s="183"/>
      <c r="K12" s="183"/>
      <c r="L12" s="183"/>
      <c r="M12" s="183"/>
      <c r="N12" s="183"/>
      <c r="O12" s="183"/>
      <c r="P12" s="412"/>
    </row>
    <row r="13" spans="2:62" x14ac:dyDescent="0.25">
      <c r="B13" s="411"/>
      <c r="C13" s="183"/>
      <c r="D13" s="183"/>
      <c r="E13" s="183"/>
      <c r="F13" s="183"/>
      <c r="G13" s="183"/>
      <c r="H13" s="183"/>
      <c r="I13" s="183"/>
      <c r="J13" s="183"/>
      <c r="K13" s="183"/>
      <c r="L13" s="183"/>
      <c r="M13" s="183"/>
      <c r="N13" s="183"/>
      <c r="O13" s="183"/>
      <c r="P13" s="412"/>
    </row>
    <row r="14" spans="2:62" x14ac:dyDescent="0.25">
      <c r="B14" s="411"/>
      <c r="C14" s="183"/>
      <c r="D14" s="183"/>
      <c r="E14" s="183"/>
      <c r="F14" s="183"/>
      <c r="G14" s="183"/>
      <c r="H14" s="183"/>
      <c r="I14" s="183"/>
      <c r="J14" s="183"/>
      <c r="K14" s="183"/>
      <c r="L14" s="183"/>
      <c r="M14" s="183"/>
      <c r="N14" s="183"/>
      <c r="O14" s="183"/>
      <c r="P14" s="412"/>
    </row>
    <row r="15" spans="2:62" x14ac:dyDescent="0.25">
      <c r="B15" s="411"/>
      <c r="C15" s="183"/>
      <c r="D15" s="183"/>
      <c r="E15" s="183"/>
      <c r="F15" s="183"/>
      <c r="G15" s="183"/>
      <c r="H15" s="183"/>
      <c r="I15" s="183"/>
      <c r="J15" s="183"/>
      <c r="K15" s="183"/>
      <c r="L15" s="183"/>
      <c r="M15" s="183"/>
      <c r="N15" s="183"/>
      <c r="O15" s="183"/>
      <c r="P15" s="412"/>
    </row>
    <row r="16" spans="2:62" x14ac:dyDescent="0.25">
      <c r="B16" s="411"/>
      <c r="C16" s="183"/>
      <c r="D16" s="183"/>
      <c r="E16" s="183"/>
      <c r="F16" s="183"/>
      <c r="G16" s="183"/>
      <c r="H16" s="183"/>
      <c r="I16" s="183"/>
      <c r="J16" s="183"/>
      <c r="K16" s="183"/>
      <c r="L16" s="183"/>
      <c r="M16" s="183"/>
      <c r="N16" s="183"/>
      <c r="O16" s="183"/>
      <c r="P16" s="412"/>
    </row>
    <row r="17" spans="2:16" x14ac:dyDescent="0.25">
      <c r="B17" s="411"/>
      <c r="C17" s="183"/>
      <c r="D17" s="183"/>
      <c r="E17" s="183"/>
      <c r="F17" s="183"/>
      <c r="G17" s="183"/>
      <c r="H17" s="183"/>
      <c r="I17" s="183"/>
      <c r="J17" s="183"/>
      <c r="K17" s="183"/>
      <c r="L17" s="183"/>
      <c r="M17" s="183"/>
      <c r="N17" s="183"/>
      <c r="O17" s="183"/>
      <c r="P17" s="412"/>
    </row>
    <row r="18" spans="2:16" x14ac:dyDescent="0.25">
      <c r="B18" s="411"/>
      <c r="C18" s="183"/>
      <c r="D18" s="183"/>
      <c r="E18" s="183"/>
      <c r="F18" s="183"/>
      <c r="G18" s="183"/>
      <c r="H18" s="183"/>
      <c r="I18" s="183"/>
      <c r="J18" s="183"/>
      <c r="K18" s="183"/>
      <c r="L18" s="183"/>
      <c r="M18" s="183"/>
      <c r="N18" s="183"/>
      <c r="O18" s="183"/>
      <c r="P18" s="412"/>
    </row>
    <row r="19" spans="2:16" x14ac:dyDescent="0.25">
      <c r="B19" s="411"/>
      <c r="C19" s="183"/>
      <c r="D19" s="183"/>
      <c r="E19" s="183"/>
      <c r="F19" s="183"/>
      <c r="G19" s="183"/>
      <c r="H19" s="183"/>
      <c r="I19" s="183"/>
      <c r="J19" s="183"/>
      <c r="K19" s="183"/>
      <c r="L19" s="183"/>
      <c r="M19" s="183"/>
      <c r="N19" s="183"/>
      <c r="O19" s="183"/>
      <c r="P19" s="412"/>
    </row>
    <row r="20" spans="2:16" x14ac:dyDescent="0.25">
      <c r="B20" s="411"/>
      <c r="C20" s="183"/>
      <c r="D20" s="183"/>
      <c r="E20" s="183"/>
      <c r="F20" s="183"/>
      <c r="G20" s="183"/>
      <c r="H20" s="183"/>
      <c r="I20" s="183"/>
      <c r="J20" s="183"/>
      <c r="K20" s="183"/>
      <c r="L20" s="183"/>
      <c r="M20" s="183"/>
      <c r="N20" s="183"/>
      <c r="O20" s="183"/>
      <c r="P20" s="412"/>
    </row>
    <row r="21" spans="2:16" x14ac:dyDescent="0.25">
      <c r="B21" s="411"/>
      <c r="C21" s="183"/>
      <c r="D21" s="183"/>
      <c r="E21" s="183"/>
      <c r="F21" s="183"/>
      <c r="G21" s="183"/>
      <c r="H21" s="183"/>
      <c r="I21" s="183"/>
      <c r="J21" s="183"/>
      <c r="K21" s="183"/>
      <c r="L21" s="183"/>
      <c r="M21" s="183"/>
      <c r="N21" s="183"/>
      <c r="O21" s="183"/>
      <c r="P21" s="412"/>
    </row>
    <row r="22" spans="2:16" x14ac:dyDescent="0.25">
      <c r="B22" s="411"/>
      <c r="C22" s="183"/>
      <c r="D22" s="183"/>
      <c r="E22" s="183"/>
      <c r="F22" s="183"/>
      <c r="G22" s="183"/>
      <c r="H22" s="183"/>
      <c r="I22" s="183"/>
      <c r="J22" s="183"/>
      <c r="K22" s="183"/>
      <c r="L22" s="183"/>
      <c r="M22" s="183"/>
      <c r="N22" s="183"/>
      <c r="O22" s="183"/>
      <c r="P22" s="412"/>
    </row>
    <row r="23" spans="2:16" x14ac:dyDescent="0.25">
      <c r="B23" s="411"/>
      <c r="C23" s="183"/>
      <c r="D23" s="183"/>
      <c r="E23" s="183"/>
      <c r="F23" s="183"/>
      <c r="G23" s="183"/>
      <c r="H23" s="183"/>
      <c r="I23" s="183"/>
      <c r="J23" s="183"/>
      <c r="K23" s="183"/>
      <c r="L23" s="183"/>
      <c r="M23" s="183"/>
      <c r="N23" s="183"/>
      <c r="O23" s="183"/>
      <c r="P23" s="412"/>
    </row>
    <row r="24" spans="2:16" x14ac:dyDescent="0.25">
      <c r="B24" s="411"/>
      <c r="C24" s="183"/>
      <c r="D24" s="183"/>
      <c r="E24" s="183"/>
      <c r="F24" s="183"/>
      <c r="G24" s="183"/>
      <c r="H24" s="183"/>
      <c r="I24" s="183"/>
      <c r="J24" s="183"/>
      <c r="K24" s="183"/>
      <c r="L24" s="183"/>
      <c r="M24" s="183"/>
      <c r="N24" s="183"/>
      <c r="O24" s="183"/>
      <c r="P24" s="412"/>
    </row>
    <row r="25" spans="2:16" x14ac:dyDescent="0.25">
      <c r="B25" s="411"/>
      <c r="C25" s="183"/>
      <c r="D25" s="183"/>
      <c r="E25" s="183"/>
      <c r="F25" s="183"/>
      <c r="G25" s="183"/>
      <c r="H25" s="183"/>
      <c r="I25" s="183"/>
      <c r="J25" s="183"/>
      <c r="K25" s="183"/>
      <c r="L25" s="183"/>
      <c r="M25" s="183"/>
      <c r="N25" s="183"/>
      <c r="O25" s="183"/>
      <c r="P25" s="412"/>
    </row>
    <row r="26" spans="2:16" x14ac:dyDescent="0.25">
      <c r="B26" s="411"/>
      <c r="C26" s="183"/>
      <c r="D26" s="183"/>
      <c r="E26" s="183"/>
      <c r="F26" s="183"/>
      <c r="G26" s="183"/>
      <c r="H26" s="183"/>
      <c r="I26" s="183"/>
      <c r="J26" s="183"/>
      <c r="K26" s="183"/>
      <c r="L26" s="183"/>
      <c r="M26" s="183"/>
      <c r="N26" s="183"/>
      <c r="O26" s="183"/>
      <c r="P26" s="412"/>
    </row>
    <row r="27" spans="2:16" x14ac:dyDescent="0.25">
      <c r="B27" s="411"/>
      <c r="C27" s="183"/>
      <c r="D27" s="183"/>
      <c r="E27" s="183"/>
      <c r="F27" s="183"/>
      <c r="G27" s="183"/>
      <c r="H27" s="183"/>
      <c r="I27" s="183"/>
      <c r="J27" s="183"/>
      <c r="K27" s="183"/>
      <c r="L27" s="183"/>
      <c r="M27" s="183"/>
      <c r="N27" s="183"/>
      <c r="O27" s="183"/>
      <c r="P27" s="412"/>
    </row>
    <row r="28" spans="2:16" x14ac:dyDescent="0.25">
      <c r="B28" s="411"/>
      <c r="C28" s="183"/>
      <c r="D28" s="183"/>
      <c r="E28" s="183"/>
      <c r="F28" s="183"/>
      <c r="G28" s="183"/>
      <c r="H28" s="183"/>
      <c r="I28" s="183"/>
      <c r="J28" s="183"/>
      <c r="K28" s="183"/>
      <c r="L28" s="183"/>
      <c r="M28" s="183"/>
      <c r="N28" s="183"/>
      <c r="O28" s="183"/>
      <c r="P28" s="412"/>
    </row>
    <row r="29" spans="2:16" x14ac:dyDescent="0.25">
      <c r="B29" s="411"/>
      <c r="C29" s="183"/>
      <c r="D29" s="183"/>
      <c r="E29" s="183"/>
      <c r="F29" s="183"/>
      <c r="G29" s="183"/>
      <c r="H29" s="183"/>
      <c r="I29" s="183"/>
      <c r="J29" s="183"/>
      <c r="K29" s="183"/>
      <c r="L29" s="183"/>
      <c r="M29" s="183"/>
      <c r="N29" s="183"/>
      <c r="O29" s="183"/>
      <c r="P29" s="412"/>
    </row>
    <row r="30" spans="2:16" x14ac:dyDescent="0.25">
      <c r="B30" s="411"/>
      <c r="C30" s="183"/>
      <c r="D30" s="183"/>
      <c r="E30" s="183"/>
      <c r="F30" s="183"/>
      <c r="G30" s="183"/>
      <c r="H30" s="183"/>
      <c r="I30" s="183"/>
      <c r="J30" s="183"/>
      <c r="K30" s="183"/>
      <c r="L30" s="183"/>
      <c r="M30" s="183"/>
      <c r="N30" s="183"/>
      <c r="O30" s="183"/>
      <c r="P30" s="412"/>
    </row>
    <row r="31" spans="2:16" x14ac:dyDescent="0.25">
      <c r="B31" s="411"/>
      <c r="C31" s="183"/>
      <c r="D31" s="183"/>
      <c r="E31" s="183"/>
      <c r="F31" s="183"/>
      <c r="G31" s="183"/>
      <c r="H31" s="183"/>
      <c r="I31" s="183"/>
      <c r="J31" s="183"/>
      <c r="K31" s="183"/>
      <c r="L31" s="183"/>
      <c r="M31" s="183"/>
      <c r="N31" s="183"/>
      <c r="O31" s="183"/>
      <c r="P31" s="412"/>
    </row>
    <row r="32" spans="2:16" x14ac:dyDescent="0.25">
      <c r="B32" s="411"/>
      <c r="C32" s="183"/>
      <c r="D32" s="183"/>
      <c r="E32" s="183"/>
      <c r="F32" s="183"/>
      <c r="G32" s="183"/>
      <c r="H32" s="183"/>
      <c r="I32" s="183"/>
      <c r="J32" s="183"/>
      <c r="K32" s="183"/>
      <c r="L32" s="183"/>
      <c r="M32" s="183"/>
      <c r="N32" s="183"/>
      <c r="O32" s="183"/>
      <c r="P32" s="412"/>
    </row>
    <row r="33" spans="2:16" x14ac:dyDescent="0.25">
      <c r="B33" s="411"/>
      <c r="C33" s="183"/>
      <c r="D33" s="183"/>
      <c r="E33" s="183"/>
      <c r="F33" s="183"/>
      <c r="G33" s="183"/>
      <c r="H33" s="183"/>
      <c r="I33" s="183"/>
      <c r="J33" s="183"/>
      <c r="K33" s="183"/>
      <c r="L33" s="183"/>
      <c r="M33" s="183"/>
      <c r="N33" s="183"/>
      <c r="O33" s="183"/>
      <c r="P33" s="412"/>
    </row>
    <row r="34" spans="2:16" x14ac:dyDescent="0.25">
      <c r="B34" s="411"/>
      <c r="C34" s="183"/>
      <c r="D34" s="183"/>
      <c r="E34" s="183"/>
      <c r="F34" s="183"/>
      <c r="G34" s="183"/>
      <c r="H34" s="183"/>
      <c r="I34" s="183"/>
      <c r="J34" s="183"/>
      <c r="K34" s="183"/>
      <c r="L34" s="183"/>
      <c r="M34" s="183"/>
      <c r="N34" s="183"/>
      <c r="O34" s="183"/>
      <c r="P34" s="412"/>
    </row>
    <row r="35" spans="2:16" x14ac:dyDescent="0.25">
      <c r="B35" s="411"/>
      <c r="C35" s="183"/>
      <c r="D35" s="183"/>
      <c r="E35" s="183"/>
      <c r="F35" s="183"/>
      <c r="G35" s="183"/>
      <c r="H35" s="183"/>
      <c r="I35" s="183"/>
      <c r="J35" s="183"/>
      <c r="K35" s="183"/>
      <c r="L35" s="183"/>
      <c r="M35" s="183"/>
      <c r="N35" s="183"/>
      <c r="O35" s="183"/>
      <c r="P35" s="412"/>
    </row>
    <row r="36" spans="2:16" x14ac:dyDescent="0.25">
      <c r="B36" s="411"/>
      <c r="C36" s="183"/>
      <c r="D36" s="183"/>
      <c r="E36" s="183"/>
      <c r="F36" s="183"/>
      <c r="G36" s="183"/>
      <c r="H36" s="183"/>
      <c r="I36" s="183"/>
      <c r="J36" s="183"/>
      <c r="K36" s="183"/>
      <c r="L36" s="183"/>
      <c r="M36" s="183"/>
      <c r="N36" s="183"/>
      <c r="O36" s="183"/>
      <c r="P36" s="412"/>
    </row>
    <row r="37" spans="2:16" x14ac:dyDescent="0.25">
      <c r="B37" s="411"/>
      <c r="C37" s="183"/>
      <c r="D37" s="183"/>
      <c r="E37" s="183"/>
      <c r="F37" s="183"/>
      <c r="G37" s="183"/>
      <c r="H37" s="183"/>
      <c r="I37" s="183"/>
      <c r="J37" s="183"/>
      <c r="K37" s="183"/>
      <c r="L37" s="183"/>
      <c r="M37" s="183"/>
      <c r="N37" s="183"/>
      <c r="O37" s="183"/>
      <c r="P37" s="412"/>
    </row>
    <row r="38" spans="2:16" x14ac:dyDescent="0.25">
      <c r="B38" s="411"/>
      <c r="C38" s="183"/>
      <c r="D38" s="183"/>
      <c r="E38" s="183"/>
      <c r="F38" s="183"/>
      <c r="G38" s="183"/>
      <c r="H38" s="183"/>
      <c r="I38" s="183"/>
      <c r="J38" s="183"/>
      <c r="K38" s="183"/>
      <c r="L38" s="183"/>
      <c r="M38" s="183"/>
      <c r="N38" s="183"/>
      <c r="O38" s="183"/>
      <c r="P38" s="412"/>
    </row>
    <row r="39" spans="2:16" x14ac:dyDescent="0.25">
      <c r="B39" s="411"/>
      <c r="C39" s="183"/>
      <c r="D39" s="183"/>
      <c r="E39" s="183"/>
      <c r="F39" s="183"/>
      <c r="G39" s="183"/>
      <c r="H39" s="183"/>
      <c r="I39" s="183"/>
      <c r="J39" s="183"/>
      <c r="K39" s="183"/>
      <c r="L39" s="183"/>
      <c r="M39" s="183"/>
      <c r="N39" s="183"/>
      <c r="O39" s="183"/>
      <c r="P39" s="412"/>
    </row>
    <row r="40" spans="2:16" x14ac:dyDescent="0.25">
      <c r="B40" s="411"/>
      <c r="C40" s="183"/>
      <c r="D40" s="183"/>
      <c r="E40" s="183"/>
      <c r="F40" s="183"/>
      <c r="G40" s="183"/>
      <c r="H40" s="183"/>
      <c r="I40" s="183"/>
      <c r="J40" s="183"/>
      <c r="K40" s="183"/>
      <c r="L40" s="183"/>
      <c r="M40" s="183"/>
      <c r="N40" s="183"/>
      <c r="O40" s="183"/>
      <c r="P40" s="412"/>
    </row>
    <row r="41" spans="2:16" x14ac:dyDescent="0.25">
      <c r="B41" s="411"/>
      <c r="C41" s="183"/>
      <c r="D41" s="183"/>
      <c r="E41" s="183"/>
      <c r="F41" s="183"/>
      <c r="G41" s="183"/>
      <c r="H41" s="183"/>
      <c r="I41" s="183"/>
      <c r="J41" s="183"/>
      <c r="K41" s="183"/>
      <c r="L41" s="183"/>
      <c r="M41" s="183"/>
      <c r="N41" s="183"/>
      <c r="O41" s="183"/>
      <c r="P41" s="412"/>
    </row>
    <row r="42" spans="2:16" x14ac:dyDescent="0.25">
      <c r="B42" s="411"/>
      <c r="C42" s="183"/>
      <c r="D42" s="183"/>
      <c r="E42" s="183"/>
      <c r="F42" s="183"/>
      <c r="G42" s="183"/>
      <c r="H42" s="183"/>
      <c r="I42" s="183"/>
      <c r="J42" s="183"/>
      <c r="K42" s="183"/>
      <c r="L42" s="183"/>
      <c r="M42" s="183"/>
      <c r="N42" s="183"/>
      <c r="O42" s="183"/>
      <c r="P42" s="412"/>
    </row>
    <row r="43" spans="2:16" x14ac:dyDescent="0.25">
      <c r="B43" s="411"/>
      <c r="C43" s="183"/>
      <c r="D43" s="183"/>
      <c r="E43" s="183"/>
      <c r="F43" s="183"/>
      <c r="G43" s="183"/>
      <c r="H43" s="183"/>
      <c r="I43" s="183"/>
      <c r="J43" s="183"/>
      <c r="K43" s="183"/>
      <c r="L43" s="183"/>
      <c r="M43" s="183"/>
      <c r="N43" s="183"/>
      <c r="O43" s="183"/>
      <c r="P43" s="412"/>
    </row>
    <row r="44" spans="2:16" x14ac:dyDescent="0.25">
      <c r="B44" s="411"/>
      <c r="C44" s="183"/>
      <c r="D44" s="183"/>
      <c r="E44" s="183"/>
      <c r="F44" s="183"/>
      <c r="G44" s="183"/>
      <c r="H44" s="183"/>
      <c r="I44" s="183"/>
      <c r="J44" s="183"/>
      <c r="K44" s="183"/>
      <c r="L44" s="183"/>
      <c r="M44" s="183"/>
      <c r="N44" s="183"/>
      <c r="O44" s="183"/>
      <c r="P44" s="412"/>
    </row>
    <row r="45" spans="2:16" x14ac:dyDescent="0.25">
      <c r="B45" s="411"/>
      <c r="C45" s="183"/>
      <c r="D45" s="183"/>
      <c r="E45" s="183"/>
      <c r="F45" s="183"/>
      <c r="G45" s="183"/>
      <c r="H45" s="183"/>
      <c r="I45" s="183"/>
      <c r="J45" s="183"/>
      <c r="K45" s="183"/>
      <c r="L45" s="183"/>
      <c r="M45" s="183"/>
      <c r="N45" s="183"/>
      <c r="O45" s="183"/>
      <c r="P45" s="412"/>
    </row>
    <row r="46" spans="2:16" x14ac:dyDescent="0.25">
      <c r="B46" s="411"/>
      <c r="C46" s="183"/>
      <c r="D46" s="183"/>
      <c r="E46" s="183"/>
      <c r="F46" s="183"/>
      <c r="G46" s="183"/>
      <c r="H46" s="183"/>
      <c r="I46" s="183"/>
      <c r="J46" s="183"/>
      <c r="K46" s="183"/>
      <c r="L46" s="183"/>
      <c r="M46" s="183"/>
      <c r="N46" s="183"/>
      <c r="O46" s="183"/>
      <c r="P46" s="412"/>
    </row>
    <row r="47" spans="2:16" x14ac:dyDescent="0.25">
      <c r="B47" s="411"/>
      <c r="C47" s="183"/>
      <c r="D47" s="183"/>
      <c r="E47" s="183"/>
      <c r="F47" s="183"/>
      <c r="G47" s="183"/>
      <c r="H47" s="183"/>
      <c r="I47" s="183"/>
      <c r="J47" s="183"/>
      <c r="K47" s="183"/>
      <c r="L47" s="183"/>
      <c r="M47" s="183"/>
      <c r="N47" s="183"/>
      <c r="O47" s="183"/>
      <c r="P47" s="412"/>
    </row>
    <row r="48" spans="2:16" x14ac:dyDescent="0.25">
      <c r="B48" s="411"/>
      <c r="C48" s="183"/>
      <c r="D48" s="183"/>
      <c r="E48" s="183"/>
      <c r="F48" s="183"/>
      <c r="G48" s="183"/>
      <c r="H48" s="183"/>
      <c r="I48" s="183"/>
      <c r="J48" s="183"/>
      <c r="K48" s="183"/>
      <c r="L48" s="183"/>
      <c r="M48" s="183"/>
      <c r="N48" s="183"/>
      <c r="O48" s="183"/>
      <c r="P48" s="412"/>
    </row>
    <row r="49" spans="2:16" x14ac:dyDescent="0.25">
      <c r="B49" s="411"/>
      <c r="C49" s="183"/>
      <c r="D49" s="183"/>
      <c r="E49" s="183"/>
      <c r="F49" s="183"/>
      <c r="G49" s="183"/>
      <c r="H49" s="183"/>
      <c r="I49" s="183"/>
      <c r="J49" s="183"/>
      <c r="K49" s="183"/>
      <c r="L49" s="183"/>
      <c r="M49" s="183"/>
      <c r="N49" s="183"/>
      <c r="O49" s="183"/>
      <c r="P49" s="412"/>
    </row>
    <row r="50" spans="2:16" x14ac:dyDescent="0.25">
      <c r="B50" s="411"/>
      <c r="C50" s="183"/>
      <c r="D50" s="183"/>
      <c r="E50" s="183"/>
      <c r="F50" s="183"/>
      <c r="G50" s="183"/>
      <c r="H50" s="183"/>
      <c r="I50" s="183"/>
      <c r="J50" s="183"/>
      <c r="K50" s="183"/>
      <c r="L50" s="183"/>
      <c r="M50" s="183"/>
      <c r="N50" s="183"/>
      <c r="O50" s="183"/>
      <c r="P50" s="412"/>
    </row>
    <row r="51" spans="2:16" x14ac:dyDescent="0.25">
      <c r="B51" s="411"/>
      <c r="C51" s="183"/>
      <c r="D51" s="183"/>
      <c r="E51" s="183"/>
      <c r="F51" s="183"/>
      <c r="G51" s="183"/>
      <c r="H51" s="183"/>
      <c r="I51" s="183"/>
      <c r="J51" s="183"/>
      <c r="K51" s="183"/>
      <c r="L51" s="183"/>
      <c r="M51" s="183"/>
      <c r="N51" s="183"/>
      <c r="O51" s="183"/>
      <c r="P51" s="412"/>
    </row>
    <row r="52" spans="2:16" x14ac:dyDescent="0.25">
      <c r="B52" s="411"/>
      <c r="C52" s="183"/>
      <c r="D52" s="183"/>
      <c r="E52" s="183"/>
      <c r="F52" s="183"/>
      <c r="G52" s="183"/>
      <c r="H52" s="183"/>
      <c r="I52" s="183"/>
      <c r="J52" s="183"/>
      <c r="K52" s="183"/>
      <c r="L52" s="183"/>
      <c r="M52" s="183"/>
      <c r="N52" s="183"/>
      <c r="O52" s="183"/>
      <c r="P52" s="412"/>
    </row>
    <row r="53" spans="2:16" x14ac:dyDescent="0.25">
      <c r="B53" s="411"/>
      <c r="C53" s="183"/>
      <c r="D53" s="183"/>
      <c r="E53" s="183"/>
      <c r="F53" s="183"/>
      <c r="G53" s="183"/>
      <c r="H53" s="183"/>
      <c r="I53" s="183"/>
      <c r="J53" s="183"/>
      <c r="K53" s="183"/>
      <c r="L53" s="183"/>
      <c r="M53" s="183"/>
      <c r="N53" s="183"/>
      <c r="O53" s="183"/>
      <c r="P53" s="412"/>
    </row>
    <row r="54" spans="2:16" x14ac:dyDescent="0.25">
      <c r="B54" s="411"/>
      <c r="C54" s="183"/>
      <c r="D54" s="183"/>
      <c r="E54" s="183"/>
      <c r="F54" s="183"/>
      <c r="G54" s="183"/>
      <c r="H54" s="183"/>
      <c r="I54" s="183"/>
      <c r="J54" s="183"/>
      <c r="K54" s="183"/>
      <c r="L54" s="183"/>
      <c r="M54" s="183"/>
      <c r="N54" s="183"/>
      <c r="O54" s="183"/>
      <c r="P54" s="412"/>
    </row>
    <row r="55" spans="2:16" x14ac:dyDescent="0.25">
      <c r="B55" s="411"/>
      <c r="C55" s="183"/>
      <c r="D55" s="183"/>
      <c r="E55" s="183"/>
      <c r="F55" s="183"/>
      <c r="G55" s="183"/>
      <c r="H55" s="183"/>
      <c r="I55" s="183"/>
      <c r="J55" s="183"/>
      <c r="K55" s="183"/>
      <c r="L55" s="183"/>
      <c r="M55" s="183"/>
      <c r="N55" s="183"/>
      <c r="O55" s="183"/>
      <c r="P55" s="412"/>
    </row>
    <row r="56" spans="2:16" x14ac:dyDescent="0.25">
      <c r="B56" s="411"/>
      <c r="C56" s="183"/>
      <c r="D56" s="183"/>
      <c r="E56" s="183"/>
      <c r="F56" s="183"/>
      <c r="G56" s="183"/>
      <c r="H56" s="183"/>
      <c r="I56" s="183"/>
      <c r="J56" s="183"/>
      <c r="K56" s="183"/>
      <c r="L56" s="183"/>
      <c r="M56" s="183"/>
      <c r="N56" s="183"/>
      <c r="O56" s="183"/>
      <c r="P56" s="412"/>
    </row>
    <row r="57" spans="2:16" x14ac:dyDescent="0.25">
      <c r="B57" s="411"/>
      <c r="C57" s="183"/>
      <c r="D57" s="183"/>
      <c r="E57" s="183"/>
      <c r="F57" s="183"/>
      <c r="G57" s="183"/>
      <c r="H57" s="183"/>
      <c r="I57" s="183"/>
      <c r="J57" s="183"/>
      <c r="K57" s="183"/>
      <c r="L57" s="183"/>
      <c r="M57" s="183"/>
      <c r="N57" s="183"/>
      <c r="O57" s="183"/>
      <c r="P57" s="412"/>
    </row>
    <row r="58" spans="2:16" ht="15.75" thickBot="1" x14ac:dyDescent="0.3">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G28" sqref="G28"/>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x14ac:dyDescent="0.25">
      <c r="F1" s="385"/>
      <c r="G1" s="385"/>
    </row>
    <row r="2" spans="1:10" ht="23.25" x14ac:dyDescent="0.35">
      <c r="B2" s="749" t="s">
        <v>773</v>
      </c>
      <c r="C2" s="406"/>
      <c r="D2" s="406"/>
      <c r="E2" s="406"/>
      <c r="F2" s="406"/>
      <c r="G2" s="406"/>
      <c r="H2" s="406"/>
      <c r="I2" s="406"/>
      <c r="J2" s="406"/>
    </row>
    <row r="3" spans="1:10" x14ac:dyDescent="0.25">
      <c r="B3" s="750">
        <f>Report_Date</f>
        <v>42795</v>
      </c>
      <c r="C3" s="405"/>
      <c r="D3" s="405"/>
      <c r="E3" s="405"/>
      <c r="F3" s="405"/>
      <c r="G3" s="405"/>
      <c r="H3" s="405"/>
      <c r="I3" s="405"/>
      <c r="J3" s="405"/>
    </row>
    <row r="4" spans="1:10" ht="15.75" thickBot="1" x14ac:dyDescent="0.3">
      <c r="B4" s="406"/>
      <c r="C4" s="406"/>
      <c r="D4" s="406"/>
      <c r="E4" s="406"/>
      <c r="F4" s="406"/>
      <c r="G4" s="406"/>
      <c r="H4" s="406"/>
      <c r="I4" s="406"/>
      <c r="J4" s="406"/>
    </row>
    <row r="5" spans="1:10" ht="15.75" thickBot="1" x14ac:dyDescent="0.3">
      <c r="B5" s="760" t="s">
        <v>346</v>
      </c>
      <c r="C5" s="761" t="s">
        <v>348</v>
      </c>
      <c r="D5" s="405"/>
      <c r="E5" s="405"/>
      <c r="F5" s="405"/>
      <c r="G5" s="405"/>
      <c r="H5" s="405"/>
      <c r="I5" s="405"/>
      <c r="J5" s="405"/>
    </row>
    <row r="6" spans="1:10" ht="15.75" thickBot="1" x14ac:dyDescent="0.3">
      <c r="B6" s="760" t="s">
        <v>24</v>
      </c>
      <c r="C6" s="761" t="s">
        <v>768</v>
      </c>
      <c r="D6" s="406"/>
      <c r="E6" s="406"/>
      <c r="F6" s="406"/>
      <c r="G6" s="406"/>
      <c r="H6" s="406"/>
      <c r="I6" s="406"/>
      <c r="J6" s="406"/>
    </row>
    <row r="7" spans="1:10" ht="15.75" thickBot="1" x14ac:dyDescent="0.3">
      <c r="B7" s="405"/>
      <c r="C7" s="405"/>
      <c r="D7" s="405"/>
      <c r="E7" s="405"/>
      <c r="F7" s="405"/>
      <c r="G7" s="405"/>
      <c r="H7" s="405"/>
      <c r="I7" s="405"/>
      <c r="J7" s="405"/>
    </row>
    <row r="8" spans="1:10" ht="60.75" customHeight="1" thickBot="1" x14ac:dyDescent="0.3">
      <c r="B8" s="601" t="s">
        <v>0</v>
      </c>
      <c r="C8" s="753" t="s">
        <v>663</v>
      </c>
      <c r="D8" s="753" t="s">
        <v>664</v>
      </c>
      <c r="E8" s="754" t="s">
        <v>800</v>
      </c>
      <c r="F8" s="613" t="s">
        <v>9</v>
      </c>
      <c r="G8" s="615" t="s">
        <v>8</v>
      </c>
      <c r="H8" s="768" t="s">
        <v>804</v>
      </c>
      <c r="I8" s="769" t="s">
        <v>876</v>
      </c>
      <c r="J8" s="770" t="s">
        <v>799</v>
      </c>
    </row>
    <row r="9" spans="1:10" x14ac:dyDescent="0.25">
      <c r="B9" s="1039" t="s">
        <v>14</v>
      </c>
      <c r="C9" s="1039" t="s">
        <v>288</v>
      </c>
      <c r="D9" s="1039" t="s">
        <v>661</v>
      </c>
      <c r="E9" s="1043" t="s">
        <v>1141</v>
      </c>
      <c r="F9" s="993" t="s">
        <v>42</v>
      </c>
      <c r="G9" s="993" t="s">
        <v>128</v>
      </c>
      <c r="H9" s="762">
        <v>5115</v>
      </c>
      <c r="I9" s="763">
        <v>1012</v>
      </c>
      <c r="J9" s="771">
        <v>1</v>
      </c>
    </row>
    <row r="10" spans="1:10" ht="15.75" thickBot="1" x14ac:dyDescent="0.3">
      <c r="B10" s="1040"/>
      <c r="C10" s="1040"/>
      <c r="D10" s="1042"/>
      <c r="E10" s="1044"/>
      <c r="F10" s="993" t="s">
        <v>43</v>
      </c>
      <c r="G10" s="993" t="s">
        <v>129</v>
      </c>
      <c r="H10" s="764">
        <v>2679</v>
      </c>
      <c r="I10" s="614">
        <v>523</v>
      </c>
      <c r="J10" s="725">
        <v>1</v>
      </c>
    </row>
    <row r="11" spans="1:10" s="287" customFormat="1" ht="15.75" thickBot="1" x14ac:dyDescent="0.3">
      <c r="A11" s="385"/>
      <c r="B11" s="1040"/>
      <c r="C11" s="1041" t="s">
        <v>624</v>
      </c>
      <c r="D11" s="1007" t="s">
        <v>661</v>
      </c>
      <c r="E11" s="1039" t="s">
        <v>1031</v>
      </c>
      <c r="F11" s="176" t="s">
        <v>40</v>
      </c>
      <c r="G11" s="176" t="s">
        <v>126</v>
      </c>
      <c r="H11" s="764">
        <v>4252</v>
      </c>
      <c r="I11" s="614">
        <v>1238</v>
      </c>
      <c r="J11" s="725">
        <v>1</v>
      </c>
    </row>
    <row r="12" spans="1:10" ht="15.75" thickBot="1" x14ac:dyDescent="0.3">
      <c r="B12" s="1042"/>
      <c r="C12" s="1042"/>
      <c r="D12" s="1007"/>
      <c r="E12" s="1042"/>
      <c r="F12" s="993" t="s">
        <v>1070</v>
      </c>
      <c r="G12" s="993" t="s">
        <v>127</v>
      </c>
      <c r="H12" s="764">
        <v>3939</v>
      </c>
      <c r="I12" s="614">
        <v>856</v>
      </c>
      <c r="J12" s="725">
        <v>1</v>
      </c>
    </row>
    <row r="13" spans="1:10" ht="15.75" thickBot="1" x14ac:dyDescent="0.3">
      <c r="B13" s="1024" t="s">
        <v>647</v>
      </c>
      <c r="C13" s="1025"/>
      <c r="D13" s="1025"/>
      <c r="E13" s="1025"/>
      <c r="F13" s="1025"/>
      <c r="G13" s="1026"/>
      <c r="H13" s="766">
        <v>15985</v>
      </c>
      <c r="I13" s="751">
        <v>3629</v>
      </c>
      <c r="J13" s="755">
        <v>4</v>
      </c>
    </row>
    <row r="14" spans="1:10" ht="15.75" thickBot="1" x14ac:dyDescent="0.3">
      <c r="B14" s="1039" t="s">
        <v>19</v>
      </c>
      <c r="C14" s="1021" t="s">
        <v>285</v>
      </c>
      <c r="D14" s="1039" t="s">
        <v>662</v>
      </c>
      <c r="E14" s="1039" t="s">
        <v>1032</v>
      </c>
      <c r="F14" s="991" t="s">
        <v>553</v>
      </c>
      <c r="G14" s="176" t="s">
        <v>554</v>
      </c>
      <c r="H14" s="764">
        <v>226</v>
      </c>
      <c r="I14" s="614">
        <v>41</v>
      </c>
      <c r="J14" s="725">
        <v>1</v>
      </c>
    </row>
    <row r="15" spans="1:10" ht="15.75" thickBot="1" x14ac:dyDescent="0.3">
      <c r="B15" s="1040"/>
      <c r="C15" s="1022"/>
      <c r="D15" s="1040"/>
      <c r="E15" s="1040"/>
      <c r="F15" s="992" t="s">
        <v>543</v>
      </c>
      <c r="G15" s="176" t="s">
        <v>544</v>
      </c>
      <c r="H15" s="764">
        <v>2951</v>
      </c>
      <c r="I15" s="614">
        <v>518</v>
      </c>
      <c r="J15" s="725">
        <v>1</v>
      </c>
    </row>
    <row r="16" spans="1:10" ht="15.75" thickBot="1" x14ac:dyDescent="0.3">
      <c r="B16" s="1040"/>
      <c r="C16" s="1022"/>
      <c r="D16" s="1042"/>
      <c r="E16" s="1042"/>
      <c r="F16" s="772" t="s">
        <v>541</v>
      </c>
      <c r="G16" s="176" t="s">
        <v>280</v>
      </c>
      <c r="H16" s="764">
        <v>2942</v>
      </c>
      <c r="I16" s="614">
        <v>496</v>
      </c>
      <c r="J16" s="725">
        <v>1</v>
      </c>
    </row>
    <row r="17" spans="2:12" x14ac:dyDescent="0.25">
      <c r="B17" s="1040"/>
      <c r="C17" s="1041" t="s">
        <v>288</v>
      </c>
      <c r="D17" s="1039" t="s">
        <v>661</v>
      </c>
      <c r="E17" s="1043" t="s">
        <v>1141</v>
      </c>
      <c r="F17" s="993" t="s">
        <v>630</v>
      </c>
      <c r="G17" s="993" t="s">
        <v>632</v>
      </c>
      <c r="H17" s="764">
        <v>4879</v>
      </c>
      <c r="I17" s="614">
        <v>1011</v>
      </c>
      <c r="J17" s="725">
        <v>1</v>
      </c>
      <c r="L17" s="1" t="s">
        <v>774</v>
      </c>
    </row>
    <row r="18" spans="2:12" x14ac:dyDescent="0.25">
      <c r="B18" s="1040"/>
      <c r="C18" s="1040"/>
      <c r="D18" s="1040"/>
      <c r="E18" s="1044"/>
      <c r="F18" s="993" t="s">
        <v>631</v>
      </c>
      <c r="G18" s="993" t="s">
        <v>633</v>
      </c>
      <c r="H18" s="764">
        <v>6947</v>
      </c>
      <c r="I18" s="614">
        <v>1289</v>
      </c>
      <c r="J18" s="725">
        <v>1</v>
      </c>
    </row>
    <row r="19" spans="2:12" x14ac:dyDescent="0.25">
      <c r="B19" s="1040"/>
      <c r="C19" s="1040"/>
      <c r="D19" s="1040"/>
      <c r="E19" s="1044"/>
      <c r="F19" s="993" t="s">
        <v>63</v>
      </c>
      <c r="G19" s="993" t="s">
        <v>151</v>
      </c>
      <c r="H19" s="764">
        <v>8204</v>
      </c>
      <c r="I19" s="614">
        <v>1431</v>
      </c>
      <c r="J19" s="725">
        <v>1</v>
      </c>
    </row>
    <row r="20" spans="2:12" x14ac:dyDescent="0.25">
      <c r="B20" s="1040"/>
      <c r="C20" s="1040"/>
      <c r="D20" s="1040"/>
      <c r="E20" s="1044"/>
      <c r="F20" s="993" t="s">
        <v>634</v>
      </c>
      <c r="G20" s="993" t="s">
        <v>546</v>
      </c>
      <c r="H20" s="764">
        <v>3408</v>
      </c>
      <c r="I20" s="614">
        <v>681</v>
      </c>
      <c r="J20" s="725">
        <v>1</v>
      </c>
    </row>
    <row r="21" spans="2:12" x14ac:dyDescent="0.25">
      <c r="B21" s="1040"/>
      <c r="C21" s="1040"/>
      <c r="D21" s="1040"/>
      <c r="E21" s="1044"/>
      <c r="F21" s="993" t="s">
        <v>635</v>
      </c>
      <c r="G21" s="993" t="s">
        <v>637</v>
      </c>
      <c r="H21" s="764">
        <v>13705</v>
      </c>
      <c r="I21" s="614">
        <v>2640</v>
      </c>
      <c r="J21" s="725">
        <v>1</v>
      </c>
    </row>
    <row r="22" spans="2:12" ht="15.75" thickBot="1" x14ac:dyDescent="0.3">
      <c r="B22" s="1040"/>
      <c r="C22" s="1040"/>
      <c r="D22" s="1042"/>
      <c r="E22" s="1044"/>
      <c r="F22" s="993" t="s">
        <v>67</v>
      </c>
      <c r="G22" s="993" t="s">
        <v>155</v>
      </c>
      <c r="H22" s="764">
        <v>12273</v>
      </c>
      <c r="I22" s="614">
        <v>2497</v>
      </c>
      <c r="J22" s="725">
        <v>1</v>
      </c>
    </row>
    <row r="23" spans="2:12" ht="15.75" thickBot="1" x14ac:dyDescent="0.3">
      <c r="B23" s="1040"/>
      <c r="C23" s="1041" t="s">
        <v>624</v>
      </c>
      <c r="D23" s="1007" t="s">
        <v>661</v>
      </c>
      <c r="E23" s="1039" t="s">
        <v>1031</v>
      </c>
      <c r="F23" s="991" t="s">
        <v>61</v>
      </c>
      <c r="G23" s="176" t="s">
        <v>149</v>
      </c>
      <c r="H23" s="764">
        <v>2175</v>
      </c>
      <c r="I23" s="614">
        <v>397</v>
      </c>
      <c r="J23" s="725">
        <v>1</v>
      </c>
    </row>
    <row r="24" spans="2:12" ht="15.75" thickBot="1" x14ac:dyDescent="0.3">
      <c r="B24" s="1040"/>
      <c r="C24" s="1040"/>
      <c r="D24" s="1007"/>
      <c r="E24" s="1040"/>
      <c r="F24" s="992" t="s">
        <v>64</v>
      </c>
      <c r="G24" s="176" t="s">
        <v>152</v>
      </c>
      <c r="H24" s="764">
        <v>4404</v>
      </c>
      <c r="I24" s="614">
        <v>799</v>
      </c>
      <c r="J24" s="725">
        <v>1</v>
      </c>
    </row>
    <row r="25" spans="2:12" ht="15.75" thickBot="1" x14ac:dyDescent="0.3">
      <c r="B25" s="1040"/>
      <c r="C25" s="1040"/>
      <c r="D25" s="1007"/>
      <c r="E25" s="1040"/>
      <c r="F25" s="992" t="s">
        <v>636</v>
      </c>
      <c r="G25" s="176" t="s">
        <v>638</v>
      </c>
      <c r="H25" s="764">
        <v>11586</v>
      </c>
      <c r="I25" s="614">
        <v>2222</v>
      </c>
      <c r="J25" s="725">
        <v>1</v>
      </c>
    </row>
    <row r="26" spans="2:12" ht="15.75" thickBot="1" x14ac:dyDescent="0.3">
      <c r="B26" s="1040"/>
      <c r="C26" s="1040"/>
      <c r="D26" s="1007"/>
      <c r="E26" s="1042"/>
      <c r="F26" s="772" t="s">
        <v>68</v>
      </c>
      <c r="G26" s="176" t="s">
        <v>156</v>
      </c>
      <c r="H26" s="764">
        <v>11764</v>
      </c>
      <c r="I26" s="614">
        <v>2145</v>
      </c>
      <c r="J26" s="725">
        <v>1</v>
      </c>
    </row>
    <row r="27" spans="2:12" ht="15.75" thickBot="1" x14ac:dyDescent="0.3">
      <c r="B27" s="1040"/>
      <c r="C27" s="1041" t="s">
        <v>971</v>
      </c>
      <c r="D27" s="1007" t="s">
        <v>661</v>
      </c>
      <c r="E27" s="1039" t="s">
        <v>1011</v>
      </c>
      <c r="F27" s="991" t="s">
        <v>629</v>
      </c>
      <c r="G27" s="176" t="s">
        <v>281</v>
      </c>
      <c r="H27" s="764">
        <v>3423</v>
      </c>
      <c r="I27" s="614">
        <v>622</v>
      </c>
      <c r="J27" s="725">
        <v>1</v>
      </c>
    </row>
    <row r="28" spans="2:12" ht="15.75" thickBot="1" x14ac:dyDescent="0.3">
      <c r="B28" s="1042"/>
      <c r="C28" s="1042"/>
      <c r="D28" s="1007"/>
      <c r="E28" s="1042"/>
      <c r="F28" s="772" t="s">
        <v>70</v>
      </c>
      <c r="G28" s="176" t="s">
        <v>158</v>
      </c>
      <c r="H28" s="764">
        <v>5830</v>
      </c>
      <c r="I28" s="614">
        <v>997</v>
      </c>
      <c r="J28" s="725">
        <v>1</v>
      </c>
    </row>
    <row r="29" spans="2:12" ht="15.75" thickBot="1" x14ac:dyDescent="0.3">
      <c r="B29" s="1024" t="s">
        <v>645</v>
      </c>
      <c r="C29" s="1025"/>
      <c r="D29" s="1025"/>
      <c r="E29" s="1025"/>
      <c r="F29" s="1025"/>
      <c r="G29" s="1026"/>
      <c r="H29" s="765">
        <v>94717</v>
      </c>
      <c r="I29" s="633">
        <v>17786</v>
      </c>
      <c r="J29" s="756">
        <v>15</v>
      </c>
    </row>
    <row r="30" spans="2:12" ht="15.75" thickBot="1" x14ac:dyDescent="0.3">
      <c r="B30" s="176" t="s">
        <v>867</v>
      </c>
      <c r="C30" s="176" t="s">
        <v>707</v>
      </c>
      <c r="D30" s="176" t="s">
        <v>662</v>
      </c>
      <c r="E30" s="176" t="s">
        <v>1033</v>
      </c>
      <c r="F30" s="176" t="s">
        <v>38</v>
      </c>
      <c r="G30" s="176" t="s">
        <v>124</v>
      </c>
      <c r="H30" s="764">
        <v>2679</v>
      </c>
      <c r="I30" s="614">
        <v>662</v>
      </c>
      <c r="J30" s="725">
        <v>1</v>
      </c>
    </row>
    <row r="31" spans="2:12" ht="15.75" thickBot="1" x14ac:dyDescent="0.3">
      <c r="B31" s="1024" t="s">
        <v>868</v>
      </c>
      <c r="C31" s="1027"/>
      <c r="D31" s="1027"/>
      <c r="E31" s="1027"/>
      <c r="F31" s="1027"/>
      <c r="G31" s="1028"/>
      <c r="H31" s="765">
        <v>2679</v>
      </c>
      <c r="I31" s="633">
        <v>662</v>
      </c>
      <c r="J31" s="756">
        <v>1</v>
      </c>
    </row>
    <row r="32" spans="2:12" ht="15.75" thickBot="1" x14ac:dyDescent="0.3">
      <c r="B32" s="1036" t="s">
        <v>213</v>
      </c>
      <c r="C32" s="1037"/>
      <c r="D32" s="1037"/>
      <c r="E32" s="1037"/>
      <c r="F32" s="1037"/>
      <c r="G32" s="1038"/>
      <c r="H32" s="767">
        <v>113381</v>
      </c>
      <c r="I32" s="752">
        <v>22077</v>
      </c>
      <c r="J32" s="757">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29:G29"/>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B9:B12"/>
    <mergeCell ref="B13:G13"/>
    <mergeCell ref="B14:B28"/>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B15" sqref="B15"/>
    </sheetView>
  </sheetViews>
  <sheetFormatPr defaultColWidth="9.140625" defaultRowHeight="15" x14ac:dyDescent="0.2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01" t="s">
        <v>1017</v>
      </c>
      <c r="B2" s="1002"/>
      <c r="C2" s="100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03">
        <f>Report_Date</f>
        <v>42795</v>
      </c>
      <c r="B3" s="1004"/>
      <c r="C3" s="100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x14ac:dyDescent="0.25">
      <c r="A4" s="599" t="s">
        <v>0</v>
      </c>
      <c r="B4" s="599" t="s">
        <v>9</v>
      </c>
      <c r="C4" s="599" t="s">
        <v>8</v>
      </c>
      <c r="D4" s="199" t="s">
        <v>346</v>
      </c>
      <c r="E4" s="564" t="s">
        <v>601</v>
      </c>
      <c r="F4" s="564" t="s">
        <v>602</v>
      </c>
      <c r="G4" s="794" t="s">
        <v>895</v>
      </c>
      <c r="H4"/>
    </row>
    <row r="5" spans="1:61" ht="12" customHeight="1" x14ac:dyDescent="0.25">
      <c r="A5" s="794" t="s">
        <v>15</v>
      </c>
      <c r="B5" s="794" t="s">
        <v>46</v>
      </c>
      <c r="C5" s="794" t="s">
        <v>132</v>
      </c>
      <c r="D5" s="794" t="s">
        <v>1006</v>
      </c>
      <c r="E5" s="600">
        <v>24</v>
      </c>
      <c r="F5" s="600">
        <v>140</v>
      </c>
      <c r="G5" s="114">
        <v>1</v>
      </c>
      <c r="H5"/>
    </row>
    <row r="6" spans="1:61" ht="12" customHeight="1" x14ac:dyDescent="0.25">
      <c r="A6" s="794"/>
      <c r="B6" s="794" t="s">
        <v>49</v>
      </c>
      <c r="C6" s="794" t="s">
        <v>135</v>
      </c>
      <c r="D6" s="794" t="s">
        <v>1006</v>
      </c>
      <c r="E6" s="600">
        <v>14</v>
      </c>
      <c r="F6" s="600">
        <v>84</v>
      </c>
      <c r="G6" s="114">
        <v>1</v>
      </c>
      <c r="H6"/>
    </row>
    <row r="7" spans="1:61" ht="12" customHeight="1" x14ac:dyDescent="0.25">
      <c r="A7" s="794"/>
      <c r="B7" s="794" t="s">
        <v>48</v>
      </c>
      <c r="C7" s="794" t="s">
        <v>134</v>
      </c>
      <c r="D7" s="794" t="s">
        <v>1006</v>
      </c>
      <c r="E7" s="600">
        <v>92</v>
      </c>
      <c r="F7" s="600">
        <v>559</v>
      </c>
      <c r="G7" s="114">
        <v>1</v>
      </c>
      <c r="H7"/>
    </row>
    <row r="8" spans="1:61" ht="12" customHeight="1" x14ac:dyDescent="0.25">
      <c r="A8" s="794"/>
      <c r="B8" s="794" t="s">
        <v>51</v>
      </c>
      <c r="C8" s="794" t="s">
        <v>137</v>
      </c>
      <c r="D8" s="794" t="s">
        <v>1006</v>
      </c>
      <c r="E8" s="600">
        <v>116</v>
      </c>
      <c r="F8" s="600">
        <v>802</v>
      </c>
      <c r="G8" s="114">
        <v>1</v>
      </c>
      <c r="H8"/>
    </row>
    <row r="9" spans="1:61" ht="12" customHeight="1" x14ac:dyDescent="0.25">
      <c r="A9" s="794"/>
      <c r="B9" s="794" t="s">
        <v>50</v>
      </c>
      <c r="C9" s="794" t="s">
        <v>136</v>
      </c>
      <c r="D9" s="794" t="s">
        <v>1006</v>
      </c>
      <c r="E9" s="600">
        <v>236</v>
      </c>
      <c r="F9" s="600">
        <v>1524</v>
      </c>
      <c r="G9" s="114">
        <v>1</v>
      </c>
      <c r="H9"/>
    </row>
    <row r="10" spans="1:61" ht="12" customHeight="1" x14ac:dyDescent="0.25">
      <c r="A10" s="794"/>
      <c r="B10" s="794" t="s">
        <v>54</v>
      </c>
      <c r="C10" s="794" t="s">
        <v>140</v>
      </c>
      <c r="D10" s="794" t="s">
        <v>1005</v>
      </c>
      <c r="E10" s="600">
        <v>97</v>
      </c>
      <c r="F10" s="600">
        <v>557</v>
      </c>
      <c r="G10" s="114">
        <v>1</v>
      </c>
      <c r="H10"/>
    </row>
    <row r="11" spans="1:61" ht="12" customHeight="1" x14ac:dyDescent="0.25">
      <c r="A11" s="794"/>
      <c r="B11" s="794" t="s">
        <v>44</v>
      </c>
      <c r="C11" s="794" t="s">
        <v>130</v>
      </c>
      <c r="D11" s="794" t="s">
        <v>1006</v>
      </c>
      <c r="E11" s="600">
        <v>18</v>
      </c>
      <c r="F11" s="600">
        <v>157</v>
      </c>
      <c r="G11" s="114">
        <v>1</v>
      </c>
      <c r="H11"/>
    </row>
    <row r="12" spans="1:61" ht="12" customHeight="1" x14ac:dyDescent="0.25">
      <c r="A12" s="794"/>
      <c r="B12" s="794" t="s">
        <v>53</v>
      </c>
      <c r="C12" s="794" t="s">
        <v>139</v>
      </c>
      <c r="D12" s="794" t="s">
        <v>1006</v>
      </c>
      <c r="E12" s="600">
        <v>144</v>
      </c>
      <c r="F12" s="600">
        <v>1006</v>
      </c>
      <c r="G12" s="114">
        <v>1</v>
      </c>
      <c r="H12"/>
    </row>
    <row r="13" spans="1:61" x14ac:dyDescent="0.25">
      <c r="A13" s="794"/>
      <c r="B13" s="794" t="s">
        <v>45</v>
      </c>
      <c r="C13" s="794" t="s">
        <v>131</v>
      </c>
      <c r="D13" s="794" t="s">
        <v>1006</v>
      </c>
      <c r="E13" s="600">
        <v>63</v>
      </c>
      <c r="F13" s="600">
        <v>414</v>
      </c>
      <c r="G13" s="114">
        <v>1</v>
      </c>
      <c r="H13"/>
    </row>
    <row r="14" spans="1:61" x14ac:dyDescent="0.25">
      <c r="A14" s="794"/>
      <c r="B14" s="794" t="s">
        <v>52</v>
      </c>
      <c r="C14" s="794" t="s">
        <v>138</v>
      </c>
      <c r="D14" s="794" t="s">
        <v>1006</v>
      </c>
      <c r="E14" s="600">
        <v>112</v>
      </c>
      <c r="F14" s="600">
        <v>738</v>
      </c>
      <c r="G14" s="114">
        <v>1</v>
      </c>
      <c r="H14"/>
    </row>
    <row r="15" spans="1:61" x14ac:dyDescent="0.25">
      <c r="A15" s="794" t="s">
        <v>978</v>
      </c>
      <c r="B15" s="794"/>
      <c r="C15" s="794"/>
      <c r="D15" s="794"/>
      <c r="E15" s="600">
        <v>916</v>
      </c>
      <c r="F15" s="600">
        <v>5981</v>
      </c>
      <c r="G15" s="114">
        <v>10</v>
      </c>
      <c r="H15"/>
    </row>
    <row r="16" spans="1:61" x14ac:dyDescent="0.25">
      <c r="A16" s="794" t="s">
        <v>20</v>
      </c>
      <c r="B16" s="794" t="s">
        <v>103</v>
      </c>
      <c r="C16" s="794" t="s">
        <v>191</v>
      </c>
      <c r="D16" s="794" t="s">
        <v>1006</v>
      </c>
      <c r="E16" s="600">
        <v>17</v>
      </c>
      <c r="F16" s="600">
        <v>109</v>
      </c>
      <c r="G16" s="114">
        <v>1</v>
      </c>
      <c r="H16"/>
    </row>
    <row r="17" spans="1:8" x14ac:dyDescent="0.25">
      <c r="A17" s="794" t="s">
        <v>646</v>
      </c>
      <c r="B17" s="794"/>
      <c r="C17" s="794"/>
      <c r="D17" s="794"/>
      <c r="E17" s="600">
        <v>17</v>
      </c>
      <c r="F17" s="600">
        <v>109</v>
      </c>
      <c r="G17" s="114">
        <v>1</v>
      </c>
      <c r="H17"/>
    </row>
    <row r="18" spans="1:8" x14ac:dyDescent="0.25">
      <c r="A18" s="794" t="s">
        <v>11</v>
      </c>
      <c r="B18" s="794" t="s">
        <v>30</v>
      </c>
      <c r="C18" s="794" t="s">
        <v>116</v>
      </c>
      <c r="D18" s="794" t="s">
        <v>1006</v>
      </c>
      <c r="E18" s="600">
        <v>86</v>
      </c>
      <c r="F18" s="600">
        <v>444</v>
      </c>
      <c r="G18" s="114">
        <v>1</v>
      </c>
      <c r="H18"/>
    </row>
    <row r="19" spans="1:8" x14ac:dyDescent="0.25">
      <c r="A19" s="794"/>
      <c r="B19" s="794" t="s">
        <v>25</v>
      </c>
      <c r="C19" s="794" t="s">
        <v>111</v>
      </c>
      <c r="D19" s="794" t="s">
        <v>1006</v>
      </c>
      <c r="E19" s="600">
        <v>19</v>
      </c>
      <c r="F19" s="600">
        <v>142</v>
      </c>
      <c r="G19" s="114">
        <v>1</v>
      </c>
      <c r="H19"/>
    </row>
    <row r="20" spans="1:8" x14ac:dyDescent="0.25">
      <c r="A20" s="794"/>
      <c r="B20" s="794" t="s">
        <v>32</v>
      </c>
      <c r="C20" s="794" t="s">
        <v>118</v>
      </c>
      <c r="D20" s="794" t="s">
        <v>1006</v>
      </c>
      <c r="E20" s="600">
        <v>225</v>
      </c>
      <c r="F20" s="600">
        <v>1377</v>
      </c>
      <c r="G20" s="114">
        <v>1</v>
      </c>
      <c r="H20"/>
    </row>
    <row r="21" spans="1:8" x14ac:dyDescent="0.25">
      <c r="A21" s="794"/>
      <c r="B21" s="794" t="s">
        <v>27</v>
      </c>
      <c r="C21" s="794" t="s">
        <v>113</v>
      </c>
      <c r="D21" s="794" t="s">
        <v>1006</v>
      </c>
      <c r="E21" s="600">
        <v>86</v>
      </c>
      <c r="F21" s="600">
        <v>476</v>
      </c>
      <c r="G21" s="114">
        <v>1</v>
      </c>
      <c r="H21"/>
    </row>
    <row r="22" spans="1:8" x14ac:dyDescent="0.25">
      <c r="A22" s="794"/>
      <c r="B22" s="794" t="s">
        <v>558</v>
      </c>
      <c r="C22" s="794" t="s">
        <v>559</v>
      </c>
      <c r="D22" s="794" t="s">
        <v>1006</v>
      </c>
      <c r="E22" s="600">
        <v>17</v>
      </c>
      <c r="F22" s="600">
        <v>72</v>
      </c>
      <c r="G22" s="114">
        <v>1</v>
      </c>
      <c r="H22"/>
    </row>
    <row r="23" spans="1:8" x14ac:dyDescent="0.25">
      <c r="A23" s="794"/>
      <c r="B23" s="794" t="s">
        <v>26</v>
      </c>
      <c r="C23" s="794" t="s">
        <v>112</v>
      </c>
      <c r="D23" s="794" t="s">
        <v>1006</v>
      </c>
      <c r="E23" s="600">
        <v>203</v>
      </c>
      <c r="F23" s="600">
        <v>1420</v>
      </c>
      <c r="G23" s="114">
        <v>1</v>
      </c>
      <c r="H23"/>
    </row>
    <row r="24" spans="1:8" x14ac:dyDescent="0.25">
      <c r="A24" s="794"/>
      <c r="B24" s="794" t="s">
        <v>29</v>
      </c>
      <c r="C24" s="794" t="s">
        <v>115</v>
      </c>
      <c r="D24" s="794" t="s">
        <v>1006</v>
      </c>
      <c r="E24" s="600">
        <v>275</v>
      </c>
      <c r="F24" s="600">
        <v>1707</v>
      </c>
      <c r="G24" s="114">
        <v>1</v>
      </c>
      <c r="H24"/>
    </row>
    <row r="25" spans="1:8" x14ac:dyDescent="0.25">
      <c r="A25" s="794" t="s">
        <v>1016</v>
      </c>
      <c r="B25" s="794"/>
      <c r="C25" s="794"/>
      <c r="D25" s="794"/>
      <c r="E25" s="600">
        <v>911</v>
      </c>
      <c r="F25" s="600">
        <v>5638</v>
      </c>
      <c r="G25" s="114">
        <v>7</v>
      </c>
      <c r="H25"/>
    </row>
    <row r="26" spans="1:8" x14ac:dyDescent="0.25">
      <c r="A26" s="794" t="s">
        <v>14</v>
      </c>
      <c r="B26" s="794" t="s">
        <v>39</v>
      </c>
      <c r="C26" s="794" t="s">
        <v>125</v>
      </c>
      <c r="D26" s="794" t="s">
        <v>1005</v>
      </c>
      <c r="E26" s="600">
        <v>21</v>
      </c>
      <c r="F26" s="600">
        <v>122</v>
      </c>
      <c r="G26" s="114">
        <v>1</v>
      </c>
      <c r="H26"/>
    </row>
    <row r="27" spans="1:8" x14ac:dyDescent="0.25">
      <c r="A27" s="794"/>
      <c r="B27" s="794" t="s">
        <v>1069</v>
      </c>
      <c r="C27" s="794" t="s">
        <v>127</v>
      </c>
      <c r="D27" s="794" t="s">
        <v>1005</v>
      </c>
      <c r="E27" s="600">
        <v>891</v>
      </c>
      <c r="F27" s="600">
        <v>4239</v>
      </c>
      <c r="G27" s="114">
        <v>1</v>
      </c>
      <c r="H27"/>
    </row>
    <row r="28" spans="1:8" x14ac:dyDescent="0.25">
      <c r="A28" s="794" t="s">
        <v>647</v>
      </c>
      <c r="B28" s="794"/>
      <c r="C28" s="794"/>
      <c r="D28" s="794"/>
      <c r="E28" s="600">
        <v>912</v>
      </c>
      <c r="F28" s="600">
        <v>4361</v>
      </c>
      <c r="G28" s="114">
        <v>2</v>
      </c>
      <c r="H28"/>
    </row>
    <row r="29" spans="1:8" x14ac:dyDescent="0.25">
      <c r="A29" s="794" t="s">
        <v>16</v>
      </c>
      <c r="B29" s="794" t="s">
        <v>56</v>
      </c>
      <c r="C29" s="794" t="s">
        <v>142</v>
      </c>
      <c r="D29" s="794" t="s">
        <v>1006</v>
      </c>
      <c r="E29" s="600">
        <v>32</v>
      </c>
      <c r="F29" s="600">
        <v>157</v>
      </c>
      <c r="G29" s="114">
        <v>1</v>
      </c>
      <c r="H29"/>
    </row>
    <row r="30" spans="1:8" x14ac:dyDescent="0.25">
      <c r="A30" s="794"/>
      <c r="B30" s="794" t="s">
        <v>55</v>
      </c>
      <c r="C30" s="794" t="s">
        <v>141</v>
      </c>
      <c r="D30" s="794" t="s">
        <v>1006</v>
      </c>
      <c r="E30" s="600">
        <v>54</v>
      </c>
      <c r="F30" s="600">
        <v>332</v>
      </c>
      <c r="G30" s="114">
        <v>1</v>
      </c>
      <c r="H30"/>
    </row>
    <row r="31" spans="1:8" x14ac:dyDescent="0.25">
      <c r="A31" s="794" t="s">
        <v>649</v>
      </c>
      <c r="B31" s="794"/>
      <c r="C31" s="794"/>
      <c r="D31" s="794"/>
      <c r="E31" s="600">
        <v>86</v>
      </c>
      <c r="F31" s="600">
        <v>489</v>
      </c>
      <c r="G31" s="114">
        <v>2</v>
      </c>
      <c r="H31"/>
    </row>
    <row r="32" spans="1:8" x14ac:dyDescent="0.25">
      <c r="A32" s="794" t="s">
        <v>19</v>
      </c>
      <c r="B32" s="794" t="s">
        <v>639</v>
      </c>
      <c r="C32" s="794" t="s">
        <v>641</v>
      </c>
      <c r="D32" s="794" t="s">
        <v>1005</v>
      </c>
      <c r="E32" s="600">
        <v>249</v>
      </c>
      <c r="F32" s="600">
        <v>1282</v>
      </c>
      <c r="G32" s="114">
        <v>1</v>
      </c>
      <c r="H32"/>
    </row>
    <row r="33" spans="1:8" x14ac:dyDescent="0.25">
      <c r="A33" s="794"/>
      <c r="B33" s="794" t="s">
        <v>640</v>
      </c>
      <c r="C33" s="794" t="s">
        <v>642</v>
      </c>
      <c r="D33" s="794" t="s">
        <v>1005</v>
      </c>
      <c r="E33" s="600">
        <v>418</v>
      </c>
      <c r="F33" s="600">
        <v>2200</v>
      </c>
      <c r="G33" s="114">
        <v>1</v>
      </c>
      <c r="H33"/>
    </row>
    <row r="34" spans="1:8" x14ac:dyDescent="0.25">
      <c r="A34" s="794"/>
      <c r="B34" s="794" t="s">
        <v>78</v>
      </c>
      <c r="C34" s="794" t="s">
        <v>166</v>
      </c>
      <c r="D34" s="794" t="s">
        <v>1005</v>
      </c>
      <c r="E34" s="600">
        <v>72</v>
      </c>
      <c r="F34" s="600">
        <v>462</v>
      </c>
      <c r="G34" s="114">
        <v>1</v>
      </c>
      <c r="H34"/>
    </row>
    <row r="35" spans="1:8" x14ac:dyDescent="0.25">
      <c r="A35" s="794"/>
      <c r="B35" s="794" t="s">
        <v>245</v>
      </c>
      <c r="C35" s="794" t="s">
        <v>282</v>
      </c>
      <c r="D35" s="794" t="s">
        <v>1005</v>
      </c>
      <c r="E35" s="600">
        <v>151</v>
      </c>
      <c r="F35" s="600">
        <v>654</v>
      </c>
      <c r="G35" s="114">
        <v>1</v>
      </c>
      <c r="H35"/>
    </row>
    <row r="36" spans="1:8" x14ac:dyDescent="0.25">
      <c r="A36" s="794" t="s">
        <v>645</v>
      </c>
      <c r="B36" s="794"/>
      <c r="C36" s="794"/>
      <c r="D36" s="794"/>
      <c r="E36" s="600">
        <v>890</v>
      </c>
      <c r="F36" s="600">
        <v>4598</v>
      </c>
      <c r="G36" s="114">
        <v>4</v>
      </c>
      <c r="H36"/>
    </row>
    <row r="37" spans="1:8" x14ac:dyDescent="0.25">
      <c r="A37" s="794" t="s">
        <v>867</v>
      </c>
      <c r="B37" s="794" t="s">
        <v>37</v>
      </c>
      <c r="C37" s="794" t="s">
        <v>123</v>
      </c>
      <c r="D37" s="794" t="s">
        <v>1005</v>
      </c>
      <c r="E37" s="600">
        <v>42</v>
      </c>
      <c r="F37" s="600">
        <v>204</v>
      </c>
      <c r="G37" s="114">
        <v>1</v>
      </c>
      <c r="H37"/>
    </row>
    <row r="38" spans="1:8" x14ac:dyDescent="0.25">
      <c r="A38" s="794" t="s">
        <v>868</v>
      </c>
      <c r="B38" s="794"/>
      <c r="C38" s="794"/>
      <c r="D38" s="794"/>
      <c r="E38" s="600">
        <v>42</v>
      </c>
      <c r="F38" s="600">
        <v>204</v>
      </c>
      <c r="G38" s="114">
        <v>1</v>
      </c>
      <c r="H38"/>
    </row>
    <row r="39" spans="1:8" x14ac:dyDescent="0.25">
      <c r="A39" s="794" t="s">
        <v>1003</v>
      </c>
      <c r="B39" s="794" t="s">
        <v>33</v>
      </c>
      <c r="C39" s="794" t="s">
        <v>119</v>
      </c>
      <c r="D39" s="794" t="s">
        <v>1006</v>
      </c>
      <c r="E39" s="600">
        <v>204</v>
      </c>
      <c r="F39" s="600">
        <v>1265</v>
      </c>
      <c r="G39" s="114">
        <v>1</v>
      </c>
      <c r="H39"/>
    </row>
    <row r="40" spans="1:8" x14ac:dyDescent="0.25">
      <c r="A40" s="794"/>
      <c r="B40" s="794" t="s">
        <v>36</v>
      </c>
      <c r="C40" s="794" t="s">
        <v>122</v>
      </c>
      <c r="D40" s="794" t="s">
        <v>1005</v>
      </c>
      <c r="E40" s="600">
        <v>10</v>
      </c>
      <c r="F40" s="600">
        <v>64</v>
      </c>
      <c r="G40" s="114">
        <v>1</v>
      </c>
      <c r="H40"/>
    </row>
    <row r="41" spans="1:8" x14ac:dyDescent="0.25">
      <c r="A41" s="794"/>
      <c r="B41" s="794" t="s">
        <v>627</v>
      </c>
      <c r="C41" s="794" t="s">
        <v>628</v>
      </c>
      <c r="D41" s="794" t="s">
        <v>1005</v>
      </c>
      <c r="E41" s="600">
        <v>31</v>
      </c>
      <c r="F41" s="600">
        <v>131</v>
      </c>
      <c r="G41" s="114">
        <v>1</v>
      </c>
      <c r="H41"/>
    </row>
    <row r="42" spans="1:8" x14ac:dyDescent="0.25">
      <c r="A42" s="794"/>
      <c r="B42" s="794" t="s">
        <v>34</v>
      </c>
      <c r="C42" s="794" t="s">
        <v>120</v>
      </c>
      <c r="D42" s="794" t="s">
        <v>1006</v>
      </c>
      <c r="E42" s="600">
        <v>365</v>
      </c>
      <c r="F42" s="600">
        <v>2366</v>
      </c>
      <c r="G42" s="114">
        <v>1</v>
      </c>
      <c r="H42"/>
    </row>
    <row r="43" spans="1:8" x14ac:dyDescent="0.25">
      <c r="A43" s="794" t="s">
        <v>1014</v>
      </c>
      <c r="B43" s="794"/>
      <c r="C43" s="794"/>
      <c r="D43" s="794"/>
      <c r="E43" s="600">
        <v>610</v>
      </c>
      <c r="F43" s="600">
        <v>3826</v>
      </c>
      <c r="G43" s="114">
        <v>4</v>
      </c>
      <c r="H43"/>
    </row>
    <row r="44" spans="1:8" x14ac:dyDescent="0.25">
      <c r="A44" s="794" t="s">
        <v>213</v>
      </c>
      <c r="B44" s="794"/>
      <c r="C44" s="794"/>
      <c r="D44" s="794"/>
      <c r="E44" s="600">
        <v>4384</v>
      </c>
      <c r="F44" s="600">
        <v>25206</v>
      </c>
      <c r="G44" s="114">
        <v>31</v>
      </c>
      <c r="H44"/>
    </row>
    <row r="45" spans="1:8" x14ac:dyDescent="0.25">
      <c r="A45"/>
      <c r="B45"/>
      <c r="C45"/>
      <c r="D45"/>
      <c r="E45"/>
      <c r="F45"/>
      <c r="G45"/>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topLeftCell="A37" workbookViewId="0">
      <selection activeCell="K32" sqref="K32"/>
    </sheetView>
  </sheetViews>
  <sheetFormatPr defaultColWidth="9.140625" defaultRowHeight="15" x14ac:dyDescent="0.2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695" customWidth="1"/>
    <col min="8" max="16384" width="9.140625" style="1"/>
  </cols>
  <sheetData>
    <row r="1" spans="2:7" ht="12" customHeight="1" thickBot="1" x14ac:dyDescent="0.3"/>
    <row r="2" spans="2:7" s="660" customFormat="1" ht="12.75" x14ac:dyDescent="0.2">
      <c r="B2" s="661" t="s">
        <v>1015</v>
      </c>
      <c r="C2" s="662"/>
      <c r="D2" s="662"/>
      <c r="E2" s="662"/>
      <c r="F2" s="662"/>
      <c r="G2" s="689"/>
    </row>
    <row r="3" spans="2:7" s="660" customFormat="1" ht="12.75" x14ac:dyDescent="0.2">
      <c r="B3" s="663">
        <f>Report_Date</f>
        <v>42795</v>
      </c>
      <c r="C3" s="664"/>
      <c r="D3" s="664"/>
      <c r="E3" s="664"/>
      <c r="F3" s="664"/>
      <c r="G3" s="690"/>
    </row>
    <row r="4" spans="2:7" s="660" customFormat="1" ht="13.5" thickBot="1" x14ac:dyDescent="0.25">
      <c r="B4" s="665"/>
      <c r="C4" s="666"/>
      <c r="D4" s="666"/>
      <c r="E4" s="666"/>
      <c r="F4" s="666"/>
      <c r="G4" s="691"/>
    </row>
    <row r="5" spans="2:7" s="660" customFormat="1" ht="13.5" thickBot="1" x14ac:dyDescent="0.25">
      <c r="B5" s="667" t="s">
        <v>346</v>
      </c>
      <c r="C5" s="668" t="s">
        <v>349</v>
      </c>
      <c r="D5" s="664"/>
      <c r="E5" s="664"/>
      <c r="F5" s="664"/>
      <c r="G5" s="690"/>
    </row>
    <row r="6" spans="2:7" s="660" customFormat="1" ht="13.5" thickBot="1" x14ac:dyDescent="0.25">
      <c r="B6" s="667" t="s">
        <v>24</v>
      </c>
      <c r="C6" s="668" t="s">
        <v>768</v>
      </c>
      <c r="D6" s="666"/>
      <c r="E6" s="666"/>
      <c r="F6" s="666"/>
      <c r="G6" s="691"/>
    </row>
    <row r="7" spans="2:7" s="660" customFormat="1" ht="13.5" thickBot="1" x14ac:dyDescent="0.25">
      <c r="B7" s="669"/>
      <c r="C7" s="664"/>
      <c r="D7" s="664"/>
      <c r="E7" s="664"/>
      <c r="F7" s="664"/>
      <c r="G7" s="692"/>
    </row>
    <row r="8" spans="2:7" s="660" customFormat="1" ht="13.5" thickBot="1" x14ac:dyDescent="0.25">
      <c r="B8" s="670" t="s">
        <v>0</v>
      </c>
      <c r="C8" s="671" t="s">
        <v>9</v>
      </c>
      <c r="D8" s="672" t="s">
        <v>8</v>
      </c>
      <c r="E8" s="688" t="s">
        <v>804</v>
      </c>
      <c r="F8" s="673" t="s">
        <v>876</v>
      </c>
      <c r="G8" s="674" t="s">
        <v>799</v>
      </c>
    </row>
    <row r="9" spans="2:7" s="660" customFormat="1" ht="12.75" x14ac:dyDescent="0.2">
      <c r="B9" s="1045" t="s">
        <v>20</v>
      </c>
      <c r="C9" s="683" t="s">
        <v>110</v>
      </c>
      <c r="D9" s="683" t="s">
        <v>198</v>
      </c>
      <c r="E9" s="676"/>
      <c r="F9" s="677"/>
      <c r="G9" s="720">
        <v>1</v>
      </c>
    </row>
    <row r="10" spans="2:7" s="660" customFormat="1" ht="12.75" x14ac:dyDescent="0.2">
      <c r="B10" s="1046"/>
      <c r="C10" s="683" t="s">
        <v>100</v>
      </c>
      <c r="D10" s="683" t="s">
        <v>188</v>
      </c>
      <c r="E10" s="678"/>
      <c r="F10" s="679"/>
      <c r="G10" s="721">
        <v>1</v>
      </c>
    </row>
    <row r="11" spans="2:7" s="680" customFormat="1" ht="12.75" x14ac:dyDescent="0.2">
      <c r="B11" s="1046"/>
      <c r="C11" s="683" t="s">
        <v>614</v>
      </c>
      <c r="D11" s="683" t="s">
        <v>618</v>
      </c>
      <c r="E11" s="678"/>
      <c r="F11" s="679"/>
      <c r="G11" s="721">
        <v>1</v>
      </c>
    </row>
    <row r="12" spans="2:7" s="660" customFormat="1" ht="12.75" x14ac:dyDescent="0.2">
      <c r="B12" s="1046"/>
      <c r="C12" s="683" t="s">
        <v>102</v>
      </c>
      <c r="D12" s="683" t="s">
        <v>190</v>
      </c>
      <c r="E12" s="678"/>
      <c r="F12" s="679"/>
      <c r="G12" s="721">
        <v>1</v>
      </c>
    </row>
    <row r="13" spans="2:7" s="660" customFormat="1" ht="12.75" x14ac:dyDescent="0.2">
      <c r="B13" s="1046"/>
      <c r="C13" s="683" t="s">
        <v>101</v>
      </c>
      <c r="D13" s="683" t="s">
        <v>189</v>
      </c>
      <c r="E13" s="678"/>
      <c r="F13" s="679"/>
      <c r="G13" s="721">
        <v>1</v>
      </c>
    </row>
    <row r="14" spans="2:7" s="660" customFormat="1" ht="12.75" x14ac:dyDescent="0.2">
      <c r="B14" s="1046"/>
      <c r="C14" s="683" t="s">
        <v>99</v>
      </c>
      <c r="D14" s="683" t="s">
        <v>187</v>
      </c>
      <c r="E14" s="678"/>
      <c r="F14" s="679"/>
      <c r="G14" s="721">
        <v>1</v>
      </c>
    </row>
    <row r="15" spans="2:7" s="660" customFormat="1" ht="12.75" x14ac:dyDescent="0.2">
      <c r="B15" s="1046"/>
      <c r="C15" s="683" t="s">
        <v>108</v>
      </c>
      <c r="D15" s="683" t="s">
        <v>196</v>
      </c>
      <c r="E15" s="678"/>
      <c r="F15" s="679"/>
      <c r="G15" s="721">
        <v>1</v>
      </c>
    </row>
    <row r="16" spans="2:7" s="660" customFormat="1" ht="12.75" x14ac:dyDescent="0.2">
      <c r="B16" s="1046"/>
      <c r="C16" s="683" t="s">
        <v>97</v>
      </c>
      <c r="D16" s="683" t="s">
        <v>185</v>
      </c>
      <c r="E16" s="678"/>
      <c r="F16" s="679"/>
      <c r="G16" s="721">
        <v>1</v>
      </c>
    </row>
    <row r="17" spans="2:9" s="660" customFormat="1" ht="12.75" x14ac:dyDescent="0.2">
      <c r="B17" s="1046"/>
      <c r="C17" s="683" t="s">
        <v>98</v>
      </c>
      <c r="D17" s="683" t="s">
        <v>186</v>
      </c>
      <c r="E17" s="678"/>
      <c r="F17" s="679"/>
      <c r="G17" s="721">
        <v>1</v>
      </c>
      <c r="I17" s="660" t="s">
        <v>774</v>
      </c>
    </row>
    <row r="18" spans="2:9" s="660" customFormat="1" ht="12.75" x14ac:dyDescent="0.2">
      <c r="B18" s="1046"/>
      <c r="C18" s="683" t="s">
        <v>615</v>
      </c>
      <c r="D18" s="683" t="s">
        <v>619</v>
      </c>
      <c r="E18" s="678"/>
      <c r="F18" s="679"/>
      <c r="G18" s="721">
        <v>1</v>
      </c>
    </row>
    <row r="19" spans="2:9" s="660" customFormat="1" ht="13.5" thickBot="1" x14ac:dyDescent="0.25">
      <c r="B19" s="1047"/>
      <c r="C19" s="683" t="s">
        <v>616</v>
      </c>
      <c r="D19" s="683" t="s">
        <v>620</v>
      </c>
      <c r="E19" s="678"/>
      <c r="F19" s="679"/>
      <c r="G19" s="721">
        <v>1</v>
      </c>
    </row>
    <row r="20" spans="2:9" s="660" customFormat="1" ht="13.5" thickBot="1" x14ac:dyDescent="0.25">
      <c r="B20" s="1048" t="s">
        <v>646</v>
      </c>
      <c r="C20" s="1049"/>
      <c r="D20" s="1050"/>
      <c r="E20" s="684"/>
      <c r="F20" s="685"/>
      <c r="G20" s="722">
        <v>11</v>
      </c>
    </row>
    <row r="21" spans="2:9" s="660" customFormat="1" ht="12.75" x14ac:dyDescent="0.2">
      <c r="B21" s="1045" t="s">
        <v>11</v>
      </c>
      <c r="C21" s="683" t="s">
        <v>28</v>
      </c>
      <c r="D21" s="683" t="s">
        <v>114</v>
      </c>
      <c r="E21" s="678"/>
      <c r="F21" s="679"/>
      <c r="G21" s="721">
        <v>1</v>
      </c>
    </row>
    <row r="22" spans="2:9" s="660" customFormat="1" ht="13.5" thickBot="1" x14ac:dyDescent="0.25">
      <c r="B22" s="1047"/>
      <c r="C22" s="683" t="s">
        <v>31</v>
      </c>
      <c r="D22" s="683" t="s">
        <v>117</v>
      </c>
      <c r="E22" s="678"/>
      <c r="F22" s="679"/>
      <c r="G22" s="721">
        <v>1</v>
      </c>
    </row>
    <row r="23" spans="2:9" s="660" customFormat="1" ht="13.5" thickBot="1" x14ac:dyDescent="0.25">
      <c r="B23" s="1048" t="s">
        <v>1016</v>
      </c>
      <c r="C23" s="1049"/>
      <c r="D23" s="1050"/>
      <c r="E23" s="684"/>
      <c r="F23" s="685"/>
      <c r="G23" s="722">
        <v>2</v>
      </c>
    </row>
    <row r="24" spans="2:9" s="660" customFormat="1" ht="13.5" thickBot="1" x14ac:dyDescent="0.25">
      <c r="B24" s="675" t="s">
        <v>14</v>
      </c>
      <c r="C24" s="683" t="s">
        <v>542</v>
      </c>
      <c r="D24" s="683" t="s">
        <v>278</v>
      </c>
      <c r="E24" s="678"/>
      <c r="F24" s="679"/>
      <c r="G24" s="721">
        <v>1</v>
      </c>
    </row>
    <row r="25" spans="2:9" s="660" customFormat="1" ht="13.5" thickBot="1" x14ac:dyDescent="0.25">
      <c r="B25" s="1048" t="s">
        <v>647</v>
      </c>
      <c r="C25" s="1051"/>
      <c r="D25" s="1052"/>
      <c r="E25" s="681"/>
      <c r="F25" s="682"/>
      <c r="G25" s="723">
        <v>1</v>
      </c>
    </row>
    <row r="26" spans="2:9" s="660" customFormat="1" ht="12.75" x14ac:dyDescent="0.2">
      <c r="B26" s="1045" t="s">
        <v>19</v>
      </c>
      <c r="C26" s="683" t="s">
        <v>90</v>
      </c>
      <c r="D26" s="683" t="s">
        <v>178</v>
      </c>
      <c r="E26" s="678"/>
      <c r="F26" s="679"/>
      <c r="G26" s="721">
        <v>1</v>
      </c>
    </row>
    <row r="27" spans="2:9" s="660" customFormat="1" ht="12.75" x14ac:dyDescent="0.2">
      <c r="B27" s="1046"/>
      <c r="C27" s="683" t="s">
        <v>62</v>
      </c>
      <c r="D27" s="683" t="s">
        <v>150</v>
      </c>
      <c r="E27" s="678"/>
      <c r="F27" s="679"/>
      <c r="G27" s="721">
        <v>1</v>
      </c>
    </row>
    <row r="28" spans="2:9" s="660" customFormat="1" ht="12.75" x14ac:dyDescent="0.2">
      <c r="B28" s="1046"/>
      <c r="C28" s="683" t="s">
        <v>73</v>
      </c>
      <c r="D28" s="683" t="s">
        <v>161</v>
      </c>
      <c r="E28" s="678"/>
      <c r="F28" s="679"/>
      <c r="G28" s="721">
        <v>1</v>
      </c>
    </row>
    <row r="29" spans="2:9" s="660" customFormat="1" ht="12.75" x14ac:dyDescent="0.2">
      <c r="B29" s="1046"/>
      <c r="C29" s="683" t="s">
        <v>74</v>
      </c>
      <c r="D29" s="683" t="s">
        <v>162</v>
      </c>
      <c r="E29" s="678"/>
      <c r="F29" s="679"/>
      <c r="G29" s="721">
        <v>1</v>
      </c>
    </row>
    <row r="30" spans="2:9" s="660" customFormat="1" ht="12.75" x14ac:dyDescent="0.2">
      <c r="B30" s="1046"/>
      <c r="C30" s="683" t="s">
        <v>80</v>
      </c>
      <c r="D30" s="683" t="s">
        <v>168</v>
      </c>
      <c r="E30" s="678"/>
      <c r="F30" s="679"/>
      <c r="G30" s="721">
        <v>1</v>
      </c>
    </row>
    <row r="31" spans="2:9" s="660" customFormat="1" ht="12.75" x14ac:dyDescent="0.2">
      <c r="B31" s="1046"/>
      <c r="C31" s="683" t="s">
        <v>81</v>
      </c>
      <c r="D31" s="683" t="s">
        <v>169</v>
      </c>
      <c r="E31" s="678"/>
      <c r="F31" s="679"/>
      <c r="G31" s="721">
        <v>1</v>
      </c>
    </row>
    <row r="32" spans="2:9" s="660" customFormat="1" ht="12.75" x14ac:dyDescent="0.2">
      <c r="B32" s="1046"/>
      <c r="C32" s="683" t="s">
        <v>77</v>
      </c>
      <c r="D32" s="683" t="s">
        <v>165</v>
      </c>
      <c r="E32" s="678"/>
      <c r="F32" s="679"/>
      <c r="G32" s="721">
        <v>1</v>
      </c>
    </row>
    <row r="33" spans="2:7" s="660" customFormat="1" ht="12.75" x14ac:dyDescent="0.2">
      <c r="B33" s="1046"/>
      <c r="C33" s="683" t="s">
        <v>79</v>
      </c>
      <c r="D33" s="683" t="s">
        <v>167</v>
      </c>
      <c r="E33" s="678"/>
      <c r="F33" s="679"/>
      <c r="G33" s="721">
        <v>1</v>
      </c>
    </row>
    <row r="34" spans="2:7" x14ac:dyDescent="0.25">
      <c r="B34" s="1046"/>
      <c r="C34" s="683" t="s">
        <v>94</v>
      </c>
      <c r="D34" s="683" t="s">
        <v>182</v>
      </c>
      <c r="E34" s="678"/>
      <c r="F34" s="679"/>
      <c r="G34" s="721">
        <v>1</v>
      </c>
    </row>
    <row r="35" spans="2:7" x14ac:dyDescent="0.25">
      <c r="B35" s="1046"/>
      <c r="C35" s="683" t="s">
        <v>82</v>
      </c>
      <c r="D35" s="683" t="s">
        <v>170</v>
      </c>
      <c r="E35" s="678"/>
      <c r="F35" s="679"/>
      <c r="G35" s="721">
        <v>1</v>
      </c>
    </row>
    <row r="36" spans="2:7" x14ac:dyDescent="0.25">
      <c r="B36" s="1046"/>
      <c r="C36" s="683" t="s">
        <v>551</v>
      </c>
      <c r="D36" s="683" t="s">
        <v>552</v>
      </c>
      <c r="E36" s="678"/>
      <c r="F36" s="679"/>
      <c r="G36" s="721">
        <v>1</v>
      </c>
    </row>
    <row r="37" spans="2:7" x14ac:dyDescent="0.25">
      <c r="B37" s="1046"/>
      <c r="C37" s="683" t="s">
        <v>71</v>
      </c>
      <c r="D37" s="683" t="s">
        <v>159</v>
      </c>
      <c r="E37" s="678"/>
      <c r="F37" s="679"/>
      <c r="G37" s="721">
        <v>1</v>
      </c>
    </row>
    <row r="38" spans="2:7" x14ac:dyDescent="0.25">
      <c r="B38" s="1046"/>
      <c r="C38" s="683" t="s">
        <v>92</v>
      </c>
      <c r="D38" s="683" t="s">
        <v>180</v>
      </c>
      <c r="E38" s="678"/>
      <c r="F38" s="679"/>
      <c r="G38" s="721">
        <v>1</v>
      </c>
    </row>
    <row r="39" spans="2:7" x14ac:dyDescent="0.25">
      <c r="B39" s="1046"/>
      <c r="C39" s="683" t="s">
        <v>83</v>
      </c>
      <c r="D39" s="683" t="s">
        <v>171</v>
      </c>
      <c r="E39" s="678"/>
      <c r="F39" s="679"/>
      <c r="G39" s="721">
        <v>1</v>
      </c>
    </row>
    <row r="40" spans="2:7" x14ac:dyDescent="0.25">
      <c r="B40" s="1046"/>
      <c r="C40" s="683" t="s">
        <v>75</v>
      </c>
      <c r="D40" s="683" t="s">
        <v>163</v>
      </c>
      <c r="E40" s="678"/>
      <c r="F40" s="679"/>
      <c r="G40" s="721">
        <v>1</v>
      </c>
    </row>
    <row r="41" spans="2:7" x14ac:dyDescent="0.25">
      <c r="B41" s="1046"/>
      <c r="C41" s="683" t="s">
        <v>93</v>
      </c>
      <c r="D41" s="683" t="s">
        <v>181</v>
      </c>
      <c r="E41" s="678"/>
      <c r="F41" s="679"/>
      <c r="G41" s="721">
        <v>1</v>
      </c>
    </row>
    <row r="42" spans="2:7" x14ac:dyDescent="0.25">
      <c r="B42" s="1046"/>
      <c r="C42" s="683" t="s">
        <v>76</v>
      </c>
      <c r="D42" s="683" t="s">
        <v>164</v>
      </c>
      <c r="E42" s="678"/>
      <c r="F42" s="679"/>
      <c r="G42" s="721">
        <v>1</v>
      </c>
    </row>
    <row r="43" spans="2:7" x14ac:dyDescent="0.25">
      <c r="B43" s="1046"/>
      <c r="C43" s="683" t="s">
        <v>84</v>
      </c>
      <c r="D43" s="683" t="s">
        <v>172</v>
      </c>
      <c r="E43" s="678"/>
      <c r="F43" s="679"/>
      <c r="G43" s="721">
        <v>1</v>
      </c>
    </row>
    <row r="44" spans="2:7" x14ac:dyDescent="0.25">
      <c r="B44" s="1046"/>
      <c r="C44" s="683" t="s">
        <v>65</v>
      </c>
      <c r="D44" s="683" t="s">
        <v>153</v>
      </c>
      <c r="E44" s="678"/>
      <c r="F44" s="679"/>
      <c r="G44" s="721">
        <v>1</v>
      </c>
    </row>
    <row r="45" spans="2:7" x14ac:dyDescent="0.25">
      <c r="B45" s="1046"/>
      <c r="C45" s="683" t="s">
        <v>244</v>
      </c>
      <c r="D45" s="683" t="s">
        <v>279</v>
      </c>
      <c r="E45" s="678"/>
      <c r="F45" s="679"/>
      <c r="G45" s="721">
        <v>1</v>
      </c>
    </row>
    <row r="46" spans="2:7" x14ac:dyDescent="0.25">
      <c r="B46" s="1046"/>
      <c r="C46" s="683" t="s">
        <v>275</v>
      </c>
      <c r="D46" s="683" t="s">
        <v>547</v>
      </c>
      <c r="E46" s="678"/>
      <c r="F46" s="679"/>
      <c r="G46" s="721">
        <v>1</v>
      </c>
    </row>
    <row r="47" spans="2:7" x14ac:dyDescent="0.25">
      <c r="B47" s="1046"/>
      <c r="C47" s="683" t="s">
        <v>276</v>
      </c>
      <c r="D47" s="683" t="s">
        <v>548</v>
      </c>
      <c r="E47" s="678"/>
      <c r="F47" s="679"/>
      <c r="G47" s="721">
        <v>1</v>
      </c>
    </row>
    <row r="48" spans="2:7" x14ac:dyDescent="0.25">
      <c r="B48" s="1046"/>
      <c r="C48" s="683" t="s">
        <v>72</v>
      </c>
      <c r="D48" s="683" t="s">
        <v>160</v>
      </c>
      <c r="E48" s="678"/>
      <c r="F48" s="679"/>
      <c r="G48" s="721">
        <v>1</v>
      </c>
    </row>
    <row r="49" spans="2:7" x14ac:dyDescent="0.25">
      <c r="B49" s="1046"/>
      <c r="C49" s="683" t="s">
        <v>66</v>
      </c>
      <c r="D49" s="683" t="s">
        <v>154</v>
      </c>
      <c r="E49" s="678"/>
      <c r="F49" s="679"/>
      <c r="G49" s="721">
        <v>1</v>
      </c>
    </row>
    <row r="50" spans="2:7" x14ac:dyDescent="0.25">
      <c r="B50" s="1046"/>
      <c r="C50" s="683" t="s">
        <v>85</v>
      </c>
      <c r="D50" s="683" t="s">
        <v>173</v>
      </c>
      <c r="E50" s="678"/>
      <c r="F50" s="679"/>
      <c r="G50" s="721">
        <v>1</v>
      </c>
    </row>
    <row r="51" spans="2:7" x14ac:dyDescent="0.25">
      <c r="B51" s="1046"/>
      <c r="C51" s="683" t="s">
        <v>563</v>
      </c>
      <c r="D51" s="683" t="s">
        <v>564</v>
      </c>
      <c r="E51" s="678"/>
      <c r="F51" s="679"/>
      <c r="G51" s="721">
        <v>1</v>
      </c>
    </row>
    <row r="52" spans="2:7" x14ac:dyDescent="0.25">
      <c r="B52" s="1046"/>
      <c r="C52" s="683" t="s">
        <v>86</v>
      </c>
      <c r="D52" s="683" t="s">
        <v>174</v>
      </c>
      <c r="E52" s="678"/>
      <c r="F52" s="679"/>
      <c r="G52" s="721">
        <v>1</v>
      </c>
    </row>
    <row r="53" spans="2:7" x14ac:dyDescent="0.25">
      <c r="B53" s="1046"/>
      <c r="C53" s="683" t="s">
        <v>89</v>
      </c>
      <c r="D53" s="683" t="s">
        <v>177</v>
      </c>
      <c r="E53" s="678"/>
      <c r="F53" s="679"/>
      <c r="G53" s="721">
        <v>1</v>
      </c>
    </row>
    <row r="54" spans="2:7" x14ac:dyDescent="0.25">
      <c r="B54" s="1046"/>
      <c r="C54" s="683" t="s">
        <v>87</v>
      </c>
      <c r="D54" s="683" t="s">
        <v>175</v>
      </c>
      <c r="E54" s="678"/>
      <c r="F54" s="679"/>
      <c r="G54" s="721">
        <v>1</v>
      </c>
    </row>
    <row r="55" spans="2:7" x14ac:dyDescent="0.25">
      <c r="B55" s="1046"/>
      <c r="C55" s="683" t="s">
        <v>549</v>
      </c>
      <c r="D55" s="683" t="s">
        <v>550</v>
      </c>
      <c r="E55" s="678"/>
      <c r="F55" s="679"/>
      <c r="G55" s="721">
        <v>1</v>
      </c>
    </row>
    <row r="56" spans="2:7" x14ac:dyDescent="0.25">
      <c r="B56" s="1046"/>
      <c r="C56" s="683" t="s">
        <v>69</v>
      </c>
      <c r="D56" s="683" t="s">
        <v>157</v>
      </c>
      <c r="E56" s="678"/>
      <c r="F56" s="679"/>
      <c r="G56" s="721">
        <v>1</v>
      </c>
    </row>
    <row r="57" spans="2:7" x14ac:dyDescent="0.25">
      <c r="B57" s="1046"/>
      <c r="C57" s="683" t="s">
        <v>91</v>
      </c>
      <c r="D57" s="683" t="s">
        <v>179</v>
      </c>
      <c r="E57" s="678"/>
      <c r="F57" s="679"/>
      <c r="G57" s="721">
        <v>1</v>
      </c>
    </row>
    <row r="58" spans="2:7" x14ac:dyDescent="0.25">
      <c r="B58" s="1046"/>
      <c r="C58" s="683" t="s">
        <v>88</v>
      </c>
      <c r="D58" s="683" t="s">
        <v>176</v>
      </c>
      <c r="E58" s="678"/>
      <c r="F58" s="679"/>
      <c r="G58" s="721">
        <v>1</v>
      </c>
    </row>
    <row r="59" spans="2:7" x14ac:dyDescent="0.25">
      <c r="B59" s="1046"/>
      <c r="C59" s="683" t="s">
        <v>96</v>
      </c>
      <c r="D59" s="683" t="s">
        <v>184</v>
      </c>
      <c r="E59" s="678"/>
      <c r="F59" s="679"/>
      <c r="G59" s="721">
        <v>1</v>
      </c>
    </row>
    <row r="60" spans="2:7" ht="15.75" thickBot="1" x14ac:dyDescent="0.3">
      <c r="B60" s="1047"/>
      <c r="C60" s="683" t="s">
        <v>95</v>
      </c>
      <c r="D60" s="683" t="s">
        <v>183</v>
      </c>
      <c r="E60" s="678"/>
      <c r="F60" s="679"/>
      <c r="G60" s="721">
        <v>1</v>
      </c>
    </row>
    <row r="61" spans="2:7" ht="15.75" thickBot="1" x14ac:dyDescent="0.3">
      <c r="B61" s="1048" t="s">
        <v>645</v>
      </c>
      <c r="C61" s="1051"/>
      <c r="D61" s="1052"/>
      <c r="E61" s="684"/>
      <c r="F61" s="685"/>
      <c r="G61" s="722">
        <v>35</v>
      </c>
    </row>
    <row r="62" spans="2:7" ht="15.75" thickBot="1" x14ac:dyDescent="0.3">
      <c r="B62" s="675" t="s">
        <v>1003</v>
      </c>
      <c r="C62" s="683" t="s">
        <v>35</v>
      </c>
      <c r="D62" s="683" t="s">
        <v>121</v>
      </c>
      <c r="E62" s="678"/>
      <c r="F62" s="679"/>
      <c r="G62" s="721">
        <v>1</v>
      </c>
    </row>
    <row r="63" spans="2:7" ht="15.75" thickBot="1" x14ac:dyDescent="0.3">
      <c r="B63" s="1048" t="s">
        <v>1014</v>
      </c>
      <c r="C63" s="1049"/>
      <c r="D63" s="1050"/>
      <c r="E63" s="684"/>
      <c r="F63" s="685"/>
      <c r="G63" s="722">
        <v>1</v>
      </c>
    </row>
    <row r="64" spans="2:7" ht="15.75" thickBot="1" x14ac:dyDescent="0.3">
      <c r="B64" s="1053" t="s">
        <v>213</v>
      </c>
      <c r="C64" s="1054"/>
      <c r="D64" s="1055"/>
      <c r="E64" s="686"/>
      <c r="F64" s="687"/>
      <c r="G64" s="724">
        <v>50</v>
      </c>
    </row>
  </sheetData>
  <mergeCells count="9">
    <mergeCell ref="B26:B60"/>
    <mergeCell ref="B61:D61"/>
    <mergeCell ref="B63:D63"/>
    <mergeCell ref="B64:D64"/>
    <mergeCell ref="B9:B19"/>
    <mergeCell ref="B20:D20"/>
    <mergeCell ref="B21:B22"/>
    <mergeCell ref="B23:D23"/>
    <mergeCell ref="B25:D25"/>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25" t="s">
        <v>217</v>
      </c>
      <c r="D2" s="125"/>
      <c r="E2" s="125"/>
      <c r="F2" s="125"/>
      <c r="G2" s="125"/>
      <c r="H2" s="125"/>
      <c r="I2" s="125"/>
      <c r="J2" s="125"/>
      <c r="K2" s="125"/>
      <c r="L2" s="125"/>
      <c r="M2" s="125"/>
      <c r="N2" s="125"/>
      <c r="O2" s="125"/>
      <c r="P2" s="125"/>
      <c r="Q2" s="125"/>
      <c r="R2" s="125"/>
      <c r="S2" s="125"/>
      <c r="T2" s="125"/>
      <c r="U2" s="125"/>
      <c r="V2" s="125"/>
    </row>
    <row r="3" spans="3:27" ht="14.25" customHeight="1" x14ac:dyDescent="0.55000000000000004">
      <c r="C3" s="125"/>
      <c r="D3" s="125"/>
      <c r="E3" s="125"/>
      <c r="F3" s="125"/>
      <c r="G3" s="125"/>
      <c r="H3" s="125"/>
      <c r="I3" s="125"/>
      <c r="J3" s="125"/>
      <c r="K3" s="125"/>
      <c r="L3" s="125"/>
      <c r="M3" s="125"/>
      <c r="N3" s="125"/>
      <c r="O3" s="125"/>
      <c r="P3" s="125"/>
      <c r="Q3" s="125"/>
      <c r="R3" s="125"/>
      <c r="S3" s="125"/>
      <c r="T3" s="125"/>
      <c r="U3" s="125"/>
      <c r="V3" s="125"/>
    </row>
    <row r="4" spans="3:27" ht="14.25" customHeight="1" x14ac:dyDescent="0.55000000000000004">
      <c r="C4" s="125"/>
      <c r="D4" s="125"/>
      <c r="E4" s="125"/>
      <c r="F4" s="125"/>
      <c r="G4" s="125"/>
      <c r="H4" s="125"/>
      <c r="I4" s="125"/>
      <c r="J4" s="125"/>
      <c r="K4" s="125"/>
      <c r="L4" s="125"/>
      <c r="M4" s="125"/>
      <c r="N4" s="125"/>
      <c r="O4" s="125"/>
      <c r="P4" s="125"/>
      <c r="Q4" s="125"/>
      <c r="R4" s="125"/>
      <c r="S4" s="125"/>
      <c r="T4" s="125"/>
      <c r="U4" s="125"/>
      <c r="V4" s="125"/>
    </row>
    <row r="5" spans="3:27" ht="14.25" customHeight="1" x14ac:dyDescent="0.25">
      <c r="C5" s="994">
        <f>Report_Date</f>
        <v>42795</v>
      </c>
      <c r="D5" s="994"/>
      <c r="E5" s="994"/>
      <c r="F5" s="994"/>
      <c r="G5" s="994"/>
      <c r="H5" s="994"/>
      <c r="I5" s="994"/>
      <c r="J5" s="994"/>
      <c r="K5" s="994"/>
      <c r="L5" s="994"/>
      <c r="M5" s="994"/>
      <c r="N5" s="994"/>
      <c r="O5" s="994"/>
      <c r="P5" s="127"/>
      <c r="Q5" s="127"/>
      <c r="R5" s="127"/>
    </row>
    <row r="6" spans="3:27" ht="14.25" customHeight="1" x14ac:dyDescent="0.25"/>
    <row r="7" spans="3:27" ht="14.25" customHeight="1" x14ac:dyDescent="0.25">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x14ac:dyDescent="0.25">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x14ac:dyDescent="0.25">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x14ac:dyDescent="0.25">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x14ac:dyDescent="0.25">
      <c r="C11" s="124"/>
      <c r="D11" s="124"/>
      <c r="E11" s="33"/>
      <c r="F11" s="33"/>
      <c r="G11" s="33"/>
      <c r="H11" s="33"/>
      <c r="I11" s="33"/>
      <c r="J11" s="33"/>
      <c r="K11" s="33"/>
      <c r="L11" s="33"/>
      <c r="M11" s="33"/>
      <c r="N11" s="33"/>
      <c r="O11" s="33"/>
      <c r="P11" s="33"/>
      <c r="Q11" s="33"/>
      <c r="R11" s="33"/>
      <c r="S11" s="33"/>
      <c r="T11" s="33"/>
      <c r="U11" s="33"/>
      <c r="V11" s="33"/>
    </row>
    <row r="12" spans="3:27" x14ac:dyDescent="0.25">
      <c r="C12" s="124"/>
      <c r="D12" s="124"/>
      <c r="E12" s="33"/>
      <c r="F12" s="33"/>
      <c r="G12" s="33"/>
      <c r="H12" s="33"/>
      <c r="I12" s="33"/>
      <c r="J12" s="33"/>
      <c r="K12" s="33"/>
      <c r="L12" s="33"/>
      <c r="M12" s="33"/>
      <c r="N12" s="33"/>
      <c r="O12" s="33"/>
      <c r="P12" s="33"/>
      <c r="Q12" s="33"/>
      <c r="R12" s="33"/>
      <c r="S12" s="33"/>
      <c r="T12" s="33"/>
      <c r="U12" s="33"/>
      <c r="V12" s="33"/>
    </row>
    <row r="14" spans="3:27" x14ac:dyDescent="0.25">
      <c r="C14" s="124" t="s">
        <v>239</v>
      </c>
      <c r="D14" s="124"/>
      <c r="E14" s="33"/>
      <c r="F14" s="33"/>
      <c r="G14" s="33"/>
      <c r="H14" s="33"/>
      <c r="I14" s="33"/>
      <c r="J14" s="33"/>
      <c r="K14" s="33"/>
      <c r="L14" s="33"/>
      <c r="M14" s="33"/>
      <c r="N14" s="33"/>
      <c r="O14" s="33"/>
      <c r="P14" s="33"/>
      <c r="Q14" s="33"/>
      <c r="R14" s="33"/>
      <c r="S14" s="33"/>
      <c r="T14" s="33"/>
      <c r="U14" s="33"/>
      <c r="V14" s="33"/>
    </row>
    <row r="15" spans="3:27" x14ac:dyDescent="0.25">
      <c r="C15" s="124"/>
      <c r="D15" s="124"/>
      <c r="E15" s="33"/>
      <c r="F15" s="33"/>
      <c r="G15" s="33"/>
      <c r="H15" s="33"/>
      <c r="I15" s="33"/>
      <c r="J15" s="33"/>
      <c r="K15" s="33"/>
      <c r="L15" s="33"/>
      <c r="M15" s="33"/>
      <c r="N15" s="33"/>
      <c r="O15" s="33"/>
      <c r="P15" s="33"/>
      <c r="Q15" s="33"/>
      <c r="R15" s="33"/>
      <c r="S15" s="33"/>
      <c r="T15" s="33"/>
      <c r="U15" s="33"/>
      <c r="V15" s="33"/>
    </row>
    <row r="16" spans="3:27" x14ac:dyDescent="0.25">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x14ac:dyDescent="0.25">
      <c r="C17" s="124"/>
      <c r="D17" s="124"/>
      <c r="E17" s="33"/>
      <c r="F17" s="33"/>
      <c r="G17" s="33"/>
      <c r="H17" s="33"/>
      <c r="I17" s="33"/>
      <c r="J17" s="33"/>
      <c r="K17" s="33"/>
      <c r="L17" s="33"/>
      <c r="M17" s="33"/>
      <c r="N17" s="33"/>
      <c r="O17" s="33"/>
      <c r="P17" s="33"/>
      <c r="Q17" s="33"/>
      <c r="R17" s="33"/>
      <c r="S17" s="33"/>
      <c r="T17" s="33"/>
      <c r="U17" s="33"/>
      <c r="V17" s="33"/>
    </row>
    <row r="18" spans="3:26" x14ac:dyDescent="0.25">
      <c r="C18" s="124"/>
      <c r="D18" s="124"/>
      <c r="E18" s="33"/>
      <c r="F18" s="33"/>
      <c r="G18" s="33"/>
      <c r="H18" s="33"/>
      <c r="I18" s="33"/>
      <c r="J18" s="33"/>
      <c r="K18" s="33"/>
      <c r="L18" s="33"/>
      <c r="M18" s="33"/>
      <c r="N18" s="33"/>
      <c r="O18" s="33"/>
      <c r="P18" s="33"/>
      <c r="Q18" s="33"/>
      <c r="R18" s="33"/>
      <c r="S18" s="33"/>
      <c r="T18" s="33"/>
      <c r="U18" s="33"/>
      <c r="V18" s="33"/>
    </row>
    <row r="19" spans="3:26" x14ac:dyDescent="0.25">
      <c r="C19" s="124"/>
      <c r="D19" s="124"/>
      <c r="E19" s="33"/>
      <c r="F19" s="33"/>
      <c r="G19" s="33"/>
      <c r="H19" s="33"/>
      <c r="I19" s="33"/>
      <c r="J19" s="33"/>
      <c r="K19" s="33"/>
      <c r="L19" s="33"/>
      <c r="M19" s="33"/>
      <c r="N19" s="33"/>
      <c r="O19" s="33"/>
      <c r="P19" s="33"/>
      <c r="Q19" s="33"/>
      <c r="R19" s="33"/>
      <c r="S19" s="33"/>
      <c r="T19" s="33"/>
      <c r="U19" s="33"/>
      <c r="V19" s="33"/>
    </row>
    <row r="21" spans="3:26" x14ac:dyDescent="0.25">
      <c r="C21" s="124" t="s">
        <v>240</v>
      </c>
      <c r="D21" s="124"/>
      <c r="E21" s="34"/>
      <c r="F21" s="34"/>
      <c r="G21" s="34"/>
      <c r="H21" s="34"/>
      <c r="I21" s="34"/>
      <c r="J21" s="34"/>
      <c r="K21" s="34"/>
      <c r="L21" s="33"/>
      <c r="M21" s="33"/>
      <c r="N21" s="33"/>
      <c r="O21" s="33"/>
      <c r="P21" s="33"/>
      <c r="Q21" s="33"/>
      <c r="R21" s="33"/>
      <c r="S21" s="33"/>
      <c r="T21" s="33"/>
      <c r="U21" s="33"/>
      <c r="V21" s="33"/>
    </row>
    <row r="22" spans="3:26" x14ac:dyDescent="0.25">
      <c r="C22" s="124"/>
      <c r="D22" s="124"/>
      <c r="E22" s="34"/>
      <c r="F22" s="34"/>
      <c r="G22" s="34"/>
      <c r="H22" s="34"/>
      <c r="I22" s="34"/>
      <c r="J22" s="34"/>
      <c r="K22" s="34"/>
      <c r="L22" s="72" t="s">
        <v>7</v>
      </c>
      <c r="M22" s="95" t="s">
        <v>6</v>
      </c>
      <c r="N22" s="34"/>
      <c r="O22" s="33"/>
      <c r="P22" s="33"/>
      <c r="Q22" s="33"/>
      <c r="R22" s="33"/>
      <c r="S22" s="33"/>
      <c r="T22" s="15"/>
      <c r="U22" s="15"/>
      <c r="V22" s="15"/>
    </row>
    <row r="23" spans="3:26" x14ac:dyDescent="0.25">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x14ac:dyDescent="0.25">
      <c r="C24" s="124"/>
      <c r="D24" s="124"/>
      <c r="E24" s="34"/>
      <c r="F24" s="34"/>
      <c r="G24" s="34"/>
      <c r="H24" s="34"/>
      <c r="I24" s="34"/>
      <c r="J24" s="34"/>
      <c r="K24" s="34"/>
      <c r="L24" s="34"/>
      <c r="M24" s="34"/>
      <c r="N24" s="34"/>
      <c r="O24" s="33"/>
      <c r="P24" s="33"/>
      <c r="Q24" s="33"/>
      <c r="R24" s="33"/>
      <c r="S24" s="33"/>
      <c r="T24" s="15"/>
      <c r="U24" s="15"/>
      <c r="V24" s="15"/>
    </row>
    <row r="25" spans="3:26" x14ac:dyDescent="0.25">
      <c r="Z25" s="6">
        <f>COUNTIFS(Camp_List[TOWNSHIP_NAME],$AI22,Camp_List[Total],"&gt;0",Camp_List[Status],"open",Camp_List[Type of Accomodation],AP$21)</f>
        <v>0</v>
      </c>
    </row>
    <row r="30" spans="3:26" x14ac:dyDescent="0.25">
      <c r="C30" s="5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T142" sqref="T142"/>
    </sheetView>
  </sheetViews>
  <sheetFormatPr defaultRowHeight="15" x14ac:dyDescent="0.2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x14ac:dyDescent="0.25">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x14ac:dyDescent="0.25">
      <c r="A2" s="1056" t="s">
        <v>786</v>
      </c>
      <c r="B2" s="1057"/>
      <c r="C2" s="1057"/>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x14ac:dyDescent="0.25">
      <c r="A3" s="1003">
        <f>Report_Date</f>
        <v>42795</v>
      </c>
      <c r="B3" s="1004"/>
      <c r="C3" s="1004"/>
      <c r="D3" s="1004"/>
      <c r="E3" s="1004"/>
      <c r="F3" s="1004"/>
      <c r="G3" s="1004"/>
      <c r="H3" s="1004"/>
      <c r="I3" s="1004"/>
      <c r="J3" s="1004"/>
      <c r="K3" s="1004"/>
      <c r="L3" s="1004"/>
      <c r="M3" s="1004"/>
      <c r="N3" s="1004"/>
      <c r="O3" s="1004"/>
      <c r="P3" s="1004"/>
      <c r="Q3" s="1004"/>
      <c r="R3" s="1004"/>
      <c r="S3" s="575"/>
      <c r="T3" s="611"/>
      <c r="U3" s="611"/>
      <c r="V3" s="611"/>
      <c r="W3" s="612"/>
      <c r="X3" s="193"/>
      <c r="Y3" s="194"/>
      <c r="BH3" s="69"/>
      <c r="BI3" s="69"/>
    </row>
    <row r="4" spans="1:61" ht="45.75" customHeight="1" x14ac:dyDescent="0.25">
      <c r="A4" s="491" t="s">
        <v>528</v>
      </c>
      <c r="B4" s="219" t="s">
        <v>200</v>
      </c>
      <c r="C4" s="219" t="s">
        <v>211</v>
      </c>
      <c r="D4" s="219" t="s">
        <v>10</v>
      </c>
      <c r="E4" s="219" t="s">
        <v>1</v>
      </c>
      <c r="F4" s="219" t="s">
        <v>9</v>
      </c>
      <c r="G4" s="219" t="s">
        <v>787</v>
      </c>
      <c r="H4" s="492" t="s">
        <v>526</v>
      </c>
      <c r="I4" s="492" t="s">
        <v>527</v>
      </c>
      <c r="J4" s="220" t="s">
        <v>788</v>
      </c>
      <c r="K4" s="220" t="s">
        <v>789</v>
      </c>
      <c r="L4" s="220" t="s">
        <v>790</v>
      </c>
      <c r="M4" s="221" t="s">
        <v>791</v>
      </c>
      <c r="N4" s="221" t="s">
        <v>792</v>
      </c>
      <c r="O4" s="221" t="s">
        <v>916</v>
      </c>
      <c r="P4" s="474" t="s">
        <v>917</v>
      </c>
      <c r="Q4" s="474" t="s">
        <v>918</v>
      </c>
      <c r="R4" s="474" t="s">
        <v>919</v>
      </c>
      <c r="S4" s="222" t="s">
        <v>793</v>
      </c>
      <c r="T4" s="223" t="s">
        <v>807</v>
      </c>
      <c r="U4" s="223" t="s">
        <v>566</v>
      </c>
      <c r="V4" s="223" t="s">
        <v>346</v>
      </c>
      <c r="W4" s="221" t="s">
        <v>234</v>
      </c>
      <c r="X4" s="221" t="s">
        <v>925</v>
      </c>
      <c r="Y4" s="493" t="s">
        <v>926</v>
      </c>
    </row>
    <row r="5" spans="1:61" x14ac:dyDescent="0.25">
      <c r="A5" s="497">
        <v>42339</v>
      </c>
      <c r="B5" s="332" t="s">
        <v>285</v>
      </c>
      <c r="C5" s="332" t="s">
        <v>293</v>
      </c>
      <c r="D5" s="332" t="s">
        <v>7</v>
      </c>
      <c r="E5" s="347" t="s">
        <v>15</v>
      </c>
      <c r="F5" s="332"/>
      <c r="G5" s="22">
        <v>1</v>
      </c>
      <c r="H5" s="332"/>
      <c r="I5" s="332"/>
      <c r="J5" s="22"/>
      <c r="K5" s="22"/>
      <c r="L5" s="22"/>
      <c r="M5" s="22"/>
      <c r="N5" s="22"/>
      <c r="O5" s="332"/>
      <c r="P5" s="332"/>
      <c r="Q5" s="332"/>
      <c r="R5" s="521">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x14ac:dyDescent="0.25">
      <c r="A6" s="497">
        <v>42339</v>
      </c>
      <c r="B6" s="332" t="s">
        <v>285</v>
      </c>
      <c r="C6" s="332" t="s">
        <v>293</v>
      </c>
      <c r="D6" s="332" t="s">
        <v>7</v>
      </c>
      <c r="E6" s="347" t="s">
        <v>14</v>
      </c>
      <c r="F6" s="332"/>
      <c r="G6" s="22">
        <v>1</v>
      </c>
      <c r="H6" s="332"/>
      <c r="I6" s="332"/>
      <c r="J6" s="22"/>
      <c r="K6" s="22"/>
      <c r="L6" s="22"/>
      <c r="M6" s="22"/>
      <c r="N6" s="22"/>
      <c r="O6" s="332"/>
      <c r="P6" s="332"/>
      <c r="Q6" s="332"/>
      <c r="R6" s="521">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x14ac:dyDescent="0.25">
      <c r="A7" s="497">
        <v>42339</v>
      </c>
      <c r="B7" s="332" t="s">
        <v>285</v>
      </c>
      <c r="C7" s="332" t="s">
        <v>293</v>
      </c>
      <c r="D7" s="332" t="s">
        <v>7</v>
      </c>
      <c r="E7" s="347" t="s">
        <v>19</v>
      </c>
      <c r="F7" s="332"/>
      <c r="G7" s="22"/>
      <c r="H7" s="332"/>
      <c r="I7" s="332"/>
      <c r="J7" s="22"/>
      <c r="K7" s="22"/>
      <c r="L7" s="22"/>
      <c r="M7" s="22"/>
      <c r="N7" s="22"/>
      <c r="O7" s="332"/>
      <c r="P7" s="521">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x14ac:dyDescent="0.25">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x14ac:dyDescent="0.25">
      <c r="A9" s="496">
        <v>42186</v>
      </c>
      <c r="B9" s="331" t="s">
        <v>293</v>
      </c>
      <c r="C9" s="331" t="s">
        <v>293</v>
      </c>
      <c r="D9" s="331" t="s">
        <v>7</v>
      </c>
      <c r="E9" s="333" t="s">
        <v>608</v>
      </c>
      <c r="F9" s="331" t="s">
        <v>924</v>
      </c>
      <c r="G9" s="29">
        <v>1</v>
      </c>
      <c r="H9" s="331"/>
      <c r="I9" s="331"/>
      <c r="J9" s="29"/>
      <c r="K9" s="29"/>
      <c r="L9" s="29"/>
      <c r="M9" s="29">
        <v>53</v>
      </c>
      <c r="N9" s="29"/>
      <c r="O9" s="331"/>
      <c r="P9" s="331"/>
      <c r="Q9" s="331"/>
      <c r="R9" s="114"/>
      <c r="S9" s="114">
        <v>0</v>
      </c>
      <c r="T9" s="114">
        <f ca="1">IF(Data_Shelter_t[[#This Row],[Status]]="Open",Data_Shelter_t[[#This Row],[HH Covered]],0)</f>
        <v>0</v>
      </c>
      <c r="U9" s="477" t="s">
        <v>928</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x14ac:dyDescent="0.25">
      <c r="A10" s="496">
        <v>42186</v>
      </c>
      <c r="B10" s="331" t="s">
        <v>293</v>
      </c>
      <c r="C10" s="331" t="s">
        <v>293</v>
      </c>
      <c r="D10" s="331" t="s">
        <v>7</v>
      </c>
      <c r="E10" s="333" t="s">
        <v>11</v>
      </c>
      <c r="F10" s="331" t="s">
        <v>923</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928</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x14ac:dyDescent="0.25">
      <c r="A11" s="496">
        <v>42186</v>
      </c>
      <c r="B11" s="331" t="s">
        <v>293</v>
      </c>
      <c r="C11" s="331" t="s">
        <v>293</v>
      </c>
      <c r="D11" s="331" t="s">
        <v>7</v>
      </c>
      <c r="E11" s="333" t="s">
        <v>608</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x14ac:dyDescent="0.25">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x14ac:dyDescent="0.25">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x14ac:dyDescent="0.25">
      <c r="A14" s="496">
        <v>42186</v>
      </c>
      <c r="B14" s="331" t="s">
        <v>285</v>
      </c>
      <c r="C14" s="331" t="s">
        <v>624</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x14ac:dyDescent="0.25">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x14ac:dyDescent="0.25">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x14ac:dyDescent="0.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x14ac:dyDescent="0.25">
      <c r="A18" s="496">
        <v>42186</v>
      </c>
      <c r="B18" s="331" t="s">
        <v>285</v>
      </c>
      <c r="C18" s="331" t="s">
        <v>624</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x14ac:dyDescent="0.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x14ac:dyDescent="0.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x14ac:dyDescent="0.25">
      <c r="A21" s="496">
        <v>42186</v>
      </c>
      <c r="B21" s="331" t="s">
        <v>293</v>
      </c>
      <c r="C21" s="331" t="s">
        <v>293</v>
      </c>
      <c r="D21" s="331" t="s">
        <v>7</v>
      </c>
      <c r="E21" s="333" t="s">
        <v>1003</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x14ac:dyDescent="0.25">
      <c r="A22" s="496">
        <v>42186</v>
      </c>
      <c r="B22" s="331" t="s">
        <v>293</v>
      </c>
      <c r="C22" s="331" t="s">
        <v>293</v>
      </c>
      <c r="D22" s="331" t="s">
        <v>7</v>
      </c>
      <c r="E22" s="333" t="s">
        <v>1003</v>
      </c>
      <c r="F22" s="331" t="s">
        <v>627</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628</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x14ac:dyDescent="0.25">
      <c r="A23" s="496">
        <v>42186</v>
      </c>
      <c r="B23" s="331" t="s">
        <v>293</v>
      </c>
      <c r="C23" s="331" t="s">
        <v>293</v>
      </c>
      <c r="D23" s="331" t="s">
        <v>7</v>
      </c>
      <c r="E23" s="333" t="s">
        <v>867</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x14ac:dyDescent="0.25">
      <c r="A24" s="496">
        <v>42186</v>
      </c>
      <c r="B24" s="331" t="s">
        <v>285</v>
      </c>
      <c r="C24" s="331" t="s">
        <v>285</v>
      </c>
      <c r="D24" s="331" t="s">
        <v>7</v>
      </c>
      <c r="E24" s="333" t="s">
        <v>19</v>
      </c>
      <c r="F24" s="331" t="s">
        <v>78</v>
      </c>
      <c r="G24" s="29">
        <v>1</v>
      </c>
      <c r="H24" s="331"/>
      <c r="I24" s="331"/>
      <c r="J24" s="29"/>
      <c r="K24" s="29"/>
      <c r="L24" s="794"/>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x14ac:dyDescent="0.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x14ac:dyDescent="0.25">
      <c r="A26" s="496">
        <v>42186</v>
      </c>
      <c r="B26" s="331" t="s">
        <v>293</v>
      </c>
      <c r="C26" s="331" t="s">
        <v>293</v>
      </c>
      <c r="D26" s="331" t="s">
        <v>7</v>
      </c>
      <c r="E26" s="333" t="s">
        <v>15</v>
      </c>
      <c r="F26" s="331" t="s">
        <v>46</v>
      </c>
      <c r="G26" s="29">
        <v>1</v>
      </c>
      <c r="H26" s="331"/>
      <c r="I26" s="331"/>
      <c r="J26" s="794"/>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x14ac:dyDescent="0.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x14ac:dyDescent="0.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x14ac:dyDescent="0.25">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x14ac:dyDescent="0.25">
      <c r="A30" s="496">
        <v>42186</v>
      </c>
      <c r="B30" s="331" t="s">
        <v>293</v>
      </c>
      <c r="C30" s="331" t="s">
        <v>293</v>
      </c>
      <c r="D30" s="331" t="s">
        <v>7</v>
      </c>
      <c r="E30" s="333" t="s">
        <v>11</v>
      </c>
      <c r="F30" s="331" t="s">
        <v>30</v>
      </c>
      <c r="G30" s="794">
        <v>1</v>
      </c>
      <c r="H30" s="331"/>
      <c r="I30" s="331"/>
      <c r="J30" s="794"/>
      <c r="K30" s="794"/>
      <c r="L30" s="794"/>
      <c r="M30" s="794"/>
      <c r="N30" s="794"/>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x14ac:dyDescent="0.25">
      <c r="A31" s="496">
        <v>42186</v>
      </c>
      <c r="B31" s="331" t="s">
        <v>293</v>
      </c>
      <c r="C31" s="331" t="s">
        <v>293</v>
      </c>
      <c r="D31" s="331" t="s">
        <v>7</v>
      </c>
      <c r="E31" s="333" t="s">
        <v>11</v>
      </c>
      <c r="F31" s="331" t="s">
        <v>25</v>
      </c>
      <c r="G31" s="29">
        <v>1</v>
      </c>
      <c r="H31" s="331"/>
      <c r="I31" s="331"/>
      <c r="J31" s="794"/>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x14ac:dyDescent="0.25">
      <c r="A32" s="496">
        <v>42186</v>
      </c>
      <c r="B32" s="331" t="s">
        <v>293</v>
      </c>
      <c r="C32" s="331" t="s">
        <v>293</v>
      </c>
      <c r="D32" s="331" t="s">
        <v>7</v>
      </c>
      <c r="E32" s="333" t="s">
        <v>11</v>
      </c>
      <c r="F32" s="331" t="s">
        <v>32</v>
      </c>
      <c r="G32" s="794">
        <v>1</v>
      </c>
      <c r="H32" s="331"/>
      <c r="I32" s="331"/>
      <c r="J32" s="794"/>
      <c r="K32" s="794"/>
      <c r="L32" s="794"/>
      <c r="M32" s="794"/>
      <c r="N32" s="794"/>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x14ac:dyDescent="0.25">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x14ac:dyDescent="0.25">
      <c r="A34" s="496">
        <v>42186</v>
      </c>
      <c r="B34" s="331" t="s">
        <v>293</v>
      </c>
      <c r="C34" s="331" t="s">
        <v>293</v>
      </c>
      <c r="D34" s="331" t="s">
        <v>7</v>
      </c>
      <c r="E34" s="333" t="s">
        <v>11</v>
      </c>
      <c r="F34" s="331" t="s">
        <v>558</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559</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x14ac:dyDescent="0.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x14ac:dyDescent="0.25">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x14ac:dyDescent="0.25">
      <c r="A37" s="496">
        <v>42186</v>
      </c>
      <c r="B37" s="331" t="s">
        <v>293</v>
      </c>
      <c r="C37" s="331" t="s">
        <v>293</v>
      </c>
      <c r="D37" s="331" t="s">
        <v>7</v>
      </c>
      <c r="E37" s="333" t="s">
        <v>1003</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x14ac:dyDescent="0.25">
      <c r="A38" s="496">
        <v>42186</v>
      </c>
      <c r="B38" s="331" t="s">
        <v>293</v>
      </c>
      <c r="C38" s="331" t="s">
        <v>293</v>
      </c>
      <c r="D38" s="331" t="s">
        <v>7</v>
      </c>
      <c r="E38" s="333" t="s">
        <v>1003</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x14ac:dyDescent="0.25">
      <c r="A39" s="496">
        <v>42186</v>
      </c>
      <c r="B39" s="331" t="s">
        <v>285</v>
      </c>
      <c r="C39" s="331" t="s">
        <v>624</v>
      </c>
      <c r="D39" s="331" t="s">
        <v>7</v>
      </c>
      <c r="E39" s="333" t="s">
        <v>1003</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x14ac:dyDescent="0.25">
      <c r="A40" s="496">
        <v>42186</v>
      </c>
      <c r="B40" s="331" t="s">
        <v>285</v>
      </c>
      <c r="C40" s="331" t="s">
        <v>624</v>
      </c>
      <c r="D40" s="331" t="s">
        <v>7</v>
      </c>
      <c r="E40" s="333" t="s">
        <v>1003</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x14ac:dyDescent="0.25">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x14ac:dyDescent="0.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x14ac:dyDescent="0.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x14ac:dyDescent="0.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x14ac:dyDescent="0.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x14ac:dyDescent="0.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x14ac:dyDescent="0.25">
      <c r="A47" s="496">
        <v>42186</v>
      </c>
      <c r="B47" s="331" t="s">
        <v>285</v>
      </c>
      <c r="C47" s="331" t="s">
        <v>624</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x14ac:dyDescent="0.25">
      <c r="A48" s="496">
        <v>42186</v>
      </c>
      <c r="B48" s="331" t="s">
        <v>285</v>
      </c>
      <c r="C48" s="331" t="s">
        <v>624</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x14ac:dyDescent="0.25">
      <c r="A49" s="496">
        <v>42186</v>
      </c>
      <c r="B49" s="331" t="s">
        <v>285</v>
      </c>
      <c r="C49" s="331" t="s">
        <v>624</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x14ac:dyDescent="0.25">
      <c r="A50" s="496">
        <v>42186</v>
      </c>
      <c r="B50" s="331" t="s">
        <v>285</v>
      </c>
      <c r="C50" s="331" t="s">
        <v>624</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x14ac:dyDescent="0.25">
      <c r="A51" s="496">
        <v>42186</v>
      </c>
      <c r="B51" s="331" t="s">
        <v>285</v>
      </c>
      <c r="C51" s="331" t="s">
        <v>624</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x14ac:dyDescent="0.25">
      <c r="A52" s="496">
        <v>42186</v>
      </c>
      <c r="B52" s="331" t="s">
        <v>285</v>
      </c>
      <c r="C52" s="331" t="s">
        <v>624</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x14ac:dyDescent="0.25">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x14ac:dyDescent="0.25">
      <c r="A54" s="496">
        <v>41548</v>
      </c>
      <c r="B54" s="331" t="s">
        <v>644</v>
      </c>
      <c r="C54" s="331" t="s">
        <v>644</v>
      </c>
      <c r="D54" s="331" t="s">
        <v>7</v>
      </c>
      <c r="E54" s="333" t="s">
        <v>20</v>
      </c>
      <c r="F54" s="331" t="s">
        <v>508</v>
      </c>
      <c r="G54" s="794">
        <v>1</v>
      </c>
      <c r="H54" s="331"/>
      <c r="I54" s="331"/>
      <c r="J54" s="794"/>
      <c r="K54" s="794"/>
      <c r="L54" s="794"/>
      <c r="M54" s="794">
        <v>15</v>
      </c>
      <c r="N54" s="794">
        <v>15</v>
      </c>
      <c r="O54" s="331"/>
      <c r="P54" s="331"/>
      <c r="Q54" s="331"/>
      <c r="R54" s="114"/>
      <c r="S54" s="114">
        <v>15</v>
      </c>
      <c r="T54" s="114">
        <f ca="1">IF(Data_Shelter_t[[#This Row],[Status]]="Open",Data_Shelter_t[[#This Row],[HH Covered]],0)</f>
        <v>0</v>
      </c>
      <c r="U54" s="332" t="s">
        <v>928</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x14ac:dyDescent="0.25">
      <c r="A55" s="496">
        <v>41548</v>
      </c>
      <c r="B55" s="331" t="s">
        <v>644</v>
      </c>
      <c r="C55" s="331" t="s">
        <v>644</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928</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x14ac:dyDescent="0.25">
      <c r="A56" s="496">
        <v>41548</v>
      </c>
      <c r="B56" s="331" t="s">
        <v>644</v>
      </c>
      <c r="C56" s="331" t="s">
        <v>644</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928</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x14ac:dyDescent="0.25">
      <c r="A57" s="496">
        <v>41548</v>
      </c>
      <c r="B57" s="331" t="s">
        <v>643</v>
      </c>
      <c r="C57" s="331" t="s">
        <v>643</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928</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x14ac:dyDescent="0.25">
      <c r="A58" s="496">
        <v>41548</v>
      </c>
      <c r="B58" s="331" t="s">
        <v>644</v>
      </c>
      <c r="C58" s="331" t="s">
        <v>644</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928</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x14ac:dyDescent="0.25">
      <c r="A59" s="496">
        <v>41548</v>
      </c>
      <c r="B59" s="331" t="s">
        <v>644</v>
      </c>
      <c r="C59" s="331" t="s">
        <v>644</v>
      </c>
      <c r="D59" s="331" t="s">
        <v>7</v>
      </c>
      <c r="E59" s="333" t="s">
        <v>20</v>
      </c>
      <c r="F59" s="331" t="s">
        <v>505</v>
      </c>
      <c r="G59" s="29">
        <v>1</v>
      </c>
      <c r="H59" s="331"/>
      <c r="I59" s="331"/>
      <c r="J59" s="29"/>
      <c r="K59" s="29"/>
      <c r="L59" s="794"/>
      <c r="M59" s="29">
        <v>9</v>
      </c>
      <c r="N59" s="29">
        <v>9</v>
      </c>
      <c r="O59" s="331"/>
      <c r="P59" s="331"/>
      <c r="Q59" s="331"/>
      <c r="R59" s="114"/>
      <c r="S59" s="114">
        <v>9</v>
      </c>
      <c r="T59" s="114">
        <f ca="1">IF(Data_Shelter_t[[#This Row],[Status]]="Open",Data_Shelter_t[[#This Row],[HH Covered]],0)</f>
        <v>0</v>
      </c>
      <c r="U59" s="332" t="s">
        <v>928</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x14ac:dyDescent="0.25">
      <c r="A60" s="496">
        <v>41548</v>
      </c>
      <c r="B60" s="331" t="s">
        <v>643</v>
      </c>
      <c r="C60" s="331" t="s">
        <v>643</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928</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x14ac:dyDescent="0.25">
      <c r="A61" s="496">
        <v>41548</v>
      </c>
      <c r="B61" s="331" t="s">
        <v>644</v>
      </c>
      <c r="C61" s="331" t="s">
        <v>644</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x14ac:dyDescent="0.25">
      <c r="A62" s="496">
        <v>41548</v>
      </c>
      <c r="B62" s="331" t="s">
        <v>643</v>
      </c>
      <c r="C62" s="331" t="s">
        <v>643</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x14ac:dyDescent="0.25">
      <c r="A63" s="496">
        <v>41548</v>
      </c>
      <c r="B63" s="331" t="s">
        <v>644</v>
      </c>
      <c r="C63" s="331" t="s">
        <v>644</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x14ac:dyDescent="0.25">
      <c r="A64" s="496">
        <v>41548</v>
      </c>
      <c r="B64" s="331" t="s">
        <v>643</v>
      </c>
      <c r="C64" s="331" t="s">
        <v>643</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x14ac:dyDescent="0.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x14ac:dyDescent="0.25">
      <c r="A66" s="496">
        <v>41548</v>
      </c>
      <c r="B66" s="331" t="s">
        <v>644</v>
      </c>
      <c r="C66" s="331" t="s">
        <v>644</v>
      </c>
      <c r="D66" s="331" t="s">
        <v>7</v>
      </c>
      <c r="E66" s="333" t="s">
        <v>20</v>
      </c>
      <c r="F66" s="331" t="s">
        <v>99</v>
      </c>
      <c r="G66" s="794">
        <v>1</v>
      </c>
      <c r="H66" s="331"/>
      <c r="I66" s="331"/>
      <c r="J66" s="794"/>
      <c r="K66" s="794"/>
      <c r="L66" s="794"/>
      <c r="M66" s="794">
        <v>36</v>
      </c>
      <c r="N66" s="794">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x14ac:dyDescent="0.25">
      <c r="A67" s="496">
        <v>41548</v>
      </c>
      <c r="B67" s="331" t="s">
        <v>643</v>
      </c>
      <c r="C67" s="331" t="s">
        <v>643</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x14ac:dyDescent="0.25">
      <c r="A68" s="496">
        <v>41548</v>
      </c>
      <c r="B68" s="331" t="s">
        <v>644</v>
      </c>
      <c r="C68" s="331" t="s">
        <v>644</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x14ac:dyDescent="0.25">
      <c r="A69" s="496">
        <v>41548</v>
      </c>
      <c r="B69" s="331" t="s">
        <v>643</v>
      </c>
      <c r="C69" s="331" t="s">
        <v>643</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x14ac:dyDescent="0.25">
      <c r="A70" s="496">
        <v>41548</v>
      </c>
      <c r="B70" s="331" t="s">
        <v>644</v>
      </c>
      <c r="C70" s="331" t="s">
        <v>644</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x14ac:dyDescent="0.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x14ac:dyDescent="0.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0.62035541195476573</v>
      </c>
      <c r="X72" s="29">
        <f>Data_Shelter_t[[#This Row],['# of Permanent House Planned (Target)]]+Data_Shelter_t[[#This Row],['# of Individual Shelter Planned (Target)]]</f>
        <v>0</v>
      </c>
      <c r="Y72" s="495">
        <f>Data_Shelter_t[[#This Row],['# of Permanent House Built]]+Data_Shelter_t[[#This Row],['# of Individual Shelter Built]]</f>
        <v>0</v>
      </c>
    </row>
    <row r="73" spans="1:25" x14ac:dyDescent="0.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x14ac:dyDescent="0.25">
      <c r="A74" s="496">
        <v>41548</v>
      </c>
      <c r="B74" s="331" t="s">
        <v>445</v>
      </c>
      <c r="C74" s="331" t="s">
        <v>445</v>
      </c>
      <c r="D74" s="331" t="s">
        <v>7</v>
      </c>
      <c r="E74" s="333" t="s">
        <v>19</v>
      </c>
      <c r="F74" s="331" t="s">
        <v>630</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632</v>
      </c>
      <c r="V74" s="506" t="str">
        <f ca="1">IFERROR(OFFSET(Camp_List[Status],MATCH(Data_Shelter_t[[#This Row],[Camp Name]],Camp_List[Camp Name],0)-1,0,1,1),"")</f>
        <v>Open</v>
      </c>
      <c r="W74" s="480">
        <f ca="1">IFERROR(Data_Shelter_t[[#This Row],[HH Covered]]/OFFSET(Camp_List[HH],MATCH(Data_Shelter_t[[#This Row],[Camp Name]],Camp_List[Camp Name],0)-1,0,1,1),"")</f>
        <v>0.39564787339268054</v>
      </c>
      <c r="X74" s="29">
        <f>Data_Shelter_t[[#This Row],['# of Permanent House Planned (Target)]]+Data_Shelter_t[[#This Row],['# of Individual Shelter Planned (Target)]]</f>
        <v>0</v>
      </c>
      <c r="Y74" s="495">
        <f>Data_Shelter_t[[#This Row],['# of Permanent House Built]]+Data_Shelter_t[[#This Row],['# of Individual Shelter Built]]</f>
        <v>0</v>
      </c>
    </row>
    <row r="75" spans="1:25" x14ac:dyDescent="0.25">
      <c r="A75" s="496">
        <v>41548</v>
      </c>
      <c r="B75" s="331" t="s">
        <v>293</v>
      </c>
      <c r="C75" s="331" t="s">
        <v>293</v>
      </c>
      <c r="D75" s="331" t="s">
        <v>7</v>
      </c>
      <c r="E75" s="333" t="s">
        <v>19</v>
      </c>
      <c r="F75" s="331" t="s">
        <v>630</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632</v>
      </c>
      <c r="V75" s="506" t="str">
        <f ca="1">IFERROR(OFFSET(Camp_List[Status],MATCH(Data_Shelter_t[[#This Row],[Camp Name]],Camp_List[Camp Name],0)-1,0,1,1),"")</f>
        <v>Open</v>
      </c>
      <c r="W75" s="480">
        <f ca="1">IFERROR(Data_Shelter_t[[#This Row],[HH Covered]]/OFFSET(Camp_List[HH],MATCH(Data_Shelter_t[[#This Row],[Camp Name]],Camp_List[Camp Name],0)-1,0,1,1),"")</f>
        <v>0.31651829871414439</v>
      </c>
      <c r="X75" s="29">
        <f>Data_Shelter_t[[#This Row],['# of Permanent House Planned (Target)]]+Data_Shelter_t[[#This Row],['# of Individual Shelter Planned (Target)]]</f>
        <v>0</v>
      </c>
      <c r="Y75" s="495">
        <f>Data_Shelter_t[[#This Row],['# of Permanent House Built]]+Data_Shelter_t[[#This Row],['# of Individual Shelter Built]]</f>
        <v>0</v>
      </c>
    </row>
    <row r="76" spans="1:25" x14ac:dyDescent="0.25">
      <c r="A76" s="496">
        <v>41548</v>
      </c>
      <c r="B76" s="331" t="s">
        <v>565</v>
      </c>
      <c r="C76" s="331" t="s">
        <v>565</v>
      </c>
      <c r="D76" s="331" t="s">
        <v>7</v>
      </c>
      <c r="E76" s="333" t="s">
        <v>19</v>
      </c>
      <c r="F76" s="331" t="s">
        <v>630</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632</v>
      </c>
      <c r="V76" s="506" t="str">
        <f ca="1">IFERROR(OFFSET(Camp_List[Status],MATCH(Data_Shelter_t[[#This Row],[Camp Name]],Camp_List[Camp Name],0)-1,0,1,1),"")</f>
        <v>Open</v>
      </c>
      <c r="W76" s="480">
        <f ca="1">IFERROR(Data_Shelter_t[[#This Row],[HH Covered]]/OFFSET(Camp_List[HH],MATCH(Data_Shelter_t[[#This Row],[Camp Name]],Camp_List[Camp Name],0)-1,0,1,1),"")</f>
        <v>3.9564787339268048E-2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x14ac:dyDescent="0.25">
      <c r="A77" s="496">
        <v>41548</v>
      </c>
      <c r="B77" s="331" t="s">
        <v>295</v>
      </c>
      <c r="C77" s="331" t="s">
        <v>295</v>
      </c>
      <c r="D77" s="331" t="s">
        <v>7</v>
      </c>
      <c r="E77" s="333" t="s">
        <v>19</v>
      </c>
      <c r="F77" s="331" t="s">
        <v>630</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632</v>
      </c>
      <c r="V77" s="506" t="str">
        <f ca="1">IFERROR(OFFSET(Camp_List[Status],MATCH(Data_Shelter_t[[#This Row],[Camp Name]],Camp_List[Camp Name],0)-1,0,1,1),"")</f>
        <v>Open</v>
      </c>
      <c r="W77" s="480">
        <f ca="1">IFERROR(Data_Shelter_t[[#This Row],[HH Covered]]/OFFSET(Camp_List[HH],MATCH(Data_Shelter_t[[#This Row],[Camp Name]],Camp_List[Camp Name],0)-1,0,1,1),"")</f>
        <v>0.25321463897131552</v>
      </c>
      <c r="X77" s="29">
        <f>Data_Shelter_t[[#This Row],['# of Permanent House Planned (Target)]]+Data_Shelter_t[[#This Row],['# of Individual Shelter Planned (Target)]]</f>
        <v>0</v>
      </c>
      <c r="Y77" s="495">
        <f>Data_Shelter_t[[#This Row],['# of Permanent House Built]]+Data_Shelter_t[[#This Row],['# of Individual Shelter Built]]</f>
        <v>0</v>
      </c>
    </row>
    <row r="78" spans="1:25" x14ac:dyDescent="0.25">
      <c r="A78" s="496">
        <v>41548</v>
      </c>
      <c r="B78" s="332" t="s">
        <v>293</v>
      </c>
      <c r="C78" s="332" t="s">
        <v>293</v>
      </c>
      <c r="D78" s="332" t="s">
        <v>7</v>
      </c>
      <c r="E78" s="347" t="s">
        <v>19</v>
      </c>
      <c r="F78" s="332" t="s">
        <v>631</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633</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x14ac:dyDescent="0.25">
      <c r="A79" s="496">
        <v>41548</v>
      </c>
      <c r="B79" s="331" t="s">
        <v>565</v>
      </c>
      <c r="C79" s="331" t="s">
        <v>565</v>
      </c>
      <c r="D79" s="331" t="s">
        <v>7</v>
      </c>
      <c r="E79" s="333" t="s">
        <v>19</v>
      </c>
      <c r="F79" s="331" t="s">
        <v>631</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633</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x14ac:dyDescent="0.25">
      <c r="A80" s="496">
        <v>41548</v>
      </c>
      <c r="B80" s="332" t="s">
        <v>296</v>
      </c>
      <c r="C80" s="332" t="s">
        <v>296</v>
      </c>
      <c r="D80" s="332" t="s">
        <v>7</v>
      </c>
      <c r="E80" s="347" t="s">
        <v>19</v>
      </c>
      <c r="F80" s="332" t="s">
        <v>631</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633</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x14ac:dyDescent="0.25">
      <c r="A81" s="496">
        <v>41548</v>
      </c>
      <c r="B81" s="331" t="s">
        <v>293</v>
      </c>
      <c r="C81" s="331" t="s">
        <v>293</v>
      </c>
      <c r="D81" s="331" t="s">
        <v>7</v>
      </c>
      <c r="E81" s="333" t="s">
        <v>16</v>
      </c>
      <c r="F81" s="331" t="s">
        <v>605</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x14ac:dyDescent="0.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0.2292103424178896</v>
      </c>
      <c r="X82" s="29">
        <f>Data_Shelter_t[[#This Row],['# of Permanent House Planned (Target)]]+Data_Shelter_t[[#This Row],['# of Individual Shelter Planned (Target)]]</f>
        <v>0</v>
      </c>
      <c r="Y82" s="495">
        <f>Data_Shelter_t[[#This Row],['# of Permanent House Built]]+Data_Shelter_t[[#This Row],['# of Individual Shelter Built]]</f>
        <v>0</v>
      </c>
    </row>
    <row r="83" spans="1:25" x14ac:dyDescent="0.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0.7882599580712788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x14ac:dyDescent="0.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x14ac:dyDescent="0.25">
      <c r="A85" s="496">
        <v>41548</v>
      </c>
      <c r="B85" s="331" t="s">
        <v>293</v>
      </c>
      <c r="C85" s="331" t="s">
        <v>293</v>
      </c>
      <c r="D85" s="331" t="s">
        <v>7</v>
      </c>
      <c r="E85" s="333" t="s">
        <v>19</v>
      </c>
      <c r="F85" s="331" t="s">
        <v>64</v>
      </c>
      <c r="G85" s="794">
        <v>8</v>
      </c>
      <c r="H85" s="331"/>
      <c r="I85" s="331"/>
      <c r="J85" s="794">
        <v>75</v>
      </c>
      <c r="K85" s="794">
        <v>75</v>
      </c>
      <c r="L85" s="794"/>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x14ac:dyDescent="0.25">
      <c r="A86" s="496">
        <v>41548</v>
      </c>
      <c r="B86" s="331" t="s">
        <v>293</v>
      </c>
      <c r="C86" s="331" t="s">
        <v>293</v>
      </c>
      <c r="D86" s="331" t="s">
        <v>7</v>
      </c>
      <c r="E86" s="333" t="s">
        <v>16</v>
      </c>
      <c r="F86" s="331" t="s">
        <v>400</v>
      </c>
      <c r="G86" s="794">
        <v>8</v>
      </c>
      <c r="H86" s="331"/>
      <c r="I86" s="331"/>
      <c r="J86" s="794">
        <v>29</v>
      </c>
      <c r="K86" s="794">
        <v>29</v>
      </c>
      <c r="L86" s="794"/>
      <c r="M86" s="29"/>
      <c r="N86" s="29"/>
      <c r="O86" s="331"/>
      <c r="P86" s="331"/>
      <c r="Q86" s="331"/>
      <c r="R86" s="114"/>
      <c r="S86" s="114">
        <v>232</v>
      </c>
      <c r="T86" s="114">
        <f ca="1">IF(Data_Shelter_t[[#This Row],[Status]]="Open",Data_Shelter_t[[#This Row],[HH Covered]],0)</f>
        <v>232</v>
      </c>
      <c r="U86" s="332" t="s">
        <v>606</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x14ac:dyDescent="0.25">
      <c r="A87" s="496">
        <v>41548</v>
      </c>
      <c r="B87" s="331" t="s">
        <v>293</v>
      </c>
      <c r="C87" s="331" t="s">
        <v>293</v>
      </c>
      <c r="D87" s="331" t="s">
        <v>7</v>
      </c>
      <c r="E87" s="333" t="s">
        <v>608</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x14ac:dyDescent="0.25">
      <c r="A88" s="496">
        <v>41548</v>
      </c>
      <c r="B88" s="331" t="s">
        <v>298</v>
      </c>
      <c r="C88" s="331" t="s">
        <v>298</v>
      </c>
      <c r="D88" s="331" t="s">
        <v>7</v>
      </c>
      <c r="E88" s="333" t="s">
        <v>608</v>
      </c>
      <c r="F88" s="331" t="s">
        <v>58</v>
      </c>
      <c r="G88" s="794">
        <v>8</v>
      </c>
      <c r="H88" s="331"/>
      <c r="I88" s="331"/>
      <c r="J88" s="794">
        <v>31</v>
      </c>
      <c r="K88" s="794">
        <v>31</v>
      </c>
      <c r="L88" s="794"/>
      <c r="M88" s="794"/>
      <c r="N88" s="794"/>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794">
        <f>Data_Shelter_t[[#This Row],['# of Permanent House Planned (Target)]]+Data_Shelter_t[[#This Row],['# of Individual Shelter Planned (Target)]]</f>
        <v>0</v>
      </c>
      <c r="Y88" s="495">
        <f>Data_Shelter_t[[#This Row],['# of Permanent House Built]]+Data_Shelter_t[[#This Row],['# of Individual Shelter Built]]</f>
        <v>0</v>
      </c>
    </row>
    <row r="89" spans="1:25" x14ac:dyDescent="0.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x14ac:dyDescent="0.25">
      <c r="A90" s="496">
        <v>41548</v>
      </c>
      <c r="B90" s="331" t="s">
        <v>293</v>
      </c>
      <c r="C90" s="331" t="s">
        <v>293</v>
      </c>
      <c r="D90" s="331" t="s">
        <v>7</v>
      </c>
      <c r="E90" s="333" t="s">
        <v>19</v>
      </c>
      <c r="F90" s="331" t="s">
        <v>629</v>
      </c>
      <c r="G90" s="794">
        <v>8</v>
      </c>
      <c r="H90" s="331"/>
      <c r="I90" s="331"/>
      <c r="J90" s="794">
        <v>78</v>
      </c>
      <c r="K90" s="794">
        <v>78</v>
      </c>
      <c r="L90" s="794"/>
      <c r="M90" s="794"/>
      <c r="N90" s="794"/>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x14ac:dyDescent="0.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x14ac:dyDescent="0.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x14ac:dyDescent="0.25">
      <c r="A93" s="496">
        <v>41548</v>
      </c>
      <c r="B93" s="331" t="s">
        <v>285</v>
      </c>
      <c r="C93" s="331" t="s">
        <v>285</v>
      </c>
      <c r="D93" s="331" t="s">
        <v>7</v>
      </c>
      <c r="E93" s="333" t="s">
        <v>19</v>
      </c>
      <c r="F93" s="331" t="s">
        <v>634</v>
      </c>
      <c r="G93" s="794">
        <v>8</v>
      </c>
      <c r="H93" s="331"/>
      <c r="I93" s="331"/>
      <c r="J93" s="794">
        <v>80</v>
      </c>
      <c r="K93" s="794">
        <v>80</v>
      </c>
      <c r="L93" s="794"/>
      <c r="M93" s="794"/>
      <c r="N93" s="794"/>
      <c r="O93" s="331"/>
      <c r="P93" s="331"/>
      <c r="Q93" s="331"/>
      <c r="R93" s="114"/>
      <c r="S93" s="114">
        <v>640</v>
      </c>
      <c r="T93" s="114">
        <f ca="1">IF(Data_Shelter_t[[#This Row],[Status]]="Open",Data_Shelter_t[[#This Row],[HH Covered]],0)</f>
        <v>640</v>
      </c>
      <c r="U93" s="332" t="s">
        <v>546</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794">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x14ac:dyDescent="0.25">
      <c r="A94" s="496">
        <v>41548</v>
      </c>
      <c r="B94" s="331" t="s">
        <v>445</v>
      </c>
      <c r="C94" s="331" t="s">
        <v>445</v>
      </c>
      <c r="D94" s="331" t="s">
        <v>7</v>
      </c>
      <c r="E94" s="333" t="s">
        <v>19</v>
      </c>
      <c r="F94" s="331" t="s">
        <v>635</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637</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794">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x14ac:dyDescent="0.25">
      <c r="A95" s="496">
        <v>41548</v>
      </c>
      <c r="B95" s="331" t="s">
        <v>293</v>
      </c>
      <c r="C95" s="331" t="s">
        <v>293</v>
      </c>
      <c r="D95" s="331" t="s">
        <v>7</v>
      </c>
      <c r="E95" s="333" t="s">
        <v>19</v>
      </c>
      <c r="F95" s="331" t="s">
        <v>635</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637</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794">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x14ac:dyDescent="0.25">
      <c r="A96" s="497">
        <v>41548</v>
      </c>
      <c r="B96" s="332" t="s">
        <v>623</v>
      </c>
      <c r="C96" s="332" t="s">
        <v>623</v>
      </c>
      <c r="D96" s="332" t="s">
        <v>7</v>
      </c>
      <c r="E96" s="347" t="s">
        <v>19</v>
      </c>
      <c r="F96" s="332" t="s">
        <v>635</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637</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794">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x14ac:dyDescent="0.25">
      <c r="A97" s="496">
        <v>41548</v>
      </c>
      <c r="B97" s="331" t="s">
        <v>285</v>
      </c>
      <c r="C97" s="331" t="s">
        <v>285</v>
      </c>
      <c r="D97" s="331" t="s">
        <v>7</v>
      </c>
      <c r="E97" s="333" t="s">
        <v>19</v>
      </c>
      <c r="F97" s="331" t="s">
        <v>635</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637</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794">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x14ac:dyDescent="0.25">
      <c r="A98" s="496">
        <v>41548</v>
      </c>
      <c r="B98" s="331" t="s">
        <v>293</v>
      </c>
      <c r="C98" s="331" t="s">
        <v>293</v>
      </c>
      <c r="D98" s="331" t="s">
        <v>7</v>
      </c>
      <c r="E98" s="333" t="s">
        <v>19</v>
      </c>
      <c r="F98" s="331" t="s">
        <v>636</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638</v>
      </c>
      <c r="V98" s="506" t="str">
        <f ca="1">IFERROR(OFFSET(Camp_List[Status],MATCH(Data_Shelter_t[[#This Row],[Camp Name]],Camp_List[Camp Name],0)-1,0,1,1),"")</f>
        <v>Open</v>
      </c>
      <c r="W98" s="480">
        <f ca="1">IFERROR(Data_Shelter_t[[#This Row],[HH Covered]]/OFFSET(Camp_List[HH],MATCH(Data_Shelter_t[[#This Row],[Camp Name]],Camp_List[Camp Name],0)-1,0,1,1),"")</f>
        <v>0.79567956795679573</v>
      </c>
      <c r="X98" s="794">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x14ac:dyDescent="0.25">
      <c r="A99" s="496">
        <v>41548</v>
      </c>
      <c r="B99" s="331" t="s">
        <v>293</v>
      </c>
      <c r="C99" s="331" t="s">
        <v>293</v>
      </c>
      <c r="D99" s="331" t="s">
        <v>7</v>
      </c>
      <c r="E99" s="333" t="s">
        <v>19</v>
      </c>
      <c r="F99" s="331" t="s">
        <v>636</v>
      </c>
      <c r="G99" s="29">
        <v>10</v>
      </c>
      <c r="H99" s="331"/>
      <c r="I99" s="331"/>
      <c r="J99" s="794">
        <v>20</v>
      </c>
      <c r="K99" s="794">
        <v>20</v>
      </c>
      <c r="L99" s="794"/>
      <c r="M99" s="794"/>
      <c r="N99" s="794"/>
      <c r="O99" s="331"/>
      <c r="P99" s="331"/>
      <c r="Q99" s="331"/>
      <c r="R99" s="114"/>
      <c r="S99" s="114">
        <v>200</v>
      </c>
      <c r="T99" s="114">
        <f ca="1">IF(Data_Shelter_t[[#This Row],[Status]]="Open",Data_Shelter_t[[#This Row],[HH Covered]],0)</f>
        <v>200</v>
      </c>
      <c r="U99" s="332" t="s">
        <v>638</v>
      </c>
      <c r="V99" s="506" t="str">
        <f ca="1">IFERROR(OFFSET(Camp_List[Status],MATCH(Data_Shelter_t[[#This Row],[Camp Name]],Camp_List[Camp Name],0)-1,0,1,1),"")</f>
        <v>Open</v>
      </c>
      <c r="W99" s="480">
        <f ca="1">IFERROR(Data_Shelter_t[[#This Row],[HH Covered]]/OFFSET(Camp_List[HH],MATCH(Data_Shelter_t[[#This Row],[Camp Name]],Camp_List[Camp Name],0)-1,0,1,1),"")</f>
        <v>9.0009000900090008E-2</v>
      </c>
      <c r="X99" s="794">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x14ac:dyDescent="0.25">
      <c r="A100" s="496">
        <v>41548</v>
      </c>
      <c r="B100" s="331" t="s">
        <v>285</v>
      </c>
      <c r="C100" s="331" t="s">
        <v>285</v>
      </c>
      <c r="D100" s="331" t="s">
        <v>7</v>
      </c>
      <c r="E100" s="333" t="s">
        <v>19</v>
      </c>
      <c r="F100" s="331" t="s">
        <v>636</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638</v>
      </c>
      <c r="V100" s="506" t="str">
        <f ca="1">IFERROR(OFFSET(Camp_List[Status],MATCH(Data_Shelter_t[[#This Row],[Camp Name]],Camp_List[Camp Name],0)-1,0,1,1),"")</f>
        <v>Open</v>
      </c>
      <c r="W100" s="480">
        <f ca="1">IFERROR(Data_Shelter_t[[#This Row],[HH Covered]]/OFFSET(Camp_List[HH],MATCH(Data_Shelter_t[[#This Row],[Camp Name]],Camp_List[Camp Name],0)-1,0,1,1),"")</f>
        <v>0.12601260126012601</v>
      </c>
      <c r="X100" s="794">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x14ac:dyDescent="0.25">
      <c r="A101" s="496">
        <v>41548</v>
      </c>
      <c r="B101" s="331" t="s">
        <v>298</v>
      </c>
      <c r="C101" s="331" t="s">
        <v>298</v>
      </c>
      <c r="D101" s="331" t="s">
        <v>7</v>
      </c>
      <c r="E101" s="333" t="s">
        <v>608</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794">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x14ac:dyDescent="0.25">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794">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x14ac:dyDescent="0.25">
      <c r="A103" s="496">
        <v>41548</v>
      </c>
      <c r="B103" s="331" t="s">
        <v>288</v>
      </c>
      <c r="C103" s="331" t="s">
        <v>288</v>
      </c>
      <c r="D103" s="331" t="s">
        <v>7</v>
      </c>
      <c r="E103" s="333" t="s">
        <v>19</v>
      </c>
      <c r="F103" s="331" t="s">
        <v>67</v>
      </c>
      <c r="G103" s="794">
        <v>8</v>
      </c>
      <c r="H103" s="331"/>
      <c r="I103" s="331"/>
      <c r="J103" s="794">
        <v>27</v>
      </c>
      <c r="K103" s="794">
        <v>27</v>
      </c>
      <c r="L103" s="794"/>
      <c r="M103" s="794"/>
      <c r="N103" s="794"/>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794">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x14ac:dyDescent="0.25">
      <c r="A104" s="496">
        <v>41548</v>
      </c>
      <c r="B104" s="331" t="s">
        <v>293</v>
      </c>
      <c r="C104" s="331" t="s">
        <v>293</v>
      </c>
      <c r="D104" s="331" t="s">
        <v>7</v>
      </c>
      <c r="E104" s="333" t="s">
        <v>19</v>
      </c>
      <c r="F104" s="331" t="s">
        <v>67</v>
      </c>
      <c r="G104" s="794">
        <v>10</v>
      </c>
      <c r="H104" s="331"/>
      <c r="I104" s="331"/>
      <c r="J104" s="794">
        <v>63</v>
      </c>
      <c r="K104" s="794">
        <v>63</v>
      </c>
      <c r="L104" s="794"/>
      <c r="M104" s="794"/>
      <c r="N104" s="794"/>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794">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x14ac:dyDescent="0.25">
      <c r="A105" s="496">
        <v>41548</v>
      </c>
      <c r="B105" s="331" t="s">
        <v>297</v>
      </c>
      <c r="C105" s="331" t="s">
        <v>297</v>
      </c>
      <c r="D105" s="331" t="s">
        <v>7</v>
      </c>
      <c r="E105" s="333" t="s">
        <v>19</v>
      </c>
      <c r="F105" s="331" t="s">
        <v>67</v>
      </c>
      <c r="G105" s="794">
        <v>8</v>
      </c>
      <c r="H105" s="331"/>
      <c r="I105" s="331"/>
      <c r="J105" s="794">
        <v>40</v>
      </c>
      <c r="K105" s="794">
        <v>40</v>
      </c>
      <c r="L105" s="794"/>
      <c r="M105" s="794"/>
      <c r="N105" s="794"/>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794">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x14ac:dyDescent="0.25">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794">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x14ac:dyDescent="0.25">
      <c r="A107" s="496">
        <v>41548</v>
      </c>
      <c r="B107" s="331" t="s">
        <v>623</v>
      </c>
      <c r="C107" s="331" t="s">
        <v>623</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794">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x14ac:dyDescent="0.25">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794">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x14ac:dyDescent="0.25">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1.621414913957935</v>
      </c>
      <c r="X109" s="794">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x14ac:dyDescent="0.25">
      <c r="A110" s="496">
        <v>41548</v>
      </c>
      <c r="B110" s="331" t="s">
        <v>285</v>
      </c>
      <c r="C110" s="331" t="s">
        <v>285</v>
      </c>
      <c r="D110" s="331" t="s">
        <v>7</v>
      </c>
      <c r="E110" s="333" t="s">
        <v>867</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1.0755287009063443</v>
      </c>
      <c r="X110" s="794">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x14ac:dyDescent="0.25">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0.50551654964894688</v>
      </c>
      <c r="X111" s="794">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x14ac:dyDescent="0.25">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0.48144433299899697</v>
      </c>
      <c r="X112" s="794">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x14ac:dyDescent="0.25">
      <c r="A113" s="496">
        <v>41548</v>
      </c>
      <c r="B113" s="331" t="s">
        <v>623</v>
      </c>
      <c r="C113" s="331" t="s">
        <v>623</v>
      </c>
      <c r="D113" s="331" t="s">
        <v>7</v>
      </c>
      <c r="E113" s="333" t="s">
        <v>19</v>
      </c>
      <c r="F113" s="331" t="s">
        <v>636</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638</v>
      </c>
      <c r="V113" s="506" t="str">
        <f ca="1">IFERROR(OFFSET(Camp_List[Status],MATCH(Data_Shelter_t[[#This Row],[Camp Name]],Camp_List[Camp Name],0)-1,0,1,1),"")</f>
        <v>Open</v>
      </c>
      <c r="W113" s="480">
        <f ca="1">IFERROR(Data_Shelter_t[[#This Row],[HH Covered]]/OFFSET(Camp_List[HH],MATCH(Data_Shelter_t[[#This Row],[Camp Name]],Camp_List[Camp Name],0)-1,0,1,1),"")</f>
        <v>3.2403240324032405E-2</v>
      </c>
      <c r="X113" s="794">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x14ac:dyDescent="0.25">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794">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x14ac:dyDescent="0.25">
      <c r="A115" s="496">
        <v>41548</v>
      </c>
      <c r="B115" s="331" t="s">
        <v>285</v>
      </c>
      <c r="C115" s="331" t="s">
        <v>285</v>
      </c>
      <c r="D115" s="331" t="s">
        <v>7</v>
      </c>
      <c r="E115" s="333" t="s">
        <v>867</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x14ac:dyDescent="0.25">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794">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x14ac:dyDescent="0.25">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794">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x14ac:dyDescent="0.25">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794">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x14ac:dyDescent="0.25">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794">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x14ac:dyDescent="0.25">
      <c r="A120" s="496">
        <v>41548</v>
      </c>
      <c r="B120" s="331" t="s">
        <v>293</v>
      </c>
      <c r="C120" s="331" t="s">
        <v>293</v>
      </c>
      <c r="D120" s="331" t="s">
        <v>7</v>
      </c>
      <c r="E120" s="333" t="s">
        <v>19</v>
      </c>
      <c r="F120" s="331" t="s">
        <v>639</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641</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794">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x14ac:dyDescent="0.25">
      <c r="A121" s="496">
        <v>41548</v>
      </c>
      <c r="B121" s="331" t="s">
        <v>293</v>
      </c>
      <c r="C121" s="331" t="s">
        <v>293</v>
      </c>
      <c r="D121" s="331" t="s">
        <v>7</v>
      </c>
      <c r="E121" s="333" t="s">
        <v>19</v>
      </c>
      <c r="F121" s="331" t="s">
        <v>640</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642</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794">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x14ac:dyDescent="0.25">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794">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x14ac:dyDescent="0.25">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794">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x14ac:dyDescent="0.25">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794">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x14ac:dyDescent="0.25">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794">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x14ac:dyDescent="0.25">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794">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x14ac:dyDescent="0.25">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794">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x14ac:dyDescent="0.25">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794">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x14ac:dyDescent="0.25">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794">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x14ac:dyDescent="0.25">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794">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x14ac:dyDescent="0.25">
      <c r="A131" s="496">
        <v>41548</v>
      </c>
      <c r="B131" s="331" t="s">
        <v>293</v>
      </c>
      <c r="C131" s="331" t="s">
        <v>293</v>
      </c>
      <c r="D131" s="331" t="s">
        <v>7</v>
      </c>
      <c r="E131" s="333" t="s">
        <v>1003</v>
      </c>
      <c r="F131" s="331" t="s">
        <v>33</v>
      </c>
      <c r="G131" s="794">
        <v>8</v>
      </c>
      <c r="H131" s="331"/>
      <c r="I131" s="331"/>
      <c r="J131" s="794">
        <v>26</v>
      </c>
      <c r="K131" s="794">
        <v>26</v>
      </c>
      <c r="L131" s="794"/>
      <c r="M131" s="794"/>
      <c r="N131" s="794"/>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794">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x14ac:dyDescent="0.25">
      <c r="A132" s="496">
        <v>41548</v>
      </c>
      <c r="B132" s="331" t="s">
        <v>293</v>
      </c>
      <c r="C132" s="331" t="s">
        <v>293</v>
      </c>
      <c r="D132" s="331" t="s">
        <v>7</v>
      </c>
      <c r="E132" s="333" t="s">
        <v>11</v>
      </c>
      <c r="F132" s="331" t="s">
        <v>25</v>
      </c>
      <c r="G132" s="794">
        <v>8</v>
      </c>
      <c r="H132" s="331"/>
      <c r="I132" s="331"/>
      <c r="J132" s="794">
        <v>2</v>
      </c>
      <c r="K132" s="794">
        <v>2</v>
      </c>
      <c r="L132" s="794"/>
      <c r="M132" s="794"/>
      <c r="N132" s="794"/>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794">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x14ac:dyDescent="0.25">
      <c r="A133" s="496">
        <v>41548</v>
      </c>
      <c r="B133" s="332" t="s">
        <v>293</v>
      </c>
      <c r="C133" s="332" t="s">
        <v>293</v>
      </c>
      <c r="D133" s="331" t="s">
        <v>7</v>
      </c>
      <c r="E133" s="347" t="s">
        <v>11</v>
      </c>
      <c r="F133" s="332" t="s">
        <v>32</v>
      </c>
      <c r="G133" s="22">
        <v>8</v>
      </c>
      <c r="H133" s="331"/>
      <c r="I133" s="331"/>
      <c r="J133" s="22">
        <v>28</v>
      </c>
      <c r="K133" s="22">
        <v>28</v>
      </c>
      <c r="L133" s="22"/>
      <c r="M133" s="794"/>
      <c r="N133" s="794"/>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794">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x14ac:dyDescent="0.25">
      <c r="A134" s="496">
        <v>41548</v>
      </c>
      <c r="B134" s="332" t="s">
        <v>293</v>
      </c>
      <c r="C134" s="332" t="s">
        <v>293</v>
      </c>
      <c r="D134" s="331" t="s">
        <v>7</v>
      </c>
      <c r="E134" s="347" t="s">
        <v>11</v>
      </c>
      <c r="F134" s="332" t="s">
        <v>27</v>
      </c>
      <c r="G134" s="22">
        <v>8</v>
      </c>
      <c r="H134" s="331"/>
      <c r="I134" s="331"/>
      <c r="J134" s="22">
        <v>10</v>
      </c>
      <c r="K134" s="22">
        <v>10</v>
      </c>
      <c r="L134" s="22"/>
      <c r="M134" s="794"/>
      <c r="N134" s="794"/>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794">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x14ac:dyDescent="0.25">
      <c r="A135" s="496">
        <v>41548</v>
      </c>
      <c r="B135" s="331" t="s">
        <v>293</v>
      </c>
      <c r="C135" s="331" t="s">
        <v>293</v>
      </c>
      <c r="D135" s="331" t="s">
        <v>7</v>
      </c>
      <c r="E135" s="333" t="s">
        <v>15</v>
      </c>
      <c r="F135" s="331" t="s">
        <v>53</v>
      </c>
      <c r="G135" s="794">
        <v>8</v>
      </c>
      <c r="H135" s="331"/>
      <c r="I135" s="331"/>
      <c r="J135" s="794">
        <v>18</v>
      </c>
      <c r="K135" s="794">
        <v>18</v>
      </c>
      <c r="L135" s="794"/>
      <c r="M135" s="794"/>
      <c r="N135" s="794"/>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794">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x14ac:dyDescent="0.25">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x14ac:dyDescent="0.25">
      <c r="A137" s="496">
        <v>41548</v>
      </c>
      <c r="B137" s="331" t="s">
        <v>293</v>
      </c>
      <c r="C137" s="331" t="s">
        <v>293</v>
      </c>
      <c r="D137" s="331" t="s">
        <v>7</v>
      </c>
      <c r="E137" s="333" t="s">
        <v>11</v>
      </c>
      <c r="F137" s="331" t="s">
        <v>26</v>
      </c>
      <c r="G137" s="794">
        <v>8</v>
      </c>
      <c r="H137" s="331"/>
      <c r="I137" s="331"/>
      <c r="J137" s="794">
        <v>14</v>
      </c>
      <c r="K137" s="794">
        <v>14</v>
      </c>
      <c r="L137" s="794"/>
      <c r="M137" s="794"/>
      <c r="N137" s="794"/>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794">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x14ac:dyDescent="0.25">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794">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x14ac:dyDescent="0.25">
      <c r="A139" s="496">
        <v>41548</v>
      </c>
      <c r="B139" s="331" t="s">
        <v>293</v>
      </c>
      <c r="C139" s="331" t="s">
        <v>293</v>
      </c>
      <c r="D139" s="331" t="s">
        <v>7</v>
      </c>
      <c r="E139" s="333" t="s">
        <v>1003</v>
      </c>
      <c r="F139" s="331" t="s">
        <v>34</v>
      </c>
      <c r="G139" s="794">
        <v>8</v>
      </c>
      <c r="H139" s="331"/>
      <c r="I139" s="331"/>
      <c r="J139" s="794">
        <v>46</v>
      </c>
      <c r="K139" s="794">
        <v>46</v>
      </c>
      <c r="L139" s="794"/>
      <c r="M139" s="794"/>
      <c r="N139" s="794"/>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794">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x14ac:dyDescent="0.25">
      <c r="A140" s="496">
        <v>41548</v>
      </c>
      <c r="B140" s="331" t="s">
        <v>293</v>
      </c>
      <c r="C140" s="331" t="s">
        <v>293</v>
      </c>
      <c r="D140" s="331" t="s">
        <v>7</v>
      </c>
      <c r="E140" s="333" t="s">
        <v>15</v>
      </c>
      <c r="F140" s="331" t="s">
        <v>52</v>
      </c>
      <c r="G140" s="794">
        <v>8</v>
      </c>
      <c r="H140" s="331"/>
      <c r="I140" s="331"/>
      <c r="J140" s="794">
        <v>14</v>
      </c>
      <c r="K140" s="794">
        <v>14</v>
      </c>
      <c r="L140" s="794"/>
      <c r="M140" s="794"/>
      <c r="N140" s="794"/>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794">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x14ac:dyDescent="0.25">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794">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x14ac:dyDescent="0.25">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x14ac:dyDescent="0.25">
      <c r="A143" s="224"/>
      <c r="E143" s="75"/>
      <c r="W143" s="225"/>
    </row>
    <row r="144" spans="1:25" s="5" customFormat="1" x14ac:dyDescent="0.25">
      <c r="A144" s="224"/>
      <c r="E144" s="75"/>
      <c r="W144" s="225"/>
    </row>
    <row r="145" spans="1:26" s="5" customFormat="1" x14ac:dyDescent="0.25">
      <c r="A145" s="224"/>
      <c r="E145" s="75"/>
      <c r="W145" s="225"/>
    </row>
    <row r="146" spans="1:26" s="5" customFormat="1" x14ac:dyDescent="0.25">
      <c r="A146" s="224"/>
      <c r="E146" s="75"/>
      <c r="W146" s="225"/>
    </row>
    <row r="147" spans="1:26" s="5" customFormat="1" x14ac:dyDescent="0.25">
      <c r="A147" s="224"/>
      <c r="E147" s="75"/>
      <c r="R147" s="5">
        <v>757</v>
      </c>
      <c r="T147" s="5">
        <v>0</v>
      </c>
      <c r="W147" s="225"/>
    </row>
    <row r="148" spans="1:26" s="5" customFormat="1" x14ac:dyDescent="0.25">
      <c r="A148" s="224"/>
      <c r="E148" s="75"/>
      <c r="R148" s="5">
        <v>248</v>
      </c>
      <c r="T148" s="5">
        <v>0</v>
      </c>
      <c r="W148" s="225"/>
    </row>
    <row r="149" spans="1:26" s="5" customFormat="1" x14ac:dyDescent="0.25">
      <c r="A149" s="224"/>
      <c r="E149" s="75"/>
      <c r="T149" s="5">
        <v>0</v>
      </c>
      <c r="W149" s="225"/>
    </row>
    <row r="150" spans="1:26" s="5" customFormat="1" x14ac:dyDescent="0.25">
      <c r="A150" s="224"/>
      <c r="E150" s="75"/>
      <c r="W150" s="225"/>
    </row>
    <row r="151" spans="1:26" s="5" customFormat="1" x14ac:dyDescent="0.25">
      <c r="A151" s="224"/>
      <c r="E151" s="75"/>
      <c r="W151" s="225"/>
    </row>
    <row r="152" spans="1:26" x14ac:dyDescent="0.25">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x14ac:dyDescent="0.25">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x14ac:dyDescent="0.25">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x14ac:dyDescent="0.25">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x14ac:dyDescent="0.25">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x14ac:dyDescent="0.25">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x14ac:dyDescent="0.25">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x14ac:dyDescent="0.25">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x14ac:dyDescent="0.25">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x14ac:dyDescent="0.25">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x14ac:dyDescent="0.25">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x14ac:dyDescent="0.25">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x14ac:dyDescent="0.25">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x14ac:dyDescent="0.25">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x14ac:dyDescent="0.25">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x14ac:dyDescent="0.25">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x14ac:dyDescent="0.25">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x14ac:dyDescent="0.25">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x14ac:dyDescent="0.25">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x14ac:dyDescent="0.25">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x14ac:dyDescent="0.25">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x14ac:dyDescent="0.25">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x14ac:dyDescent="0.25">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x14ac:dyDescent="0.25">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x14ac:dyDescent="0.25">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x14ac:dyDescent="0.25">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x14ac:dyDescent="0.25">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x14ac:dyDescent="0.25">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x14ac:dyDescent="0.25">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x14ac:dyDescent="0.25">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x14ac:dyDescent="0.25">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x14ac:dyDescent="0.25">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x14ac:dyDescent="0.25">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x14ac:dyDescent="0.25">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x14ac:dyDescent="0.25">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x14ac:dyDescent="0.25">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x14ac:dyDescent="0.25">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x14ac:dyDescent="0.25">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x14ac:dyDescent="0.25">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x14ac:dyDescent="0.25">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x14ac:dyDescent="0.25">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x14ac:dyDescent="0.25">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x14ac:dyDescent="0.25">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x14ac:dyDescent="0.25">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x14ac:dyDescent="0.25">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x14ac:dyDescent="0.25">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x14ac:dyDescent="0.25">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x14ac:dyDescent="0.25">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571" priority="5" operator="containsText" text="close">
      <formula>NOT(ISERROR(SEARCH("close",U121)))</formula>
    </cfRule>
    <cfRule type="containsText" dxfId="570" priority="6" operator="containsText" text="open">
      <formula>NOT(ISERROR(SEARCH("open",U121)))</formula>
    </cfRule>
  </conditionalFormatting>
  <conditionalFormatting sqref="U4">
    <cfRule type="containsText" dxfId="569" priority="3" operator="containsText" text="close">
      <formula>NOT(ISERROR(SEARCH("close",U4)))</formula>
    </cfRule>
    <cfRule type="containsText" dxfId="568" priority="4" operator="containsText" text="open">
      <formula>NOT(ISERROR(SEARCH("open",U4)))</formula>
    </cfRule>
  </conditionalFormatting>
  <conditionalFormatting sqref="V4">
    <cfRule type="containsText" dxfId="567" priority="1" operator="containsText" text="close">
      <formula>NOT(ISERROR(SEARCH("close",V4)))</formula>
    </cfRule>
    <cfRule type="containsText" dxfId="566"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H13" sqref="H13:H45"/>
    </sheetView>
  </sheetViews>
  <sheetFormatPr defaultColWidth="9.140625" defaultRowHeight="12.75" x14ac:dyDescent="0.2"/>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x14ac:dyDescent="0.25">
      <c r="A1" s="269" t="s">
        <v>535</v>
      </c>
      <c r="B1" s="270" t="s">
        <v>665</v>
      </c>
      <c r="C1" s="271"/>
      <c r="D1" s="272"/>
    </row>
    <row r="2" spans="1:11" ht="15" x14ac:dyDescent="0.25">
      <c r="A2" s="273" t="s">
        <v>212</v>
      </c>
      <c r="B2" s="274" t="s">
        <v>745</v>
      </c>
      <c r="C2" s="274" t="s">
        <v>772</v>
      </c>
      <c r="D2" s="275" t="s">
        <v>213</v>
      </c>
    </row>
    <row r="3" spans="1:11" ht="15" x14ac:dyDescent="0.25">
      <c r="A3" s="276" t="s">
        <v>738</v>
      </c>
      <c r="B3" s="732"/>
      <c r="C3" s="732">
        <v>9</v>
      </c>
      <c r="D3" s="733">
        <v>9</v>
      </c>
    </row>
    <row r="4" spans="1:11" ht="15" x14ac:dyDescent="0.25">
      <c r="A4" s="276" t="s">
        <v>739</v>
      </c>
      <c r="B4" s="732">
        <v>2</v>
      </c>
      <c r="C4" s="732">
        <v>13</v>
      </c>
      <c r="D4" s="733">
        <v>15</v>
      </c>
    </row>
    <row r="5" spans="1:11" ht="15" x14ac:dyDescent="0.25">
      <c r="A5" s="276" t="s">
        <v>737</v>
      </c>
      <c r="B5" s="732"/>
      <c r="C5" s="732">
        <v>10</v>
      </c>
      <c r="D5" s="733">
        <v>10</v>
      </c>
    </row>
    <row r="6" spans="1:11" ht="15" x14ac:dyDescent="0.25">
      <c r="A6" s="276" t="s">
        <v>740</v>
      </c>
      <c r="B6" s="732"/>
      <c r="C6" s="732">
        <v>8</v>
      </c>
      <c r="D6" s="733">
        <v>8</v>
      </c>
    </row>
    <row r="7" spans="1:11" ht="15.75" thickBot="1" x14ac:dyDescent="0.3">
      <c r="A7" s="278" t="s">
        <v>213</v>
      </c>
      <c r="B7" s="734">
        <v>2</v>
      </c>
      <c r="C7" s="734">
        <v>40</v>
      </c>
      <c r="D7" s="735">
        <v>42</v>
      </c>
    </row>
    <row r="8" spans="1:11" ht="15" hidden="1" x14ac:dyDescent="0.25">
      <c r="A8" s="294"/>
      <c r="B8" s="277"/>
      <c r="C8" s="277"/>
      <c r="D8" s="277"/>
    </row>
    <row r="9" spans="1:11" ht="15" hidden="1" x14ac:dyDescent="0.25">
      <c r="A9" s="294"/>
      <c r="B9" s="277"/>
      <c r="C9" s="277"/>
      <c r="D9" s="277"/>
    </row>
    <row r="10" spans="1:11" hidden="1" x14ac:dyDescent="0.2"/>
    <row r="11" spans="1:11" ht="13.5" hidden="1" thickBot="1" x14ac:dyDescent="0.25"/>
    <row r="12" spans="1:11" ht="50.1" customHeight="1" thickBot="1" x14ac:dyDescent="0.25">
      <c r="A12" s="256" t="s">
        <v>746</v>
      </c>
      <c r="B12" s="257" t="s">
        <v>10</v>
      </c>
      <c r="C12" s="257" t="s">
        <v>1</v>
      </c>
      <c r="D12" s="257" t="s">
        <v>536</v>
      </c>
      <c r="E12" s="257" t="s">
        <v>566</v>
      </c>
      <c r="F12" s="258" t="s">
        <v>747</v>
      </c>
      <c r="G12" s="258" t="s">
        <v>748</v>
      </c>
      <c r="H12" s="259" t="s">
        <v>5</v>
      </c>
      <c r="I12" s="259" t="s">
        <v>346</v>
      </c>
      <c r="J12" s="255" t="s">
        <v>345</v>
      </c>
      <c r="K12" s="159"/>
    </row>
    <row r="13" spans="1:11" ht="16.5" customHeight="1" x14ac:dyDescent="0.2">
      <c r="A13" s="336" t="s">
        <v>743</v>
      </c>
      <c r="B13" s="336" t="s">
        <v>7</v>
      </c>
      <c r="C13" s="336" t="s">
        <v>19</v>
      </c>
      <c r="D13" s="338" t="s">
        <v>61</v>
      </c>
      <c r="E13" s="338" t="str">
        <f ca="1">IFERROR(OFFSET(Camp_List[P_Code],MATCH(Data_Infrastructure[[#This Row],[Camp]],Camp_List[Camp Name],0)-1,0,1,1),"")</f>
        <v>MMR012CMP039</v>
      </c>
      <c r="F13" s="340" t="s">
        <v>737</v>
      </c>
      <c r="G13" s="340"/>
      <c r="H13" s="302">
        <v>1</v>
      </c>
      <c r="I13" s="303" t="s">
        <v>772</v>
      </c>
      <c r="J13" s="343"/>
      <c r="K13" s="159"/>
    </row>
    <row r="14" spans="1:11" ht="16.5" customHeight="1" x14ac:dyDescent="0.2">
      <c r="A14" s="337" t="s">
        <v>743</v>
      </c>
      <c r="B14" s="337" t="s">
        <v>7</v>
      </c>
      <c r="C14" s="337" t="s">
        <v>19</v>
      </c>
      <c r="D14" s="339" t="s">
        <v>61</v>
      </c>
      <c r="E14" s="338" t="str">
        <f ca="1">IFERROR(OFFSET(Camp_List[P_Code],MATCH(Data_Infrastructure[[#This Row],[Camp]],Camp_List[Camp Name],0)-1,0,1,1),"")</f>
        <v>MMR012CMP039</v>
      </c>
      <c r="F14" s="341" t="s">
        <v>740</v>
      </c>
      <c r="G14" s="341"/>
      <c r="H14" s="260">
        <v>1</v>
      </c>
      <c r="I14" s="262" t="s">
        <v>772</v>
      </c>
      <c r="J14" s="344"/>
      <c r="K14" s="159"/>
    </row>
    <row r="15" spans="1:11" ht="16.5" customHeight="1" x14ac:dyDescent="0.2">
      <c r="A15" s="337" t="s">
        <v>743</v>
      </c>
      <c r="B15" s="337" t="s">
        <v>7</v>
      </c>
      <c r="C15" s="337" t="s">
        <v>19</v>
      </c>
      <c r="D15" s="339" t="s">
        <v>61</v>
      </c>
      <c r="E15" s="338" t="str">
        <f ca="1">IFERROR(OFFSET(Camp_List[P_Code],MATCH(Data_Infrastructure[[#This Row],[Camp]],Camp_List[Camp Name],0)-1,0,1,1),"")</f>
        <v>MMR012CMP039</v>
      </c>
      <c r="F15" s="341" t="s">
        <v>738</v>
      </c>
      <c r="G15" s="341"/>
      <c r="H15" s="260">
        <v>1</v>
      </c>
      <c r="I15" s="262" t="s">
        <v>772</v>
      </c>
      <c r="J15" s="344"/>
      <c r="K15" s="159"/>
    </row>
    <row r="16" spans="1:11" ht="16.5" customHeight="1" x14ac:dyDescent="0.2">
      <c r="A16" s="337" t="s">
        <v>743</v>
      </c>
      <c r="B16" s="337" t="s">
        <v>7</v>
      </c>
      <c r="C16" s="337" t="s">
        <v>19</v>
      </c>
      <c r="D16" s="339" t="s">
        <v>61</v>
      </c>
      <c r="E16" s="338" t="str">
        <f ca="1">IFERROR(OFFSET(Camp_List[P_Code],MATCH(Data_Infrastructure[[#This Row],[Camp]],Camp_List[Camp Name],0)-1,0,1,1),"")</f>
        <v>MMR012CMP039</v>
      </c>
      <c r="F16" s="341" t="s">
        <v>739</v>
      </c>
      <c r="G16" s="341"/>
      <c r="H16" s="260">
        <v>1</v>
      </c>
      <c r="I16" s="262" t="s">
        <v>772</v>
      </c>
      <c r="J16" s="344"/>
      <c r="K16" s="159"/>
    </row>
    <row r="17" spans="1:17" ht="16.5" customHeight="1" x14ac:dyDescent="0.2">
      <c r="A17" s="337" t="s">
        <v>743</v>
      </c>
      <c r="B17" s="337" t="s">
        <v>7</v>
      </c>
      <c r="C17" s="337" t="s">
        <v>19</v>
      </c>
      <c r="D17" s="339" t="s">
        <v>630</v>
      </c>
      <c r="E17" s="338" t="str">
        <f ca="1">IFERROR(OFFSET(Camp_List[P_Code],MATCH(Data_Infrastructure[[#This Row],[Camp]],Camp_List[Camp Name],0)-1,0,1,1),"")</f>
        <v>MMR012CMP113</v>
      </c>
      <c r="F17" s="341" t="s">
        <v>739</v>
      </c>
      <c r="G17" s="341"/>
      <c r="H17" s="263">
        <v>1</v>
      </c>
      <c r="I17" s="342" t="s">
        <v>745</v>
      </c>
      <c r="J17" s="261" t="s">
        <v>744</v>
      </c>
      <c r="K17" s="159"/>
    </row>
    <row r="18" spans="1:17" ht="16.5" customHeight="1" x14ac:dyDescent="0.2">
      <c r="A18" s="337" t="s">
        <v>743</v>
      </c>
      <c r="B18" s="337" t="s">
        <v>7</v>
      </c>
      <c r="C18" s="337" t="s">
        <v>19</v>
      </c>
      <c r="D18" s="339" t="s">
        <v>630</v>
      </c>
      <c r="E18" s="338" t="str">
        <f ca="1">IFERROR(OFFSET(Camp_List[P_Code],MATCH(Data_Infrastructure[[#This Row],[Camp]],Camp_List[Camp Name],0)-1,0,1,1),"")</f>
        <v>MMR012CMP113</v>
      </c>
      <c r="F18" s="339" t="s">
        <v>738</v>
      </c>
      <c r="G18" s="339"/>
      <c r="H18" s="263">
        <v>1</v>
      </c>
      <c r="I18" s="262" t="s">
        <v>772</v>
      </c>
      <c r="J18" s="261" t="s">
        <v>742</v>
      </c>
      <c r="K18" s="159"/>
    </row>
    <row r="19" spans="1:17" ht="16.5" customHeight="1" x14ac:dyDescent="0.25">
      <c r="A19" s="337" t="s">
        <v>743</v>
      </c>
      <c r="B19" s="337" t="s">
        <v>7</v>
      </c>
      <c r="C19" s="337" t="s">
        <v>19</v>
      </c>
      <c r="D19" s="339" t="s">
        <v>631</v>
      </c>
      <c r="E19" s="338" t="str">
        <f ca="1">IFERROR(OFFSET(Camp_List[P_Code],MATCH(Data_Infrastructure[[#This Row],[Camp]],Camp_List[Camp Name],0)-1,0,1,1),"")</f>
        <v>MMR012CMP114</v>
      </c>
      <c r="F19" s="341" t="s">
        <v>739</v>
      </c>
      <c r="G19" s="341"/>
      <c r="H19" s="263">
        <v>1</v>
      </c>
      <c r="I19" s="262" t="s">
        <v>772</v>
      </c>
      <c r="J19" s="261" t="s">
        <v>742</v>
      </c>
      <c r="K19" s="159"/>
      <c r="L19" s="264"/>
      <c r="M19" s="264"/>
      <c r="N19" s="264"/>
      <c r="O19" s="264"/>
      <c r="P19" s="264"/>
      <c r="Q19" s="264"/>
    </row>
    <row r="20" spans="1:17" ht="16.5" customHeight="1" x14ac:dyDescent="0.25">
      <c r="A20" s="337" t="s">
        <v>743</v>
      </c>
      <c r="B20" s="337" t="s">
        <v>7</v>
      </c>
      <c r="C20" s="337" t="s">
        <v>19</v>
      </c>
      <c r="D20" s="339" t="s">
        <v>631</v>
      </c>
      <c r="E20" s="338" t="str">
        <f ca="1">IFERROR(OFFSET(Camp_List[P_Code],MATCH(Data_Infrastructure[[#This Row],[Camp]],Camp_List[Camp Name],0)-1,0,1,1),"")</f>
        <v>MMR012CMP114</v>
      </c>
      <c r="F20" s="341" t="s">
        <v>738</v>
      </c>
      <c r="G20" s="341"/>
      <c r="H20" s="263">
        <v>1</v>
      </c>
      <c r="I20" s="262" t="s">
        <v>772</v>
      </c>
      <c r="J20" s="261" t="s">
        <v>742</v>
      </c>
      <c r="K20" s="159"/>
      <c r="L20" s="264"/>
      <c r="M20" s="264"/>
      <c r="N20" s="264"/>
      <c r="O20" s="264"/>
      <c r="P20" s="264"/>
      <c r="Q20" s="264"/>
    </row>
    <row r="21" spans="1:17" ht="16.5" customHeight="1" x14ac:dyDescent="0.25">
      <c r="A21" s="337" t="s">
        <v>743</v>
      </c>
      <c r="B21" s="337" t="s">
        <v>7</v>
      </c>
      <c r="C21" s="337" t="s">
        <v>19</v>
      </c>
      <c r="D21" s="339" t="s">
        <v>63</v>
      </c>
      <c r="E21" s="338" t="str">
        <f ca="1">IFERROR(OFFSET(Camp_List[P_Code],MATCH(Data_Infrastructure[[#This Row],[Camp]],Camp_List[Camp Name],0)-1,0,1,1),"")</f>
        <v>MMR012CMP041</v>
      </c>
      <c r="F21" s="341" t="s">
        <v>739</v>
      </c>
      <c r="G21" s="341"/>
      <c r="H21" s="260">
        <v>1</v>
      </c>
      <c r="I21" s="342" t="s">
        <v>745</v>
      </c>
      <c r="J21" s="261" t="s">
        <v>744</v>
      </c>
      <c r="K21" s="159"/>
      <c r="L21" s="264"/>
      <c r="M21" s="264"/>
      <c r="N21" s="264"/>
      <c r="O21" s="264"/>
      <c r="P21" s="264"/>
      <c r="Q21" s="264"/>
    </row>
    <row r="22" spans="1:17" ht="16.5" customHeight="1" x14ac:dyDescent="0.25">
      <c r="A22" s="337" t="s">
        <v>743</v>
      </c>
      <c r="B22" s="337" t="s">
        <v>7</v>
      </c>
      <c r="C22" s="337" t="s">
        <v>19</v>
      </c>
      <c r="D22" s="339" t="s">
        <v>63</v>
      </c>
      <c r="E22" s="338" t="str">
        <f ca="1">IFERROR(OFFSET(Camp_List[P_Code],MATCH(Data_Infrastructure[[#This Row],[Camp]],Camp_List[Camp Name],0)-1,0,1,1),"")</f>
        <v>MMR012CMP041</v>
      </c>
      <c r="F22" s="339" t="s">
        <v>738</v>
      </c>
      <c r="G22" s="339"/>
      <c r="H22" s="260">
        <v>1</v>
      </c>
      <c r="I22" s="262" t="s">
        <v>772</v>
      </c>
      <c r="J22" s="261" t="s">
        <v>742</v>
      </c>
      <c r="K22" s="159"/>
      <c r="L22" s="264"/>
      <c r="M22" s="264"/>
      <c r="N22" s="264"/>
      <c r="O22" s="264"/>
      <c r="P22" s="264"/>
      <c r="Q22" s="264"/>
    </row>
    <row r="23" spans="1:17" ht="16.5" customHeight="1" x14ac:dyDescent="0.25">
      <c r="A23" s="337" t="s">
        <v>741</v>
      </c>
      <c r="B23" s="337" t="s">
        <v>7</v>
      </c>
      <c r="C23" s="337" t="s">
        <v>19</v>
      </c>
      <c r="D23" s="339" t="s">
        <v>64</v>
      </c>
      <c r="E23" s="338" t="str">
        <f ca="1">IFERROR(OFFSET(Camp_List[P_Code],MATCH(Data_Infrastructure[[#This Row],[Camp]],Camp_List[Camp Name],0)-1,0,1,1),"")</f>
        <v>MMR012CMP042</v>
      </c>
      <c r="F23" s="341" t="s">
        <v>738</v>
      </c>
      <c r="G23" s="341"/>
      <c r="H23" s="263">
        <v>1</v>
      </c>
      <c r="I23" s="262" t="s">
        <v>772</v>
      </c>
      <c r="J23" s="345"/>
      <c r="K23" s="159"/>
      <c r="L23" s="264"/>
      <c r="M23" s="264"/>
      <c r="N23" s="264"/>
      <c r="O23" s="264"/>
      <c r="P23" s="264"/>
      <c r="Q23" s="264"/>
    </row>
    <row r="24" spans="1:17" ht="16.5" customHeight="1" x14ac:dyDescent="0.25">
      <c r="A24" s="337" t="s">
        <v>741</v>
      </c>
      <c r="B24" s="337" t="s">
        <v>7</v>
      </c>
      <c r="C24" s="337" t="s">
        <v>19</v>
      </c>
      <c r="D24" s="339" t="s">
        <v>64</v>
      </c>
      <c r="E24" s="338" t="str">
        <f ca="1">IFERROR(OFFSET(Camp_List[P_Code],MATCH(Data_Infrastructure[[#This Row],[Camp]],Camp_List[Camp Name],0)-1,0,1,1),"")</f>
        <v>MMR012CMP042</v>
      </c>
      <c r="F24" s="341" t="s">
        <v>739</v>
      </c>
      <c r="G24" s="341" t="s">
        <v>750</v>
      </c>
      <c r="H24" s="263">
        <v>2</v>
      </c>
      <c r="I24" s="262" t="s">
        <v>772</v>
      </c>
      <c r="J24" s="345"/>
      <c r="K24" s="159"/>
      <c r="L24" s="264"/>
      <c r="M24" s="264"/>
      <c r="N24" s="264"/>
      <c r="O24" s="264"/>
      <c r="P24" s="264"/>
      <c r="Q24" s="264"/>
    </row>
    <row r="25" spans="1:17" ht="16.5" customHeight="1" x14ac:dyDescent="0.25">
      <c r="A25" s="337" t="s">
        <v>741</v>
      </c>
      <c r="B25" s="337" t="s">
        <v>7</v>
      </c>
      <c r="C25" s="337" t="s">
        <v>19</v>
      </c>
      <c r="D25" s="339" t="s">
        <v>64</v>
      </c>
      <c r="E25" s="338" t="str">
        <f ca="1">IFERROR(OFFSET(Camp_List[P_Code],MATCH(Data_Infrastructure[[#This Row],[Camp]],Camp_List[Camp Name],0)-1,0,1,1),"")</f>
        <v>MMR012CMP042</v>
      </c>
      <c r="F25" s="341" t="s">
        <v>737</v>
      </c>
      <c r="G25" s="341" t="s">
        <v>750</v>
      </c>
      <c r="H25" s="263">
        <v>2</v>
      </c>
      <c r="I25" s="262" t="s">
        <v>772</v>
      </c>
      <c r="J25" s="345"/>
      <c r="K25" s="159"/>
      <c r="L25" s="264"/>
      <c r="M25" s="264"/>
      <c r="N25" s="264"/>
      <c r="O25" s="264"/>
      <c r="P25" s="264"/>
      <c r="Q25" s="264"/>
    </row>
    <row r="26" spans="1:17" ht="16.5" customHeight="1" x14ac:dyDescent="0.25">
      <c r="A26" s="337" t="s">
        <v>741</v>
      </c>
      <c r="B26" s="337" t="s">
        <v>7</v>
      </c>
      <c r="C26" s="337" t="s">
        <v>19</v>
      </c>
      <c r="D26" s="339" t="s">
        <v>64</v>
      </c>
      <c r="E26" s="338" t="str">
        <f ca="1">IFERROR(OFFSET(Camp_List[P_Code],MATCH(Data_Infrastructure[[#This Row],[Camp]],Camp_List[Camp Name],0)-1,0,1,1),"")</f>
        <v>MMR012CMP042</v>
      </c>
      <c r="F26" s="341" t="s">
        <v>740</v>
      </c>
      <c r="G26" s="341"/>
      <c r="H26" s="263">
        <v>1</v>
      </c>
      <c r="I26" s="262" t="s">
        <v>772</v>
      </c>
      <c r="J26" s="345"/>
      <c r="K26" s="159"/>
      <c r="L26" s="264"/>
      <c r="M26" s="264"/>
      <c r="N26" s="264"/>
    </row>
    <row r="27" spans="1:17" ht="16.5" customHeight="1" x14ac:dyDescent="0.25">
      <c r="A27" s="337" t="s">
        <v>741</v>
      </c>
      <c r="B27" s="337" t="s">
        <v>7</v>
      </c>
      <c r="C27" s="337" t="s">
        <v>19</v>
      </c>
      <c r="D27" s="339" t="s">
        <v>629</v>
      </c>
      <c r="E27" s="338" t="str">
        <f ca="1">IFERROR(OFFSET(Camp_List[P_Code],MATCH(Data_Infrastructure[[#This Row],[Camp]],Camp_List[Camp Name],0)-1,0,1,1),"")</f>
        <v>MMR012CMP092</v>
      </c>
      <c r="F27" s="341" t="s">
        <v>739</v>
      </c>
      <c r="G27" s="341"/>
      <c r="H27" s="263">
        <v>1</v>
      </c>
      <c r="I27" s="262" t="s">
        <v>772</v>
      </c>
      <c r="J27" s="261" t="s">
        <v>742</v>
      </c>
      <c r="K27" s="159"/>
      <c r="L27" s="264"/>
      <c r="M27" s="264"/>
      <c r="N27" s="264"/>
    </row>
    <row r="28" spans="1:17" ht="16.5" customHeight="1" x14ac:dyDescent="0.25">
      <c r="A28" s="337" t="s">
        <v>741</v>
      </c>
      <c r="B28" s="337" t="s">
        <v>7</v>
      </c>
      <c r="C28" s="337" t="s">
        <v>19</v>
      </c>
      <c r="D28" s="339" t="s">
        <v>629</v>
      </c>
      <c r="E28" s="338" t="str">
        <f ca="1">IFERROR(OFFSET(Camp_List[P_Code],MATCH(Data_Infrastructure[[#This Row],[Camp]],Camp_List[Camp Name],0)-1,0,1,1),"")</f>
        <v>MMR012CMP092</v>
      </c>
      <c r="F28" s="341" t="s">
        <v>737</v>
      </c>
      <c r="G28" s="341"/>
      <c r="H28" s="263">
        <v>1</v>
      </c>
      <c r="I28" s="262" t="s">
        <v>772</v>
      </c>
      <c r="J28" s="261" t="s">
        <v>742</v>
      </c>
      <c r="K28" s="159"/>
      <c r="L28" s="264"/>
      <c r="M28" s="264"/>
      <c r="N28" s="264"/>
    </row>
    <row r="29" spans="1:17" ht="16.5" customHeight="1" x14ac:dyDescent="0.25">
      <c r="A29" s="337" t="s">
        <v>741</v>
      </c>
      <c r="B29" s="337" t="s">
        <v>7</v>
      </c>
      <c r="C29" s="337" t="s">
        <v>19</v>
      </c>
      <c r="D29" s="339" t="s">
        <v>629</v>
      </c>
      <c r="E29" s="338" t="str">
        <f ca="1">IFERROR(OFFSET(Camp_List[P_Code],MATCH(Data_Infrastructure[[#This Row],[Camp]],Camp_List[Camp Name],0)-1,0,1,1),"")</f>
        <v>MMR012CMP092</v>
      </c>
      <c r="F29" s="341" t="s">
        <v>738</v>
      </c>
      <c r="G29" s="341"/>
      <c r="H29" s="263">
        <v>1</v>
      </c>
      <c r="I29" s="262" t="s">
        <v>772</v>
      </c>
      <c r="J29" s="261" t="s">
        <v>742</v>
      </c>
      <c r="K29" s="159"/>
      <c r="L29" s="264"/>
      <c r="M29" s="264"/>
      <c r="N29" s="264"/>
    </row>
    <row r="30" spans="1:17" ht="16.5" customHeight="1" x14ac:dyDescent="0.25">
      <c r="A30" s="337" t="s">
        <v>736</v>
      </c>
      <c r="B30" s="337" t="s">
        <v>7</v>
      </c>
      <c r="C30" s="337" t="s">
        <v>19</v>
      </c>
      <c r="D30" s="339" t="s">
        <v>634</v>
      </c>
      <c r="E30" s="338" t="str">
        <f ca="1">IFERROR(OFFSET(Camp_List[P_Code],MATCH(Data_Infrastructure[[#This Row],[Camp]],Camp_List[Camp Name],0)-1,0,1,1),"")</f>
        <v>MMR012CMP098</v>
      </c>
      <c r="F30" s="341" t="s">
        <v>740</v>
      </c>
      <c r="G30" s="341"/>
      <c r="H30" s="263">
        <v>1</v>
      </c>
      <c r="I30" s="265" t="s">
        <v>772</v>
      </c>
      <c r="J30" s="345"/>
      <c r="K30" s="159"/>
      <c r="L30" s="264"/>
      <c r="M30" s="264"/>
    </row>
    <row r="31" spans="1:17" ht="16.5" customHeight="1" x14ac:dyDescent="0.25">
      <c r="A31" s="337" t="s">
        <v>736</v>
      </c>
      <c r="B31" s="337" t="s">
        <v>7</v>
      </c>
      <c r="C31" s="337" t="s">
        <v>19</v>
      </c>
      <c r="D31" s="339" t="s">
        <v>635</v>
      </c>
      <c r="E31" s="338" t="str">
        <f ca="1">IFERROR(OFFSET(Camp_List[P_Code],MATCH(Data_Infrastructure[[#This Row],[Camp]],Camp_List[Camp Name],0)-1,0,1,1),"")</f>
        <v>MMR012CMP115</v>
      </c>
      <c r="F31" s="341" t="s">
        <v>739</v>
      </c>
      <c r="G31" s="341" t="s">
        <v>750</v>
      </c>
      <c r="H31" s="263">
        <v>2</v>
      </c>
      <c r="I31" s="262" t="s">
        <v>772</v>
      </c>
      <c r="J31" s="345"/>
      <c r="K31" s="159"/>
      <c r="L31" s="264"/>
      <c r="M31" s="264"/>
    </row>
    <row r="32" spans="1:17" ht="16.5" customHeight="1" x14ac:dyDescent="0.25">
      <c r="A32" s="337" t="s">
        <v>736</v>
      </c>
      <c r="B32" s="337" t="s">
        <v>7</v>
      </c>
      <c r="C32" s="337" t="s">
        <v>19</v>
      </c>
      <c r="D32" s="339" t="s">
        <v>635</v>
      </c>
      <c r="E32" s="338" t="str">
        <f ca="1">IFERROR(OFFSET(Camp_List[P_Code],MATCH(Data_Infrastructure[[#This Row],[Camp]],Camp_List[Camp Name],0)-1,0,1,1),"")</f>
        <v>MMR012CMP115</v>
      </c>
      <c r="F32" s="341" t="s">
        <v>737</v>
      </c>
      <c r="G32" s="341"/>
      <c r="H32" s="263">
        <v>1</v>
      </c>
      <c r="I32" s="262" t="s">
        <v>772</v>
      </c>
      <c r="J32" s="345"/>
      <c r="K32" s="159"/>
      <c r="L32" s="264"/>
      <c r="M32" s="264"/>
    </row>
    <row r="33" spans="1:13" ht="16.5" customHeight="1" x14ac:dyDescent="0.2">
      <c r="A33" s="337" t="s">
        <v>736</v>
      </c>
      <c r="B33" s="337" t="s">
        <v>7</v>
      </c>
      <c r="C33" s="337" t="s">
        <v>19</v>
      </c>
      <c r="D33" s="339" t="s">
        <v>636</v>
      </c>
      <c r="E33" s="338" t="str">
        <f ca="1">IFERROR(OFFSET(Camp_List[P_Code],MATCH(Data_Infrastructure[[#This Row],[Camp]],Camp_List[Camp Name],0)-1,0,1,1),"")</f>
        <v>MMR012CMP116</v>
      </c>
      <c r="F33" s="341" t="s">
        <v>738</v>
      </c>
      <c r="G33" s="341"/>
      <c r="H33" s="263">
        <v>1</v>
      </c>
      <c r="I33" s="262" t="s">
        <v>772</v>
      </c>
      <c r="J33" s="345"/>
      <c r="K33" s="159"/>
      <c r="L33" s="159"/>
      <c r="M33" s="159"/>
    </row>
    <row r="34" spans="1:13" ht="16.5" customHeight="1" x14ac:dyDescent="0.2">
      <c r="A34" s="337" t="s">
        <v>736</v>
      </c>
      <c r="B34" s="337" t="s">
        <v>7</v>
      </c>
      <c r="C34" s="337" t="s">
        <v>19</v>
      </c>
      <c r="D34" s="339" t="s">
        <v>636</v>
      </c>
      <c r="E34" s="338" t="str">
        <f ca="1">IFERROR(OFFSET(Camp_List[P_Code],MATCH(Data_Infrastructure[[#This Row],[Camp]],Camp_List[Camp Name],0)-1,0,1,1),"")</f>
        <v>MMR012CMP116</v>
      </c>
      <c r="F34" s="341" t="s">
        <v>739</v>
      </c>
      <c r="G34" s="341"/>
      <c r="H34" s="263">
        <v>1</v>
      </c>
      <c r="I34" s="262" t="s">
        <v>772</v>
      </c>
      <c r="J34" s="345"/>
      <c r="K34" s="159"/>
      <c r="L34" s="159"/>
      <c r="M34" s="159"/>
    </row>
    <row r="35" spans="1:13" ht="16.5" customHeight="1" x14ac:dyDescent="0.2">
      <c r="A35" s="337" t="s">
        <v>736</v>
      </c>
      <c r="B35" s="337" t="s">
        <v>7</v>
      </c>
      <c r="C35" s="337" t="s">
        <v>19</v>
      </c>
      <c r="D35" s="339" t="s">
        <v>636</v>
      </c>
      <c r="E35" s="338" t="str">
        <f ca="1">IFERROR(OFFSET(Camp_List[P_Code],MATCH(Data_Infrastructure[[#This Row],[Camp]],Camp_List[Camp Name],0)-1,0,1,1),"")</f>
        <v>MMR012CMP116</v>
      </c>
      <c r="F35" s="341" t="s">
        <v>737</v>
      </c>
      <c r="G35" s="341" t="s">
        <v>751</v>
      </c>
      <c r="H35" s="263">
        <v>4</v>
      </c>
      <c r="I35" s="262" t="s">
        <v>772</v>
      </c>
      <c r="J35" s="345"/>
      <c r="K35" s="159"/>
      <c r="L35" s="159"/>
      <c r="M35" s="159"/>
    </row>
    <row r="36" spans="1:13" ht="16.5" customHeight="1" x14ac:dyDescent="0.2">
      <c r="A36" s="337" t="s">
        <v>736</v>
      </c>
      <c r="B36" s="337" t="s">
        <v>7</v>
      </c>
      <c r="C36" s="337" t="s">
        <v>19</v>
      </c>
      <c r="D36" s="339" t="s">
        <v>636</v>
      </c>
      <c r="E36" s="338" t="str">
        <f ca="1">IFERROR(OFFSET(Camp_List[P_Code],MATCH(Data_Infrastructure[[#This Row],[Camp]],Camp_List[Camp Name],0)-1,0,1,1),"")</f>
        <v>MMR012CMP116</v>
      </c>
      <c r="F36" s="341" t="s">
        <v>740</v>
      </c>
      <c r="G36" s="341" t="s">
        <v>752</v>
      </c>
      <c r="H36" s="263">
        <v>3</v>
      </c>
      <c r="I36" s="262" t="s">
        <v>772</v>
      </c>
      <c r="J36" s="345"/>
    </row>
    <row r="37" spans="1:13" ht="16.5" customHeight="1" x14ac:dyDescent="0.2">
      <c r="A37" s="337" t="s">
        <v>743</v>
      </c>
      <c r="B37" s="337" t="s">
        <v>7</v>
      </c>
      <c r="C37" s="337" t="s">
        <v>19</v>
      </c>
      <c r="D37" s="339" t="s">
        <v>639</v>
      </c>
      <c r="E37" s="338" t="str">
        <f ca="1">IFERROR(OFFSET(Camp_List[P_Code],MATCH(Data_Infrastructure[[#This Row],[Camp]],Camp_List[Camp Name],0)-1,0,1,1),"")</f>
        <v>MMR012CMP111</v>
      </c>
      <c r="F37" s="341" t="s">
        <v>738</v>
      </c>
      <c r="G37" s="341"/>
      <c r="H37" s="260">
        <v>1</v>
      </c>
      <c r="I37" s="262" t="s">
        <v>772</v>
      </c>
      <c r="J37" s="344"/>
    </row>
    <row r="38" spans="1:13" ht="16.5" customHeight="1" x14ac:dyDescent="0.2">
      <c r="A38" s="337" t="s">
        <v>743</v>
      </c>
      <c r="B38" s="337" t="s">
        <v>7</v>
      </c>
      <c r="C38" s="337" t="s">
        <v>19</v>
      </c>
      <c r="D38" s="339" t="s">
        <v>639</v>
      </c>
      <c r="E38" s="338" t="str">
        <f ca="1">IFERROR(OFFSET(Camp_List[P_Code],MATCH(Data_Infrastructure[[#This Row],[Camp]],Camp_List[Camp Name],0)-1,0,1,1),"")</f>
        <v>MMR012CMP111</v>
      </c>
      <c r="F38" s="341" t="s">
        <v>739</v>
      </c>
      <c r="G38" s="341"/>
      <c r="H38" s="260">
        <v>1</v>
      </c>
      <c r="I38" s="262" t="s">
        <v>772</v>
      </c>
      <c r="J38" s="344"/>
    </row>
    <row r="39" spans="1:13" ht="16.5" customHeight="1" x14ac:dyDescent="0.2">
      <c r="A39" s="337" t="s">
        <v>743</v>
      </c>
      <c r="B39" s="337" t="s">
        <v>7</v>
      </c>
      <c r="C39" s="337" t="s">
        <v>19</v>
      </c>
      <c r="D39" s="339" t="s">
        <v>639</v>
      </c>
      <c r="E39" s="338" t="str">
        <f ca="1">IFERROR(OFFSET(Camp_List[P_Code],MATCH(Data_Infrastructure[[#This Row],[Camp]],Camp_List[Camp Name],0)-1,0,1,1),"")</f>
        <v>MMR012CMP111</v>
      </c>
      <c r="F39" s="341" t="s">
        <v>740</v>
      </c>
      <c r="G39" s="341"/>
      <c r="H39" s="260">
        <v>1</v>
      </c>
      <c r="I39" s="262" t="s">
        <v>772</v>
      </c>
      <c r="J39" s="344"/>
    </row>
    <row r="40" spans="1:13" ht="16.5" customHeight="1" x14ac:dyDescent="0.2">
      <c r="A40" s="337" t="s">
        <v>743</v>
      </c>
      <c r="B40" s="337" t="s">
        <v>7</v>
      </c>
      <c r="C40" s="337" t="s">
        <v>19</v>
      </c>
      <c r="D40" s="339" t="s">
        <v>640</v>
      </c>
      <c r="E40" s="338" t="str">
        <f ca="1">IFERROR(OFFSET(Camp_List[P_Code],MATCH(Data_Infrastructure[[#This Row],[Camp]],Camp_List[Camp Name],0)-1,0,1,1),"")</f>
        <v>MMR012CMP112</v>
      </c>
      <c r="F40" s="341" t="s">
        <v>740</v>
      </c>
      <c r="G40" s="341"/>
      <c r="H40" s="260">
        <v>1</v>
      </c>
      <c r="I40" s="262" t="s">
        <v>772</v>
      </c>
      <c r="J40" s="344"/>
    </row>
    <row r="41" spans="1:13" ht="16.5" customHeight="1" x14ac:dyDescent="0.2">
      <c r="A41" s="337" t="s">
        <v>741</v>
      </c>
      <c r="B41" s="337" t="s">
        <v>7</v>
      </c>
      <c r="C41" s="337" t="s">
        <v>19</v>
      </c>
      <c r="D41" s="339" t="s">
        <v>67</v>
      </c>
      <c r="E41" s="338" t="str">
        <f ca="1">IFERROR(OFFSET(Camp_List[P_Code],MATCH(Data_Infrastructure[[#This Row],[Camp]],Camp_List[Camp Name],0)-1,0,1,1),"")</f>
        <v>MMR012CMP045</v>
      </c>
      <c r="F41" s="341" t="s">
        <v>739</v>
      </c>
      <c r="G41" s="341"/>
      <c r="H41" s="263">
        <v>1</v>
      </c>
      <c r="I41" s="262" t="s">
        <v>772</v>
      </c>
      <c r="J41" s="345" t="s">
        <v>753</v>
      </c>
    </row>
    <row r="42" spans="1:13" ht="16.5" customHeight="1" x14ac:dyDescent="0.2">
      <c r="A42" s="337" t="s">
        <v>741</v>
      </c>
      <c r="B42" s="337" t="s">
        <v>7</v>
      </c>
      <c r="C42" s="337" t="s">
        <v>19</v>
      </c>
      <c r="D42" s="339" t="s">
        <v>67</v>
      </c>
      <c r="E42" s="338" t="str">
        <f ca="1">IFERROR(OFFSET(Camp_List[P_Code],MATCH(Data_Infrastructure[[#This Row],[Camp]],Camp_List[Camp Name],0)-1,0,1,1),"")</f>
        <v>MMR012CMP045</v>
      </c>
      <c r="F42" s="341" t="s">
        <v>739</v>
      </c>
      <c r="G42" s="341"/>
      <c r="H42" s="263">
        <v>1</v>
      </c>
      <c r="I42" s="262" t="s">
        <v>772</v>
      </c>
      <c r="J42" s="345" t="s">
        <v>754</v>
      </c>
    </row>
    <row r="43" spans="1:13" ht="16.5" customHeight="1" x14ac:dyDescent="0.2">
      <c r="A43" s="337" t="s">
        <v>741</v>
      </c>
      <c r="B43" s="337" t="s">
        <v>7</v>
      </c>
      <c r="C43" s="337" t="s">
        <v>19</v>
      </c>
      <c r="D43" s="339" t="s">
        <v>70</v>
      </c>
      <c r="E43" s="338" t="str">
        <f ca="1">IFERROR(OFFSET(Camp_List[P_Code],MATCH(Data_Infrastructure[[#This Row],[Camp]],Camp_List[Camp Name],0)-1,0,1,1),"")</f>
        <v>MMR012CMP048</v>
      </c>
      <c r="F43" s="341" t="s">
        <v>738</v>
      </c>
      <c r="G43" s="341"/>
      <c r="H43" s="263">
        <v>1</v>
      </c>
      <c r="I43" s="262" t="s">
        <v>772</v>
      </c>
      <c r="J43" s="345"/>
    </row>
    <row r="44" spans="1:13" ht="16.5" customHeight="1" x14ac:dyDescent="0.2">
      <c r="A44" s="337" t="s">
        <v>741</v>
      </c>
      <c r="B44" s="337" t="s">
        <v>7</v>
      </c>
      <c r="C44" s="337" t="s">
        <v>19</v>
      </c>
      <c r="D44" s="339" t="s">
        <v>70</v>
      </c>
      <c r="E44" s="338" t="str">
        <f ca="1">IFERROR(OFFSET(Camp_List[P_Code],MATCH(Data_Infrastructure[[#This Row],[Camp]],Camp_List[Camp Name],0)-1,0,1,1),"")</f>
        <v>MMR012CMP048</v>
      </c>
      <c r="F44" s="341" t="s">
        <v>739</v>
      </c>
      <c r="G44" s="341" t="s">
        <v>749</v>
      </c>
      <c r="H44" s="263">
        <v>2</v>
      </c>
      <c r="I44" s="262" t="s">
        <v>772</v>
      </c>
      <c r="J44" s="345"/>
    </row>
    <row r="45" spans="1:13" ht="16.5" customHeight="1" x14ac:dyDescent="0.2">
      <c r="A45" s="337" t="s">
        <v>741</v>
      </c>
      <c r="B45" s="337" t="s">
        <v>7</v>
      </c>
      <c r="C45" s="337" t="s">
        <v>19</v>
      </c>
      <c r="D45" s="339" t="s">
        <v>70</v>
      </c>
      <c r="E45" s="338" t="str">
        <f ca="1">IFERROR(OFFSET(Camp_List[P_Code],MATCH(Data_Infrastructure[[#This Row],[Camp]],Camp_List[Camp Name],0)-1,0,1,1),"")</f>
        <v>MMR012CMP048</v>
      </c>
      <c r="F45" s="341" t="s">
        <v>737</v>
      </c>
      <c r="G45" s="341"/>
      <c r="H45" s="263">
        <v>1</v>
      </c>
      <c r="I45" s="262" t="s">
        <v>772</v>
      </c>
      <c r="J45" s="345"/>
    </row>
    <row r="46" spans="1:13" x14ac:dyDescent="0.2">
      <c r="A46" s="161"/>
      <c r="B46" s="161"/>
      <c r="C46" s="161"/>
      <c r="D46" s="162"/>
      <c r="E46" s="161"/>
      <c r="F46" s="161"/>
      <c r="G46" s="161"/>
      <c r="H46" s="160"/>
    </row>
    <row r="47" spans="1:13" x14ac:dyDescent="0.2">
      <c r="G47" s="158"/>
      <c r="H47" s="160"/>
    </row>
    <row r="48" spans="1:13" x14ac:dyDescent="0.2">
      <c r="G48" s="158"/>
      <c r="H48" s="160"/>
    </row>
    <row r="49" spans="1:8" x14ac:dyDescent="0.2">
      <c r="G49" s="158"/>
      <c r="H49" s="160"/>
    </row>
    <row r="50" spans="1:8" x14ac:dyDescent="0.2">
      <c r="G50" s="158"/>
      <c r="H50" s="160"/>
    </row>
    <row r="51" spans="1:8" x14ac:dyDescent="0.2">
      <c r="G51" s="158"/>
      <c r="H51" s="160"/>
    </row>
    <row r="52" spans="1:8" x14ac:dyDescent="0.2">
      <c r="G52" s="158"/>
      <c r="H52" s="160"/>
    </row>
    <row r="53" spans="1:8" x14ac:dyDescent="0.2">
      <c r="G53" s="158"/>
      <c r="H53" s="160"/>
    </row>
    <row r="54" spans="1:8" x14ac:dyDescent="0.2">
      <c r="A54" s="158"/>
      <c r="B54" s="158"/>
      <c r="C54" s="158"/>
      <c r="D54" s="158"/>
      <c r="G54" s="158"/>
      <c r="H54" s="160"/>
    </row>
    <row r="59" spans="1:8" ht="15" x14ac:dyDescent="0.25">
      <c r="A59" s="155"/>
      <c r="B59" s="155"/>
      <c r="C59" s="155"/>
      <c r="D59" s="155"/>
      <c r="E59"/>
      <c r="F59"/>
    </row>
    <row r="60" spans="1:8" ht="15" x14ac:dyDescent="0.25">
      <c r="A60" s="155"/>
      <c r="B60" s="155"/>
      <c r="C60" s="155"/>
      <c r="D60" s="155"/>
      <c r="E60"/>
      <c r="F60"/>
    </row>
    <row r="61" spans="1:8" ht="15" x14ac:dyDescent="0.25">
      <c r="A61" s="155"/>
      <c r="B61" s="155"/>
      <c r="C61" s="155"/>
      <c r="D61" s="155"/>
      <c r="E61"/>
      <c r="F61"/>
    </row>
    <row r="62" spans="1:8" ht="15" x14ac:dyDescent="0.25">
      <c r="A62" s="155"/>
      <c r="B62" s="155"/>
      <c r="C62" s="155"/>
      <c r="D62" s="155"/>
      <c r="E62"/>
      <c r="F62"/>
    </row>
    <row r="63" spans="1:8" ht="15" x14ac:dyDescent="0.25">
      <c r="A63" s="155"/>
      <c r="B63" s="155"/>
      <c r="C63" s="155"/>
      <c r="D63" s="155"/>
      <c r="E63"/>
      <c r="F63"/>
    </row>
    <row r="64" spans="1:8" ht="15" x14ac:dyDescent="0.25">
      <c r="A64" s="155"/>
      <c r="B64" s="155"/>
      <c r="C64" s="155"/>
      <c r="D64" s="155"/>
      <c r="E64"/>
      <c r="F64"/>
    </row>
    <row r="65" spans="1:6" ht="15" x14ac:dyDescent="0.2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O12" sqref="O12"/>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7.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x14ac:dyDescent="0.25">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x14ac:dyDescent="0.25">
      <c r="A2" s="1058" t="s">
        <v>222</v>
      </c>
      <c r="B2" s="1059"/>
      <c r="C2" s="1059"/>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x14ac:dyDescent="0.25">
      <c r="A3" s="1060">
        <f>Report_Date</f>
        <v>42795</v>
      </c>
      <c r="B3" s="1061"/>
      <c r="C3" s="1061"/>
      <c r="D3" s="1061"/>
      <c r="E3" s="1061"/>
      <c r="F3" s="1061"/>
      <c r="G3" s="1061"/>
      <c r="H3" s="1061"/>
      <c r="I3" s="1061"/>
      <c r="J3" s="1061"/>
      <c r="K3" s="1061"/>
      <c r="L3" s="1061"/>
      <c r="M3" s="1061"/>
      <c r="N3" s="1061"/>
      <c r="O3" s="1061"/>
      <c r="P3" s="1061"/>
      <c r="Q3" s="1061"/>
      <c r="R3" s="1062"/>
      <c r="S3" s="54"/>
      <c r="T3" s="54"/>
      <c r="U3" s="54"/>
      <c r="V3" s="69"/>
      <c r="W3" s="54"/>
      <c r="X3" s="54"/>
      <c r="BI3" s="69"/>
      <c r="BJ3" s="69"/>
    </row>
    <row r="4" spans="1:62" s="19" customFormat="1" ht="36" x14ac:dyDescent="0.25">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x14ac:dyDescent="0.25">
      <c r="A5" s="94" t="s">
        <v>1</v>
      </c>
      <c r="B5" s="94" t="s">
        <v>223</v>
      </c>
      <c r="C5" s="94" t="s">
        <v>224</v>
      </c>
      <c r="D5" s="94" t="s">
        <v>226</v>
      </c>
      <c r="E5" s="94" t="s">
        <v>220</v>
      </c>
      <c r="F5" s="94" t="s">
        <v>221</v>
      </c>
      <c r="G5" s="94" t="s">
        <v>219</v>
      </c>
      <c r="H5" s="94" t="s">
        <v>999</v>
      </c>
      <c r="I5" s="94" t="s">
        <v>1000</v>
      </c>
      <c r="J5" s="94" t="s">
        <v>1001</v>
      </c>
      <c r="K5" s="471" t="s">
        <v>920</v>
      </c>
      <c r="L5" s="471" t="s">
        <v>921</v>
      </c>
      <c r="M5" s="471" t="s">
        <v>922</v>
      </c>
      <c r="N5" s="94" t="s">
        <v>227</v>
      </c>
      <c r="O5" s="94" t="s">
        <v>225</v>
      </c>
      <c r="P5" s="17" t="s">
        <v>522</v>
      </c>
      <c r="Q5" s="17" t="s">
        <v>521</v>
      </c>
      <c r="R5" s="17" t="s">
        <v>523</v>
      </c>
      <c r="S5" s="59"/>
    </row>
    <row r="6" spans="1:62" x14ac:dyDescent="0.25">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c r="T6" s="793"/>
    </row>
    <row r="7" spans="1:62" x14ac:dyDescent="0.25">
      <c r="A7" s="29" t="s">
        <v>15</v>
      </c>
      <c r="B7" s="36">
        <f>SUMIF(Camplist_Township,'Shelter Progress'!$A7,Camplist_HH)</f>
        <v>1001</v>
      </c>
      <c r="C7" s="36">
        <f>SUMIF(Camplist_Township,'Shelter Progress'!$A7,Camplist_Popl)</f>
        <v>6527</v>
      </c>
      <c r="D7" s="62">
        <f>SUMIF(Col_Shelter_Township,$A7,Col_Shelter_Tent_Dist)</f>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T7" s="793"/>
      <c r="U7" s="50"/>
    </row>
    <row r="8" spans="1:62" x14ac:dyDescent="0.25">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x14ac:dyDescent="0.25">
      <c r="A9" s="195" t="s">
        <v>867</v>
      </c>
      <c r="B9" s="36">
        <f>SUMIF(Camplist_Township,'Shelter Progress'!$A9,Camplist_HH)</f>
        <v>704</v>
      </c>
      <c r="C9" s="36">
        <f>SUMIF(Camplist_Township,'Shelter Progress'!$A9,Camplist_Popl)</f>
        <v>2883</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2915.7613636363635</v>
      </c>
      <c r="P9" s="227">
        <f t="shared" ca="1" si="13"/>
        <v>-8</v>
      </c>
      <c r="Q9" s="228">
        <f t="shared" ca="1" si="11"/>
        <v>1</v>
      </c>
      <c r="R9" s="227">
        <f ca="1">MAX(0,C9-O9)</f>
        <v>0</v>
      </c>
      <c r="S9" s="38">
        <f t="shared" si="14"/>
        <v>4.0951704545454541</v>
      </c>
      <c r="U9" s="50"/>
    </row>
    <row r="10" spans="1:62" x14ac:dyDescent="0.25">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x14ac:dyDescent="0.25">
      <c r="A11" s="29" t="s">
        <v>1003</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x14ac:dyDescent="0.25">
      <c r="A12" s="195" t="s">
        <v>14</v>
      </c>
      <c r="B12" s="36">
        <f>SUMIF(Camplist_Township,'Shelter Progress'!$A12,Camplist_HH)</f>
        <v>4541</v>
      </c>
      <c r="C12" s="36">
        <f>SUMIF(Camplist_Township,'Shelter Progress'!$A12,Camplist_Popl)</f>
        <v>20346</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11577.640167364016</v>
      </c>
      <c r="P12" s="227">
        <f t="shared" ca="1" si="13"/>
        <v>1957</v>
      </c>
      <c r="Q12" s="228">
        <f t="shared" ca="1" si="11"/>
        <v>0.56903765690376573</v>
      </c>
      <c r="R12" s="227">
        <f t="shared" ca="1" si="12"/>
        <v>8768.3598326359843</v>
      </c>
      <c r="S12" s="38">
        <f t="shared" si="14"/>
        <v>4.4805109006826687</v>
      </c>
      <c r="U12" s="50"/>
    </row>
    <row r="13" spans="1:62" x14ac:dyDescent="0.25">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x14ac:dyDescent="0.25">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x14ac:dyDescent="0.25">
      <c r="A15" s="29" t="s">
        <v>19</v>
      </c>
      <c r="B15" s="36">
        <f>SUMIF(Camplist_Township,'Shelter Progress'!$A15,Camplist_HH)</f>
        <v>18676</v>
      </c>
      <c r="C15" s="36">
        <f>SUMIF(Camplist_Township,'Shelter Progress'!$A15,Camplist_Popl)</f>
        <v>99315</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79383.932319554515</v>
      </c>
      <c r="P15" s="227">
        <f t="shared" ca="1" si="13"/>
        <v>3748</v>
      </c>
      <c r="Q15" s="228">
        <f t="shared" ca="1" si="11"/>
        <v>0.79931462840008571</v>
      </c>
      <c r="R15" s="227">
        <f t="shared" ca="1" si="12"/>
        <v>19931.067680445485</v>
      </c>
      <c r="S15" s="117">
        <f t="shared" si="14"/>
        <v>5.3177875348040269</v>
      </c>
      <c r="U15" s="50"/>
    </row>
    <row r="16" spans="1:62" x14ac:dyDescent="0.25">
      <c r="A16" s="13" t="s">
        <v>5</v>
      </c>
      <c r="B16" s="63">
        <f t="shared" ref="B16:P16" si="16">SUM(B6:B15)</f>
        <v>27958</v>
      </c>
      <c r="C16" s="63">
        <f t="shared" si="16"/>
        <v>145712</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98548.312795006146</v>
      </c>
      <c r="P16" s="64">
        <f t="shared" ca="1" si="16"/>
        <v>8662</v>
      </c>
      <c r="Q16" s="61">
        <f ca="1">N16/B16</f>
        <v>0.69017812432935122</v>
      </c>
      <c r="R16" s="64">
        <f ca="1">SUM(R6:R15)</f>
        <v>47270.36856863022</v>
      </c>
      <c r="S16" s="38">
        <f t="shared" si="14"/>
        <v>5.2118177265898851</v>
      </c>
    </row>
    <row r="17" spans="19:19" x14ac:dyDescent="0.25">
      <c r="S17" s="38"/>
    </row>
    <row r="35" spans="1:18" s="59" customFormat="1" x14ac:dyDescent="0.25">
      <c r="A35"/>
      <c r="B35"/>
      <c r="C35"/>
      <c r="D35"/>
      <c r="E35"/>
      <c r="F35"/>
      <c r="G35"/>
      <c r="H35"/>
      <c r="I35"/>
      <c r="J35"/>
      <c r="K35" s="90"/>
      <c r="L35" s="90"/>
      <c r="M35" s="90"/>
      <c r="N35"/>
      <c r="O35"/>
      <c r="P35"/>
      <c r="Q35"/>
    </row>
    <row r="36" spans="1:18" x14ac:dyDescent="0.25">
      <c r="A36" s="59"/>
      <c r="B36" s="59"/>
      <c r="C36" s="59"/>
      <c r="D36" s="59"/>
      <c r="E36" s="59"/>
      <c r="F36" s="59"/>
      <c r="G36" s="59"/>
      <c r="H36" s="59"/>
      <c r="I36" s="59"/>
      <c r="J36" s="59"/>
      <c r="N36" s="59"/>
      <c r="O36" s="59"/>
      <c r="P36" s="59"/>
      <c r="Q36" s="59"/>
    </row>
    <row r="39" spans="1:18" x14ac:dyDescent="0.25">
      <c r="A39" s="199" t="s">
        <v>10</v>
      </c>
      <c r="B39" s="794" t="s">
        <v>7</v>
      </c>
      <c r="H39" s="199" t="s">
        <v>10</v>
      </c>
      <c r="I39" s="196" t="s">
        <v>7</v>
      </c>
      <c r="J39" s="59"/>
      <c r="R39"/>
    </row>
    <row r="40" spans="1:18" x14ac:dyDescent="0.25">
      <c r="H40" s="59"/>
      <c r="I40" s="59"/>
      <c r="J40" s="59"/>
      <c r="R40"/>
    </row>
    <row r="41" spans="1:18" x14ac:dyDescent="0.25">
      <c r="A41" s="199" t="s">
        <v>212</v>
      </c>
      <c r="B41" s="196" t="s">
        <v>805</v>
      </c>
      <c r="R41"/>
    </row>
    <row r="42" spans="1:18" x14ac:dyDescent="0.25">
      <c r="A42" s="570" t="s">
        <v>293</v>
      </c>
      <c r="B42" s="116">
        <v>1309</v>
      </c>
      <c r="R42"/>
    </row>
    <row r="43" spans="1:18" x14ac:dyDescent="0.25">
      <c r="A43" s="520" t="s">
        <v>285</v>
      </c>
      <c r="B43" s="114">
        <v>647</v>
      </c>
      <c r="R43"/>
    </row>
    <row r="44" spans="1:18" x14ac:dyDescent="0.25">
      <c r="A44" s="520" t="s">
        <v>288</v>
      </c>
      <c r="B44" s="114">
        <v>229</v>
      </c>
      <c r="R44"/>
    </row>
    <row r="45" spans="1:18" x14ac:dyDescent="0.25">
      <c r="A45" s="520" t="s">
        <v>445</v>
      </c>
      <c r="B45" s="114">
        <v>224</v>
      </c>
      <c r="R45"/>
    </row>
    <row r="46" spans="1:18" x14ac:dyDescent="0.25">
      <c r="A46" s="520" t="s">
        <v>623</v>
      </c>
      <c r="B46" s="114">
        <v>201</v>
      </c>
      <c r="R46"/>
    </row>
    <row r="47" spans="1:18" x14ac:dyDescent="0.25">
      <c r="A47" s="520" t="s">
        <v>294</v>
      </c>
      <c r="B47" s="114">
        <v>60</v>
      </c>
      <c r="R47"/>
    </row>
    <row r="48" spans="1:18" x14ac:dyDescent="0.25">
      <c r="A48" s="520" t="s">
        <v>297</v>
      </c>
      <c r="B48" s="114">
        <v>40</v>
      </c>
      <c r="R48"/>
    </row>
    <row r="49" spans="1:18" x14ac:dyDescent="0.25">
      <c r="A49" s="520" t="s">
        <v>296</v>
      </c>
      <c r="B49" s="114">
        <v>40</v>
      </c>
      <c r="R49"/>
    </row>
    <row r="50" spans="1:18" x14ac:dyDescent="0.25">
      <c r="A50" s="520" t="s">
        <v>298</v>
      </c>
      <c r="B50" s="114">
        <v>38</v>
      </c>
      <c r="R50"/>
    </row>
    <row r="51" spans="1:18" x14ac:dyDescent="0.25">
      <c r="A51" s="520" t="s">
        <v>295</v>
      </c>
      <c r="B51" s="114">
        <v>32</v>
      </c>
      <c r="R51"/>
    </row>
    <row r="52" spans="1:18" x14ac:dyDescent="0.25">
      <c r="A52" s="520" t="s">
        <v>565</v>
      </c>
      <c r="B52" s="114">
        <v>19</v>
      </c>
      <c r="R52"/>
    </row>
    <row r="53" spans="1:18" x14ac:dyDescent="0.25">
      <c r="A53" s="570"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G18" sqref="G18"/>
    </sheetView>
  </sheetViews>
  <sheetFormatPr defaultColWidth="9.140625" defaultRowHeight="15" x14ac:dyDescent="0.2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x14ac:dyDescent="0.25">
      <c r="A1" s="186"/>
      <c r="B1" s="187"/>
      <c r="C1" s="187"/>
      <c r="D1" s="187"/>
      <c r="E1" s="187"/>
      <c r="F1" s="203"/>
      <c r="BF1" s="68"/>
      <c r="BG1" s="68"/>
    </row>
    <row r="2" spans="1:59" s="1" customFormat="1" ht="67.5" customHeight="1" x14ac:dyDescent="0.25">
      <c r="A2" s="1001" t="s">
        <v>304</v>
      </c>
      <c r="B2" s="1002"/>
      <c r="C2" s="1002"/>
      <c r="D2" s="67"/>
      <c r="E2" s="67"/>
      <c r="F2" s="211"/>
      <c r="BF2" s="68"/>
      <c r="BG2" s="68"/>
    </row>
    <row r="3" spans="1:59" s="19" customFormat="1" ht="18" customHeight="1" x14ac:dyDescent="0.25">
      <c r="A3" s="1003">
        <f>Report_Date</f>
        <v>42795</v>
      </c>
      <c r="B3" s="1004"/>
      <c r="C3" s="1004"/>
      <c r="D3" s="1004"/>
      <c r="E3" s="1004"/>
      <c r="F3" s="1063"/>
      <c r="G3" s="54"/>
      <c r="H3" s="54"/>
      <c r="I3" s="54"/>
      <c r="J3" s="54"/>
      <c r="L3" s="54"/>
      <c r="M3" s="54"/>
      <c r="N3" s="54"/>
      <c r="O3" s="54"/>
      <c r="P3" s="54"/>
      <c r="Q3" s="54"/>
      <c r="R3" s="54"/>
      <c r="S3" s="69"/>
      <c r="T3" s="54"/>
      <c r="U3" s="54"/>
      <c r="BF3" s="69"/>
      <c r="BG3" s="69"/>
    </row>
    <row r="4" spans="1:59" ht="15" customHeight="1" x14ac:dyDescent="0.25"/>
    <row r="5" spans="1:59" x14ac:dyDescent="0.25">
      <c r="A5" s="199" t="s">
        <v>10</v>
      </c>
      <c r="B5" s="794" t="s">
        <v>7</v>
      </c>
      <c r="C5" s="6" t="s">
        <v>218</v>
      </c>
    </row>
    <row r="7" spans="1:59" x14ac:dyDescent="0.25">
      <c r="A7" s="199" t="s">
        <v>212</v>
      </c>
      <c r="B7" s="794" t="s">
        <v>1002</v>
      </c>
      <c r="C7"/>
      <c r="D7"/>
      <c r="E7"/>
      <c r="F7"/>
      <c r="G7"/>
      <c r="H7"/>
      <c r="I7"/>
    </row>
    <row r="8" spans="1:59" x14ac:dyDescent="0.25">
      <c r="A8" s="520" t="s">
        <v>445</v>
      </c>
      <c r="B8" s="114"/>
      <c r="C8"/>
      <c r="D8"/>
      <c r="E8"/>
      <c r="F8"/>
      <c r="G8"/>
      <c r="H8"/>
      <c r="I8"/>
    </row>
    <row r="9" spans="1:59" x14ac:dyDescent="0.25">
      <c r="A9" s="520" t="s">
        <v>288</v>
      </c>
      <c r="B9" s="114"/>
      <c r="C9"/>
      <c r="D9"/>
      <c r="E9"/>
      <c r="F9"/>
      <c r="G9"/>
      <c r="H9"/>
      <c r="I9"/>
    </row>
    <row r="10" spans="1:59" x14ac:dyDescent="0.25">
      <c r="A10" s="520" t="s">
        <v>293</v>
      </c>
      <c r="B10" s="114"/>
      <c r="C10"/>
      <c r="D10"/>
      <c r="E10"/>
      <c r="F10"/>
      <c r="G10"/>
      <c r="H10"/>
      <c r="I10"/>
    </row>
    <row r="11" spans="1:59" x14ac:dyDescent="0.25">
      <c r="A11" s="520" t="s">
        <v>565</v>
      </c>
      <c r="B11" s="114"/>
      <c r="C11"/>
      <c r="D11"/>
      <c r="E11"/>
      <c r="F11"/>
      <c r="G11"/>
      <c r="H11"/>
      <c r="I11"/>
    </row>
    <row r="12" spans="1:59" x14ac:dyDescent="0.25">
      <c r="A12" s="520" t="s">
        <v>297</v>
      </c>
      <c r="B12" s="114"/>
      <c r="C12"/>
      <c r="D12"/>
      <c r="E12"/>
      <c r="F12"/>
      <c r="G12"/>
      <c r="H12"/>
      <c r="I12"/>
    </row>
    <row r="13" spans="1:59" s="59" customFormat="1" x14ac:dyDescent="0.25">
      <c r="A13" s="520" t="s">
        <v>295</v>
      </c>
      <c r="B13" s="114"/>
      <c r="C13"/>
      <c r="D13"/>
      <c r="E13"/>
      <c r="F13"/>
    </row>
    <row r="14" spans="1:59" x14ac:dyDescent="0.25">
      <c r="A14" s="520" t="s">
        <v>294</v>
      </c>
      <c r="B14" s="114"/>
      <c r="C14"/>
      <c r="D14"/>
      <c r="E14"/>
      <c r="F14"/>
      <c r="G14"/>
      <c r="H14"/>
      <c r="I14"/>
    </row>
    <row r="15" spans="1:59" x14ac:dyDescent="0.25">
      <c r="A15" s="520" t="s">
        <v>623</v>
      </c>
      <c r="B15" s="114"/>
      <c r="C15"/>
      <c r="D15"/>
      <c r="E15"/>
      <c r="F15"/>
      <c r="G15"/>
      <c r="H15"/>
      <c r="I15"/>
    </row>
    <row r="16" spans="1:59" x14ac:dyDescent="0.25">
      <c r="A16" s="520" t="s">
        <v>298</v>
      </c>
      <c r="B16" s="114"/>
      <c r="C16"/>
      <c r="D16"/>
      <c r="E16"/>
      <c r="F16"/>
      <c r="G16"/>
      <c r="H16"/>
      <c r="I16"/>
    </row>
    <row r="17" spans="1:9" x14ac:dyDescent="0.25">
      <c r="A17" s="520" t="s">
        <v>644</v>
      </c>
      <c r="B17" s="114"/>
      <c r="C17"/>
      <c r="D17"/>
      <c r="E17"/>
      <c r="F17"/>
      <c r="G17"/>
      <c r="H17"/>
      <c r="I17"/>
    </row>
    <row r="18" spans="1:9" x14ac:dyDescent="0.25">
      <c r="A18" s="520" t="s">
        <v>285</v>
      </c>
      <c r="B18" s="114"/>
      <c r="C18"/>
      <c r="D18"/>
      <c r="E18"/>
      <c r="F18"/>
      <c r="G18"/>
      <c r="H18"/>
      <c r="I18"/>
    </row>
    <row r="19" spans="1:9" x14ac:dyDescent="0.25">
      <c r="A19" s="520" t="s">
        <v>643</v>
      </c>
      <c r="B19" s="114"/>
      <c r="C19"/>
      <c r="D19"/>
      <c r="E19"/>
      <c r="F19"/>
    </row>
    <row r="20" spans="1:9" x14ac:dyDescent="0.25">
      <c r="A20" s="520" t="s">
        <v>296</v>
      </c>
      <c r="B20" s="114"/>
      <c r="C20"/>
      <c r="D20"/>
      <c r="E20"/>
      <c r="F20"/>
    </row>
    <row r="21" spans="1:9" x14ac:dyDescent="0.25">
      <c r="A21" s="520" t="s">
        <v>213</v>
      </c>
      <c r="B21" s="114"/>
      <c r="C21"/>
      <c r="D21"/>
      <c r="E21"/>
      <c r="F21"/>
    </row>
    <row r="22" spans="1:9" s="90" customFormat="1" x14ac:dyDescent="0.25">
      <c r="A22"/>
      <c r="B22"/>
      <c r="C22"/>
    </row>
    <row r="23" spans="1:9" s="90" customFormat="1" x14ac:dyDescent="0.25">
      <c r="A23" s="307"/>
      <c r="B23" s="55"/>
    </row>
    <row r="24" spans="1:9" s="90" customFormat="1" x14ac:dyDescent="0.25">
      <c r="A24" s="199" t="s">
        <v>10</v>
      </c>
      <c r="B24" s="794" t="s">
        <v>7</v>
      </c>
      <c r="C24" s="4"/>
      <c r="D24" s="4"/>
      <c r="E24" s="4"/>
    </row>
    <row r="25" spans="1:9" x14ac:dyDescent="0.25">
      <c r="A25" s="230" t="s">
        <v>1</v>
      </c>
      <c r="B25" s="794" t="s">
        <v>653</v>
      </c>
      <c r="C25"/>
      <c r="D25"/>
      <c r="E25"/>
      <c r="F25"/>
    </row>
    <row r="26" spans="1:9" x14ac:dyDescent="0.25">
      <c r="A26" s="60"/>
      <c r="B26" s="60"/>
      <c r="C26"/>
      <c r="D26"/>
      <c r="E26"/>
      <c r="F26"/>
    </row>
    <row r="27" spans="1:9" x14ac:dyDescent="0.25">
      <c r="A27" s="199" t="s">
        <v>212</v>
      </c>
      <c r="B27" s="794" t="s">
        <v>794</v>
      </c>
      <c r="C27"/>
      <c r="D27"/>
      <c r="E27"/>
      <c r="F27"/>
    </row>
    <row r="28" spans="1:9" x14ac:dyDescent="0.25">
      <c r="A28" s="520" t="s">
        <v>565</v>
      </c>
      <c r="B28" s="229">
        <v>152</v>
      </c>
      <c r="C28"/>
      <c r="D28"/>
      <c r="E28"/>
      <c r="F28"/>
    </row>
    <row r="29" spans="1:9" x14ac:dyDescent="0.25">
      <c r="A29" s="520" t="s">
        <v>644</v>
      </c>
      <c r="B29" s="229">
        <v>204</v>
      </c>
      <c r="C29"/>
      <c r="D29"/>
      <c r="E29"/>
      <c r="F29"/>
    </row>
    <row r="30" spans="1:9" x14ac:dyDescent="0.25">
      <c r="A30" s="520" t="s">
        <v>643</v>
      </c>
      <c r="B30" s="229">
        <v>222</v>
      </c>
      <c r="C30"/>
      <c r="D30"/>
      <c r="E30"/>
      <c r="F30"/>
    </row>
    <row r="31" spans="1:9" x14ac:dyDescent="0.25">
      <c r="A31" s="520" t="s">
        <v>295</v>
      </c>
      <c r="B31" s="229">
        <v>256</v>
      </c>
      <c r="C31"/>
      <c r="D31"/>
      <c r="E31"/>
      <c r="F31"/>
    </row>
    <row r="32" spans="1:9" x14ac:dyDescent="0.25">
      <c r="A32" s="520" t="s">
        <v>298</v>
      </c>
      <c r="B32" s="229">
        <v>304</v>
      </c>
      <c r="C32"/>
      <c r="D32"/>
      <c r="E32"/>
      <c r="F32"/>
    </row>
    <row r="33" spans="1:6" x14ac:dyDescent="0.25">
      <c r="A33" s="520" t="s">
        <v>297</v>
      </c>
      <c r="B33" s="229">
        <v>320</v>
      </c>
      <c r="C33"/>
      <c r="D33"/>
      <c r="E33"/>
      <c r="F33"/>
    </row>
    <row r="34" spans="1:6" x14ac:dyDescent="0.25">
      <c r="A34" s="520" t="s">
        <v>296</v>
      </c>
      <c r="B34" s="229">
        <v>400</v>
      </c>
      <c r="C34"/>
      <c r="D34"/>
      <c r="E34"/>
      <c r="F34"/>
    </row>
    <row r="35" spans="1:6" x14ac:dyDescent="0.25">
      <c r="A35" s="520" t="s">
        <v>294</v>
      </c>
      <c r="B35" s="229">
        <v>480</v>
      </c>
      <c r="C35"/>
      <c r="D35"/>
      <c r="E35"/>
      <c r="F35"/>
    </row>
    <row r="36" spans="1:6" x14ac:dyDescent="0.25">
      <c r="A36" s="520" t="s">
        <v>623</v>
      </c>
      <c r="B36" s="229">
        <v>1762</v>
      </c>
      <c r="C36"/>
      <c r="D36"/>
      <c r="E36"/>
      <c r="F36"/>
    </row>
    <row r="37" spans="1:6" x14ac:dyDescent="0.25">
      <c r="A37" s="520" t="s">
        <v>288</v>
      </c>
      <c r="B37" s="229">
        <v>1832</v>
      </c>
      <c r="C37"/>
      <c r="D37"/>
      <c r="E37"/>
      <c r="F37"/>
    </row>
    <row r="38" spans="1:6" x14ac:dyDescent="0.25">
      <c r="A38" s="520" t="s">
        <v>445</v>
      </c>
      <c r="B38" s="229">
        <v>1920</v>
      </c>
      <c r="C38"/>
      <c r="D38"/>
      <c r="E38"/>
      <c r="F38"/>
    </row>
    <row r="39" spans="1:6" x14ac:dyDescent="0.25">
      <c r="A39" s="520" t="s">
        <v>285</v>
      </c>
      <c r="B39" s="229">
        <v>5248</v>
      </c>
      <c r="C39"/>
      <c r="D39"/>
      <c r="E39"/>
      <c r="F39"/>
    </row>
    <row r="40" spans="1:6" s="90" customFormat="1" x14ac:dyDescent="0.25">
      <c r="A40" s="520" t="s">
        <v>293</v>
      </c>
      <c r="B40" s="229">
        <v>13205</v>
      </c>
    </row>
    <row r="41" spans="1:6" x14ac:dyDescent="0.25">
      <c r="A41" s="520" t="s">
        <v>213</v>
      </c>
      <c r="B41" s="229">
        <v>26305</v>
      </c>
      <c r="C41"/>
      <c r="D41"/>
      <c r="E41"/>
      <c r="F41"/>
    </row>
    <row r="42" spans="1:6" x14ac:dyDescent="0.25">
      <c r="A42"/>
      <c r="B42"/>
      <c r="C42"/>
      <c r="D42"/>
      <c r="E42"/>
      <c r="F42"/>
    </row>
    <row r="43" spans="1:6" x14ac:dyDescent="0.25">
      <c r="C43"/>
      <c r="D43"/>
      <c r="E43"/>
      <c r="F43"/>
    </row>
    <row r="44" spans="1:6" x14ac:dyDescent="0.25">
      <c r="A44" s="199" t="s">
        <v>10</v>
      </c>
      <c r="B44" s="794" t="s">
        <v>7</v>
      </c>
      <c r="C44"/>
      <c r="D44"/>
      <c r="E44"/>
      <c r="F44"/>
    </row>
    <row r="45" spans="1:6" x14ac:dyDescent="0.25">
      <c r="A45" s="90"/>
      <c r="B45" s="90"/>
      <c r="C45"/>
      <c r="D45"/>
      <c r="E45"/>
      <c r="F45"/>
    </row>
    <row r="46" spans="1:6" x14ac:dyDescent="0.25">
      <c r="A46" s="230" t="s">
        <v>212</v>
      </c>
      <c r="B46" s="794" t="s">
        <v>794</v>
      </c>
      <c r="C46"/>
      <c r="D46"/>
      <c r="E46"/>
      <c r="F46"/>
    </row>
    <row r="47" spans="1:6" x14ac:dyDescent="0.25">
      <c r="A47" s="520" t="s">
        <v>18</v>
      </c>
      <c r="B47" s="229">
        <v>96</v>
      </c>
      <c r="C47"/>
      <c r="D47"/>
      <c r="E47"/>
      <c r="F47"/>
    </row>
    <row r="48" spans="1:6" x14ac:dyDescent="0.25">
      <c r="A48" s="520" t="s">
        <v>1007</v>
      </c>
      <c r="B48" s="229">
        <v>480</v>
      </c>
      <c r="C48"/>
      <c r="D48"/>
      <c r="E48"/>
      <c r="F48"/>
    </row>
    <row r="49" spans="1:6" x14ac:dyDescent="0.25">
      <c r="A49" s="520" t="s">
        <v>20</v>
      </c>
      <c r="B49" s="229">
        <v>554</v>
      </c>
      <c r="C49" s="6"/>
      <c r="D49" s="60"/>
      <c r="E49" s="60"/>
      <c r="F49"/>
    </row>
    <row r="50" spans="1:6" x14ac:dyDescent="0.25">
      <c r="A50" s="520" t="s">
        <v>16</v>
      </c>
      <c r="B50" s="229">
        <v>600</v>
      </c>
      <c r="C50" s="60"/>
      <c r="D50" s="60"/>
      <c r="E50" s="60"/>
      <c r="F50"/>
    </row>
    <row r="51" spans="1:6" x14ac:dyDescent="0.25">
      <c r="A51" s="520" t="s">
        <v>867</v>
      </c>
      <c r="B51" s="229">
        <v>760</v>
      </c>
      <c r="C51"/>
      <c r="D51"/>
      <c r="E51"/>
      <c r="F51"/>
    </row>
    <row r="52" spans="1:6" x14ac:dyDescent="0.25">
      <c r="A52" s="520" t="s">
        <v>1003</v>
      </c>
      <c r="B52" s="229">
        <v>902</v>
      </c>
      <c r="C52"/>
      <c r="D52"/>
      <c r="E52"/>
      <c r="F52"/>
    </row>
    <row r="53" spans="1:6" x14ac:dyDescent="0.25">
      <c r="A53" s="520" t="s">
        <v>15</v>
      </c>
      <c r="B53" s="229">
        <v>1056</v>
      </c>
      <c r="C53"/>
      <c r="D53"/>
      <c r="E53"/>
      <c r="F53"/>
    </row>
    <row r="54" spans="1:6" x14ac:dyDescent="0.25">
      <c r="A54" s="520" t="s">
        <v>11</v>
      </c>
      <c r="B54" s="229">
        <v>1145</v>
      </c>
      <c r="C54"/>
      <c r="D54"/>
      <c r="E54"/>
      <c r="F54"/>
    </row>
    <row r="55" spans="1:6" x14ac:dyDescent="0.25">
      <c r="A55" s="520" t="s">
        <v>14</v>
      </c>
      <c r="B55" s="229">
        <v>4647</v>
      </c>
      <c r="C55"/>
      <c r="D55"/>
      <c r="E55"/>
      <c r="F55"/>
    </row>
    <row r="56" spans="1:6" x14ac:dyDescent="0.25">
      <c r="A56" s="520" t="s">
        <v>19</v>
      </c>
      <c r="B56" s="229">
        <v>16065</v>
      </c>
      <c r="C56"/>
      <c r="D56"/>
      <c r="E56"/>
      <c r="F56"/>
    </row>
    <row r="57" spans="1:6" x14ac:dyDescent="0.25">
      <c r="A57" s="520" t="s">
        <v>213</v>
      </c>
      <c r="B57" s="229">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18" sqref="E18"/>
    </sheetView>
  </sheetViews>
  <sheetFormatPr defaultColWidth="9.140625" defaultRowHeight="15" x14ac:dyDescent="0.2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x14ac:dyDescent="0.25">
      <c r="A1" s="186"/>
      <c r="B1" s="187"/>
      <c r="C1" s="187"/>
      <c r="D1" s="187"/>
      <c r="E1" s="187"/>
      <c r="F1" s="187"/>
      <c r="G1" s="187"/>
      <c r="H1" s="187"/>
      <c r="I1" s="187"/>
      <c r="J1" s="187"/>
      <c r="K1" s="187"/>
      <c r="L1" s="187"/>
      <c r="M1" s="187"/>
      <c r="N1" s="187"/>
      <c r="O1" s="203"/>
      <c r="AY1" s="68"/>
      <c r="AZ1" s="68"/>
    </row>
    <row r="2" spans="1:53" s="1" customFormat="1" ht="33" customHeight="1" x14ac:dyDescent="0.25">
      <c r="A2" s="1001" t="s">
        <v>795</v>
      </c>
      <c r="B2" s="1002"/>
      <c r="C2" s="1002"/>
      <c r="D2" s="1002"/>
      <c r="E2" s="1002"/>
      <c r="F2" s="1002"/>
      <c r="G2" s="1002"/>
      <c r="H2" s="1002"/>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x14ac:dyDescent="0.25">
      <c r="A3" s="1003">
        <f>Report_Date</f>
        <v>42795</v>
      </c>
      <c r="B3" s="1004"/>
      <c r="C3" s="1004"/>
      <c r="D3" s="1004"/>
      <c r="E3" s="1004"/>
      <c r="F3" s="1004"/>
      <c r="G3" s="1004"/>
      <c r="H3" s="1004"/>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x14ac:dyDescent="0.25">
      <c r="A4" s="389"/>
      <c r="B4" s="451"/>
      <c r="C4" s="451"/>
      <c r="D4" s="451"/>
      <c r="E4" s="451"/>
      <c r="F4" s="451"/>
      <c r="G4" s="451"/>
      <c r="H4" s="451"/>
      <c r="I4" s="451"/>
      <c r="J4" s="451"/>
      <c r="K4" s="451"/>
      <c r="L4" s="451"/>
      <c r="M4" s="451"/>
      <c r="N4" s="451"/>
      <c r="O4" s="390"/>
    </row>
    <row r="5" spans="1:53" x14ac:dyDescent="0.25">
      <c r="A5" s="452"/>
      <c r="B5" s="46"/>
      <c r="C5" s="46"/>
      <c r="D5" s="46"/>
      <c r="E5" s="46"/>
      <c r="F5" s="46"/>
      <c r="G5" s="46"/>
      <c r="H5" s="46"/>
      <c r="I5" s="46"/>
      <c r="J5" s="46"/>
      <c r="K5" s="46"/>
      <c r="L5" s="46"/>
      <c r="M5" s="46"/>
      <c r="N5" s="46"/>
      <c r="O5" s="453"/>
      <c r="P5" s="19"/>
      <c r="Q5" s="19"/>
      <c r="R5" s="19"/>
      <c r="S5" s="20"/>
      <c r="T5" s="19"/>
      <c r="U5" s="19"/>
    </row>
    <row r="6" spans="1:53" x14ac:dyDescent="0.25">
      <c r="A6" s="452"/>
      <c r="B6" s="46"/>
      <c r="C6" s="46"/>
      <c r="D6" s="46"/>
      <c r="E6" s="46"/>
      <c r="F6" s="46"/>
      <c r="G6" s="46"/>
      <c r="H6" s="46"/>
      <c r="I6" s="46"/>
      <c r="J6" s="46"/>
      <c r="K6" s="46"/>
      <c r="L6" s="46"/>
      <c r="M6" s="46"/>
      <c r="N6" s="46"/>
      <c r="O6" s="453"/>
      <c r="T6" s="21"/>
      <c r="U6" s="19"/>
    </row>
    <row r="7" spans="1:53" ht="12.75" customHeight="1" x14ac:dyDescent="0.25">
      <c r="A7" s="452"/>
      <c r="B7" s="46"/>
      <c r="C7" s="46"/>
      <c r="D7" s="46"/>
      <c r="E7" s="46"/>
      <c r="F7" s="46"/>
      <c r="G7" s="46"/>
      <c r="H7" s="46"/>
      <c r="I7" s="46"/>
      <c r="J7" s="46"/>
      <c r="K7" s="46"/>
      <c r="L7" s="46"/>
      <c r="M7" s="46"/>
      <c r="N7" s="46"/>
      <c r="O7" s="453"/>
    </row>
    <row r="8" spans="1:53" ht="12.75" customHeight="1" x14ac:dyDescent="0.25">
      <c r="A8" s="452"/>
      <c r="B8" s="46"/>
      <c r="C8" s="46"/>
      <c r="D8" s="46"/>
      <c r="E8" s="46"/>
      <c r="F8" s="46"/>
      <c r="G8" s="46"/>
      <c r="H8" s="46"/>
      <c r="I8" s="46"/>
      <c r="J8" s="46"/>
      <c r="K8" s="46"/>
      <c r="L8" s="46"/>
      <c r="M8" s="46"/>
      <c r="N8" s="46"/>
      <c r="O8" s="453"/>
    </row>
    <row r="9" spans="1:53" ht="12.75" customHeight="1" x14ac:dyDescent="0.25">
      <c r="A9" s="452"/>
      <c r="B9" s="46"/>
      <c r="C9" s="46"/>
      <c r="D9" s="46"/>
      <c r="E9" s="46"/>
      <c r="F9" s="46"/>
      <c r="G9" s="46"/>
      <c r="H9" s="46"/>
      <c r="I9" s="46"/>
      <c r="J9" s="46"/>
      <c r="K9" s="46"/>
      <c r="L9" s="46"/>
      <c r="M9" s="46"/>
      <c r="N9" s="46"/>
      <c r="O9" s="453"/>
    </row>
    <row r="10" spans="1:53" ht="12.75" customHeight="1" x14ac:dyDescent="0.25">
      <c r="A10" s="452"/>
      <c r="B10" s="46"/>
      <c r="C10" s="46"/>
      <c r="D10" s="46"/>
      <c r="E10" s="46"/>
      <c r="F10" s="46"/>
      <c r="G10" s="46"/>
      <c r="H10" s="46"/>
      <c r="I10" s="46"/>
      <c r="J10" s="46"/>
      <c r="K10" s="46"/>
      <c r="L10" s="46"/>
      <c r="M10" s="46"/>
      <c r="N10" s="46"/>
      <c r="O10" s="453"/>
    </row>
    <row r="11" spans="1:53" ht="12.75" customHeight="1" x14ac:dyDescent="0.25">
      <c r="A11" s="452"/>
      <c r="B11" s="46"/>
      <c r="C11" s="46"/>
      <c r="D11" s="46"/>
      <c r="E11" s="46"/>
      <c r="F11" s="46"/>
      <c r="G11" s="46"/>
      <c r="H11" s="454"/>
      <c r="I11" s="454"/>
      <c r="J11" s="46"/>
      <c r="K11" s="46"/>
      <c r="L11" s="46"/>
      <c r="M11" s="46"/>
      <c r="N11" s="46"/>
      <c r="O11" s="453"/>
    </row>
    <row r="12" spans="1:53" ht="12.75" customHeight="1" x14ac:dyDescent="0.25">
      <c r="A12" s="452"/>
      <c r="B12" s="46"/>
      <c r="C12" s="46"/>
      <c r="D12" s="46"/>
      <c r="E12" s="46"/>
      <c r="F12" s="46"/>
      <c r="G12" s="46"/>
      <c r="H12" s="455"/>
      <c r="I12" s="455"/>
      <c r="J12" s="46"/>
      <c r="K12" s="46"/>
      <c r="L12" s="46"/>
      <c r="M12" s="46"/>
      <c r="N12" s="46"/>
      <c r="O12" s="453"/>
    </row>
    <row r="13" spans="1:53" ht="12.75" customHeight="1" x14ac:dyDescent="0.25">
      <c r="A13" s="452"/>
      <c r="B13" s="46"/>
      <c r="C13" s="46"/>
      <c r="D13" s="46"/>
      <c r="E13" s="46"/>
      <c r="F13" s="46"/>
      <c r="G13" s="46"/>
      <c r="H13" s="455"/>
      <c r="I13" s="455"/>
      <c r="J13" s="46"/>
      <c r="K13" s="46"/>
      <c r="L13" s="46"/>
      <c r="M13" s="46"/>
      <c r="N13" s="46"/>
      <c r="O13" s="453"/>
    </row>
    <row r="14" spans="1:53" ht="12.75" customHeight="1" x14ac:dyDescent="0.25">
      <c r="A14" s="452"/>
      <c r="B14" s="46"/>
      <c r="C14" s="46"/>
      <c r="D14" s="46"/>
      <c r="E14" s="46"/>
      <c r="F14" s="46"/>
      <c r="G14" s="46"/>
      <c r="H14" s="455"/>
      <c r="I14" s="455"/>
      <c r="J14" s="46"/>
      <c r="K14" s="46"/>
      <c r="L14" s="46"/>
      <c r="M14" s="46"/>
      <c r="N14" s="46"/>
      <c r="O14" s="453"/>
    </row>
    <row r="15" spans="1:53" ht="12.75" customHeight="1" x14ac:dyDescent="0.25">
      <c r="A15" s="452"/>
      <c r="B15" s="46"/>
      <c r="C15" s="46"/>
      <c r="D15" s="46"/>
      <c r="E15" s="46"/>
      <c r="F15" s="46"/>
      <c r="G15" s="46"/>
      <c r="H15" s="455"/>
      <c r="I15" s="455"/>
      <c r="J15" s="46"/>
      <c r="K15" s="46"/>
      <c r="L15" s="46"/>
      <c r="M15" s="46"/>
      <c r="N15" s="46"/>
      <c r="O15" s="453"/>
    </row>
    <row r="16" spans="1:53" ht="12.75" customHeight="1" x14ac:dyDescent="0.25">
      <c r="A16" s="460"/>
      <c r="B16" s="1064" t="s">
        <v>215</v>
      </c>
      <c r="C16" s="1064"/>
      <c r="D16" s="1064"/>
      <c r="E16" s="1064" t="s">
        <v>239</v>
      </c>
      <c r="F16" s="1064"/>
      <c r="G16" s="1064"/>
      <c r="H16" s="455"/>
      <c r="I16" s="455"/>
      <c r="J16" s="46"/>
      <c r="K16" s="46"/>
      <c r="L16" s="46"/>
      <c r="M16" s="46"/>
      <c r="N16" s="46"/>
      <c r="O16" s="453"/>
    </row>
    <row r="17" spans="1:21" ht="26.25" customHeight="1" x14ac:dyDescent="0.25">
      <c r="A17" s="464" t="s">
        <v>1</v>
      </c>
      <c r="B17" s="465" t="s">
        <v>575</v>
      </c>
      <c r="C17" s="465" t="s">
        <v>578</v>
      </c>
      <c r="D17" s="465" t="s">
        <v>576</v>
      </c>
      <c r="E17" s="466" t="s">
        <v>595</v>
      </c>
      <c r="F17" s="466" t="s">
        <v>596</v>
      </c>
      <c r="G17" s="467" t="s">
        <v>577</v>
      </c>
      <c r="H17" s="455"/>
      <c r="I17" s="455"/>
      <c r="J17" s="46"/>
      <c r="K17" s="46"/>
      <c r="L17" s="46"/>
      <c r="M17" s="46"/>
      <c r="N17" s="46"/>
      <c r="O17" s="453"/>
    </row>
    <row r="18" spans="1:21" ht="12.75" customHeight="1" x14ac:dyDescent="0.25">
      <c r="A18" s="462" t="s">
        <v>608</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x14ac:dyDescent="0.25">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x14ac:dyDescent="0.25">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x14ac:dyDescent="0.25">
      <c r="A21" s="462" t="s">
        <v>867</v>
      </c>
      <c r="B21" s="461">
        <f>SUMIFS(Camplist_HH,Camplist_Township,'Shelter Coverage &amp; Gaps'!$A21,CampList_Status,"Open")</f>
        <v>662</v>
      </c>
      <c r="C21" s="456">
        <f>SUMIFS(Camplist_Popl,Camplist_Township,'Shelter Coverage &amp; Gaps'!$A21,CampList_Status,"Open")</f>
        <v>2679</v>
      </c>
      <c r="D21" s="461">
        <f>COUNTIFS(Camplist_Township,'Shelter Coverage &amp; Gaps'!A21,CampList_Status,"open")</f>
        <v>1</v>
      </c>
      <c r="E21" s="457">
        <f ca="1">'Shelter Progress'!O9</f>
        <v>2915.7613636363635</v>
      </c>
      <c r="F21" s="457">
        <f ca="1">'Shelter Progress'!R9</f>
        <v>0</v>
      </c>
      <c r="G21" s="463">
        <f t="shared" ca="1" si="0"/>
        <v>1</v>
      </c>
      <c r="H21" s="458"/>
      <c r="I21" s="458"/>
      <c r="J21" s="46"/>
      <c r="K21" s="46"/>
      <c r="L21" s="46"/>
      <c r="M21" s="46"/>
      <c r="N21" s="46"/>
      <c r="O21" s="453"/>
    </row>
    <row r="22" spans="1:21" ht="12.75" customHeight="1" x14ac:dyDescent="0.25">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x14ac:dyDescent="0.25">
      <c r="A23" s="462" t="s">
        <v>1003</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x14ac:dyDescent="0.25">
      <c r="A24" s="462" t="s">
        <v>14</v>
      </c>
      <c r="B24" s="461">
        <f>SUMIFS(Camplist_HH,Camplist_Township,'Shelter Coverage &amp; Gaps'!$A24,CampList_Status,"Open")</f>
        <v>3629</v>
      </c>
      <c r="C24" s="456">
        <f>SUMIFS(Camplist_Popl,Camplist_Township,'Shelter Coverage &amp; Gaps'!$A24,CampList_Status,"Open")</f>
        <v>15985</v>
      </c>
      <c r="D24" s="461">
        <f>COUNTIFS(Camplist_Township,'Shelter Coverage &amp; Gaps'!A24,CampList_Status,"open")</f>
        <v>4</v>
      </c>
      <c r="E24" s="457">
        <f ca="1">'Shelter Progress'!O12</f>
        <v>11577.640167364016</v>
      </c>
      <c r="F24" s="457">
        <f ca="1">'Shelter Progress'!R12</f>
        <v>8768.3598326359843</v>
      </c>
      <c r="G24" s="463">
        <f t="shared" ca="1" si="0"/>
        <v>0.56903765690376562</v>
      </c>
      <c r="H24" s="46"/>
      <c r="I24" s="46"/>
      <c r="J24" s="46"/>
      <c r="K24" s="46"/>
      <c r="L24" s="46"/>
      <c r="M24" s="46"/>
      <c r="N24" s="46"/>
      <c r="O24" s="453"/>
    </row>
    <row r="25" spans="1:21" ht="12.75" customHeight="1" x14ac:dyDescent="0.25">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x14ac:dyDescent="0.25">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x14ac:dyDescent="0.25">
      <c r="A27" s="462" t="s">
        <v>19</v>
      </c>
      <c r="B27" s="461">
        <f>SUMIFS(Camplist_HH,Camplist_Township,'Shelter Coverage &amp; Gaps'!$A27,CampList_Status,"Open")</f>
        <v>17786</v>
      </c>
      <c r="C27" s="456">
        <f>SUMIFS(Camplist_Popl,Camplist_Township,'Shelter Coverage &amp; Gaps'!$A27,CampList_Status,"Open")</f>
        <v>94717</v>
      </c>
      <c r="D27" s="461">
        <f>COUNTIFS(Camplist_Township,'Shelter Coverage &amp; Gaps'!A27,CampList_Status,"open")</f>
        <v>15</v>
      </c>
      <c r="E27" s="457">
        <f ca="1">'Shelter Progress'!O15</f>
        <v>79383.932319554515</v>
      </c>
      <c r="F27" s="457">
        <f ca="1">'Shelter Progress'!R15</f>
        <v>19931.067680445485</v>
      </c>
      <c r="G27" s="463">
        <f t="shared" ca="1" si="0"/>
        <v>0.79931462840008571</v>
      </c>
      <c r="H27" s="422"/>
      <c r="I27" s="422"/>
      <c r="J27" s="46"/>
      <c r="K27" s="46"/>
      <c r="L27" s="46"/>
      <c r="M27" s="46"/>
      <c r="N27" s="46"/>
      <c r="O27" s="453"/>
      <c r="P27" s="19"/>
      <c r="Q27" s="19"/>
      <c r="R27" s="20"/>
      <c r="S27" s="21"/>
    </row>
    <row r="28" spans="1:21" ht="15" customHeight="1" x14ac:dyDescent="0.25">
      <c r="A28" s="468" t="s">
        <v>5</v>
      </c>
      <c r="B28" s="469">
        <f>SUM(B18:B27)</f>
        <v>23574</v>
      </c>
      <c r="C28" s="469">
        <f>SUM(C18:C27)</f>
        <v>120506</v>
      </c>
      <c r="D28" s="469">
        <f>SUM(D18:D27)</f>
        <v>36</v>
      </c>
      <c r="E28" s="469">
        <f ca="1">'Shelter Progress'!O16</f>
        <v>98548.312795006146</v>
      </c>
      <c r="F28" s="469">
        <f ca="1">'Shelter Progress'!R16</f>
        <v>47270.36856863022</v>
      </c>
      <c r="G28" s="470">
        <f t="shared" ca="1" si="0"/>
        <v>0.67582776001965483</v>
      </c>
      <c r="H28" s="422"/>
      <c r="I28" s="422"/>
      <c r="J28" s="46"/>
      <c r="K28" s="46"/>
      <c r="L28" s="46"/>
      <c r="M28" s="46"/>
      <c r="N28" s="46"/>
      <c r="O28" s="453"/>
      <c r="T28" s="4"/>
      <c r="U28" s="25"/>
    </row>
    <row r="29" spans="1:21" x14ac:dyDescent="0.25">
      <c r="A29" s="452"/>
      <c r="B29" s="46"/>
      <c r="C29" s="46"/>
      <c r="D29" s="46"/>
      <c r="E29" s="46"/>
      <c r="F29" s="46"/>
      <c r="G29" s="46"/>
      <c r="H29" s="422"/>
      <c r="I29" s="422"/>
      <c r="J29" s="46"/>
      <c r="K29" s="46"/>
      <c r="L29" s="46"/>
      <c r="M29" s="46"/>
      <c r="N29" s="46"/>
      <c r="O29" s="453"/>
      <c r="S29" s="23"/>
      <c r="T29" s="4"/>
      <c r="U29" s="25"/>
    </row>
    <row r="30" spans="1:21" x14ac:dyDescent="0.25">
      <c r="A30" s="452"/>
      <c r="B30" s="46"/>
      <c r="C30" s="46"/>
      <c r="D30" s="46"/>
      <c r="E30" s="46"/>
      <c r="F30" s="46"/>
      <c r="G30" s="46"/>
      <c r="H30" s="422"/>
      <c r="I30" s="422"/>
      <c r="J30" s="46"/>
      <c r="K30" s="46"/>
      <c r="L30" s="46"/>
      <c r="M30" s="46"/>
      <c r="N30" s="46"/>
      <c r="O30" s="453"/>
      <c r="S30" s="23"/>
      <c r="T30" s="4"/>
      <c r="U30" s="25"/>
    </row>
    <row r="31" spans="1:21" x14ac:dyDescent="0.25">
      <c r="A31" s="452"/>
      <c r="B31" s="46"/>
      <c r="C31" s="46"/>
      <c r="D31" s="46"/>
      <c r="E31" s="46"/>
      <c r="F31" s="46"/>
      <c r="G31" s="46"/>
      <c r="H31" s="46"/>
      <c r="I31" s="46"/>
      <c r="J31" s="46"/>
      <c r="K31" s="46"/>
      <c r="L31" s="46"/>
      <c r="M31" s="46"/>
      <c r="N31" s="46"/>
      <c r="O31" s="453"/>
      <c r="S31" s="23"/>
      <c r="T31" s="4"/>
      <c r="U31" s="25"/>
    </row>
    <row r="32" spans="1:21" x14ac:dyDescent="0.25">
      <c r="A32" s="452"/>
      <c r="B32" s="46"/>
      <c r="C32" s="46"/>
      <c r="D32" s="46"/>
      <c r="E32" s="46"/>
      <c r="F32" s="46"/>
      <c r="G32" s="46"/>
      <c r="H32" s="46"/>
      <c r="I32" s="46"/>
      <c r="J32" s="46"/>
      <c r="K32" s="46"/>
      <c r="L32" s="46"/>
      <c r="M32" s="46"/>
      <c r="N32" s="46"/>
      <c r="O32" s="453"/>
      <c r="P32" s="89"/>
      <c r="T32" s="24"/>
      <c r="U32" s="25"/>
    </row>
    <row r="33" spans="1:21" x14ac:dyDescent="0.25">
      <c r="A33" s="452"/>
      <c r="B33" s="46"/>
      <c r="C33" s="46"/>
      <c r="D33" s="46"/>
      <c r="E33" s="46"/>
      <c r="F33" s="46"/>
      <c r="G33" s="46"/>
      <c r="H33" s="46"/>
      <c r="I33" s="46"/>
      <c r="J33" s="46"/>
      <c r="K33" s="46"/>
      <c r="L33" s="46"/>
      <c r="M33" s="46"/>
      <c r="N33" s="46"/>
      <c r="O33" s="453"/>
      <c r="P33" s="89"/>
      <c r="T33" s="24"/>
      <c r="U33" s="25"/>
    </row>
    <row r="34" spans="1:21" x14ac:dyDescent="0.25">
      <c r="A34" s="452"/>
      <c r="B34" s="46"/>
      <c r="C34" s="46"/>
      <c r="D34" s="46"/>
      <c r="E34" s="46"/>
      <c r="F34" s="46"/>
      <c r="G34" s="46"/>
      <c r="H34" s="46"/>
      <c r="I34" s="46"/>
      <c r="J34" s="46"/>
      <c r="K34" s="46"/>
      <c r="L34" s="46"/>
      <c r="M34" s="46"/>
      <c r="N34" s="46"/>
      <c r="O34" s="453"/>
      <c r="P34" s="89"/>
      <c r="T34" s="24"/>
      <c r="U34" s="25"/>
    </row>
    <row r="35" spans="1:21" x14ac:dyDescent="0.25">
      <c r="A35" s="452"/>
      <c r="B35" s="46"/>
      <c r="C35" s="46"/>
      <c r="D35" s="46"/>
      <c r="E35" s="46"/>
      <c r="F35" s="46"/>
      <c r="G35" s="46"/>
      <c r="H35" s="46"/>
      <c r="I35" s="46"/>
      <c r="J35" s="46"/>
      <c r="K35" s="46"/>
      <c r="L35" s="46"/>
      <c r="M35" s="46"/>
      <c r="N35" s="46"/>
      <c r="O35" s="453"/>
      <c r="P35" s="89"/>
      <c r="T35" s="24"/>
      <c r="U35" s="25"/>
    </row>
    <row r="36" spans="1:21" x14ac:dyDescent="0.25">
      <c r="A36" s="391"/>
      <c r="B36" s="459"/>
      <c r="C36" s="459"/>
      <c r="D36" s="459"/>
      <c r="E36" s="459"/>
      <c r="F36" s="459"/>
      <c r="G36" s="459"/>
      <c r="H36" s="459"/>
      <c r="I36" s="459"/>
      <c r="J36" s="459"/>
      <c r="K36" s="459"/>
      <c r="L36" s="459"/>
      <c r="M36" s="459"/>
      <c r="N36" s="459"/>
      <c r="O36" s="392"/>
      <c r="P36" s="89"/>
      <c r="T36" s="24"/>
      <c r="U36" s="25"/>
    </row>
    <row r="37" spans="1:21" x14ac:dyDescent="0.25">
      <c r="P37" s="89"/>
      <c r="T37" s="24"/>
      <c r="U37" s="25"/>
    </row>
    <row r="38" spans="1:21" x14ac:dyDescent="0.25">
      <c r="P38" s="89"/>
      <c r="T38" s="24"/>
      <c r="U38" s="25"/>
    </row>
    <row r="39" spans="1:21" x14ac:dyDescent="0.25">
      <c r="P39" s="89"/>
      <c r="T39" s="24"/>
      <c r="U39" s="25"/>
    </row>
    <row r="40" spans="1:21" x14ac:dyDescent="0.25">
      <c r="P40" s="89"/>
      <c r="T40" s="19"/>
      <c r="U40" s="19"/>
    </row>
    <row r="41" spans="1:21" x14ac:dyDescent="0.25">
      <c r="P41" s="89"/>
    </row>
    <row r="42" spans="1:21" x14ac:dyDescent="0.25">
      <c r="S42" s="19"/>
    </row>
    <row r="43" spans="1:21" x14ac:dyDescent="0.25">
      <c r="S43" s="19"/>
    </row>
    <row r="44" spans="1:21" x14ac:dyDescent="0.25">
      <c r="P44" s="23"/>
      <c r="Q44" s="26"/>
      <c r="S44" s="19"/>
    </row>
    <row r="45" spans="1:21" x14ac:dyDescent="0.25">
      <c r="P45" s="23"/>
      <c r="Q45" s="26"/>
    </row>
    <row r="46" spans="1:21" x14ac:dyDescent="0.25">
      <c r="P46" s="19"/>
      <c r="Q46" s="24"/>
      <c r="R46" s="19"/>
    </row>
    <row r="47" spans="1:21" x14ac:dyDescent="0.25">
      <c r="P47" s="19"/>
      <c r="Q47" s="24"/>
      <c r="R47" s="19"/>
    </row>
    <row r="48" spans="1:21" x14ac:dyDescent="0.25">
      <c r="P48" s="19"/>
      <c r="Q48" s="24"/>
      <c r="R48" s="19"/>
    </row>
    <row r="49" spans="16:18" x14ac:dyDescent="0.25">
      <c r="P49" s="19"/>
      <c r="Q49" s="19"/>
      <c r="R49" s="19"/>
    </row>
    <row r="50" spans="16:18" x14ac:dyDescent="0.25">
      <c r="Q50" s="19"/>
      <c r="R50" s="19"/>
    </row>
    <row r="51" spans="16:18" x14ac:dyDescent="0.25">
      <c r="Q51" s="19"/>
      <c r="R51" s="19"/>
    </row>
    <row r="52" spans="16:18" x14ac:dyDescent="0.25">
      <c r="Q52" s="19"/>
      <c r="R52" s="19"/>
    </row>
    <row r="79" spans="17:17" ht="19.5" x14ac:dyDescent="0.35">
      <c r="Q79" s="27"/>
    </row>
    <row r="80" spans="17:17" ht="15.75" x14ac:dyDescent="0.3">
      <c r="Q80" s="28"/>
    </row>
    <row r="81" spans="17:17" ht="15.75" x14ac:dyDescent="0.3">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L588"/>
  <sheetViews>
    <sheetView showZeros="0" zoomScale="85" zoomScaleNormal="85" workbookViewId="0">
      <selection activeCell="D5" sqref="D5"/>
    </sheetView>
  </sheetViews>
  <sheetFormatPr defaultColWidth="11.140625" defaultRowHeight="15" x14ac:dyDescent="0.2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1" width="10.7109375" style="793" customWidth="1"/>
    <col min="22" max="22" width="12.5703125" style="793" customWidth="1"/>
    <col min="23" max="27" width="13.5703125" style="53" hidden="1" customWidth="1"/>
    <col min="28" max="28" width="10.7109375" style="53" hidden="1" customWidth="1"/>
    <col min="29" max="36" width="13.5703125" style="53" hidden="1" customWidth="1"/>
    <col min="37" max="37" width="16.85546875" customWidth="1"/>
    <col min="38" max="38" width="28" bestFit="1" customWidth="1"/>
    <col min="39" max="39" width="17" customWidth="1"/>
    <col min="40" max="41" width="11.140625" customWidth="1"/>
    <col min="42" max="42" width="33.85546875" customWidth="1"/>
  </cols>
  <sheetData>
    <row r="1" spans="1:64" s="1" customFormat="1" ht="36" x14ac:dyDescent="0.25">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3"/>
      <c r="AB1" s="233"/>
      <c r="AC1" s="188"/>
      <c r="AD1" s="188"/>
      <c r="AE1" s="188"/>
      <c r="AF1" s="188"/>
      <c r="AG1" s="188"/>
      <c r="AH1" s="188"/>
      <c r="AI1" s="188"/>
      <c r="AJ1" s="188"/>
      <c r="AK1" s="188"/>
      <c r="AL1" s="189"/>
      <c r="BK1" s="68"/>
      <c r="BL1" s="68"/>
    </row>
    <row r="2" spans="1:64" s="1" customFormat="1" ht="33" customHeight="1" x14ac:dyDescent="0.35">
      <c r="A2" s="1001" t="s">
        <v>796</v>
      </c>
      <c r="B2" s="1002"/>
      <c r="C2" s="1002"/>
      <c r="D2" s="1002"/>
      <c r="E2" s="1002"/>
      <c r="F2" s="1002"/>
      <c r="G2" s="1002"/>
      <c r="H2" s="1002"/>
      <c r="I2" s="1002"/>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90"/>
      <c r="AM2" s="90"/>
      <c r="AN2" s="90"/>
      <c r="AO2" s="90"/>
      <c r="AP2" s="90"/>
      <c r="AQ2" s="90"/>
      <c r="AR2" s="90"/>
      <c r="AS2" s="90"/>
      <c r="AT2" s="90"/>
      <c r="AU2" s="90"/>
      <c r="AV2" s="90"/>
      <c r="AW2" s="90"/>
      <c r="AX2" s="90"/>
      <c r="AY2" s="90"/>
      <c r="BI2" s="68"/>
      <c r="BJ2" s="68"/>
    </row>
    <row r="3" spans="1:64" s="19" customFormat="1" ht="18" customHeight="1" x14ac:dyDescent="0.35">
      <c r="A3" s="1067">
        <f>Report_Date</f>
        <v>42795</v>
      </c>
      <c r="B3" s="1068"/>
      <c r="C3" s="1068"/>
      <c r="D3" s="1068"/>
      <c r="E3" s="1068"/>
      <c r="F3" s="1068"/>
      <c r="G3" s="1068"/>
      <c r="H3" s="1068"/>
      <c r="I3" s="1068"/>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90"/>
      <c r="AM3" s="90"/>
      <c r="AN3" s="90"/>
      <c r="AO3" s="90"/>
      <c r="AP3" s="90"/>
      <c r="AQ3" s="90"/>
      <c r="AR3" s="90"/>
      <c r="AS3" s="90"/>
      <c r="AT3" s="90"/>
      <c r="AU3" s="90"/>
      <c r="AV3" s="90"/>
      <c r="AW3" s="90"/>
      <c r="AX3" s="90"/>
      <c r="AY3" s="90"/>
      <c r="BI3" s="69"/>
      <c r="BJ3" s="69"/>
    </row>
    <row r="4" spans="1:64" s="19" customFormat="1" ht="18" customHeight="1" x14ac:dyDescent="0.25">
      <c r="A4" s="1065"/>
      <c r="B4" s="1066"/>
      <c r="C4" s="1066"/>
      <c r="D4" s="1066"/>
      <c r="E4" s="235"/>
      <c r="F4" s="235"/>
      <c r="G4" s="235"/>
      <c r="H4" s="235"/>
      <c r="I4" s="235"/>
      <c r="J4" s="235"/>
      <c r="K4" s="235"/>
      <c r="L4" s="193"/>
      <c r="M4" s="235"/>
      <c r="N4" s="235"/>
      <c r="O4" s="235"/>
      <c r="P4" s="235"/>
      <c r="Q4" s="235"/>
      <c r="R4" s="509"/>
      <c r="S4" s="235"/>
      <c r="T4" s="235"/>
      <c r="U4" s="235"/>
      <c r="V4" s="235"/>
      <c r="W4" s="235"/>
      <c r="X4" s="235"/>
      <c r="Y4" s="235"/>
      <c r="Z4" s="236"/>
      <c r="AA4" s="235"/>
      <c r="AB4" s="235"/>
      <c r="AC4" s="193"/>
      <c r="AD4" s="193"/>
      <c r="AE4" s="193"/>
      <c r="AF4" s="193"/>
      <c r="AG4" s="193"/>
      <c r="AH4" s="193"/>
      <c r="AI4" s="193"/>
      <c r="AJ4" s="193"/>
      <c r="AK4" s="193"/>
      <c r="AL4" s="194"/>
      <c r="BK4" s="69"/>
      <c r="BL4" s="69"/>
    </row>
    <row r="5" spans="1:64" s="52" customFormat="1" ht="86.25" customHeight="1" x14ac:dyDescent="0.25">
      <c r="A5" s="237" t="s">
        <v>232</v>
      </c>
      <c r="B5" s="267" t="s">
        <v>798</v>
      </c>
      <c r="C5" s="238" t="s">
        <v>210</v>
      </c>
      <c r="D5" s="238" t="s">
        <v>200</v>
      </c>
      <c r="E5" s="238" t="s">
        <v>211</v>
      </c>
      <c r="F5" s="238" t="s">
        <v>10</v>
      </c>
      <c r="G5" s="238" t="s">
        <v>1</v>
      </c>
      <c r="H5" s="238" t="s">
        <v>9</v>
      </c>
      <c r="I5" s="239" t="s">
        <v>301</v>
      </c>
      <c r="J5" s="239" t="s">
        <v>202</v>
      </c>
      <c r="K5" s="239" t="s">
        <v>302</v>
      </c>
      <c r="L5" s="239" t="s">
        <v>597</v>
      </c>
      <c r="M5" s="239" t="s">
        <v>303</v>
      </c>
      <c r="N5" s="239" t="s">
        <v>228</v>
      </c>
      <c r="O5" s="239" t="s">
        <v>229</v>
      </c>
      <c r="P5" s="239" t="s">
        <v>327</v>
      </c>
      <c r="Q5" s="239" t="s">
        <v>580</v>
      </c>
      <c r="R5" s="510" t="s">
        <v>929</v>
      </c>
      <c r="S5" s="239" t="s">
        <v>581</v>
      </c>
      <c r="T5" s="239" t="s">
        <v>1117</v>
      </c>
      <c r="U5" s="239" t="s">
        <v>1118</v>
      </c>
      <c r="V5" s="239" t="s">
        <v>1119</v>
      </c>
      <c r="W5" s="240" t="s">
        <v>897</v>
      </c>
      <c r="X5" s="240" t="s">
        <v>898</v>
      </c>
      <c r="Y5" s="240" t="s">
        <v>899</v>
      </c>
      <c r="Z5" s="240" t="s">
        <v>900</v>
      </c>
      <c r="AA5" s="240" t="s">
        <v>901</v>
      </c>
      <c r="AB5" s="240" t="s">
        <v>902</v>
      </c>
      <c r="AC5" s="240" t="s">
        <v>903</v>
      </c>
      <c r="AD5" s="240" t="s">
        <v>904</v>
      </c>
      <c r="AE5" s="240" t="s">
        <v>905</v>
      </c>
      <c r="AF5" s="240" t="s">
        <v>936</v>
      </c>
      <c r="AG5" s="240" t="s">
        <v>906</v>
      </c>
      <c r="AH5" s="240" t="s">
        <v>1122</v>
      </c>
      <c r="AI5" s="240" t="s">
        <v>1123</v>
      </c>
      <c r="AJ5" s="240" t="s">
        <v>1124</v>
      </c>
      <c r="AK5" s="241" t="s">
        <v>566</v>
      </c>
      <c r="AL5" s="241" t="s">
        <v>346</v>
      </c>
      <c r="AM5" s="945" t="s">
        <v>1134</v>
      </c>
      <c r="AP5" s="796"/>
    </row>
    <row r="6" spans="1:64" s="52" customFormat="1" ht="25.5" customHeight="1" x14ac:dyDescent="0.25">
      <c r="A6" s="917">
        <f>IF(ISBLANK(C6),"",(Report_Date-C6)/30)</f>
        <v>-0.9</v>
      </c>
      <c r="B6" s="918">
        <f>YEAR(Data_NFI_t[[#This Row],[Distribution Date]])</f>
        <v>2017</v>
      </c>
      <c r="C6" s="985">
        <v>42822</v>
      </c>
      <c r="D6" s="914" t="s">
        <v>623</v>
      </c>
      <c r="E6" s="914" t="s">
        <v>623</v>
      </c>
      <c r="F6" s="914" t="s">
        <v>7</v>
      </c>
      <c r="G6" s="920" t="s">
        <v>19</v>
      </c>
      <c r="H6" s="920" t="s">
        <v>636</v>
      </c>
      <c r="I6" s="921"/>
      <c r="J6" s="922"/>
      <c r="K6" s="922"/>
      <c r="L6" s="923">
        <v>1450</v>
      </c>
      <c r="M6" s="923"/>
      <c r="N6" s="923">
        <v>1450</v>
      </c>
      <c r="O6" s="923"/>
      <c r="P6" s="923"/>
      <c r="Q6" s="923">
        <v>1450</v>
      </c>
      <c r="R6" s="924">
        <v>2900</v>
      </c>
      <c r="S6" s="923"/>
      <c r="T6" s="923">
        <v>2175</v>
      </c>
      <c r="U6" s="923">
        <v>725</v>
      </c>
      <c r="V6" s="923"/>
      <c r="W6" s="915">
        <f>IF(NFI_Expiration=1,IF($A6&lt;VLOOKUP(I$5,NFI,5,0),1,0)*Data_NFI_t[[#This Row],[Hygiene Kit]],0)</f>
        <v>0</v>
      </c>
      <c r="X6" s="915">
        <f>IF(NFI_Expiration=1,IF($A6&lt;VLOOKUP(J$5,NFI,5,0),1,0)*Data_NFI_t[[#This Row],[NFI Core Kit]],0)</f>
        <v>0</v>
      </c>
      <c r="Y6" s="916">
        <f>IF(NFI_Expiration=1,IF($A6&lt;VLOOKUP(K$5,NFI,5,0),1,0)*Data_NFI_t[[#This Row],[Sanitary Kit]],0)</f>
        <v>0</v>
      </c>
      <c r="Z6" s="916">
        <f>IF(NFI_Expiration=1,IF($A6&lt;VLOOKUP(L$5,NFI,5,0),1,0)*Data_NFI_t[[#This Row],[Mosquito net]],0)</f>
        <v>1450</v>
      </c>
      <c r="AA6" s="916">
        <f>IF(NFI_Expiration=1,IF($A6&lt;VLOOKUP(M$5,NFI,5,0),1,0)*Data_NFI_t[[#This Row],[Tarpaulin]],0)</f>
        <v>0</v>
      </c>
      <c r="AB6" s="916">
        <f>IF(NFI_Expiration=1,IF($A6&lt;VLOOKUP(N$5,NFI,5,0),1,0)*Data_NFI_t[[#This Row],[Blanket]],0)</f>
        <v>1450</v>
      </c>
      <c r="AC6" s="916">
        <f>IF(NFI_Expiration=1,IF($A6&lt;VLOOKUP(O$5,NFI,5,0),1,0)*Data_NFI_t[[#This Row],[Kitchen Set]],0)</f>
        <v>0</v>
      </c>
      <c r="AD6" s="916">
        <f>IF(NFI_Expiration=1,IF($A6&lt;VLOOKUP(P$5,NFI,5,0),1,0)*Data_NFI_t[[#This Row],[Complementary Kit]],0)</f>
        <v>0</v>
      </c>
      <c r="AE6" s="916">
        <f>IF(NFI_Expiration=1,IF($A6&lt;VLOOKUP(Q$5,NFI,5,0),1,0)*Data_NFI_t[[#This Row],[Plastic Bucket]],0)</f>
        <v>1450</v>
      </c>
      <c r="AF6" s="915">
        <f>IF(NFI_Expiration=1,IF($A6&lt;VLOOKUP(R$5,NFI,5,0),1,0)*Data_NFI_t[[#This Row],[Jerry Can]],0)</f>
        <v>2900</v>
      </c>
      <c r="AG6" s="915">
        <f>IF(NFI_Expiration=1,IF($A6&lt;VLOOKUP(S$5,NFI,5,0),1,0)*Data_NFI_t[[#This Row],[Plastic Mat]],0)*IF(Data_NFI_t[[#This Row],[Distribution Date]]&gt;"01-06-2015",1,2.5)</f>
        <v>0</v>
      </c>
      <c r="AH6" s="915">
        <f>IF(NFI_Expiration=1,IF($A6&lt;VLOOKUP(T$5,NFI,5,0),1,0)*Data_NFI_t[[#This Row],[Adult Clothes]],0)</f>
        <v>2175</v>
      </c>
      <c r="AI6" s="915">
        <f>IF(NFI_Expiration=1,IF($A6&lt;VLOOKUP(U$5,NFI,5,0),1,0)*Data_NFI_t[[#This Row],[Children Clothes]],0)</f>
        <v>725</v>
      </c>
      <c r="AJ6" s="915">
        <f>IF(NFI_Expiration=1,IF($A6&lt;VLOOKUP(V$5,NFI,5,0),1,0)*Data_NFI_t[[#This Row],[Sewing Kit]],0)</f>
        <v>0</v>
      </c>
      <c r="AK6" s="131" t="str">
        <f ca="1">IFERROR(OFFSET(Camp_List[P_Code],MATCH(Data_NFI_t[[#This Row],[Camp Name]],Camp_List[Camp Name],0)-1,0,1,1),"")</f>
        <v>MMR012CMP116</v>
      </c>
      <c r="AL6" s="513" t="str">
        <f ca="1">IFERROR(OFFSET(Camp_List[Status],MATCH(Data_NFI_t[[#This Row],[Camp Name]],Camp_List[Camp Name],0)-1,0,1,1),"")</f>
        <v>Open</v>
      </c>
      <c r="AM6" s="131"/>
      <c r="AN6" s="986"/>
      <c r="AO6" s="986"/>
      <c r="AP6" s="796"/>
    </row>
    <row r="7" spans="1:64" s="52" customFormat="1" ht="25.5" customHeight="1" x14ac:dyDescent="0.25">
      <c r="A7" s="917">
        <f>IF(ISBLANK(C7),"",(Report_Date-C7)/30)</f>
        <v>-0.56666666666666665</v>
      </c>
      <c r="B7" s="918">
        <f>YEAR(Data_NFI_t[[#This Row],[Distribution Date]])</f>
        <v>2017</v>
      </c>
      <c r="C7" s="985">
        <v>42812</v>
      </c>
      <c r="D7" s="914" t="s">
        <v>707</v>
      </c>
      <c r="E7" s="914" t="s">
        <v>707</v>
      </c>
      <c r="F7" s="914" t="s">
        <v>7</v>
      </c>
      <c r="G7" s="920" t="s">
        <v>867</v>
      </c>
      <c r="H7" s="920" t="s">
        <v>38</v>
      </c>
      <c r="I7" s="921"/>
      <c r="J7" s="922"/>
      <c r="K7" s="922">
        <v>622</v>
      </c>
      <c r="L7" s="923"/>
      <c r="M7" s="923"/>
      <c r="N7" s="923"/>
      <c r="O7" s="923"/>
      <c r="P7" s="923"/>
      <c r="Q7" s="923"/>
      <c r="R7" s="924"/>
      <c r="S7" s="923"/>
      <c r="T7" s="923"/>
      <c r="U7" s="923"/>
      <c r="V7" s="923"/>
      <c r="W7" s="915">
        <f>IF(NFI_Expiration=1,IF($A7&lt;VLOOKUP(I$5,NFI,5,0),1,0)*Data_NFI_t[[#This Row],[Hygiene Kit]],0)</f>
        <v>0</v>
      </c>
      <c r="X7" s="915">
        <f>IF(NFI_Expiration=1,IF($A7&lt;VLOOKUP(J$5,NFI,5,0),1,0)*Data_NFI_t[[#This Row],[NFI Core Kit]],0)</f>
        <v>0</v>
      </c>
      <c r="Y7" s="916">
        <f>IF(NFI_Expiration=1,IF($A7&lt;VLOOKUP(K$5,NFI,5,0),1,0)*Data_NFI_t[[#This Row],[Sanitary Kit]],0)</f>
        <v>622</v>
      </c>
      <c r="Z7" s="916">
        <f>IF(NFI_Expiration=1,IF($A7&lt;VLOOKUP(L$5,NFI,5,0),1,0)*Data_NFI_t[[#This Row],[Mosquito net]],0)</f>
        <v>0</v>
      </c>
      <c r="AA7" s="916">
        <f>IF(NFI_Expiration=1,IF($A7&lt;VLOOKUP(M$5,NFI,5,0),1,0)*Data_NFI_t[[#This Row],[Tarpaulin]],0)</f>
        <v>0</v>
      </c>
      <c r="AB7" s="916">
        <f>IF(NFI_Expiration=1,IF($A7&lt;VLOOKUP(N$5,NFI,5,0),1,0)*Data_NFI_t[[#This Row],[Blanket]],0)</f>
        <v>0</v>
      </c>
      <c r="AC7" s="916">
        <f>IF(NFI_Expiration=1,IF($A7&lt;VLOOKUP(O$5,NFI,5,0),1,0)*Data_NFI_t[[#This Row],[Kitchen Set]],0)</f>
        <v>0</v>
      </c>
      <c r="AD7" s="916">
        <f>IF(NFI_Expiration=1,IF($A7&lt;VLOOKUP(P$5,NFI,5,0),1,0)*Data_NFI_t[[#This Row],[Complementary Kit]],0)</f>
        <v>0</v>
      </c>
      <c r="AE7" s="916">
        <f>IF(NFI_Expiration=1,IF($A7&lt;VLOOKUP(Q$5,NFI,5,0),1,0)*Data_NFI_t[[#This Row],[Plastic Bucket]],0)</f>
        <v>0</v>
      </c>
      <c r="AF7" s="915">
        <f>IF(NFI_Expiration=1,IF($A7&lt;VLOOKUP(R$5,NFI,5,0),1,0)*Data_NFI_t[[#This Row],[Jerry Can]],0)</f>
        <v>0</v>
      </c>
      <c r="AG7" s="915">
        <f>IF(NFI_Expiration=1,IF($A7&lt;VLOOKUP(S$5,NFI,5,0),1,0)*Data_NFI_t[[#This Row],[Plastic Mat]],0)*IF(Data_NFI_t[[#This Row],[Distribution Date]]&gt;"01-06-2015",1,2.5)</f>
        <v>0</v>
      </c>
      <c r="AH7" s="915">
        <f>IF(NFI_Expiration=1,IF($A7&lt;VLOOKUP(T$5,NFI,5,0),1,0)*Data_NFI_t[[#This Row],[Adult Clothes]],0)</f>
        <v>0</v>
      </c>
      <c r="AI7" s="915">
        <f>IF(NFI_Expiration=1,IF($A7&lt;VLOOKUP(U$5,NFI,5,0),1,0)*Data_NFI_t[[#This Row],[Children Clothes]],0)</f>
        <v>0</v>
      </c>
      <c r="AJ7" s="915">
        <f>IF(NFI_Expiration=1,IF($A7&lt;VLOOKUP(V$5,NFI,5,0),1,0)*Data_NFI_t[[#This Row],[Sewing Kit]],0)</f>
        <v>0</v>
      </c>
      <c r="AK7" s="131" t="str">
        <f ca="1">IFERROR(OFFSET(Camp_List[P_Code],MATCH(Data_NFI_t[[#This Row],[Camp Name]],Camp_List[Camp Name],0)-1,0,1,1),"")</f>
        <v>MMR012CMP014</v>
      </c>
      <c r="AL7" s="513" t="str">
        <f ca="1">IFERROR(OFFSET(Camp_List[Status],MATCH(Data_NFI_t[[#This Row],[Camp Name]],Camp_List[Camp Name],0)-1,0,1,1),"")</f>
        <v>Open</v>
      </c>
      <c r="AM7" s="131"/>
      <c r="AN7" s="986"/>
      <c r="AO7" s="986"/>
      <c r="AP7" s="796"/>
    </row>
    <row r="8" spans="1:64" s="52" customFormat="1" ht="25.5" customHeight="1" x14ac:dyDescent="0.25">
      <c r="A8" s="917">
        <f>IF(ISBLANK(C8),"",(Report_Date-C8)/30)</f>
        <v>-0.53333333333333333</v>
      </c>
      <c r="B8" s="918">
        <f>YEAR(Data_NFI_t[[#This Row],[Distribution Date]])</f>
        <v>2017</v>
      </c>
      <c r="C8" s="985">
        <v>42811</v>
      </c>
      <c r="D8" s="914" t="s">
        <v>285</v>
      </c>
      <c r="E8" s="914" t="s">
        <v>624</v>
      </c>
      <c r="F8" s="914" t="s">
        <v>7</v>
      </c>
      <c r="G8" s="920" t="s">
        <v>19</v>
      </c>
      <c r="H8" s="920" t="s">
        <v>68</v>
      </c>
      <c r="I8" s="921"/>
      <c r="J8" s="922"/>
      <c r="K8" s="922"/>
      <c r="L8" s="923">
        <v>2380</v>
      </c>
      <c r="M8" s="923"/>
      <c r="N8" s="923">
        <v>4760</v>
      </c>
      <c r="O8" s="923"/>
      <c r="P8" s="923"/>
      <c r="Q8" s="923"/>
      <c r="R8" s="924"/>
      <c r="S8" s="923">
        <v>11900</v>
      </c>
      <c r="T8" s="923"/>
      <c r="U8" s="923"/>
      <c r="V8" s="923"/>
      <c r="W8" s="915">
        <f>IF(NFI_Expiration=1,IF($A8&lt;VLOOKUP(I$5,NFI,5,0),1,0)*Data_NFI_t[[#This Row],[Hygiene Kit]],0)</f>
        <v>0</v>
      </c>
      <c r="X8" s="915">
        <f>IF(NFI_Expiration=1,IF($A8&lt;VLOOKUP(J$5,NFI,5,0),1,0)*Data_NFI_t[[#This Row],[NFI Core Kit]],0)</f>
        <v>0</v>
      </c>
      <c r="Y8" s="916">
        <f>IF(NFI_Expiration=1,IF($A8&lt;VLOOKUP(K$5,NFI,5,0),1,0)*Data_NFI_t[[#This Row],[Sanitary Kit]],0)</f>
        <v>0</v>
      </c>
      <c r="Z8" s="916">
        <f>IF(NFI_Expiration=1,IF($A8&lt;VLOOKUP(L$5,NFI,5,0),1,0)*Data_NFI_t[[#This Row],[Mosquito net]],0)</f>
        <v>2380</v>
      </c>
      <c r="AA8" s="916">
        <f>IF(NFI_Expiration=1,IF($A8&lt;VLOOKUP(M$5,NFI,5,0),1,0)*Data_NFI_t[[#This Row],[Tarpaulin]],0)</f>
        <v>0</v>
      </c>
      <c r="AB8" s="916">
        <f>IF(NFI_Expiration=1,IF($A8&lt;VLOOKUP(N$5,NFI,5,0),1,0)*Data_NFI_t[[#This Row],[Blanket]],0)</f>
        <v>4760</v>
      </c>
      <c r="AC8" s="916">
        <f>IF(NFI_Expiration=1,IF($A8&lt;VLOOKUP(O$5,NFI,5,0),1,0)*Data_NFI_t[[#This Row],[Kitchen Set]],0)</f>
        <v>0</v>
      </c>
      <c r="AD8" s="916">
        <f>IF(NFI_Expiration=1,IF($A8&lt;VLOOKUP(P$5,NFI,5,0),1,0)*Data_NFI_t[[#This Row],[Complementary Kit]],0)</f>
        <v>0</v>
      </c>
      <c r="AE8" s="916">
        <f>IF(NFI_Expiration=1,IF($A8&lt;VLOOKUP(Q$5,NFI,5,0),1,0)*Data_NFI_t[[#This Row],[Plastic Bucket]],0)</f>
        <v>0</v>
      </c>
      <c r="AF8" s="915">
        <f>IF(NFI_Expiration=1,IF($A8&lt;VLOOKUP(R$5,NFI,5,0),1,0)*Data_NFI_t[[#This Row],[Jerry Can]],0)</f>
        <v>0</v>
      </c>
      <c r="AG8" s="915">
        <f>IF(NFI_Expiration=1,IF($A8&lt;VLOOKUP(S$5,NFI,5,0),1,0)*Data_NFI_t[[#This Row],[Plastic Mat]],0)*IF(Data_NFI_t[[#This Row],[Distribution Date]]&gt;"01-06-2015",1,2.5)</f>
        <v>29750</v>
      </c>
      <c r="AH8" s="915">
        <f>IF(NFI_Expiration=1,IF($A8&lt;VLOOKUP(T$5,NFI,5,0),1,0)*Data_NFI_t[[#This Row],[Adult Clothes]],0)</f>
        <v>0</v>
      </c>
      <c r="AI8" s="915">
        <f>IF(NFI_Expiration=1,IF($A8&lt;VLOOKUP(U$5,NFI,5,0),1,0)*Data_NFI_t[[#This Row],[Children Clothes]],0)</f>
        <v>0</v>
      </c>
      <c r="AJ8" s="915">
        <f>IF(NFI_Expiration=1,IF($A8&lt;VLOOKUP(V$5,NFI,5,0),1,0)*Data_NFI_t[[#This Row],[Sewing Kit]],0)</f>
        <v>0</v>
      </c>
      <c r="AK8" s="131" t="str">
        <f ca="1">IFERROR(OFFSET(Camp_List[P_Code],MATCH(Data_NFI_t[[#This Row],[Camp Name]],Camp_List[Camp Name],0)-1,0,1,1),"")</f>
        <v>MMR012CMP046</v>
      </c>
      <c r="AL8" s="513" t="str">
        <f ca="1">IFERROR(OFFSET(Camp_List[Status],MATCH(Data_NFI_t[[#This Row],[Camp Name]],Camp_List[Camp Name],0)-1,0,1,1),"")</f>
        <v>Open</v>
      </c>
      <c r="AM8" s="131"/>
      <c r="AN8" s="986"/>
      <c r="AO8" s="986"/>
      <c r="AP8" s="796"/>
    </row>
    <row r="9" spans="1:64" s="52" customFormat="1" ht="25.5" customHeight="1" x14ac:dyDescent="0.25">
      <c r="A9" s="917">
        <f>IF(ISBLANK(C9),"",(Report_Date-C9)/30)</f>
        <v>-0.5</v>
      </c>
      <c r="B9" s="918">
        <f>YEAR(Data_NFI_t[[#This Row],[Distribution Date]])</f>
        <v>2017</v>
      </c>
      <c r="C9" s="985">
        <v>42810</v>
      </c>
      <c r="D9" s="914" t="s">
        <v>285</v>
      </c>
      <c r="E9" s="914" t="s">
        <v>624</v>
      </c>
      <c r="F9" s="914" t="s">
        <v>7</v>
      </c>
      <c r="G9" s="920" t="s">
        <v>14</v>
      </c>
      <c r="H9" s="920" t="s">
        <v>1070</v>
      </c>
      <c r="I9" s="921"/>
      <c r="J9" s="922"/>
      <c r="K9" s="922"/>
      <c r="L9" s="923">
        <v>856</v>
      </c>
      <c r="M9" s="923"/>
      <c r="N9" s="923"/>
      <c r="O9" s="923"/>
      <c r="P9" s="923"/>
      <c r="Q9" s="923"/>
      <c r="R9" s="924"/>
      <c r="S9" s="923"/>
      <c r="T9" s="923"/>
      <c r="U9" s="923"/>
      <c r="V9" s="923"/>
      <c r="W9" s="915">
        <f>IF(NFI_Expiration=1,IF($A9&lt;VLOOKUP(I$5,NFI,5,0),1,0)*Data_NFI_t[[#This Row],[Hygiene Kit]],0)</f>
        <v>0</v>
      </c>
      <c r="X9" s="915">
        <f>IF(NFI_Expiration=1,IF($A9&lt;VLOOKUP(J$5,NFI,5,0),1,0)*Data_NFI_t[[#This Row],[NFI Core Kit]],0)</f>
        <v>0</v>
      </c>
      <c r="Y9" s="916">
        <f>IF(NFI_Expiration=1,IF($A9&lt;VLOOKUP(K$5,NFI,5,0),1,0)*Data_NFI_t[[#This Row],[Sanitary Kit]],0)</f>
        <v>0</v>
      </c>
      <c r="Z9" s="916">
        <f>IF(NFI_Expiration=1,IF($A9&lt;VLOOKUP(L$5,NFI,5,0),1,0)*Data_NFI_t[[#This Row],[Mosquito net]],0)</f>
        <v>856</v>
      </c>
      <c r="AA9" s="916">
        <f>IF(NFI_Expiration=1,IF($A9&lt;VLOOKUP(M$5,NFI,5,0),1,0)*Data_NFI_t[[#This Row],[Tarpaulin]],0)</f>
        <v>0</v>
      </c>
      <c r="AB9" s="916">
        <f>IF(NFI_Expiration=1,IF($A9&lt;VLOOKUP(N$5,NFI,5,0),1,0)*Data_NFI_t[[#This Row],[Blanket]],0)</f>
        <v>0</v>
      </c>
      <c r="AC9" s="916">
        <f>IF(NFI_Expiration=1,IF($A9&lt;VLOOKUP(O$5,NFI,5,0),1,0)*Data_NFI_t[[#This Row],[Kitchen Set]],0)</f>
        <v>0</v>
      </c>
      <c r="AD9" s="916">
        <f>IF(NFI_Expiration=1,IF($A9&lt;VLOOKUP(P$5,NFI,5,0),1,0)*Data_NFI_t[[#This Row],[Complementary Kit]],0)</f>
        <v>0</v>
      </c>
      <c r="AE9" s="916">
        <f>IF(NFI_Expiration=1,IF($A9&lt;VLOOKUP(Q$5,NFI,5,0),1,0)*Data_NFI_t[[#This Row],[Plastic Bucket]],0)</f>
        <v>0</v>
      </c>
      <c r="AF9" s="915">
        <f>IF(NFI_Expiration=1,IF($A9&lt;VLOOKUP(R$5,NFI,5,0),1,0)*Data_NFI_t[[#This Row],[Jerry Can]],0)</f>
        <v>0</v>
      </c>
      <c r="AG9" s="915">
        <f>IF(NFI_Expiration=1,IF($A9&lt;VLOOKUP(S$5,NFI,5,0),1,0)*Data_NFI_t[[#This Row],[Plastic Mat]],0)*IF(Data_NFI_t[[#This Row],[Distribution Date]]&gt;"01-06-2015",1,2.5)</f>
        <v>0</v>
      </c>
      <c r="AH9" s="915">
        <f>IF(NFI_Expiration=1,IF($A9&lt;VLOOKUP(T$5,NFI,5,0),1,0)*Data_NFI_t[[#This Row],[Adult Clothes]],0)</f>
        <v>0</v>
      </c>
      <c r="AI9" s="915">
        <f>IF(NFI_Expiration=1,IF($A9&lt;VLOOKUP(U$5,NFI,5,0),1,0)*Data_NFI_t[[#This Row],[Children Clothes]],0)</f>
        <v>0</v>
      </c>
      <c r="AJ9" s="915">
        <f>IF(NFI_Expiration=1,IF($A9&lt;VLOOKUP(V$5,NFI,5,0),1,0)*Data_NFI_t[[#This Row],[Sewing Kit]],0)</f>
        <v>0</v>
      </c>
      <c r="AK9" s="131" t="str">
        <f ca="1">IFERROR(OFFSET(Camp_List[P_Code],MATCH(Data_NFI_t[[#This Row],[Camp Name]],Camp_List[Camp Name],0)-1,0,1,1),"")</f>
        <v>MMR012CMP017</v>
      </c>
      <c r="AL9" s="513" t="str">
        <f ca="1">IFERROR(OFFSET(Camp_List[Status],MATCH(Data_NFI_t[[#This Row],[Camp Name]],Camp_List[Camp Name],0)-1,0,1,1),"")</f>
        <v>Open</v>
      </c>
      <c r="AM9" s="131"/>
      <c r="AN9" s="986"/>
      <c r="AO9" s="986"/>
      <c r="AP9" s="796"/>
    </row>
    <row r="10" spans="1:64" s="52" customFormat="1" ht="25.5" customHeight="1" x14ac:dyDescent="0.25">
      <c r="A10" s="917">
        <f>IF(ISBLANK(C10),"",(Report_Date-C10)/30)</f>
        <v>-0.5</v>
      </c>
      <c r="B10" s="918">
        <f>YEAR(Data_NFI_t[[#This Row],[Distribution Date]])</f>
        <v>2017</v>
      </c>
      <c r="C10" s="985">
        <v>42810</v>
      </c>
      <c r="D10" s="914" t="s">
        <v>285</v>
      </c>
      <c r="E10" s="914" t="s">
        <v>624</v>
      </c>
      <c r="F10" s="914" t="s">
        <v>7</v>
      </c>
      <c r="G10" s="920" t="s">
        <v>14</v>
      </c>
      <c r="H10" s="920" t="s">
        <v>40</v>
      </c>
      <c r="I10" s="921"/>
      <c r="J10" s="922"/>
      <c r="K10" s="922"/>
      <c r="L10" s="923">
        <v>1238</v>
      </c>
      <c r="M10" s="923"/>
      <c r="N10" s="923"/>
      <c r="O10" s="923"/>
      <c r="P10" s="923"/>
      <c r="Q10" s="923"/>
      <c r="R10" s="924"/>
      <c r="S10" s="923"/>
      <c r="T10" s="923"/>
      <c r="U10" s="923"/>
      <c r="V10" s="923"/>
      <c r="W10" s="915">
        <f>IF(NFI_Expiration=1,IF($A10&lt;VLOOKUP(I$5,NFI,5,0),1,0)*Data_NFI_t[[#This Row],[Hygiene Kit]],0)</f>
        <v>0</v>
      </c>
      <c r="X10" s="915">
        <f>IF(NFI_Expiration=1,IF($A10&lt;VLOOKUP(J$5,NFI,5,0),1,0)*Data_NFI_t[[#This Row],[NFI Core Kit]],0)</f>
        <v>0</v>
      </c>
      <c r="Y10" s="916">
        <f>IF(NFI_Expiration=1,IF($A10&lt;VLOOKUP(K$5,NFI,5,0),1,0)*Data_NFI_t[[#This Row],[Sanitary Kit]],0)</f>
        <v>0</v>
      </c>
      <c r="Z10" s="916">
        <f>IF(NFI_Expiration=1,IF($A10&lt;VLOOKUP(L$5,NFI,5,0),1,0)*Data_NFI_t[[#This Row],[Mosquito net]],0)</f>
        <v>1238</v>
      </c>
      <c r="AA10" s="916">
        <f>IF(NFI_Expiration=1,IF($A10&lt;VLOOKUP(M$5,NFI,5,0),1,0)*Data_NFI_t[[#This Row],[Tarpaulin]],0)</f>
        <v>0</v>
      </c>
      <c r="AB10" s="916">
        <f>IF(NFI_Expiration=1,IF($A10&lt;VLOOKUP(N$5,NFI,5,0),1,0)*Data_NFI_t[[#This Row],[Blanket]],0)</f>
        <v>0</v>
      </c>
      <c r="AC10" s="916">
        <f>IF(NFI_Expiration=1,IF($A10&lt;VLOOKUP(O$5,NFI,5,0),1,0)*Data_NFI_t[[#This Row],[Kitchen Set]],0)</f>
        <v>0</v>
      </c>
      <c r="AD10" s="916">
        <f>IF(NFI_Expiration=1,IF($A10&lt;VLOOKUP(P$5,NFI,5,0),1,0)*Data_NFI_t[[#This Row],[Complementary Kit]],0)</f>
        <v>0</v>
      </c>
      <c r="AE10" s="916">
        <f>IF(NFI_Expiration=1,IF($A10&lt;VLOOKUP(Q$5,NFI,5,0),1,0)*Data_NFI_t[[#This Row],[Plastic Bucket]],0)</f>
        <v>0</v>
      </c>
      <c r="AF10" s="915">
        <f>IF(NFI_Expiration=1,IF($A10&lt;VLOOKUP(R$5,NFI,5,0),1,0)*Data_NFI_t[[#This Row],[Jerry Can]],0)</f>
        <v>0</v>
      </c>
      <c r="AG10" s="915">
        <f>IF(NFI_Expiration=1,IF($A10&lt;VLOOKUP(S$5,NFI,5,0),1,0)*Data_NFI_t[[#This Row],[Plastic Mat]],0)*IF(Data_NFI_t[[#This Row],[Distribution Date]]&gt;"01-06-2015",1,2.5)</f>
        <v>0</v>
      </c>
      <c r="AH10" s="915">
        <f>IF(NFI_Expiration=1,IF($A10&lt;VLOOKUP(T$5,NFI,5,0),1,0)*Data_NFI_t[[#This Row],[Adult Clothes]],0)</f>
        <v>0</v>
      </c>
      <c r="AI10" s="915">
        <f>IF(NFI_Expiration=1,IF($A10&lt;VLOOKUP(U$5,NFI,5,0),1,0)*Data_NFI_t[[#This Row],[Children Clothes]],0)</f>
        <v>0</v>
      </c>
      <c r="AJ10" s="915">
        <f>IF(NFI_Expiration=1,IF($A10&lt;VLOOKUP(V$5,NFI,5,0),1,0)*Data_NFI_t[[#This Row],[Sewing Kit]],0)</f>
        <v>0</v>
      </c>
      <c r="AK10" s="131" t="str">
        <f ca="1">IFERROR(OFFSET(Camp_List[P_Code],MATCH(Data_NFI_t[[#This Row],[Camp Name]],Camp_List[Camp Name],0)-1,0,1,1),"")</f>
        <v>MMR012CMP016</v>
      </c>
      <c r="AL10" s="513" t="str">
        <f ca="1">IFERROR(OFFSET(Camp_List[Status],MATCH(Data_NFI_t[[#This Row],[Camp Name]],Camp_List[Camp Name],0)-1,0,1,1),"")</f>
        <v>Open</v>
      </c>
      <c r="AM10" s="131"/>
      <c r="AN10" s="986"/>
      <c r="AO10" s="986"/>
      <c r="AP10" s="796"/>
    </row>
    <row r="11" spans="1:64" s="52" customFormat="1" ht="25.5" customHeight="1" x14ac:dyDescent="0.25">
      <c r="A11" s="917">
        <f>IF(ISBLANK(C11),"",(Report_Date-C11)/30)</f>
        <v>-0.43333333333333335</v>
      </c>
      <c r="B11" s="918">
        <f>YEAR(Data_NFI_t[[#This Row],[Distribution Date]])</f>
        <v>2017</v>
      </c>
      <c r="C11" s="985">
        <v>42808</v>
      </c>
      <c r="D11" s="914" t="s">
        <v>285</v>
      </c>
      <c r="E11" s="914" t="s">
        <v>624</v>
      </c>
      <c r="F11" s="914" t="s">
        <v>7</v>
      </c>
      <c r="G11" s="920" t="s">
        <v>19</v>
      </c>
      <c r="H11" s="920" t="s">
        <v>64</v>
      </c>
      <c r="I11" s="921"/>
      <c r="J11" s="922"/>
      <c r="K11" s="922"/>
      <c r="L11" s="923">
        <v>799</v>
      </c>
      <c r="M11" s="923"/>
      <c r="N11" s="923"/>
      <c r="O11" s="923">
        <v>799</v>
      </c>
      <c r="P11" s="923"/>
      <c r="Q11" s="923"/>
      <c r="R11" s="924"/>
      <c r="S11" s="923"/>
      <c r="T11" s="923"/>
      <c r="U11" s="923"/>
      <c r="V11" s="923"/>
      <c r="W11" s="915">
        <f>IF(NFI_Expiration=1,IF($A11&lt;VLOOKUP(I$5,NFI,5,0),1,0)*Data_NFI_t[[#This Row],[Hygiene Kit]],0)</f>
        <v>0</v>
      </c>
      <c r="X11" s="915">
        <f>IF(NFI_Expiration=1,IF($A11&lt;VLOOKUP(J$5,NFI,5,0),1,0)*Data_NFI_t[[#This Row],[NFI Core Kit]],0)</f>
        <v>0</v>
      </c>
      <c r="Y11" s="916">
        <f>IF(NFI_Expiration=1,IF($A11&lt;VLOOKUP(K$5,NFI,5,0),1,0)*Data_NFI_t[[#This Row],[Sanitary Kit]],0)</f>
        <v>0</v>
      </c>
      <c r="Z11" s="916">
        <f>IF(NFI_Expiration=1,IF($A11&lt;VLOOKUP(L$5,NFI,5,0),1,0)*Data_NFI_t[[#This Row],[Mosquito net]],0)</f>
        <v>799</v>
      </c>
      <c r="AA11" s="916">
        <f>IF(NFI_Expiration=1,IF($A11&lt;VLOOKUP(M$5,NFI,5,0),1,0)*Data_NFI_t[[#This Row],[Tarpaulin]],0)</f>
        <v>0</v>
      </c>
      <c r="AB11" s="916">
        <f>IF(NFI_Expiration=1,IF($A11&lt;VLOOKUP(N$5,NFI,5,0),1,0)*Data_NFI_t[[#This Row],[Blanket]],0)</f>
        <v>0</v>
      </c>
      <c r="AC11" s="916">
        <f>IF(NFI_Expiration=1,IF($A11&lt;VLOOKUP(O$5,NFI,5,0),1,0)*Data_NFI_t[[#This Row],[Kitchen Set]],0)</f>
        <v>799</v>
      </c>
      <c r="AD11" s="916">
        <f>IF(NFI_Expiration=1,IF($A11&lt;VLOOKUP(P$5,NFI,5,0),1,0)*Data_NFI_t[[#This Row],[Complementary Kit]],0)</f>
        <v>0</v>
      </c>
      <c r="AE11" s="916">
        <f>IF(NFI_Expiration=1,IF($A11&lt;VLOOKUP(Q$5,NFI,5,0),1,0)*Data_NFI_t[[#This Row],[Plastic Bucket]],0)</f>
        <v>0</v>
      </c>
      <c r="AF11" s="915">
        <f>IF(NFI_Expiration=1,IF($A11&lt;VLOOKUP(R$5,NFI,5,0),1,0)*Data_NFI_t[[#This Row],[Jerry Can]],0)</f>
        <v>0</v>
      </c>
      <c r="AG11" s="915">
        <f>IF(NFI_Expiration=1,IF($A11&lt;VLOOKUP(S$5,NFI,5,0),1,0)*Data_NFI_t[[#This Row],[Plastic Mat]],0)*IF(Data_NFI_t[[#This Row],[Distribution Date]]&gt;"01-06-2015",1,2.5)</f>
        <v>0</v>
      </c>
      <c r="AH11" s="915">
        <f>IF(NFI_Expiration=1,IF($A11&lt;VLOOKUP(T$5,NFI,5,0),1,0)*Data_NFI_t[[#This Row],[Adult Clothes]],0)</f>
        <v>0</v>
      </c>
      <c r="AI11" s="915">
        <f>IF(NFI_Expiration=1,IF($A11&lt;VLOOKUP(U$5,NFI,5,0),1,0)*Data_NFI_t[[#This Row],[Children Clothes]],0)</f>
        <v>0</v>
      </c>
      <c r="AJ11" s="915">
        <f>IF(NFI_Expiration=1,IF($A11&lt;VLOOKUP(V$5,NFI,5,0),1,0)*Data_NFI_t[[#This Row],[Sewing Kit]],0)</f>
        <v>0</v>
      </c>
      <c r="AK11" s="131" t="str">
        <f ca="1">IFERROR(OFFSET(Camp_List[P_Code],MATCH(Data_NFI_t[[#This Row],[Camp Name]],Camp_List[Camp Name],0)-1,0,1,1),"")</f>
        <v>MMR012CMP042</v>
      </c>
      <c r="AL11" s="513" t="str">
        <f ca="1">IFERROR(OFFSET(Camp_List[Status],MATCH(Data_NFI_t[[#This Row],[Camp Name]],Camp_List[Camp Name],0)-1,0,1,1),"")</f>
        <v>Open</v>
      </c>
      <c r="AM11" s="131"/>
      <c r="AN11" s="986"/>
      <c r="AO11" s="986"/>
      <c r="AP11" s="796"/>
    </row>
    <row r="12" spans="1:64" s="52" customFormat="1" ht="25.5" customHeight="1" x14ac:dyDescent="0.25">
      <c r="A12" s="917">
        <f>IF(ISBLANK(C12),"",(Report_Date-C12)/30)</f>
        <v>-0.3</v>
      </c>
      <c r="B12" s="918">
        <f>YEAR(Data_NFI_t[[#This Row],[Distribution Date]])</f>
        <v>2017</v>
      </c>
      <c r="C12" s="985">
        <v>42804</v>
      </c>
      <c r="D12" s="914" t="s">
        <v>285</v>
      </c>
      <c r="E12" s="914" t="s">
        <v>624</v>
      </c>
      <c r="F12" s="914" t="s">
        <v>7</v>
      </c>
      <c r="G12" s="920" t="s">
        <v>19</v>
      </c>
      <c r="H12" s="920" t="s">
        <v>61</v>
      </c>
      <c r="I12" s="921"/>
      <c r="J12" s="922"/>
      <c r="K12" s="922"/>
      <c r="L12" s="923">
        <v>397</v>
      </c>
      <c r="M12" s="923"/>
      <c r="N12" s="923">
        <v>794</v>
      </c>
      <c r="O12" s="923">
        <v>397</v>
      </c>
      <c r="P12" s="923"/>
      <c r="Q12" s="923"/>
      <c r="R12" s="924"/>
      <c r="S12" s="923">
        <v>1859</v>
      </c>
      <c r="T12" s="923"/>
      <c r="U12" s="923"/>
      <c r="V12" s="923"/>
      <c r="W12" s="915">
        <f>IF(NFI_Expiration=1,IF($A12&lt;VLOOKUP(I$5,NFI,5,0),1,0)*Data_NFI_t[[#This Row],[Hygiene Kit]],0)</f>
        <v>0</v>
      </c>
      <c r="X12" s="915">
        <f>IF(NFI_Expiration=1,IF($A12&lt;VLOOKUP(J$5,NFI,5,0),1,0)*Data_NFI_t[[#This Row],[NFI Core Kit]],0)</f>
        <v>0</v>
      </c>
      <c r="Y12" s="916">
        <f>IF(NFI_Expiration=1,IF($A12&lt;VLOOKUP(K$5,NFI,5,0),1,0)*Data_NFI_t[[#This Row],[Sanitary Kit]],0)</f>
        <v>0</v>
      </c>
      <c r="Z12" s="916">
        <f>IF(NFI_Expiration=1,IF($A12&lt;VLOOKUP(L$5,NFI,5,0),1,0)*Data_NFI_t[[#This Row],[Mosquito net]],0)</f>
        <v>397</v>
      </c>
      <c r="AA12" s="916">
        <f>IF(NFI_Expiration=1,IF($A12&lt;VLOOKUP(M$5,NFI,5,0),1,0)*Data_NFI_t[[#This Row],[Tarpaulin]],0)</f>
        <v>0</v>
      </c>
      <c r="AB12" s="916">
        <f>IF(NFI_Expiration=1,IF($A12&lt;VLOOKUP(N$5,NFI,5,0),1,0)*Data_NFI_t[[#This Row],[Blanket]],0)</f>
        <v>794</v>
      </c>
      <c r="AC12" s="916">
        <f>IF(NFI_Expiration=1,IF($A12&lt;VLOOKUP(O$5,NFI,5,0),1,0)*Data_NFI_t[[#This Row],[Kitchen Set]],0)</f>
        <v>397</v>
      </c>
      <c r="AD12" s="916">
        <f>IF(NFI_Expiration=1,IF($A12&lt;VLOOKUP(P$5,NFI,5,0),1,0)*Data_NFI_t[[#This Row],[Complementary Kit]],0)</f>
        <v>0</v>
      </c>
      <c r="AE12" s="916">
        <f>IF(NFI_Expiration=1,IF($A12&lt;VLOOKUP(Q$5,NFI,5,0),1,0)*Data_NFI_t[[#This Row],[Plastic Bucket]],0)</f>
        <v>0</v>
      </c>
      <c r="AF12" s="915">
        <f>IF(NFI_Expiration=1,IF($A12&lt;VLOOKUP(R$5,NFI,5,0),1,0)*Data_NFI_t[[#This Row],[Jerry Can]],0)</f>
        <v>0</v>
      </c>
      <c r="AG12" s="915">
        <f>IF(NFI_Expiration=1,IF($A12&lt;VLOOKUP(S$5,NFI,5,0),1,0)*Data_NFI_t[[#This Row],[Plastic Mat]],0)*IF(Data_NFI_t[[#This Row],[Distribution Date]]&gt;"01-06-2015",1,2.5)</f>
        <v>4647.5</v>
      </c>
      <c r="AH12" s="915">
        <f>IF(NFI_Expiration=1,IF($A12&lt;VLOOKUP(T$5,NFI,5,0),1,0)*Data_NFI_t[[#This Row],[Adult Clothes]],0)</f>
        <v>0</v>
      </c>
      <c r="AI12" s="915">
        <f>IF(NFI_Expiration=1,IF($A12&lt;VLOOKUP(U$5,NFI,5,0),1,0)*Data_NFI_t[[#This Row],[Children Clothes]],0)</f>
        <v>0</v>
      </c>
      <c r="AJ12" s="915">
        <f>IF(NFI_Expiration=1,IF($A12&lt;VLOOKUP(V$5,NFI,5,0),1,0)*Data_NFI_t[[#This Row],[Sewing Kit]],0)</f>
        <v>0</v>
      </c>
      <c r="AK12" s="131" t="str">
        <f ca="1">IFERROR(OFFSET(Camp_List[P_Code],MATCH(Data_NFI_t[[#This Row],[Camp Name]],Camp_List[Camp Name],0)-1,0,1,1),"")</f>
        <v>MMR012CMP039</v>
      </c>
      <c r="AL12" s="513" t="str">
        <f ca="1">IFERROR(OFFSET(Camp_List[Status],MATCH(Data_NFI_t[[#This Row],[Camp Name]],Camp_List[Camp Name],0)-1,0,1,1),"")</f>
        <v>Open</v>
      </c>
      <c r="AM12" s="131"/>
      <c r="AN12" s="986"/>
      <c r="AO12" s="986"/>
      <c r="AP12" s="796"/>
    </row>
    <row r="13" spans="1:64" s="52" customFormat="1" ht="25.5" customHeight="1" x14ac:dyDescent="0.25">
      <c r="A13" s="917">
        <f>IF(ISBLANK(C13),"",(Report_Date-C13)/30)</f>
        <v>-0.16666666666666666</v>
      </c>
      <c r="B13" s="918">
        <f>YEAR(Data_NFI_t[[#This Row],[Distribution Date]])</f>
        <v>2017</v>
      </c>
      <c r="C13" s="985">
        <v>42800</v>
      </c>
      <c r="D13" s="914" t="s">
        <v>971</v>
      </c>
      <c r="E13" s="914" t="s">
        <v>971</v>
      </c>
      <c r="F13" s="914" t="s">
        <v>7</v>
      </c>
      <c r="G13" s="920" t="s">
        <v>16</v>
      </c>
      <c r="H13" s="920" t="s">
        <v>57</v>
      </c>
      <c r="I13" s="921"/>
      <c r="J13" s="922">
        <v>270</v>
      </c>
      <c r="K13" s="922"/>
      <c r="L13" s="923"/>
      <c r="M13" s="923"/>
      <c r="N13" s="923">
        <v>270</v>
      </c>
      <c r="O13" s="923"/>
      <c r="P13" s="923"/>
      <c r="Q13" s="923"/>
      <c r="R13" s="924"/>
      <c r="S13" s="923"/>
      <c r="T13" s="923"/>
      <c r="U13" s="923"/>
      <c r="V13" s="923"/>
      <c r="W13" s="915">
        <f>IF(NFI_Expiration=1,IF($A13&lt;VLOOKUP(I$5,NFI,5,0),1,0)*Data_NFI_t[[#This Row],[Hygiene Kit]],0)</f>
        <v>0</v>
      </c>
      <c r="X13" s="915">
        <f>IF(NFI_Expiration=1,IF($A13&lt;VLOOKUP(J$5,NFI,5,0),1,0)*Data_NFI_t[[#This Row],[NFI Core Kit]],0)</f>
        <v>270</v>
      </c>
      <c r="Y13" s="916">
        <f>IF(NFI_Expiration=1,IF($A13&lt;VLOOKUP(K$5,NFI,5,0),1,0)*Data_NFI_t[[#This Row],[Sanitary Kit]],0)</f>
        <v>0</v>
      </c>
      <c r="Z13" s="916">
        <f>IF(NFI_Expiration=1,IF($A13&lt;VLOOKUP(L$5,NFI,5,0),1,0)*Data_NFI_t[[#This Row],[Mosquito net]],0)</f>
        <v>0</v>
      </c>
      <c r="AA13" s="916">
        <f>IF(NFI_Expiration=1,IF($A13&lt;VLOOKUP(M$5,NFI,5,0),1,0)*Data_NFI_t[[#This Row],[Tarpaulin]],0)</f>
        <v>0</v>
      </c>
      <c r="AB13" s="916">
        <f>IF(NFI_Expiration=1,IF($A13&lt;VLOOKUP(N$5,NFI,5,0),1,0)*Data_NFI_t[[#This Row],[Blanket]],0)</f>
        <v>270</v>
      </c>
      <c r="AC13" s="916">
        <f>IF(NFI_Expiration=1,IF($A13&lt;VLOOKUP(O$5,NFI,5,0),1,0)*Data_NFI_t[[#This Row],[Kitchen Set]],0)</f>
        <v>0</v>
      </c>
      <c r="AD13" s="916">
        <f>IF(NFI_Expiration=1,IF($A13&lt;VLOOKUP(P$5,NFI,5,0),1,0)*Data_NFI_t[[#This Row],[Complementary Kit]],0)</f>
        <v>0</v>
      </c>
      <c r="AE13" s="916">
        <f>IF(NFI_Expiration=1,IF($A13&lt;VLOOKUP(Q$5,NFI,5,0),1,0)*Data_NFI_t[[#This Row],[Plastic Bucket]],0)</f>
        <v>0</v>
      </c>
      <c r="AF13" s="915">
        <f>IF(NFI_Expiration=1,IF($A13&lt;VLOOKUP(R$5,NFI,5,0),1,0)*Data_NFI_t[[#This Row],[Jerry Can]],0)</f>
        <v>0</v>
      </c>
      <c r="AG13" s="915">
        <f>IF(NFI_Expiration=1,IF($A13&lt;VLOOKUP(S$5,NFI,5,0),1,0)*Data_NFI_t[[#This Row],[Plastic Mat]],0)*IF(Data_NFI_t[[#This Row],[Distribution Date]]&gt;"01-06-2015",1,2.5)</f>
        <v>0</v>
      </c>
      <c r="AH13" s="915">
        <f>IF(NFI_Expiration=1,IF($A13&lt;VLOOKUP(T$5,NFI,5,0),1,0)*Data_NFI_t[[#This Row],[Adult Clothes]],0)</f>
        <v>0</v>
      </c>
      <c r="AI13" s="915">
        <f>IF(NFI_Expiration=1,IF($A13&lt;VLOOKUP(U$5,NFI,5,0),1,0)*Data_NFI_t[[#This Row],[Children Clothes]],0)</f>
        <v>0</v>
      </c>
      <c r="AJ13" s="915">
        <f>IF(NFI_Expiration=1,IF($A13&lt;VLOOKUP(V$5,NFI,5,0),1,0)*Data_NFI_t[[#This Row],[Sewing Kit]],0)</f>
        <v>0</v>
      </c>
      <c r="AK13" s="131" t="str">
        <f ca="1">IFERROR(OFFSET(Camp_List[P_Code],MATCH(Data_NFI_t[[#This Row],[Camp Name]],Camp_List[Camp Name],0)-1,0,1,1),"")</f>
        <v>MMR012CMP034</v>
      </c>
      <c r="AL13" s="513" t="str">
        <f ca="1">IFERROR(OFFSET(Camp_List[Status],MATCH(Data_NFI_t[[#This Row],[Camp Name]],Camp_List[Camp Name],0)-1,0,1,1),"")</f>
        <v>Open</v>
      </c>
      <c r="AM13" s="131"/>
      <c r="AN13" s="986"/>
      <c r="AO13" s="986"/>
      <c r="AP13" s="796"/>
    </row>
    <row r="14" spans="1:64" s="962" customFormat="1" ht="21" customHeight="1" x14ac:dyDescent="0.25">
      <c r="A14" s="965">
        <f>IF(ISBLANK(C14),"",(Report_Date-C14)/30)</f>
        <v>6.6666666666666666E-2</v>
      </c>
      <c r="B14" s="966">
        <f>YEAR(Data_NFI_t[[#This Row],[Distribution Date]])</f>
        <v>2017</v>
      </c>
      <c r="C14" s="967">
        <v>42793</v>
      </c>
      <c r="D14" s="968" t="s">
        <v>295</v>
      </c>
      <c r="E14" s="969" t="s">
        <v>295</v>
      </c>
      <c r="F14" s="968" t="s">
        <v>7</v>
      </c>
      <c r="G14" s="963" t="s">
        <v>19</v>
      </c>
      <c r="H14" s="963" t="s">
        <v>636</v>
      </c>
      <c r="I14" s="964"/>
      <c r="J14" s="970"/>
      <c r="K14" s="970"/>
      <c r="L14" s="971"/>
      <c r="M14" s="971"/>
      <c r="N14" s="971"/>
      <c r="O14" s="971"/>
      <c r="P14" s="971"/>
      <c r="Q14" s="971"/>
      <c r="R14" s="972"/>
      <c r="S14" s="971"/>
      <c r="T14" s="971"/>
      <c r="U14" s="971">
        <v>2009</v>
      </c>
      <c r="V14" s="971"/>
      <c r="W14" s="973">
        <f>IF(NFI_Expiration=1,IF($A14&lt;VLOOKUP(I$5,NFI,5,0),1,0)*Data_NFI_t[[#This Row],[Hygiene Kit]],0)</f>
        <v>0</v>
      </c>
      <c r="X14" s="973">
        <f>IF(NFI_Expiration=1,IF($A14&lt;VLOOKUP(J$5,NFI,5,0),1,0)*Data_NFI_t[[#This Row],[NFI Core Kit]],0)</f>
        <v>0</v>
      </c>
      <c r="Y14" s="974">
        <f>IF(NFI_Expiration=1,IF($A14&lt;VLOOKUP(K$5,NFI,5,0),1,0)*Data_NFI_t[[#This Row],[Sanitary Kit]],0)</f>
        <v>0</v>
      </c>
      <c r="Z14" s="974">
        <f>IF(NFI_Expiration=1,IF($A14&lt;VLOOKUP(L$5,NFI,5,0),1,0)*Data_NFI_t[[#This Row],[Mosquito net]],0)</f>
        <v>0</v>
      </c>
      <c r="AA14" s="974">
        <f>IF(NFI_Expiration=1,IF($A14&lt;VLOOKUP(M$5,NFI,5,0),1,0)*Data_NFI_t[[#This Row],[Tarpaulin]],0)</f>
        <v>0</v>
      </c>
      <c r="AB14" s="974">
        <f>IF(NFI_Expiration=1,IF($A14&lt;VLOOKUP(N$5,NFI,5,0),1,0)*Data_NFI_t[[#This Row],[Blanket]],0)</f>
        <v>0</v>
      </c>
      <c r="AC14" s="974">
        <f>IF(NFI_Expiration=1,IF($A14&lt;VLOOKUP(O$5,NFI,5,0),1,0)*Data_NFI_t[[#This Row],[Kitchen Set]],0)</f>
        <v>0</v>
      </c>
      <c r="AD14" s="974">
        <f>IF(NFI_Expiration=1,IF($A14&lt;VLOOKUP(P$5,NFI,5,0),1,0)*Data_NFI_t[[#This Row],[Complementary Kit]],0)</f>
        <v>0</v>
      </c>
      <c r="AE14" s="974">
        <f>IF(NFI_Expiration=1,IF($A14&lt;VLOOKUP(Q$5,NFI,5,0),1,0)*Data_NFI_t[[#This Row],[Plastic Bucket]],0)</f>
        <v>0</v>
      </c>
      <c r="AF14" s="973">
        <f>IF(NFI_Expiration=1,IF($A14&lt;VLOOKUP(R$5,NFI,5,0),1,0)*Data_NFI_t[[#This Row],[Jerry Can]],0)</f>
        <v>0</v>
      </c>
      <c r="AG14" s="973">
        <f>IF(NFI_Expiration=1,IF($A14&lt;VLOOKUP(S$5,NFI,5,0),1,0)*Data_NFI_t[[#This Row],[Plastic Mat]],0)*IF(Data_NFI_t[[#This Row],[Distribution Date]]&gt;"01-06-2015",1,2.5)</f>
        <v>0</v>
      </c>
      <c r="AH14" s="973">
        <f>IF(NFI_Expiration=1,IF($A14&lt;VLOOKUP(T$5,NFI,5,0),1,0)*Data_NFI_t[[#This Row],[Adult Clothes]],0)</f>
        <v>0</v>
      </c>
      <c r="AI14" s="973">
        <f>IF(NFI_Expiration=1,IF($A14&lt;VLOOKUP(U$5,NFI,5,0),1,0)*Data_NFI_t[[#This Row],[Children Clothes]],0)</f>
        <v>2009</v>
      </c>
      <c r="AJ14" s="973">
        <f>IF(NFI_Expiration=1,IF($A14&lt;VLOOKUP(V$5,NFI,5,0),1,0)*Data_NFI_t[[#This Row],[Sewing Kit]],0)</f>
        <v>0</v>
      </c>
      <c r="AK14" s="975" t="str">
        <f ca="1">IFERROR(OFFSET(Camp_List[P_Code],MATCH(Data_NFI_t[[#This Row],[Camp Name]],Camp_List[Camp Name],0)-1,0,1,1),"")</f>
        <v>MMR012CMP116</v>
      </c>
      <c r="AL14" s="976" t="str">
        <f ca="1">IFERROR(OFFSET(Camp_List[Status],MATCH(Data_NFI_t[[#This Row],[Camp Name]],Camp_List[Camp Name],0)-1,0,1,1),"")</f>
        <v>Open</v>
      </c>
      <c r="AM14" s="975"/>
    </row>
    <row r="15" spans="1:64" s="962" customFormat="1" ht="21" customHeight="1" x14ac:dyDescent="0.25">
      <c r="A15" s="965">
        <f>IF(ISBLANK(C15),"",(Report_Date-C15)/30)</f>
        <v>0.76666666666666672</v>
      </c>
      <c r="B15" s="966">
        <f>YEAR(Data_NFI_t[[#This Row],[Distribution Date]])</f>
        <v>2017</v>
      </c>
      <c r="C15" s="967">
        <v>42772</v>
      </c>
      <c r="D15" s="968" t="s">
        <v>1143</v>
      </c>
      <c r="E15" s="969" t="s">
        <v>624</v>
      </c>
      <c r="F15" s="968" t="s">
        <v>7</v>
      </c>
      <c r="G15" s="963" t="s">
        <v>19</v>
      </c>
      <c r="H15" s="963" t="s">
        <v>68</v>
      </c>
      <c r="I15" s="964"/>
      <c r="J15" s="970"/>
      <c r="K15" s="970"/>
      <c r="L15" s="971"/>
      <c r="M15" s="971"/>
      <c r="N15" s="971"/>
      <c r="O15" s="971"/>
      <c r="P15" s="971"/>
      <c r="Q15" s="971"/>
      <c r="R15" s="972"/>
      <c r="S15" s="971"/>
      <c r="T15" s="971"/>
      <c r="U15" s="977">
        <v>2017</v>
      </c>
      <c r="V15" s="971"/>
      <c r="W15" s="973">
        <f>IF(NFI_Expiration=1,IF($A15&lt;VLOOKUP(I$5,NFI,5,0),1,0)*Data_NFI_t[[#This Row],[Hygiene Kit]],0)</f>
        <v>0</v>
      </c>
      <c r="X15" s="973">
        <f>IF(NFI_Expiration=1,IF($A15&lt;VLOOKUP(J$5,NFI,5,0),1,0)*Data_NFI_t[[#This Row],[NFI Core Kit]],0)</f>
        <v>0</v>
      </c>
      <c r="Y15" s="974">
        <f>IF(NFI_Expiration=1,IF($A15&lt;VLOOKUP(K$5,NFI,5,0),1,0)*Data_NFI_t[[#This Row],[Sanitary Kit]],0)</f>
        <v>0</v>
      </c>
      <c r="Z15" s="974">
        <f>IF(NFI_Expiration=1,IF($A15&lt;VLOOKUP(L$5,NFI,5,0),1,0)*Data_NFI_t[[#This Row],[Mosquito net]],0)</f>
        <v>0</v>
      </c>
      <c r="AA15" s="974">
        <f>IF(NFI_Expiration=1,IF($A15&lt;VLOOKUP(M$5,NFI,5,0),1,0)*Data_NFI_t[[#This Row],[Tarpaulin]],0)</f>
        <v>0</v>
      </c>
      <c r="AB15" s="974">
        <f>IF(NFI_Expiration=1,IF($A15&lt;VLOOKUP(N$5,NFI,5,0),1,0)*Data_NFI_t[[#This Row],[Blanket]],0)</f>
        <v>0</v>
      </c>
      <c r="AC15" s="974">
        <f>IF(NFI_Expiration=1,IF($A15&lt;VLOOKUP(O$5,NFI,5,0),1,0)*Data_NFI_t[[#This Row],[Kitchen Set]],0)</f>
        <v>0</v>
      </c>
      <c r="AD15" s="974">
        <f>IF(NFI_Expiration=1,IF($A15&lt;VLOOKUP(P$5,NFI,5,0),1,0)*Data_NFI_t[[#This Row],[Complementary Kit]],0)</f>
        <v>0</v>
      </c>
      <c r="AE15" s="974">
        <f>IF(NFI_Expiration=1,IF($A15&lt;VLOOKUP(Q$5,NFI,5,0),1,0)*Data_NFI_t[[#This Row],[Plastic Bucket]],0)</f>
        <v>0</v>
      </c>
      <c r="AF15" s="973">
        <f>IF(NFI_Expiration=1,IF($A15&lt;VLOOKUP(R$5,NFI,5,0),1,0)*Data_NFI_t[[#This Row],[Jerry Can]],0)</f>
        <v>0</v>
      </c>
      <c r="AG15" s="973">
        <f>IF(NFI_Expiration=1,IF($A15&lt;VLOOKUP(S$5,NFI,5,0),1,0)*Data_NFI_t[[#This Row],[Plastic Mat]],0)*IF(Data_NFI_t[[#This Row],[Distribution Date]]&gt;"01-06-2015",1,2.5)</f>
        <v>0</v>
      </c>
      <c r="AH15" s="973">
        <f>IF(NFI_Expiration=1,IF($A15&lt;VLOOKUP(T$5,NFI,5,0),1,0)*Data_NFI_t[[#This Row],[Adult Clothes]],0)</f>
        <v>0</v>
      </c>
      <c r="AI15" s="973">
        <f>IF(NFI_Expiration=1,IF($A15&lt;VLOOKUP(U$5,NFI,5,0),1,0)*Data_NFI_t[[#This Row],[Children Clothes]],0)</f>
        <v>2017</v>
      </c>
      <c r="AJ15" s="973">
        <f>IF(NFI_Expiration=1,IF($A15&lt;VLOOKUP(V$5,NFI,5,0),1,0)*Data_NFI_t[[#This Row],[Sewing Kit]],0)</f>
        <v>0</v>
      </c>
      <c r="AK15" s="975" t="str">
        <f ca="1">IFERROR(OFFSET(Camp_List[P_Code],MATCH(Data_NFI_t[[#This Row],[Camp Name]],Camp_List[Camp Name],0)-1,0,1,1),"")</f>
        <v>MMR012CMP046</v>
      </c>
      <c r="AL15" s="976" t="str">
        <f ca="1">IFERROR(OFFSET(Camp_List[Status],MATCH(Data_NFI_t[[#This Row],[Camp Name]],Camp_List[Camp Name],0)-1,0,1,1),"")</f>
        <v>Open</v>
      </c>
      <c r="AM15" s="975"/>
    </row>
    <row r="16" spans="1:64" s="962" customFormat="1" ht="21" customHeight="1" x14ac:dyDescent="0.25">
      <c r="A16" s="965">
        <f>IF(ISBLANK(C16),"",(Report_Date-C16)/30)</f>
        <v>0.96666666666666667</v>
      </c>
      <c r="B16" s="966">
        <f>YEAR(Data_NFI_t[[#This Row],[Distribution Date]])</f>
        <v>2017</v>
      </c>
      <c r="C16" s="967">
        <v>42766</v>
      </c>
      <c r="D16" s="968" t="s">
        <v>1140</v>
      </c>
      <c r="E16" s="969" t="s">
        <v>1140</v>
      </c>
      <c r="F16" s="968" t="s">
        <v>7</v>
      </c>
      <c r="G16" s="963" t="s">
        <v>19</v>
      </c>
      <c r="H16" s="963" t="s">
        <v>61</v>
      </c>
      <c r="I16" s="964"/>
      <c r="J16" s="970"/>
      <c r="K16" s="970">
        <v>397</v>
      </c>
      <c r="L16" s="971"/>
      <c r="M16" s="971"/>
      <c r="N16" s="971"/>
      <c r="O16" s="971"/>
      <c r="P16" s="971"/>
      <c r="Q16" s="971"/>
      <c r="R16" s="972"/>
      <c r="S16" s="971"/>
      <c r="T16" s="971"/>
      <c r="U16" s="971"/>
      <c r="V16" s="971"/>
      <c r="W16" s="973">
        <f>IF(NFI_Expiration=1,IF($A16&lt;VLOOKUP(I$5,NFI,5,0),1,0)*Data_NFI_t[[#This Row],[Hygiene Kit]],0)</f>
        <v>0</v>
      </c>
      <c r="X16" s="973">
        <f>IF(NFI_Expiration=1,IF($A16&lt;VLOOKUP(J$5,NFI,5,0),1,0)*Data_NFI_t[[#This Row],[NFI Core Kit]],0)</f>
        <v>0</v>
      </c>
      <c r="Y16" s="974">
        <f>IF(NFI_Expiration=1,IF($A16&lt;VLOOKUP(K$5,NFI,5,0),1,0)*Data_NFI_t[[#This Row],[Sanitary Kit]],0)</f>
        <v>397</v>
      </c>
      <c r="Z16" s="974">
        <f>IF(NFI_Expiration=1,IF($A16&lt;VLOOKUP(L$5,NFI,5,0),1,0)*Data_NFI_t[[#This Row],[Mosquito net]],0)</f>
        <v>0</v>
      </c>
      <c r="AA16" s="974">
        <f>IF(NFI_Expiration=1,IF($A16&lt;VLOOKUP(M$5,NFI,5,0),1,0)*Data_NFI_t[[#This Row],[Tarpaulin]],0)</f>
        <v>0</v>
      </c>
      <c r="AB16" s="974">
        <f>IF(NFI_Expiration=1,IF($A16&lt;VLOOKUP(N$5,NFI,5,0),1,0)*Data_NFI_t[[#This Row],[Blanket]],0)</f>
        <v>0</v>
      </c>
      <c r="AC16" s="974">
        <f>IF(NFI_Expiration=1,IF($A16&lt;VLOOKUP(O$5,NFI,5,0),1,0)*Data_NFI_t[[#This Row],[Kitchen Set]],0)</f>
        <v>0</v>
      </c>
      <c r="AD16" s="974">
        <f>IF(NFI_Expiration=1,IF($A16&lt;VLOOKUP(P$5,NFI,5,0),1,0)*Data_NFI_t[[#This Row],[Complementary Kit]],0)</f>
        <v>0</v>
      </c>
      <c r="AE16" s="974">
        <f>IF(NFI_Expiration=1,IF($A16&lt;VLOOKUP(Q$5,NFI,5,0),1,0)*Data_NFI_t[[#This Row],[Plastic Bucket]],0)</f>
        <v>0</v>
      </c>
      <c r="AF16" s="973">
        <f>IF(NFI_Expiration=1,IF($A16&lt;VLOOKUP(R$5,NFI,5,0),1,0)*Data_NFI_t[[#This Row],[Jerry Can]],0)</f>
        <v>0</v>
      </c>
      <c r="AG16" s="973">
        <f>IF(NFI_Expiration=1,IF($A16&lt;VLOOKUP(S$5,NFI,5,0),1,0)*Data_NFI_t[[#This Row],[Plastic Mat]],0)*IF(Data_NFI_t[[#This Row],[Distribution Date]]&gt;"01-06-2015",1,2.5)</f>
        <v>0</v>
      </c>
      <c r="AH16" s="973">
        <f>IF(NFI_Expiration=1,IF($A16&lt;VLOOKUP(T$5,NFI,5,0),1,0)*Data_NFI_t[[#This Row],[Adult Clothes]],0)</f>
        <v>0</v>
      </c>
      <c r="AI16" s="973">
        <f>IF(NFI_Expiration=1,IF($A16&lt;VLOOKUP(U$5,NFI,5,0),1,0)*Data_NFI_t[[#This Row],[Children Clothes]],0)</f>
        <v>0</v>
      </c>
      <c r="AJ16" s="973">
        <f>IF(NFI_Expiration=1,IF($A16&lt;VLOOKUP(V$5,NFI,5,0),1,0)*Data_NFI_t[[#This Row],[Sewing Kit]],0)</f>
        <v>0</v>
      </c>
      <c r="AK16" s="975" t="str">
        <f ca="1">IFERROR(OFFSET(Camp_List[P_Code],MATCH(Data_NFI_t[[#This Row],[Camp Name]],Camp_List[Camp Name],0)-1,0,1,1),"")</f>
        <v>MMR012CMP039</v>
      </c>
      <c r="AL16" s="976" t="str">
        <f ca="1">IFERROR(OFFSET(Camp_List[Status],MATCH(Data_NFI_t[[#This Row],[Camp Name]],Camp_List[Camp Name],0)-1,0,1,1),"")</f>
        <v>Open</v>
      </c>
      <c r="AM16" s="975"/>
    </row>
    <row r="17" spans="1:42" s="52" customFormat="1" ht="17.25" customHeight="1" x14ac:dyDescent="0.25">
      <c r="A17" s="917">
        <f>IF(ISBLANK(C17),"",(Report_Date-C17)/30)</f>
        <v>1.2333333333333334</v>
      </c>
      <c r="B17" s="918">
        <f>YEAR(Data_NFI_t[[#This Row],[Distribution Date]])</f>
        <v>2017</v>
      </c>
      <c r="C17" s="944">
        <v>42758</v>
      </c>
      <c r="D17" s="914" t="s">
        <v>1143</v>
      </c>
      <c r="E17" s="914" t="s">
        <v>624</v>
      </c>
      <c r="F17" s="914" t="s">
        <v>7</v>
      </c>
      <c r="G17" s="920" t="s">
        <v>14</v>
      </c>
      <c r="H17" s="920" t="s">
        <v>1070</v>
      </c>
      <c r="I17" s="921"/>
      <c r="J17" s="922"/>
      <c r="K17" s="922"/>
      <c r="L17" s="923"/>
      <c r="M17" s="923"/>
      <c r="N17" s="923"/>
      <c r="O17" s="923"/>
      <c r="P17" s="923"/>
      <c r="Q17" s="923"/>
      <c r="R17" s="924"/>
      <c r="S17" s="923"/>
      <c r="T17" s="923">
        <v>856</v>
      </c>
      <c r="U17" s="923"/>
      <c r="V17" s="923"/>
      <c r="W17" s="915">
        <f>IF(NFI_Expiration=1,IF($A17&lt;VLOOKUP(I$5,NFI,5,0),1,0)*Data_NFI_t[[#This Row],[Hygiene Kit]],0)</f>
        <v>0</v>
      </c>
      <c r="X17" s="915">
        <f>IF(NFI_Expiration=1,IF($A17&lt;VLOOKUP(J$5,NFI,5,0),1,0)*Data_NFI_t[[#This Row],[NFI Core Kit]],0)</f>
        <v>0</v>
      </c>
      <c r="Y17" s="916">
        <f>IF(NFI_Expiration=1,IF($A17&lt;VLOOKUP(K$5,NFI,5,0),1,0)*Data_NFI_t[[#This Row],[Sanitary Kit]],0)</f>
        <v>0</v>
      </c>
      <c r="Z17" s="916">
        <f>IF(NFI_Expiration=1,IF($A17&lt;VLOOKUP(L$5,NFI,5,0),1,0)*Data_NFI_t[[#This Row],[Mosquito net]],0)</f>
        <v>0</v>
      </c>
      <c r="AA17" s="916">
        <f>IF(NFI_Expiration=1,IF($A17&lt;VLOOKUP(M$5,NFI,5,0),1,0)*Data_NFI_t[[#This Row],[Tarpaulin]],0)</f>
        <v>0</v>
      </c>
      <c r="AB17" s="916">
        <f>IF(NFI_Expiration=1,IF($A17&lt;VLOOKUP(N$5,NFI,5,0),1,0)*Data_NFI_t[[#This Row],[Blanket]],0)</f>
        <v>0</v>
      </c>
      <c r="AC17" s="916">
        <f>IF(NFI_Expiration=1,IF($A17&lt;VLOOKUP(O$5,NFI,5,0),1,0)*Data_NFI_t[[#This Row],[Kitchen Set]],0)</f>
        <v>0</v>
      </c>
      <c r="AD17" s="916">
        <f>IF(NFI_Expiration=1,IF($A17&lt;VLOOKUP(P$5,NFI,5,0),1,0)*Data_NFI_t[[#This Row],[Complementary Kit]],0)</f>
        <v>0</v>
      </c>
      <c r="AE17" s="916">
        <f>IF(NFI_Expiration=1,IF($A17&lt;VLOOKUP(Q$5,NFI,5,0),1,0)*Data_NFI_t[[#This Row],[Plastic Bucket]],0)</f>
        <v>0</v>
      </c>
      <c r="AF17" s="915">
        <f>IF(NFI_Expiration=1,IF($A17&lt;VLOOKUP(R$5,NFI,5,0),1,0)*Data_NFI_t[[#This Row],[Jerry Can]],0)</f>
        <v>0</v>
      </c>
      <c r="AG17" s="915">
        <f>IF(NFI_Expiration=1,IF($A17&lt;VLOOKUP(S$5,NFI,5,0),1,0)*Data_NFI_t[[#This Row],[Plastic Mat]],0)*IF(Data_NFI_t[[#This Row],[Distribution Date]]&gt;"01-06-2015",1,2.5)</f>
        <v>0</v>
      </c>
      <c r="AH17" s="915">
        <f>IF(NFI_Expiration=1,IF($A17&lt;VLOOKUP(T$5,NFI,5,0),1,0)*Data_NFI_t[[#This Row],[Adult Clothes]],0)</f>
        <v>856</v>
      </c>
      <c r="AI17" s="915">
        <f>IF(NFI_Expiration=1,IF($A17&lt;VLOOKUP(U$5,NFI,5,0),1,0)*Data_NFI_t[[#This Row],[Children Clothes]],0)</f>
        <v>0</v>
      </c>
      <c r="AJ17" s="915">
        <f>IF(NFI_Expiration=1,IF($A17&lt;VLOOKUP(V$5,NFI,5,0),1,0)*Data_NFI_t[[#This Row],[Sewing Kit]],0)</f>
        <v>0</v>
      </c>
      <c r="AK17" s="131" t="str">
        <f ca="1">IFERROR(OFFSET(Camp_List[P_Code],MATCH(Data_NFI_t[[#This Row],[Camp Name]],Camp_List[Camp Name],0)-1,0,1,1),"")</f>
        <v>MMR012CMP017</v>
      </c>
      <c r="AL17" s="513" t="str">
        <f ca="1">IFERROR(OFFSET(Camp_List[Status],MATCH(Data_NFI_t[[#This Row],[Camp Name]],Camp_List[Camp Name],0)-1,0,1,1),"")</f>
        <v>Open</v>
      </c>
      <c r="AM17" s="947" t="s">
        <v>1139</v>
      </c>
      <c r="AP17" s="796"/>
    </row>
    <row r="18" spans="1:42" s="52" customFormat="1" ht="17.25" customHeight="1" x14ac:dyDescent="0.25">
      <c r="A18" s="917">
        <f>IF(ISBLANK(C18),"",(Report_Date-C18)/30)</f>
        <v>1.2333333333333334</v>
      </c>
      <c r="B18" s="918">
        <f>YEAR(Data_NFI_t[[#This Row],[Distribution Date]])</f>
        <v>2017</v>
      </c>
      <c r="C18" s="944">
        <v>42758</v>
      </c>
      <c r="D18" s="914" t="s">
        <v>1143</v>
      </c>
      <c r="E18" s="914" t="s">
        <v>624</v>
      </c>
      <c r="F18" s="914" t="s">
        <v>7</v>
      </c>
      <c r="G18" s="920" t="s">
        <v>14</v>
      </c>
      <c r="H18" s="920" t="s">
        <v>40</v>
      </c>
      <c r="I18" s="921"/>
      <c r="J18" s="922"/>
      <c r="K18" s="922"/>
      <c r="L18" s="923"/>
      <c r="M18" s="923"/>
      <c r="N18" s="923"/>
      <c r="O18" s="923"/>
      <c r="P18" s="923"/>
      <c r="Q18" s="923"/>
      <c r="R18" s="924"/>
      <c r="S18" s="923"/>
      <c r="T18" s="923">
        <v>1164</v>
      </c>
      <c r="U18" s="923"/>
      <c r="V18" s="923"/>
      <c r="W18" s="915">
        <f>IF(NFI_Expiration=1,IF($A18&lt;VLOOKUP(I$5,NFI,5,0),1,0)*Data_NFI_t[[#This Row],[Hygiene Kit]],0)</f>
        <v>0</v>
      </c>
      <c r="X18" s="915">
        <f>IF(NFI_Expiration=1,IF($A18&lt;VLOOKUP(J$5,NFI,5,0),1,0)*Data_NFI_t[[#This Row],[NFI Core Kit]],0)</f>
        <v>0</v>
      </c>
      <c r="Y18" s="916">
        <f>IF(NFI_Expiration=1,IF($A18&lt;VLOOKUP(K$5,NFI,5,0),1,0)*Data_NFI_t[[#This Row],[Sanitary Kit]],0)</f>
        <v>0</v>
      </c>
      <c r="Z18" s="916">
        <f>IF(NFI_Expiration=1,IF($A18&lt;VLOOKUP(L$5,NFI,5,0),1,0)*Data_NFI_t[[#This Row],[Mosquito net]],0)</f>
        <v>0</v>
      </c>
      <c r="AA18" s="916">
        <f>IF(NFI_Expiration=1,IF($A18&lt;VLOOKUP(M$5,NFI,5,0),1,0)*Data_NFI_t[[#This Row],[Tarpaulin]],0)</f>
        <v>0</v>
      </c>
      <c r="AB18" s="916">
        <f>IF(NFI_Expiration=1,IF($A18&lt;VLOOKUP(N$5,NFI,5,0),1,0)*Data_NFI_t[[#This Row],[Blanket]],0)</f>
        <v>0</v>
      </c>
      <c r="AC18" s="916">
        <f>IF(NFI_Expiration=1,IF($A18&lt;VLOOKUP(O$5,NFI,5,0),1,0)*Data_NFI_t[[#This Row],[Kitchen Set]],0)</f>
        <v>0</v>
      </c>
      <c r="AD18" s="916">
        <f>IF(NFI_Expiration=1,IF($A18&lt;VLOOKUP(P$5,NFI,5,0),1,0)*Data_NFI_t[[#This Row],[Complementary Kit]],0)</f>
        <v>0</v>
      </c>
      <c r="AE18" s="916">
        <f>IF(NFI_Expiration=1,IF($A18&lt;VLOOKUP(Q$5,NFI,5,0),1,0)*Data_NFI_t[[#This Row],[Plastic Bucket]],0)</f>
        <v>0</v>
      </c>
      <c r="AF18" s="915">
        <f>IF(NFI_Expiration=1,IF($A18&lt;VLOOKUP(R$5,NFI,5,0),1,0)*Data_NFI_t[[#This Row],[Jerry Can]],0)</f>
        <v>0</v>
      </c>
      <c r="AG18" s="915">
        <f>IF(NFI_Expiration=1,IF($A18&lt;VLOOKUP(S$5,NFI,5,0),1,0)*Data_NFI_t[[#This Row],[Plastic Mat]],0)*IF(Data_NFI_t[[#This Row],[Distribution Date]]&gt;"01-06-2015",1,2.5)</f>
        <v>0</v>
      </c>
      <c r="AH18" s="915">
        <f>IF(NFI_Expiration=1,IF($A18&lt;VLOOKUP(T$5,NFI,5,0),1,0)*Data_NFI_t[[#This Row],[Adult Clothes]],0)</f>
        <v>1164</v>
      </c>
      <c r="AI18" s="915">
        <f>IF(NFI_Expiration=1,IF($A18&lt;VLOOKUP(U$5,NFI,5,0),1,0)*Data_NFI_t[[#This Row],[Children Clothes]],0)</f>
        <v>0</v>
      </c>
      <c r="AJ18" s="915">
        <f>IF(NFI_Expiration=1,IF($A18&lt;VLOOKUP(V$5,NFI,5,0),1,0)*Data_NFI_t[[#This Row],[Sewing Kit]],0)</f>
        <v>0</v>
      </c>
      <c r="AK18" s="131" t="str">
        <f ca="1">IFERROR(OFFSET(Camp_List[P_Code],MATCH(Data_NFI_t[[#This Row],[Camp Name]],Camp_List[Camp Name],0)-1,0,1,1),"")</f>
        <v>MMR012CMP016</v>
      </c>
      <c r="AL18" s="513" t="str">
        <f ca="1">IFERROR(OFFSET(Camp_List[Status],MATCH(Data_NFI_t[[#This Row],[Camp Name]],Camp_List[Camp Name],0)-1,0,1,1),"")</f>
        <v>Open</v>
      </c>
      <c r="AM18" s="947" t="s">
        <v>1139</v>
      </c>
      <c r="AP18" s="796"/>
    </row>
    <row r="19" spans="1:42" s="52" customFormat="1" ht="17.25" customHeight="1" x14ac:dyDescent="0.25">
      <c r="A19" s="917">
        <f>IF(ISBLANK(C19),"",(Report_Date-C19)/30)</f>
        <v>1.2333333333333334</v>
      </c>
      <c r="B19" s="918">
        <f>YEAR(Data_NFI_t[[#This Row],[Distribution Date]])</f>
        <v>2017</v>
      </c>
      <c r="C19" s="944">
        <v>42758</v>
      </c>
      <c r="D19" s="914" t="s">
        <v>519</v>
      </c>
      <c r="E19" s="914" t="s">
        <v>519</v>
      </c>
      <c r="F19" s="914" t="s">
        <v>7</v>
      </c>
      <c r="G19" s="920" t="s">
        <v>19</v>
      </c>
      <c r="H19" s="920" t="s">
        <v>64</v>
      </c>
      <c r="I19" s="921"/>
      <c r="J19" s="922"/>
      <c r="K19" s="922">
        <v>799</v>
      </c>
      <c r="L19" s="923"/>
      <c r="M19" s="923"/>
      <c r="N19" s="923"/>
      <c r="O19" s="923"/>
      <c r="P19" s="923"/>
      <c r="Q19" s="923"/>
      <c r="R19" s="924"/>
      <c r="S19" s="923"/>
      <c r="T19" s="923"/>
      <c r="U19" s="923"/>
      <c r="V19" s="923"/>
      <c r="W19" s="915">
        <f>IF(NFI_Expiration=1,IF($A19&lt;VLOOKUP(I$5,NFI,5,0),1,0)*Data_NFI_t[[#This Row],[Hygiene Kit]],0)</f>
        <v>0</v>
      </c>
      <c r="X19" s="915">
        <f>IF(NFI_Expiration=1,IF($A19&lt;VLOOKUP(J$5,NFI,5,0),1,0)*Data_NFI_t[[#This Row],[NFI Core Kit]],0)</f>
        <v>0</v>
      </c>
      <c r="Y19" s="916">
        <f>IF(NFI_Expiration=1,IF($A19&lt;VLOOKUP(K$5,NFI,5,0),1,0)*Data_NFI_t[[#This Row],[Sanitary Kit]],0)</f>
        <v>799</v>
      </c>
      <c r="Z19" s="916">
        <f>IF(NFI_Expiration=1,IF($A19&lt;VLOOKUP(L$5,NFI,5,0),1,0)*Data_NFI_t[[#This Row],[Mosquito net]],0)</f>
        <v>0</v>
      </c>
      <c r="AA19" s="916">
        <f>IF(NFI_Expiration=1,IF($A19&lt;VLOOKUP(M$5,NFI,5,0),1,0)*Data_NFI_t[[#This Row],[Tarpaulin]],0)</f>
        <v>0</v>
      </c>
      <c r="AB19" s="916">
        <f>IF(NFI_Expiration=1,IF($A19&lt;VLOOKUP(N$5,NFI,5,0),1,0)*Data_NFI_t[[#This Row],[Blanket]],0)</f>
        <v>0</v>
      </c>
      <c r="AC19" s="916">
        <f>IF(NFI_Expiration=1,IF($A19&lt;VLOOKUP(O$5,NFI,5,0),1,0)*Data_NFI_t[[#This Row],[Kitchen Set]],0)</f>
        <v>0</v>
      </c>
      <c r="AD19" s="916">
        <f>IF(NFI_Expiration=1,IF($A19&lt;VLOOKUP(P$5,NFI,5,0),1,0)*Data_NFI_t[[#This Row],[Complementary Kit]],0)</f>
        <v>0</v>
      </c>
      <c r="AE19" s="916">
        <f>IF(NFI_Expiration=1,IF($A19&lt;VLOOKUP(Q$5,NFI,5,0),1,0)*Data_NFI_t[[#This Row],[Plastic Bucket]],0)</f>
        <v>0</v>
      </c>
      <c r="AF19" s="915">
        <f>IF(NFI_Expiration=1,IF($A19&lt;VLOOKUP(R$5,NFI,5,0),1,0)*Data_NFI_t[[#This Row],[Jerry Can]],0)</f>
        <v>0</v>
      </c>
      <c r="AG19" s="915">
        <f>IF(NFI_Expiration=1,IF($A19&lt;VLOOKUP(S$5,NFI,5,0),1,0)*Data_NFI_t[[#This Row],[Plastic Mat]],0)*IF(Data_NFI_t[[#This Row],[Distribution Date]]&gt;"01-06-2015",1,2.5)</f>
        <v>0</v>
      </c>
      <c r="AH19" s="915">
        <f>IF(NFI_Expiration=1,IF($A19&lt;VLOOKUP(T$5,NFI,5,0),1,0)*Data_NFI_t[[#This Row],[Adult Clothes]],0)</f>
        <v>0</v>
      </c>
      <c r="AI19" s="915">
        <f>IF(NFI_Expiration=1,IF($A19&lt;VLOOKUP(U$5,NFI,5,0),1,0)*Data_NFI_t[[#This Row],[Children Clothes]],0)</f>
        <v>0</v>
      </c>
      <c r="AJ19" s="915">
        <f>IF(NFI_Expiration=1,IF($A19&lt;VLOOKUP(V$5,NFI,5,0),1,0)*Data_NFI_t[[#This Row],[Sewing Kit]],0)</f>
        <v>0</v>
      </c>
      <c r="AK19" s="131" t="str">
        <f ca="1">IFERROR(OFFSET(Camp_List[P_Code],MATCH(Data_NFI_t[[#This Row],[Camp Name]],Camp_List[Camp Name],0)-1,0,1,1),"")</f>
        <v>MMR012CMP042</v>
      </c>
      <c r="AL19" s="513" t="str">
        <f ca="1">IFERROR(OFFSET(Camp_List[Status],MATCH(Data_NFI_t[[#This Row],[Camp Name]],Camp_List[Camp Name],0)-1,0,1,1),"")</f>
        <v>Open</v>
      </c>
      <c r="AM19" s="947" t="s">
        <v>1139</v>
      </c>
      <c r="AP19" s="796"/>
    </row>
    <row r="20" spans="1:42" s="52" customFormat="1" ht="17.25" customHeight="1" x14ac:dyDescent="0.25">
      <c r="A20" s="917">
        <f>IF(ISBLANK(C20),"",(Report_Date-C20)/30)</f>
        <v>1.2333333333333334</v>
      </c>
      <c r="B20" s="918">
        <f>YEAR(Data_NFI_t[[#This Row],[Distribution Date]])</f>
        <v>2017</v>
      </c>
      <c r="C20" s="944">
        <v>42758</v>
      </c>
      <c r="D20" s="914" t="s">
        <v>1132</v>
      </c>
      <c r="E20" s="914" t="s">
        <v>1132</v>
      </c>
      <c r="F20" s="914" t="s">
        <v>7</v>
      </c>
      <c r="G20" s="920" t="s">
        <v>867</v>
      </c>
      <c r="H20" s="920" t="s">
        <v>38</v>
      </c>
      <c r="I20" s="921"/>
      <c r="J20" s="922"/>
      <c r="K20" s="922"/>
      <c r="L20" s="923">
        <v>690</v>
      </c>
      <c r="M20" s="923"/>
      <c r="N20" s="923"/>
      <c r="O20" s="923"/>
      <c r="P20" s="923"/>
      <c r="Q20" s="923"/>
      <c r="R20" s="924"/>
      <c r="S20" s="923"/>
      <c r="T20" s="923"/>
      <c r="U20" s="923"/>
      <c r="V20" s="923"/>
      <c r="W20" s="915">
        <f>IF(NFI_Expiration=1,IF($A20&lt;VLOOKUP(I$5,NFI,5,0),1,0)*Data_NFI_t[[#This Row],[Hygiene Kit]],0)</f>
        <v>0</v>
      </c>
      <c r="X20" s="915">
        <f>IF(NFI_Expiration=1,IF($A20&lt;VLOOKUP(J$5,NFI,5,0),1,0)*Data_NFI_t[[#This Row],[NFI Core Kit]],0)</f>
        <v>0</v>
      </c>
      <c r="Y20" s="916">
        <f>IF(NFI_Expiration=1,IF($A20&lt;VLOOKUP(K$5,NFI,5,0),1,0)*Data_NFI_t[[#This Row],[Sanitary Kit]],0)</f>
        <v>0</v>
      </c>
      <c r="Z20" s="916">
        <f>IF(NFI_Expiration=1,IF($A20&lt;VLOOKUP(L$5,NFI,5,0),1,0)*Data_NFI_t[[#This Row],[Mosquito net]],0)</f>
        <v>690</v>
      </c>
      <c r="AA20" s="916">
        <f>IF(NFI_Expiration=1,IF($A20&lt;VLOOKUP(M$5,NFI,5,0),1,0)*Data_NFI_t[[#This Row],[Tarpaulin]],0)</f>
        <v>0</v>
      </c>
      <c r="AB20" s="916">
        <f>IF(NFI_Expiration=1,IF($A20&lt;VLOOKUP(N$5,NFI,5,0),1,0)*Data_NFI_t[[#This Row],[Blanket]],0)</f>
        <v>0</v>
      </c>
      <c r="AC20" s="916">
        <f>IF(NFI_Expiration=1,IF($A20&lt;VLOOKUP(O$5,NFI,5,0),1,0)*Data_NFI_t[[#This Row],[Kitchen Set]],0)</f>
        <v>0</v>
      </c>
      <c r="AD20" s="916">
        <f>IF(NFI_Expiration=1,IF($A20&lt;VLOOKUP(P$5,NFI,5,0),1,0)*Data_NFI_t[[#This Row],[Complementary Kit]],0)</f>
        <v>0</v>
      </c>
      <c r="AE20" s="916">
        <f>IF(NFI_Expiration=1,IF($A20&lt;VLOOKUP(Q$5,NFI,5,0),1,0)*Data_NFI_t[[#This Row],[Plastic Bucket]],0)</f>
        <v>0</v>
      </c>
      <c r="AF20" s="915">
        <f>IF(NFI_Expiration=1,IF($A20&lt;VLOOKUP(R$5,NFI,5,0),1,0)*Data_NFI_t[[#This Row],[Jerry Can]],0)</f>
        <v>0</v>
      </c>
      <c r="AG20" s="915">
        <f>IF(NFI_Expiration=1,IF($A20&lt;VLOOKUP(S$5,NFI,5,0),1,0)*Data_NFI_t[[#This Row],[Plastic Mat]],0)*IF(Data_NFI_t[[#This Row],[Distribution Date]]&gt;"01-06-2015",1,2.5)</f>
        <v>0</v>
      </c>
      <c r="AH20" s="915">
        <f>IF(NFI_Expiration=1,IF($A20&lt;VLOOKUP(T$5,NFI,5,0),1,0)*Data_NFI_t[[#This Row],[Adult Clothes]],0)</f>
        <v>0</v>
      </c>
      <c r="AI20" s="915">
        <f>IF(NFI_Expiration=1,IF($A20&lt;VLOOKUP(U$5,NFI,5,0),1,0)*Data_NFI_t[[#This Row],[Children Clothes]],0)</f>
        <v>0</v>
      </c>
      <c r="AJ20" s="915">
        <f>IF(NFI_Expiration=1,IF($A20&lt;VLOOKUP(V$5,NFI,5,0),1,0)*Data_NFI_t[[#This Row],[Sewing Kit]],0)</f>
        <v>0</v>
      </c>
      <c r="AK20" s="131" t="str">
        <f ca="1">IFERROR(OFFSET(Camp_List[P_Code],MATCH(Data_NFI_t[[#This Row],[Camp Name]],Camp_List[Camp Name],0)-1,0,1,1),"")</f>
        <v>MMR012CMP014</v>
      </c>
      <c r="AL20" s="513" t="str">
        <f ca="1">IFERROR(OFFSET(Camp_List[Status],MATCH(Data_NFI_t[[#This Row],[Camp Name]],Camp_List[Camp Name],0)-1,0,1,1),"")</f>
        <v>Open</v>
      </c>
      <c r="AM20" s="947" t="s">
        <v>1138</v>
      </c>
      <c r="AP20" s="796"/>
    </row>
    <row r="21" spans="1:42" s="52" customFormat="1" ht="17.25" customHeight="1" x14ac:dyDescent="0.25">
      <c r="A21" s="917">
        <f>IF(ISBLANK(C21),"",(Report_Date-C21)/30)</f>
        <v>1.3666666666666667</v>
      </c>
      <c r="B21" s="918">
        <f>YEAR(Data_NFI_t[[#This Row],[Distribution Date]])</f>
        <v>2017</v>
      </c>
      <c r="C21" s="944">
        <v>42754</v>
      </c>
      <c r="D21" s="914" t="s">
        <v>1133</v>
      </c>
      <c r="E21" s="914" t="s">
        <v>1133</v>
      </c>
      <c r="F21" s="914" t="s">
        <v>7</v>
      </c>
      <c r="G21" s="920" t="s">
        <v>19</v>
      </c>
      <c r="H21" s="920" t="s">
        <v>636</v>
      </c>
      <c r="I21" s="921"/>
      <c r="J21" s="922">
        <v>350</v>
      </c>
      <c r="K21" s="922"/>
      <c r="L21" s="923"/>
      <c r="M21" s="923"/>
      <c r="N21" s="923"/>
      <c r="O21" s="923"/>
      <c r="P21" s="923"/>
      <c r="Q21" s="923"/>
      <c r="R21" s="924"/>
      <c r="S21" s="923"/>
      <c r="T21" s="923"/>
      <c r="U21" s="923"/>
      <c r="V21" s="923"/>
      <c r="W21" s="915">
        <f>IF(NFI_Expiration=1,IF($A21&lt;VLOOKUP(I$5,NFI,5,0),1,0)*Data_NFI_t[[#This Row],[Hygiene Kit]],0)</f>
        <v>0</v>
      </c>
      <c r="X21" s="915">
        <f>IF(NFI_Expiration=1,IF($A21&lt;VLOOKUP(J$5,NFI,5,0),1,0)*Data_NFI_t[[#This Row],[NFI Core Kit]],0)</f>
        <v>350</v>
      </c>
      <c r="Y21" s="916">
        <f>IF(NFI_Expiration=1,IF($A21&lt;VLOOKUP(K$5,NFI,5,0),1,0)*Data_NFI_t[[#This Row],[Sanitary Kit]],0)</f>
        <v>0</v>
      </c>
      <c r="Z21" s="916">
        <f>IF(NFI_Expiration=1,IF($A21&lt;VLOOKUP(L$5,NFI,5,0),1,0)*Data_NFI_t[[#This Row],[Mosquito net]],0)</f>
        <v>0</v>
      </c>
      <c r="AA21" s="916">
        <f>IF(NFI_Expiration=1,IF($A21&lt;VLOOKUP(M$5,NFI,5,0),1,0)*Data_NFI_t[[#This Row],[Tarpaulin]],0)</f>
        <v>0</v>
      </c>
      <c r="AB21" s="916">
        <f>IF(NFI_Expiration=1,IF($A21&lt;VLOOKUP(N$5,NFI,5,0),1,0)*Data_NFI_t[[#This Row],[Blanket]],0)</f>
        <v>0</v>
      </c>
      <c r="AC21" s="916">
        <f>IF(NFI_Expiration=1,IF($A21&lt;VLOOKUP(O$5,NFI,5,0),1,0)*Data_NFI_t[[#This Row],[Kitchen Set]],0)</f>
        <v>0</v>
      </c>
      <c r="AD21" s="916">
        <f>IF(NFI_Expiration=1,IF($A21&lt;VLOOKUP(P$5,NFI,5,0),1,0)*Data_NFI_t[[#This Row],[Complementary Kit]],0)</f>
        <v>0</v>
      </c>
      <c r="AE21" s="916">
        <f>IF(NFI_Expiration=1,IF($A21&lt;VLOOKUP(Q$5,NFI,5,0),1,0)*Data_NFI_t[[#This Row],[Plastic Bucket]],0)</f>
        <v>0</v>
      </c>
      <c r="AF21" s="915">
        <f>IF(NFI_Expiration=1,IF($A21&lt;VLOOKUP(R$5,NFI,5,0),1,0)*Data_NFI_t[[#This Row],[Jerry Can]],0)</f>
        <v>0</v>
      </c>
      <c r="AG21" s="915">
        <f>IF(NFI_Expiration=1,IF($A21&lt;VLOOKUP(S$5,NFI,5,0),1,0)*Data_NFI_t[[#This Row],[Plastic Mat]],0)*IF(Data_NFI_t[[#This Row],[Distribution Date]]&gt;"01-06-2015",1,2.5)</f>
        <v>0</v>
      </c>
      <c r="AH21" s="915">
        <f>IF(NFI_Expiration=1,IF($A21&lt;VLOOKUP(T$5,NFI,5,0),1,0)*Data_NFI_t[[#This Row],[Adult Clothes]],0)</f>
        <v>0</v>
      </c>
      <c r="AI21" s="915">
        <f>IF(NFI_Expiration=1,IF($A21&lt;VLOOKUP(U$5,NFI,5,0),1,0)*Data_NFI_t[[#This Row],[Children Clothes]],0)</f>
        <v>0</v>
      </c>
      <c r="AJ21" s="915">
        <f>IF(NFI_Expiration=1,IF($A21&lt;VLOOKUP(V$5,NFI,5,0),1,0)*Data_NFI_t[[#This Row],[Sewing Kit]],0)</f>
        <v>0</v>
      </c>
      <c r="AK21" s="131" t="str">
        <f ca="1">IFERROR(OFFSET(Camp_List[P_Code],MATCH(Data_NFI_t[[#This Row],[Camp Name]],Camp_List[Camp Name],0)-1,0,1,1),"")</f>
        <v>MMR012CMP116</v>
      </c>
      <c r="AL21" s="513" t="str">
        <f ca="1">IFERROR(OFFSET(Camp_List[Status],MATCH(Data_NFI_t[[#This Row],[Camp Name]],Camp_List[Camp Name],0)-1,0,1,1),"")</f>
        <v>Open</v>
      </c>
      <c r="AM21" s="947" t="s">
        <v>1135</v>
      </c>
      <c r="AP21" s="796"/>
    </row>
    <row r="22" spans="1:42" s="52" customFormat="1" ht="17.25" customHeight="1" x14ac:dyDescent="0.25">
      <c r="A22" s="917">
        <f>IF(ISBLANK(C22),"",(Report_Date-C22)/30)</f>
        <v>1.3666666666666667</v>
      </c>
      <c r="B22" s="918">
        <f>YEAR(Data_NFI_t[[#This Row],[Distribution Date]])</f>
        <v>2017</v>
      </c>
      <c r="C22" s="944">
        <v>42754</v>
      </c>
      <c r="D22" s="914" t="s">
        <v>1143</v>
      </c>
      <c r="E22" s="914" t="s">
        <v>624</v>
      </c>
      <c r="F22" s="914" t="s">
        <v>7</v>
      </c>
      <c r="G22" s="920" t="s">
        <v>19</v>
      </c>
      <c r="H22" s="920" t="s">
        <v>636</v>
      </c>
      <c r="I22" s="921"/>
      <c r="J22" s="922"/>
      <c r="K22" s="922"/>
      <c r="L22" s="923"/>
      <c r="M22" s="923"/>
      <c r="N22" s="923"/>
      <c r="O22" s="923"/>
      <c r="P22" s="923"/>
      <c r="Q22" s="923"/>
      <c r="R22" s="924"/>
      <c r="S22" s="923"/>
      <c r="T22" s="923">
        <v>2222</v>
      </c>
      <c r="U22" s="923"/>
      <c r="V22" s="923"/>
      <c r="W22" s="915">
        <f>IF(NFI_Expiration=1,IF($A22&lt;VLOOKUP(I$5,NFI,5,0),1,0)*Data_NFI_t[[#This Row],[Hygiene Kit]],0)</f>
        <v>0</v>
      </c>
      <c r="X22" s="915">
        <f>IF(NFI_Expiration=1,IF($A22&lt;VLOOKUP(J$5,NFI,5,0),1,0)*Data_NFI_t[[#This Row],[NFI Core Kit]],0)</f>
        <v>0</v>
      </c>
      <c r="Y22" s="916">
        <f>IF(NFI_Expiration=1,IF($A22&lt;VLOOKUP(K$5,NFI,5,0),1,0)*Data_NFI_t[[#This Row],[Sanitary Kit]],0)</f>
        <v>0</v>
      </c>
      <c r="Z22" s="916">
        <f>IF(NFI_Expiration=1,IF($A22&lt;VLOOKUP(L$5,NFI,5,0),1,0)*Data_NFI_t[[#This Row],[Mosquito net]],0)</f>
        <v>0</v>
      </c>
      <c r="AA22" s="916">
        <f>IF(NFI_Expiration=1,IF($A22&lt;VLOOKUP(M$5,NFI,5,0),1,0)*Data_NFI_t[[#This Row],[Tarpaulin]],0)</f>
        <v>0</v>
      </c>
      <c r="AB22" s="916">
        <f>IF(NFI_Expiration=1,IF($A22&lt;VLOOKUP(N$5,NFI,5,0),1,0)*Data_NFI_t[[#This Row],[Blanket]],0)</f>
        <v>0</v>
      </c>
      <c r="AC22" s="916">
        <f>IF(NFI_Expiration=1,IF($A22&lt;VLOOKUP(O$5,NFI,5,0),1,0)*Data_NFI_t[[#This Row],[Kitchen Set]],0)</f>
        <v>0</v>
      </c>
      <c r="AD22" s="916">
        <f>IF(NFI_Expiration=1,IF($A22&lt;VLOOKUP(P$5,NFI,5,0),1,0)*Data_NFI_t[[#This Row],[Complementary Kit]],0)</f>
        <v>0</v>
      </c>
      <c r="AE22" s="916">
        <f>IF(NFI_Expiration=1,IF($A22&lt;VLOOKUP(Q$5,NFI,5,0),1,0)*Data_NFI_t[[#This Row],[Plastic Bucket]],0)</f>
        <v>0</v>
      </c>
      <c r="AF22" s="915">
        <f>IF(NFI_Expiration=1,IF($A22&lt;VLOOKUP(R$5,NFI,5,0),1,0)*Data_NFI_t[[#This Row],[Jerry Can]],0)</f>
        <v>0</v>
      </c>
      <c r="AG22" s="915">
        <f>IF(NFI_Expiration=1,IF($A22&lt;VLOOKUP(S$5,NFI,5,0),1,0)*Data_NFI_t[[#This Row],[Plastic Mat]],0)*IF(Data_NFI_t[[#This Row],[Distribution Date]]&gt;"01-06-2015",1,2.5)</f>
        <v>0</v>
      </c>
      <c r="AH22" s="915">
        <f>IF(NFI_Expiration=1,IF($A22&lt;VLOOKUP(T$5,NFI,5,0),1,0)*Data_NFI_t[[#This Row],[Adult Clothes]],0)</f>
        <v>2222</v>
      </c>
      <c r="AI22" s="915">
        <f>IF(NFI_Expiration=1,IF($A22&lt;VLOOKUP(U$5,NFI,5,0),1,0)*Data_NFI_t[[#This Row],[Children Clothes]],0)</f>
        <v>0</v>
      </c>
      <c r="AJ22" s="915">
        <f>IF(NFI_Expiration=1,IF($A22&lt;VLOOKUP(V$5,NFI,5,0),1,0)*Data_NFI_t[[#This Row],[Sewing Kit]],0)</f>
        <v>0</v>
      </c>
      <c r="AK22" s="131" t="str">
        <f ca="1">IFERROR(OFFSET(Camp_List[P_Code],MATCH(Data_NFI_t[[#This Row],[Camp Name]],Camp_List[Camp Name],0)-1,0,1,1),"")</f>
        <v>MMR012CMP116</v>
      </c>
      <c r="AL22" s="513" t="str">
        <f ca="1">IFERROR(OFFSET(Camp_List[Status],MATCH(Data_NFI_t[[#This Row],[Camp Name]],Camp_List[Camp Name],0)-1,0,1,1),"")</f>
        <v>Open</v>
      </c>
      <c r="AM22" s="947" t="s">
        <v>1139</v>
      </c>
      <c r="AP22" s="796"/>
    </row>
    <row r="23" spans="1:42" s="52" customFormat="1" ht="17.25" customHeight="1" x14ac:dyDescent="0.25">
      <c r="A23" s="917">
        <f>IF(ISBLANK(C23),"",(Report_Date-C23)/30)</f>
        <v>1.3666666666666667</v>
      </c>
      <c r="B23" s="918">
        <f>YEAR(Data_NFI_t[[#This Row],[Distribution Date]])</f>
        <v>2017</v>
      </c>
      <c r="C23" s="944">
        <v>42754</v>
      </c>
      <c r="D23" s="914" t="s">
        <v>1143</v>
      </c>
      <c r="E23" s="914" t="s">
        <v>971</v>
      </c>
      <c r="F23" s="914" t="s">
        <v>7</v>
      </c>
      <c r="G23" s="920" t="s">
        <v>19</v>
      </c>
      <c r="H23" s="920" t="s">
        <v>70</v>
      </c>
      <c r="I23" s="921"/>
      <c r="J23" s="922"/>
      <c r="K23" s="922"/>
      <c r="L23" s="923"/>
      <c r="M23" s="923"/>
      <c r="N23" s="923"/>
      <c r="O23" s="923"/>
      <c r="P23" s="923"/>
      <c r="Q23" s="923"/>
      <c r="R23" s="924"/>
      <c r="S23" s="923"/>
      <c r="T23" s="923">
        <v>988</v>
      </c>
      <c r="U23" s="923">
        <v>988</v>
      </c>
      <c r="V23" s="923"/>
      <c r="W23" s="915">
        <f>IF(NFI_Expiration=1,IF($A23&lt;VLOOKUP(I$5,NFI,5,0),1,0)*Data_NFI_t[[#This Row],[Hygiene Kit]],0)</f>
        <v>0</v>
      </c>
      <c r="X23" s="915">
        <f>IF(NFI_Expiration=1,IF($A23&lt;VLOOKUP(J$5,NFI,5,0),1,0)*Data_NFI_t[[#This Row],[NFI Core Kit]],0)</f>
        <v>0</v>
      </c>
      <c r="Y23" s="916">
        <f>IF(NFI_Expiration=1,IF($A23&lt;VLOOKUP(K$5,NFI,5,0),1,0)*Data_NFI_t[[#This Row],[Sanitary Kit]],0)</f>
        <v>0</v>
      </c>
      <c r="Z23" s="916">
        <f>IF(NFI_Expiration=1,IF($A23&lt;VLOOKUP(L$5,NFI,5,0),1,0)*Data_NFI_t[[#This Row],[Mosquito net]],0)</f>
        <v>0</v>
      </c>
      <c r="AA23" s="916">
        <f>IF(NFI_Expiration=1,IF($A23&lt;VLOOKUP(M$5,NFI,5,0),1,0)*Data_NFI_t[[#This Row],[Tarpaulin]],0)</f>
        <v>0</v>
      </c>
      <c r="AB23" s="916">
        <f>IF(NFI_Expiration=1,IF($A23&lt;VLOOKUP(N$5,NFI,5,0),1,0)*Data_NFI_t[[#This Row],[Blanket]],0)</f>
        <v>0</v>
      </c>
      <c r="AC23" s="916">
        <f>IF(NFI_Expiration=1,IF($A23&lt;VLOOKUP(O$5,NFI,5,0),1,0)*Data_NFI_t[[#This Row],[Kitchen Set]],0)</f>
        <v>0</v>
      </c>
      <c r="AD23" s="916">
        <f>IF(NFI_Expiration=1,IF($A23&lt;VLOOKUP(P$5,NFI,5,0),1,0)*Data_NFI_t[[#This Row],[Complementary Kit]],0)</f>
        <v>0</v>
      </c>
      <c r="AE23" s="916">
        <f>IF(NFI_Expiration=1,IF($A23&lt;VLOOKUP(Q$5,NFI,5,0),1,0)*Data_NFI_t[[#This Row],[Plastic Bucket]],0)</f>
        <v>0</v>
      </c>
      <c r="AF23" s="915">
        <f>IF(NFI_Expiration=1,IF($A23&lt;VLOOKUP(R$5,NFI,5,0),1,0)*Data_NFI_t[[#This Row],[Jerry Can]],0)</f>
        <v>0</v>
      </c>
      <c r="AG23" s="915">
        <f>IF(NFI_Expiration=1,IF($A23&lt;VLOOKUP(S$5,NFI,5,0),1,0)*Data_NFI_t[[#This Row],[Plastic Mat]],0)*IF(Data_NFI_t[[#This Row],[Distribution Date]]&gt;"01-06-2015",1,2.5)</f>
        <v>0</v>
      </c>
      <c r="AH23" s="915">
        <f>IF(NFI_Expiration=1,IF($A23&lt;VLOOKUP(T$5,NFI,5,0),1,0)*Data_NFI_t[[#This Row],[Adult Clothes]],0)</f>
        <v>988</v>
      </c>
      <c r="AI23" s="915">
        <f>IF(NFI_Expiration=1,IF($A23&lt;VLOOKUP(U$5,NFI,5,0),1,0)*Data_NFI_t[[#This Row],[Children Clothes]],0)</f>
        <v>988</v>
      </c>
      <c r="AJ23" s="915">
        <f>IF(NFI_Expiration=1,IF($A23&lt;VLOOKUP(V$5,NFI,5,0),1,0)*Data_NFI_t[[#This Row],[Sewing Kit]],0)</f>
        <v>0</v>
      </c>
      <c r="AK23" s="131" t="str">
        <f ca="1">IFERROR(OFFSET(Camp_List[P_Code],MATCH(Data_NFI_t[[#This Row],[Camp Name]],Camp_List[Camp Name],0)-1,0,1,1),"")</f>
        <v>MMR012CMP048</v>
      </c>
      <c r="AL23" s="513" t="str">
        <f ca="1">IFERROR(OFFSET(Camp_List[Status],MATCH(Data_NFI_t[[#This Row],[Camp Name]],Camp_List[Camp Name],0)-1,0,1,1),"")</f>
        <v>Open</v>
      </c>
      <c r="AM23" s="947" t="s">
        <v>1139</v>
      </c>
      <c r="AP23" s="796"/>
    </row>
    <row r="24" spans="1:42" s="52" customFormat="1" ht="17.25" customHeight="1" x14ac:dyDescent="0.25">
      <c r="A24" s="917">
        <f>IF(ISBLANK(C24),"",(Report_Date-C24)/30)</f>
        <v>1.4</v>
      </c>
      <c r="B24" s="918">
        <f>YEAR(Data_NFI_t[[#This Row],[Distribution Date]])</f>
        <v>2017</v>
      </c>
      <c r="C24" s="944">
        <v>42753</v>
      </c>
      <c r="D24" s="914" t="s">
        <v>1143</v>
      </c>
      <c r="E24" s="914" t="s">
        <v>624</v>
      </c>
      <c r="F24" s="914" t="s">
        <v>7</v>
      </c>
      <c r="G24" s="920" t="s">
        <v>19</v>
      </c>
      <c r="H24" s="920" t="s">
        <v>64</v>
      </c>
      <c r="I24" s="921"/>
      <c r="J24" s="922"/>
      <c r="K24" s="922"/>
      <c r="L24" s="923"/>
      <c r="M24" s="923"/>
      <c r="N24" s="923"/>
      <c r="O24" s="923"/>
      <c r="P24" s="923"/>
      <c r="Q24" s="923"/>
      <c r="R24" s="924"/>
      <c r="S24" s="923"/>
      <c r="T24" s="923">
        <v>799</v>
      </c>
      <c r="U24" s="923"/>
      <c r="V24" s="923"/>
      <c r="W24" s="915">
        <f>IF(NFI_Expiration=1,IF($A24&lt;VLOOKUP(I$5,NFI,5,0),1,0)*Data_NFI_t[[#This Row],[Hygiene Kit]],0)</f>
        <v>0</v>
      </c>
      <c r="X24" s="915">
        <f>IF(NFI_Expiration=1,IF($A24&lt;VLOOKUP(J$5,NFI,5,0),1,0)*Data_NFI_t[[#This Row],[NFI Core Kit]],0)</f>
        <v>0</v>
      </c>
      <c r="Y24" s="916">
        <f>IF(NFI_Expiration=1,IF($A24&lt;VLOOKUP(K$5,NFI,5,0),1,0)*Data_NFI_t[[#This Row],[Sanitary Kit]],0)</f>
        <v>0</v>
      </c>
      <c r="Z24" s="916">
        <f>IF(NFI_Expiration=1,IF($A24&lt;VLOOKUP(L$5,NFI,5,0),1,0)*Data_NFI_t[[#This Row],[Mosquito net]],0)</f>
        <v>0</v>
      </c>
      <c r="AA24" s="916">
        <f>IF(NFI_Expiration=1,IF($A24&lt;VLOOKUP(M$5,NFI,5,0),1,0)*Data_NFI_t[[#This Row],[Tarpaulin]],0)</f>
        <v>0</v>
      </c>
      <c r="AB24" s="916">
        <f>IF(NFI_Expiration=1,IF($A24&lt;VLOOKUP(N$5,NFI,5,0),1,0)*Data_NFI_t[[#This Row],[Blanket]],0)</f>
        <v>0</v>
      </c>
      <c r="AC24" s="916">
        <f>IF(NFI_Expiration=1,IF($A24&lt;VLOOKUP(O$5,NFI,5,0),1,0)*Data_NFI_t[[#This Row],[Kitchen Set]],0)</f>
        <v>0</v>
      </c>
      <c r="AD24" s="916">
        <f>IF(NFI_Expiration=1,IF($A24&lt;VLOOKUP(P$5,NFI,5,0),1,0)*Data_NFI_t[[#This Row],[Complementary Kit]],0)</f>
        <v>0</v>
      </c>
      <c r="AE24" s="916">
        <f>IF(NFI_Expiration=1,IF($A24&lt;VLOOKUP(Q$5,NFI,5,0),1,0)*Data_NFI_t[[#This Row],[Plastic Bucket]],0)</f>
        <v>0</v>
      </c>
      <c r="AF24" s="915">
        <f>IF(NFI_Expiration=1,IF($A24&lt;VLOOKUP(R$5,NFI,5,0),1,0)*Data_NFI_t[[#This Row],[Jerry Can]],0)</f>
        <v>0</v>
      </c>
      <c r="AG24" s="915">
        <f>IF(NFI_Expiration=1,IF($A24&lt;VLOOKUP(S$5,NFI,5,0),1,0)*Data_NFI_t[[#This Row],[Plastic Mat]],0)*IF(Data_NFI_t[[#This Row],[Distribution Date]]&gt;"01-06-2015",1,2.5)</f>
        <v>0</v>
      </c>
      <c r="AH24" s="915">
        <f>IF(NFI_Expiration=1,IF($A24&lt;VLOOKUP(T$5,NFI,5,0),1,0)*Data_NFI_t[[#This Row],[Adult Clothes]],0)</f>
        <v>799</v>
      </c>
      <c r="AI24" s="915">
        <f>IF(NFI_Expiration=1,IF($A24&lt;VLOOKUP(U$5,NFI,5,0),1,0)*Data_NFI_t[[#This Row],[Children Clothes]],0)</f>
        <v>0</v>
      </c>
      <c r="AJ24" s="915">
        <f>IF(NFI_Expiration=1,IF($A24&lt;VLOOKUP(V$5,NFI,5,0),1,0)*Data_NFI_t[[#This Row],[Sewing Kit]],0)</f>
        <v>0</v>
      </c>
      <c r="AK24" s="131" t="str">
        <f ca="1">IFERROR(OFFSET(Camp_List[P_Code],MATCH(Data_NFI_t[[#This Row],[Camp Name]],Camp_List[Camp Name],0)-1,0,1,1),"")</f>
        <v>MMR012CMP042</v>
      </c>
      <c r="AL24" s="513" t="str">
        <f ca="1">IFERROR(OFFSET(Camp_List[Status],MATCH(Data_NFI_t[[#This Row],[Camp Name]],Camp_List[Camp Name],0)-1,0,1,1),"")</f>
        <v>Open</v>
      </c>
      <c r="AM24" s="947" t="s">
        <v>1139</v>
      </c>
      <c r="AP24" s="796"/>
    </row>
    <row r="25" spans="1:42" s="52" customFormat="1" ht="17.25" customHeight="1" x14ac:dyDescent="0.25">
      <c r="A25" s="917">
        <f>IF(ISBLANK(C25),"",(Report_Date-C25)/30)</f>
        <v>1.4</v>
      </c>
      <c r="B25" s="918">
        <f>YEAR(Data_NFI_t[[#This Row],[Distribution Date]])</f>
        <v>2017</v>
      </c>
      <c r="C25" s="944">
        <v>42753</v>
      </c>
      <c r="D25" s="914" t="s">
        <v>1143</v>
      </c>
      <c r="E25" s="914" t="s">
        <v>624</v>
      </c>
      <c r="F25" s="914" t="s">
        <v>7</v>
      </c>
      <c r="G25" s="920" t="s">
        <v>19</v>
      </c>
      <c r="H25" s="920" t="s">
        <v>61</v>
      </c>
      <c r="I25" s="921"/>
      <c r="J25" s="922"/>
      <c r="K25" s="922"/>
      <c r="L25" s="923"/>
      <c r="M25" s="923"/>
      <c r="N25" s="923"/>
      <c r="O25" s="923"/>
      <c r="P25" s="923"/>
      <c r="Q25" s="923"/>
      <c r="R25" s="924"/>
      <c r="S25" s="923"/>
      <c r="T25" s="923">
        <v>397</v>
      </c>
      <c r="U25" s="923"/>
      <c r="V25" s="923"/>
      <c r="W25" s="915">
        <f>IF(NFI_Expiration=1,IF($A25&lt;VLOOKUP(I$5,NFI,5,0),1,0)*Data_NFI_t[[#This Row],[Hygiene Kit]],0)</f>
        <v>0</v>
      </c>
      <c r="X25" s="915">
        <f>IF(NFI_Expiration=1,IF($A25&lt;VLOOKUP(J$5,NFI,5,0),1,0)*Data_NFI_t[[#This Row],[NFI Core Kit]],0)</f>
        <v>0</v>
      </c>
      <c r="Y25" s="916">
        <f>IF(NFI_Expiration=1,IF($A25&lt;VLOOKUP(K$5,NFI,5,0),1,0)*Data_NFI_t[[#This Row],[Sanitary Kit]],0)</f>
        <v>0</v>
      </c>
      <c r="Z25" s="916">
        <f>IF(NFI_Expiration=1,IF($A25&lt;VLOOKUP(L$5,NFI,5,0),1,0)*Data_NFI_t[[#This Row],[Mosquito net]],0)</f>
        <v>0</v>
      </c>
      <c r="AA25" s="916">
        <f>IF(NFI_Expiration=1,IF($A25&lt;VLOOKUP(M$5,NFI,5,0),1,0)*Data_NFI_t[[#This Row],[Tarpaulin]],0)</f>
        <v>0</v>
      </c>
      <c r="AB25" s="916">
        <f>IF(NFI_Expiration=1,IF($A25&lt;VLOOKUP(N$5,NFI,5,0),1,0)*Data_NFI_t[[#This Row],[Blanket]],0)</f>
        <v>0</v>
      </c>
      <c r="AC25" s="916">
        <f>IF(NFI_Expiration=1,IF($A25&lt;VLOOKUP(O$5,NFI,5,0),1,0)*Data_NFI_t[[#This Row],[Kitchen Set]],0)</f>
        <v>0</v>
      </c>
      <c r="AD25" s="916">
        <f>IF(NFI_Expiration=1,IF($A25&lt;VLOOKUP(P$5,NFI,5,0),1,0)*Data_NFI_t[[#This Row],[Complementary Kit]],0)</f>
        <v>0</v>
      </c>
      <c r="AE25" s="916">
        <f>IF(NFI_Expiration=1,IF($A25&lt;VLOOKUP(Q$5,NFI,5,0),1,0)*Data_NFI_t[[#This Row],[Plastic Bucket]],0)</f>
        <v>0</v>
      </c>
      <c r="AF25" s="915">
        <f>IF(NFI_Expiration=1,IF($A25&lt;VLOOKUP(R$5,NFI,5,0),1,0)*Data_NFI_t[[#This Row],[Jerry Can]],0)</f>
        <v>0</v>
      </c>
      <c r="AG25" s="915">
        <f>IF(NFI_Expiration=1,IF($A25&lt;VLOOKUP(S$5,NFI,5,0),1,0)*Data_NFI_t[[#This Row],[Plastic Mat]],0)*IF(Data_NFI_t[[#This Row],[Distribution Date]]&gt;"01-06-2015",1,2.5)</f>
        <v>0</v>
      </c>
      <c r="AH25" s="915">
        <f>IF(NFI_Expiration=1,IF($A25&lt;VLOOKUP(T$5,NFI,5,0),1,0)*Data_NFI_t[[#This Row],[Adult Clothes]],0)</f>
        <v>397</v>
      </c>
      <c r="AI25" s="915">
        <f>IF(NFI_Expiration=1,IF($A25&lt;VLOOKUP(U$5,NFI,5,0),1,0)*Data_NFI_t[[#This Row],[Children Clothes]],0)</f>
        <v>0</v>
      </c>
      <c r="AJ25" s="915">
        <f>IF(NFI_Expiration=1,IF($A25&lt;VLOOKUP(V$5,NFI,5,0),1,0)*Data_NFI_t[[#This Row],[Sewing Kit]],0)</f>
        <v>0</v>
      </c>
      <c r="AK25" s="131" t="str">
        <f ca="1">IFERROR(OFFSET(Camp_List[P_Code],MATCH(Data_NFI_t[[#This Row],[Camp Name]],Camp_List[Camp Name],0)-1,0,1,1),"")</f>
        <v>MMR012CMP039</v>
      </c>
      <c r="AL25" s="513" t="str">
        <f ca="1">IFERROR(OFFSET(Camp_List[Status],MATCH(Data_NFI_t[[#This Row],[Camp Name]],Camp_List[Camp Name],0)-1,0,1,1),"")</f>
        <v>Open</v>
      </c>
      <c r="AM25" s="947" t="s">
        <v>1139</v>
      </c>
      <c r="AP25" s="796"/>
    </row>
    <row r="26" spans="1:42" s="52" customFormat="1" ht="17.25" customHeight="1" x14ac:dyDescent="0.25">
      <c r="A26" s="917">
        <f>IF(ISBLANK(C26),"",(Report_Date-C26)/30)</f>
        <v>1.4666666666666666</v>
      </c>
      <c r="B26" s="918">
        <f>YEAR(Data_NFI_t[[#This Row],[Distribution Date]])</f>
        <v>2017</v>
      </c>
      <c r="C26" s="944">
        <v>42751</v>
      </c>
      <c r="D26" s="914" t="s">
        <v>1143</v>
      </c>
      <c r="E26" s="914" t="s">
        <v>971</v>
      </c>
      <c r="F26" s="914" t="s">
        <v>7</v>
      </c>
      <c r="G26" s="920" t="s">
        <v>19</v>
      </c>
      <c r="H26" s="920" t="s">
        <v>629</v>
      </c>
      <c r="I26" s="921"/>
      <c r="J26" s="922"/>
      <c r="K26" s="922"/>
      <c r="L26" s="923"/>
      <c r="M26" s="923"/>
      <c r="N26" s="923"/>
      <c r="O26" s="923"/>
      <c r="P26" s="923"/>
      <c r="Q26" s="923"/>
      <c r="R26" s="924"/>
      <c r="S26" s="923"/>
      <c r="T26" s="923">
        <v>624</v>
      </c>
      <c r="U26" s="923">
        <v>624</v>
      </c>
      <c r="V26" s="923"/>
      <c r="W26" s="915">
        <f>IF(NFI_Expiration=1,IF($A26&lt;VLOOKUP(I$5,NFI,5,0),1,0)*Data_NFI_t[[#This Row],[Hygiene Kit]],0)</f>
        <v>0</v>
      </c>
      <c r="X26" s="915">
        <f>IF(NFI_Expiration=1,IF($A26&lt;VLOOKUP(J$5,NFI,5,0),1,0)*Data_NFI_t[[#This Row],[NFI Core Kit]],0)</f>
        <v>0</v>
      </c>
      <c r="Y26" s="916">
        <f>IF(NFI_Expiration=1,IF($A26&lt;VLOOKUP(K$5,NFI,5,0),1,0)*Data_NFI_t[[#This Row],[Sanitary Kit]],0)</f>
        <v>0</v>
      </c>
      <c r="Z26" s="916">
        <f>IF(NFI_Expiration=1,IF($A26&lt;VLOOKUP(L$5,NFI,5,0),1,0)*Data_NFI_t[[#This Row],[Mosquito net]],0)</f>
        <v>0</v>
      </c>
      <c r="AA26" s="916">
        <f>IF(NFI_Expiration=1,IF($A26&lt;VLOOKUP(M$5,NFI,5,0),1,0)*Data_NFI_t[[#This Row],[Tarpaulin]],0)</f>
        <v>0</v>
      </c>
      <c r="AB26" s="916">
        <f>IF(NFI_Expiration=1,IF($A26&lt;VLOOKUP(N$5,NFI,5,0),1,0)*Data_NFI_t[[#This Row],[Blanket]],0)</f>
        <v>0</v>
      </c>
      <c r="AC26" s="916">
        <f>IF(NFI_Expiration=1,IF($A26&lt;VLOOKUP(O$5,NFI,5,0),1,0)*Data_NFI_t[[#This Row],[Kitchen Set]],0)</f>
        <v>0</v>
      </c>
      <c r="AD26" s="916">
        <f>IF(NFI_Expiration=1,IF($A26&lt;VLOOKUP(P$5,NFI,5,0),1,0)*Data_NFI_t[[#This Row],[Complementary Kit]],0)</f>
        <v>0</v>
      </c>
      <c r="AE26" s="916">
        <f>IF(NFI_Expiration=1,IF($A26&lt;VLOOKUP(Q$5,NFI,5,0),1,0)*Data_NFI_t[[#This Row],[Plastic Bucket]],0)</f>
        <v>0</v>
      </c>
      <c r="AF26" s="915">
        <f>IF(NFI_Expiration=1,IF($A26&lt;VLOOKUP(R$5,NFI,5,0),1,0)*Data_NFI_t[[#This Row],[Jerry Can]],0)</f>
        <v>0</v>
      </c>
      <c r="AG26" s="915">
        <f>IF(NFI_Expiration=1,IF($A26&lt;VLOOKUP(S$5,NFI,5,0),1,0)*Data_NFI_t[[#This Row],[Plastic Mat]],0)*IF(Data_NFI_t[[#This Row],[Distribution Date]]&gt;"01-06-2015",1,2.5)</f>
        <v>0</v>
      </c>
      <c r="AH26" s="915">
        <f>IF(NFI_Expiration=1,IF($A26&lt;VLOOKUP(T$5,NFI,5,0),1,0)*Data_NFI_t[[#This Row],[Adult Clothes]],0)</f>
        <v>624</v>
      </c>
      <c r="AI26" s="915">
        <f>IF(NFI_Expiration=1,IF($A26&lt;VLOOKUP(U$5,NFI,5,0),1,0)*Data_NFI_t[[#This Row],[Children Clothes]],0)</f>
        <v>624</v>
      </c>
      <c r="AJ26" s="915">
        <f>IF(NFI_Expiration=1,IF($A26&lt;VLOOKUP(V$5,NFI,5,0),1,0)*Data_NFI_t[[#This Row],[Sewing Kit]],0)</f>
        <v>0</v>
      </c>
      <c r="AK26" s="131" t="str">
        <f ca="1">IFERROR(OFFSET(Camp_List[P_Code],MATCH(Data_NFI_t[[#This Row],[Camp Name]],Camp_List[Camp Name],0)-1,0,1,1),"")</f>
        <v>MMR012CMP092</v>
      </c>
      <c r="AL26" s="513" t="str">
        <f ca="1">IFERROR(OFFSET(Camp_List[Status],MATCH(Data_NFI_t[[#This Row],[Camp Name]],Camp_List[Camp Name],0)-1,0,1,1),"")</f>
        <v>Open</v>
      </c>
      <c r="AM26" s="947" t="s">
        <v>1139</v>
      </c>
      <c r="AP26" s="796"/>
    </row>
    <row r="27" spans="1:42" s="52" customFormat="1" ht="17.25" customHeight="1" x14ac:dyDescent="0.25">
      <c r="A27" s="917">
        <f>IF(ISBLANK(C27),"",(Report_Date-C27)/30)</f>
        <v>1.8666666666666667</v>
      </c>
      <c r="B27" s="918">
        <v>2017</v>
      </c>
      <c r="C27" s="944">
        <v>42739</v>
      </c>
      <c r="D27" s="914" t="s">
        <v>707</v>
      </c>
      <c r="E27" s="914" t="s">
        <v>707</v>
      </c>
      <c r="F27" s="914" t="s">
        <v>7</v>
      </c>
      <c r="G27" s="920" t="s">
        <v>867</v>
      </c>
      <c r="H27" s="920" t="s">
        <v>38</v>
      </c>
      <c r="I27" s="921"/>
      <c r="J27" s="922"/>
      <c r="K27" s="922">
        <v>703</v>
      </c>
      <c r="L27" s="923"/>
      <c r="M27" s="923"/>
      <c r="N27" s="923"/>
      <c r="O27" s="923"/>
      <c r="P27" s="923"/>
      <c r="Q27" s="923"/>
      <c r="R27" s="924"/>
      <c r="S27" s="923"/>
      <c r="T27" s="923"/>
      <c r="U27" s="923"/>
      <c r="V27" s="923"/>
      <c r="W27" s="915">
        <f>IF(NFI_Expiration=1,IF($A27&lt;VLOOKUP(I$5,NFI,5,0),1,0)*Data_NFI_t[[#This Row],[Hygiene Kit]],0)</f>
        <v>0</v>
      </c>
      <c r="X27" s="915">
        <f>IF(NFI_Expiration=1,IF($A27&lt;VLOOKUP(J$5,NFI,5,0),1,0)*Data_NFI_t[[#This Row],[NFI Core Kit]],0)</f>
        <v>0</v>
      </c>
      <c r="Y27" s="916">
        <f>IF(NFI_Expiration=1,IF($A27&lt;VLOOKUP(K$5,NFI,5,0),1,0)*Data_NFI_t[[#This Row],[Sanitary Kit]],0)</f>
        <v>703</v>
      </c>
      <c r="Z27" s="916">
        <f>IF(NFI_Expiration=1,IF($A27&lt;VLOOKUP(L$5,NFI,5,0),1,0)*Data_NFI_t[[#This Row],[Mosquito net]],0)</f>
        <v>0</v>
      </c>
      <c r="AA27" s="916">
        <f>IF(NFI_Expiration=1,IF($A27&lt;VLOOKUP(M$5,NFI,5,0),1,0)*Data_NFI_t[[#This Row],[Tarpaulin]],0)</f>
        <v>0</v>
      </c>
      <c r="AB27" s="916">
        <f>IF(NFI_Expiration=1,IF($A27&lt;VLOOKUP(N$5,NFI,5,0),1,0)*Data_NFI_t[[#This Row],[Blanket]],0)</f>
        <v>0</v>
      </c>
      <c r="AC27" s="916">
        <f>IF(NFI_Expiration=1,IF($A27&lt;VLOOKUP(O$5,NFI,5,0),1,0)*Data_NFI_t[[#This Row],[Kitchen Set]],0)</f>
        <v>0</v>
      </c>
      <c r="AD27" s="916">
        <f>IF(NFI_Expiration=1,IF($A27&lt;VLOOKUP(P$5,NFI,5,0),1,0)*Data_NFI_t[[#This Row],[Complementary Kit]],0)</f>
        <v>0</v>
      </c>
      <c r="AE27" s="916">
        <f>IF(NFI_Expiration=1,IF($A27&lt;VLOOKUP(Q$5,NFI,5,0),1,0)*Data_NFI_t[[#This Row],[Plastic Bucket]],0)</f>
        <v>0</v>
      </c>
      <c r="AF27" s="915">
        <f>IF(NFI_Expiration=1,IF($A27&lt;VLOOKUP(R$5,NFI,5,0),1,0)*Data_NFI_t[[#This Row],[Jerry Can]],0)</f>
        <v>0</v>
      </c>
      <c r="AG27" s="915">
        <f>IF(NFI_Expiration=1,IF($A27&lt;VLOOKUP(S$5,NFI,5,0),1,0)*Data_NFI_t[[#This Row],[Plastic Mat]],0)*IF(Data_NFI_t[[#This Row],[Distribution Date]]&gt;"01-06-2015",1,2.5)</f>
        <v>0</v>
      </c>
      <c r="AH27" s="915">
        <f>IF(NFI_Expiration=1,IF($A27&lt;VLOOKUP(T$5,NFI,5,0),1,0)*Data_NFI_t[[#This Row],[Adult Clothes]],0)</f>
        <v>0</v>
      </c>
      <c r="AI27" s="915">
        <f>IF(NFI_Expiration=1,IF($A27&lt;VLOOKUP(U$5,NFI,5,0),1,0)*Data_NFI_t[[#This Row],[Children Clothes]],0)</f>
        <v>0</v>
      </c>
      <c r="AJ27" s="915">
        <f>IF(NFI_Expiration=1,IF($A27&lt;VLOOKUP(V$5,NFI,5,0),1,0)*Data_NFI_t[[#This Row],[Sewing Kit]],0)</f>
        <v>0</v>
      </c>
      <c r="AK27" s="131" t="str">
        <f ca="1">IFERROR(OFFSET(Camp_List[P_Code],MATCH(Data_NFI_t[[#This Row],[Camp Name]],Camp_List[Camp Name],0)-1,0,1,1),"")</f>
        <v>MMR012CMP014</v>
      </c>
      <c r="AL27" s="513" t="str">
        <f ca="1">IFERROR(OFFSET(Camp_List[Status],MATCH(Data_NFI_t[[#This Row],[Camp Name]],Camp_List[Camp Name],0)-1,0,1,1),"")</f>
        <v>Open</v>
      </c>
      <c r="AM27" s="947" t="s">
        <v>1138</v>
      </c>
      <c r="AP27" s="796"/>
    </row>
    <row r="28" spans="1:42" s="52" customFormat="1" ht="19.5" customHeight="1" x14ac:dyDescent="0.25">
      <c r="A28" s="917">
        <f>IF(ISBLANK(C28),"",(Report_Date-C28)/30)</f>
        <v>2.1</v>
      </c>
      <c r="B28" s="918">
        <f>YEAR(Data_NFI_t[[#This Row],[Distribution Date]])</f>
        <v>2016</v>
      </c>
      <c r="C28" s="919">
        <v>42732</v>
      </c>
      <c r="D28" s="914" t="s">
        <v>707</v>
      </c>
      <c r="E28" s="914" t="s">
        <v>707</v>
      </c>
      <c r="F28" s="914" t="s">
        <v>7</v>
      </c>
      <c r="G28" s="920" t="s">
        <v>867</v>
      </c>
      <c r="H28" s="920" t="s">
        <v>38</v>
      </c>
      <c r="I28" s="921"/>
      <c r="J28" s="922"/>
      <c r="K28" s="922"/>
      <c r="L28" s="923"/>
      <c r="M28" s="923"/>
      <c r="N28" s="923"/>
      <c r="O28" s="923"/>
      <c r="P28" s="923"/>
      <c r="Q28" s="923"/>
      <c r="R28" s="924"/>
      <c r="S28" s="923"/>
      <c r="T28" s="923"/>
      <c r="U28" s="923"/>
      <c r="V28" s="923">
        <v>628</v>
      </c>
      <c r="W28" s="915">
        <f>IF(NFI_Expiration=1,IF($A28&lt;VLOOKUP(I$5,NFI,5,0),1,0)*Data_NFI_t[[#This Row],[Hygiene Kit]],0)</f>
        <v>0</v>
      </c>
      <c r="X28" s="915">
        <f>IF(NFI_Expiration=1,IF($A28&lt;VLOOKUP(J$5,NFI,5,0),1,0)*Data_NFI_t[[#This Row],[NFI Core Kit]],0)</f>
        <v>0</v>
      </c>
      <c r="Y28" s="916">
        <f>IF(NFI_Expiration=1,IF($A28&lt;VLOOKUP(K$5,NFI,5,0),1,0)*Data_NFI_t[[#This Row],[Sanitary Kit]],0)</f>
        <v>0</v>
      </c>
      <c r="Z28" s="916">
        <f>IF(NFI_Expiration=1,IF($A28&lt;VLOOKUP(L$5,NFI,5,0),1,0)*Data_NFI_t[[#This Row],[Mosquito net]],0)</f>
        <v>0</v>
      </c>
      <c r="AA28" s="916">
        <f>IF(NFI_Expiration=1,IF($A28&lt;VLOOKUP(M$5,NFI,5,0),1,0)*Data_NFI_t[[#This Row],[Tarpaulin]],0)</f>
        <v>0</v>
      </c>
      <c r="AB28" s="916">
        <f>IF(NFI_Expiration=1,IF($A28&lt;VLOOKUP(N$5,NFI,5,0),1,0)*Data_NFI_t[[#This Row],[Blanket]],0)</f>
        <v>0</v>
      </c>
      <c r="AC28" s="916">
        <f>IF(NFI_Expiration=1,IF($A28&lt;VLOOKUP(O$5,NFI,5,0),1,0)*Data_NFI_t[[#This Row],[Kitchen Set]],0)</f>
        <v>0</v>
      </c>
      <c r="AD28" s="916">
        <f>IF(NFI_Expiration=1,IF($A28&lt;VLOOKUP(P$5,NFI,5,0),1,0)*Data_NFI_t[[#This Row],[Complementary Kit]],0)</f>
        <v>0</v>
      </c>
      <c r="AE28" s="916">
        <f>IF(NFI_Expiration=1,IF($A28&lt;VLOOKUP(Q$5,NFI,5,0),1,0)*Data_NFI_t[[#This Row],[Plastic Bucket]],0)</f>
        <v>0</v>
      </c>
      <c r="AF28" s="915">
        <f>IF(NFI_Expiration=1,IF($A28&lt;VLOOKUP(R$5,NFI,5,0),1,0)*Data_NFI_t[[#This Row],[Jerry Can]],0)</f>
        <v>0</v>
      </c>
      <c r="AG28" s="915">
        <f>IF(NFI_Expiration=1,IF($A28&lt;VLOOKUP(S$5,NFI,5,0),1,0)*Data_NFI_t[[#This Row],[Plastic Mat]],0)*IF(Data_NFI_t[[#This Row],[Distribution Date]]&gt;"01-06-2015",1,2.5)</f>
        <v>0</v>
      </c>
      <c r="AH28" s="915">
        <f>IF(NFI_Expiration=1,IF($A28&lt;VLOOKUP(T$5,NFI,5,0),1,0)*Data_NFI_t[[#This Row],[Adult Clothes]],0)</f>
        <v>0</v>
      </c>
      <c r="AI28" s="915">
        <f>IF(NFI_Expiration=1,IF($A28&lt;VLOOKUP(U$5,NFI,5,0),1,0)*Data_NFI_t[[#This Row],[Children Clothes]],0)</f>
        <v>0</v>
      </c>
      <c r="AJ28" s="915">
        <f>IF(NFI_Expiration=1,IF($A28&lt;VLOOKUP(V$5,NFI,5,0),1,0)*Data_NFI_t[[#This Row],[Sewing Kit]],0)</f>
        <v>628</v>
      </c>
      <c r="AK28" s="131" t="str">
        <f ca="1">IFERROR(OFFSET(Camp_List[P_Code],MATCH(Data_NFI_t[[#This Row],[Camp Name]],Camp_List[Camp Name],0)-1,0,1,1),"")</f>
        <v>MMR012CMP014</v>
      </c>
      <c r="AL28" s="513" t="str">
        <f ca="1">IFERROR(OFFSET(Camp_List[Status],MATCH(Data_NFI_t[[#This Row],[Camp Name]],Camp_List[Camp Name],0)-1,0,1,1),"")</f>
        <v>Open</v>
      </c>
      <c r="AM28" s="946"/>
      <c r="AP28" s="796"/>
    </row>
    <row r="29" spans="1:42" s="52" customFormat="1" ht="19.5" customHeight="1" x14ac:dyDescent="0.25">
      <c r="A29" s="917">
        <f>IF(ISBLANK(C29),"",(Report_Date-C29)/30)</f>
        <v>2.1666666666666665</v>
      </c>
      <c r="B29" s="918">
        <f>YEAR(Data_NFI_t[[#This Row],[Distribution Date]])</f>
        <v>2016</v>
      </c>
      <c r="C29" s="919">
        <v>42730</v>
      </c>
      <c r="D29" s="914" t="s">
        <v>707</v>
      </c>
      <c r="E29" s="914" t="s">
        <v>707</v>
      </c>
      <c r="F29" s="914" t="s">
        <v>7</v>
      </c>
      <c r="G29" s="920" t="s">
        <v>867</v>
      </c>
      <c r="H29" s="920" t="s">
        <v>38</v>
      </c>
      <c r="I29" s="921"/>
      <c r="J29" s="922"/>
      <c r="K29" s="922"/>
      <c r="L29" s="923"/>
      <c r="M29" s="923"/>
      <c r="N29" s="923"/>
      <c r="O29" s="923"/>
      <c r="P29" s="923"/>
      <c r="Q29" s="923"/>
      <c r="R29" s="924"/>
      <c r="S29" s="923"/>
      <c r="T29" s="923">
        <v>628</v>
      </c>
      <c r="U29" s="923"/>
      <c r="V29" s="923"/>
      <c r="W29" s="915">
        <f>IF(NFI_Expiration=1,IF($A29&lt;VLOOKUP(I$5,NFI,5,0),1,0)*Data_NFI_t[[#This Row],[Hygiene Kit]],0)</f>
        <v>0</v>
      </c>
      <c r="X29" s="915">
        <f>IF(NFI_Expiration=1,IF($A29&lt;VLOOKUP(J$5,NFI,5,0),1,0)*Data_NFI_t[[#This Row],[NFI Core Kit]],0)</f>
        <v>0</v>
      </c>
      <c r="Y29" s="916">
        <f>IF(NFI_Expiration=1,IF($A29&lt;VLOOKUP(K$5,NFI,5,0),1,0)*Data_NFI_t[[#This Row],[Sanitary Kit]],0)</f>
        <v>0</v>
      </c>
      <c r="Z29" s="916">
        <f>IF(NFI_Expiration=1,IF($A29&lt;VLOOKUP(L$5,NFI,5,0),1,0)*Data_NFI_t[[#This Row],[Mosquito net]],0)</f>
        <v>0</v>
      </c>
      <c r="AA29" s="916">
        <f>IF(NFI_Expiration=1,IF($A29&lt;VLOOKUP(M$5,NFI,5,0),1,0)*Data_NFI_t[[#This Row],[Tarpaulin]],0)</f>
        <v>0</v>
      </c>
      <c r="AB29" s="916">
        <f>IF(NFI_Expiration=1,IF($A29&lt;VLOOKUP(N$5,NFI,5,0),1,0)*Data_NFI_t[[#This Row],[Blanket]],0)</f>
        <v>0</v>
      </c>
      <c r="AC29" s="916">
        <f>IF(NFI_Expiration=1,IF($A29&lt;VLOOKUP(O$5,NFI,5,0),1,0)*Data_NFI_t[[#This Row],[Kitchen Set]],0)</f>
        <v>0</v>
      </c>
      <c r="AD29" s="916">
        <f>IF(NFI_Expiration=1,IF($A29&lt;VLOOKUP(P$5,NFI,5,0),1,0)*Data_NFI_t[[#This Row],[Complementary Kit]],0)</f>
        <v>0</v>
      </c>
      <c r="AE29" s="916">
        <f>IF(NFI_Expiration=1,IF($A29&lt;VLOOKUP(Q$5,NFI,5,0),1,0)*Data_NFI_t[[#This Row],[Plastic Bucket]],0)</f>
        <v>0</v>
      </c>
      <c r="AF29" s="915">
        <f>IF(NFI_Expiration=1,IF($A29&lt;VLOOKUP(R$5,NFI,5,0),1,0)*Data_NFI_t[[#This Row],[Jerry Can]],0)</f>
        <v>0</v>
      </c>
      <c r="AG29" s="915">
        <f>IF(NFI_Expiration=1,IF($A29&lt;VLOOKUP(S$5,NFI,5,0),1,0)*Data_NFI_t[[#This Row],[Plastic Mat]],0)*IF(Data_NFI_t[[#This Row],[Distribution Date]]&gt;"01-06-2015",1,2.5)</f>
        <v>0</v>
      </c>
      <c r="AH29" s="915">
        <f>IF(NFI_Expiration=1,IF($A29&lt;VLOOKUP(T$5,NFI,5,0),1,0)*Data_NFI_t[[#This Row],[Adult Clothes]],0)</f>
        <v>628</v>
      </c>
      <c r="AI29" s="915">
        <f>IF(NFI_Expiration=1,IF($A29&lt;VLOOKUP(U$5,NFI,5,0),1,0)*Data_NFI_t[[#This Row],[Children Clothes]],0)</f>
        <v>0</v>
      </c>
      <c r="AJ29" s="915">
        <f>IF(NFI_Expiration=1,IF($A29&lt;VLOOKUP(V$5,NFI,5,0),1,0)*Data_NFI_t[[#This Row],[Sewing Kit]],0)</f>
        <v>0</v>
      </c>
      <c r="AK29" s="131" t="str">
        <f ca="1">IFERROR(OFFSET(Camp_List[P_Code],MATCH(Data_NFI_t[[#This Row],[Camp Name]],Camp_List[Camp Name],0)-1,0,1,1),"")</f>
        <v>MMR012CMP014</v>
      </c>
      <c r="AL29" s="513" t="str">
        <f ca="1">IFERROR(OFFSET(Camp_List[Status],MATCH(Data_NFI_t[[#This Row],[Camp Name]],Camp_List[Camp Name],0)-1,0,1,1),"")</f>
        <v>Open</v>
      </c>
      <c r="AM29" s="131"/>
      <c r="AP29" s="796"/>
    </row>
    <row r="30" spans="1:42" s="52" customFormat="1" ht="19.5" customHeight="1" x14ac:dyDescent="0.25">
      <c r="A30" s="917">
        <f>IF(ISBLANK(C30),"",(Report_Date-C30)/30)</f>
        <v>2.2666666666666666</v>
      </c>
      <c r="B30" s="918">
        <v>2016</v>
      </c>
      <c r="C30" s="919">
        <v>42727</v>
      </c>
      <c r="D30" s="914" t="s">
        <v>707</v>
      </c>
      <c r="E30" s="914" t="s">
        <v>1121</v>
      </c>
      <c r="F30" s="914" t="s">
        <v>7</v>
      </c>
      <c r="G30" s="920" t="s">
        <v>867</v>
      </c>
      <c r="H30" s="920" t="s">
        <v>38</v>
      </c>
      <c r="I30" s="921"/>
      <c r="J30" s="922"/>
      <c r="K30" s="922"/>
      <c r="L30" s="923"/>
      <c r="M30" s="923"/>
      <c r="N30" s="923">
        <v>703</v>
      </c>
      <c r="O30" s="923"/>
      <c r="P30" s="923"/>
      <c r="Q30" s="923"/>
      <c r="R30" s="924"/>
      <c r="S30" s="923"/>
      <c r="T30" s="923"/>
      <c r="U30" s="923"/>
      <c r="V30" s="923"/>
      <c r="W30" s="915">
        <f>IF(NFI_Expiration=1,IF($A30&lt;VLOOKUP(I$5,NFI,5,0),1,0)*Data_NFI_t[[#This Row],[Hygiene Kit]],0)</f>
        <v>0</v>
      </c>
      <c r="X30" s="915">
        <f>IF(NFI_Expiration=1,IF($A30&lt;VLOOKUP(J$5,NFI,5,0),1,0)*Data_NFI_t[[#This Row],[NFI Core Kit]],0)</f>
        <v>0</v>
      </c>
      <c r="Y30" s="916">
        <f>IF(NFI_Expiration=1,IF($A30&lt;VLOOKUP(K$5,NFI,5,0),1,0)*Data_NFI_t[[#This Row],[Sanitary Kit]],0)</f>
        <v>0</v>
      </c>
      <c r="Z30" s="916">
        <f>IF(NFI_Expiration=1,IF($A30&lt;VLOOKUP(L$5,NFI,5,0),1,0)*Data_NFI_t[[#This Row],[Mosquito net]],0)</f>
        <v>0</v>
      </c>
      <c r="AA30" s="916">
        <f>IF(NFI_Expiration=1,IF($A30&lt;VLOOKUP(M$5,NFI,5,0),1,0)*Data_NFI_t[[#This Row],[Tarpaulin]],0)</f>
        <v>0</v>
      </c>
      <c r="AB30" s="916">
        <f>IF(NFI_Expiration=1,IF($A30&lt;VLOOKUP(N$5,NFI,5,0),1,0)*Data_NFI_t[[#This Row],[Blanket]],0)</f>
        <v>703</v>
      </c>
      <c r="AC30" s="916">
        <f>IF(NFI_Expiration=1,IF($A30&lt;VLOOKUP(O$5,NFI,5,0),1,0)*Data_NFI_t[[#This Row],[Kitchen Set]],0)</f>
        <v>0</v>
      </c>
      <c r="AD30" s="916">
        <f>IF(NFI_Expiration=1,IF($A30&lt;VLOOKUP(P$5,NFI,5,0),1,0)*Data_NFI_t[[#This Row],[Complementary Kit]],0)</f>
        <v>0</v>
      </c>
      <c r="AE30" s="916">
        <f>IF(NFI_Expiration=1,IF($A30&lt;VLOOKUP(Q$5,NFI,5,0),1,0)*Data_NFI_t[[#This Row],[Plastic Bucket]],0)</f>
        <v>0</v>
      </c>
      <c r="AF30" s="915">
        <f>IF(NFI_Expiration=1,IF($A30&lt;VLOOKUP(R$5,NFI,5,0),1,0)*Data_NFI_t[[#This Row],[Jerry Can]],0)</f>
        <v>0</v>
      </c>
      <c r="AG30" s="915">
        <f>IF(NFI_Expiration=1,IF($A30&lt;VLOOKUP(S$5,NFI,5,0),1,0)*Data_NFI_t[[#This Row],[Plastic Mat]],0)*IF(Data_NFI_t[[#This Row],[Distribution Date]]&gt;"01-06-2015",1,2.5)</f>
        <v>0</v>
      </c>
      <c r="AH30" s="915">
        <f>IF(NFI_Expiration=1,IF($A30&lt;VLOOKUP(T$5,NFI,5,0),1,0)*Data_NFI_t[[#This Row],[Adult Clothes]],0)</f>
        <v>0</v>
      </c>
      <c r="AI30" s="915">
        <f>IF(NFI_Expiration=1,IF($A30&lt;VLOOKUP(U$5,NFI,5,0),1,0)*Data_NFI_t[[#This Row],[Children Clothes]],0)</f>
        <v>0</v>
      </c>
      <c r="AJ30" s="915">
        <f>IF(NFI_Expiration=1,IF($A30&lt;VLOOKUP(V$5,NFI,5,0),1,0)*Data_NFI_t[[#This Row],[Sewing Kit]],0)</f>
        <v>0</v>
      </c>
      <c r="AK30" s="131" t="str">
        <f ca="1">IFERROR(OFFSET(Camp_List[P_Code],MATCH(Data_NFI_t[[#This Row],[Camp Name]],Camp_List[Camp Name],0)-1,0,1,1),"")</f>
        <v>MMR012CMP014</v>
      </c>
      <c r="AL30" s="513" t="str">
        <f ca="1">IFERROR(OFFSET(Camp_List[Status],MATCH(Data_NFI_t[[#This Row],[Camp Name]],Camp_List[Camp Name],0)-1,0,1,1),"")</f>
        <v>Open</v>
      </c>
      <c r="AM30" s="131"/>
      <c r="AP30" s="796"/>
    </row>
    <row r="31" spans="1:42" s="52" customFormat="1" ht="19.5" customHeight="1" x14ac:dyDescent="0.25">
      <c r="A31" s="917">
        <f>IF(ISBLANK(C31),"",(Report_Date-C31)/30)</f>
        <v>2.7333333333333334</v>
      </c>
      <c r="B31" s="918">
        <v>2016</v>
      </c>
      <c r="C31" s="919">
        <v>42713</v>
      </c>
      <c r="D31" s="914" t="s">
        <v>1120</v>
      </c>
      <c r="E31" s="914" t="s">
        <v>1120</v>
      </c>
      <c r="F31" s="914" t="s">
        <v>7</v>
      </c>
      <c r="G31" s="920" t="s">
        <v>14</v>
      </c>
      <c r="H31" s="920" t="s">
        <v>40</v>
      </c>
      <c r="I31" s="921"/>
      <c r="J31" s="922"/>
      <c r="K31" s="922"/>
      <c r="L31" s="923"/>
      <c r="M31" s="923"/>
      <c r="N31" s="923"/>
      <c r="O31" s="923">
        <v>1228</v>
      </c>
      <c r="P31" s="923"/>
      <c r="Q31" s="923"/>
      <c r="R31" s="924"/>
      <c r="S31" s="923"/>
      <c r="T31" s="923"/>
      <c r="U31" s="923"/>
      <c r="V31" s="923"/>
      <c r="W31" s="915">
        <f>IF(NFI_Expiration=1,IF($A31&lt;VLOOKUP(I$5,NFI,5,0),1,0)*Data_NFI_t[[#This Row],[Hygiene Kit]],0)</f>
        <v>0</v>
      </c>
      <c r="X31" s="915">
        <f>IF(NFI_Expiration=1,IF($A31&lt;VLOOKUP(J$5,NFI,5,0),1,0)*Data_NFI_t[[#This Row],[NFI Core Kit]],0)</f>
        <v>0</v>
      </c>
      <c r="Y31" s="916">
        <f>IF(NFI_Expiration=1,IF($A31&lt;VLOOKUP(K$5,NFI,5,0),1,0)*Data_NFI_t[[#This Row],[Sanitary Kit]],0)</f>
        <v>0</v>
      </c>
      <c r="Z31" s="916">
        <f>IF(NFI_Expiration=1,IF($A31&lt;VLOOKUP(L$5,NFI,5,0),1,0)*Data_NFI_t[[#This Row],[Mosquito net]],0)</f>
        <v>0</v>
      </c>
      <c r="AA31" s="916">
        <f>IF(NFI_Expiration=1,IF($A31&lt;VLOOKUP(M$5,NFI,5,0),1,0)*Data_NFI_t[[#This Row],[Tarpaulin]],0)</f>
        <v>0</v>
      </c>
      <c r="AB31" s="916">
        <f>IF(NFI_Expiration=1,IF($A31&lt;VLOOKUP(N$5,NFI,5,0),1,0)*Data_NFI_t[[#This Row],[Blanket]],0)</f>
        <v>0</v>
      </c>
      <c r="AC31" s="916">
        <f>IF(NFI_Expiration=1,IF($A31&lt;VLOOKUP(O$5,NFI,5,0),1,0)*Data_NFI_t[[#This Row],[Kitchen Set]],0)</f>
        <v>1228</v>
      </c>
      <c r="AD31" s="916">
        <f>IF(NFI_Expiration=1,IF($A31&lt;VLOOKUP(P$5,NFI,5,0),1,0)*Data_NFI_t[[#This Row],[Complementary Kit]],0)</f>
        <v>0</v>
      </c>
      <c r="AE31" s="916">
        <f>IF(NFI_Expiration=1,IF($A31&lt;VLOOKUP(Q$5,NFI,5,0),1,0)*Data_NFI_t[[#This Row],[Plastic Bucket]],0)</f>
        <v>0</v>
      </c>
      <c r="AF31" s="915">
        <f>IF(NFI_Expiration=1,IF($A31&lt;VLOOKUP(R$5,NFI,5,0),1,0)*Data_NFI_t[[#This Row],[Jerry Can]],0)</f>
        <v>0</v>
      </c>
      <c r="AG31" s="915">
        <f>IF(NFI_Expiration=1,IF($A31&lt;VLOOKUP(S$5,NFI,5,0),1,0)*Data_NFI_t[[#This Row],[Plastic Mat]],0)*IF(Data_NFI_t[[#This Row],[Distribution Date]]&gt;"01-06-2015",1,2.5)</f>
        <v>0</v>
      </c>
      <c r="AH31" s="915">
        <f>IF(NFI_Expiration=1,IF($A31&lt;VLOOKUP(T$5,NFI,5,0),1,0)*Data_NFI_t[[#This Row],[Adult Clothes]],0)</f>
        <v>0</v>
      </c>
      <c r="AI31" s="915">
        <f>IF(NFI_Expiration=1,IF($A31&lt;VLOOKUP(U$5,NFI,5,0),1,0)*Data_NFI_t[[#This Row],[Children Clothes]],0)</f>
        <v>0</v>
      </c>
      <c r="AJ31" s="915">
        <f>IF(NFI_Expiration=1,IF($A31&lt;VLOOKUP(V$5,NFI,5,0),1,0)*Data_NFI_t[[#This Row],[Sewing Kit]],0)</f>
        <v>0</v>
      </c>
      <c r="AK31" s="131" t="str">
        <f ca="1">IFERROR(OFFSET(Camp_List[P_Code],MATCH(Data_NFI_t[[#This Row],[Camp Name]],Camp_List[Camp Name],0)-1,0,1,1),"")</f>
        <v>MMR012CMP016</v>
      </c>
      <c r="AL31" s="513" t="str">
        <f ca="1">IFERROR(OFFSET(Camp_List[Status],MATCH(Data_NFI_t[[#This Row],[Camp Name]],Camp_List[Camp Name],0)-1,0,1,1),"")</f>
        <v>Open</v>
      </c>
      <c r="AM31" s="131"/>
      <c r="AP31" s="796"/>
    </row>
    <row r="32" spans="1:42" s="52" customFormat="1" ht="19.5" customHeight="1" x14ac:dyDescent="0.25">
      <c r="A32" s="917">
        <f>IF(ISBLANK(C32),"",(Report_Date-C32)/30)</f>
        <v>3.0666666666666669</v>
      </c>
      <c r="B32" s="918">
        <v>2016</v>
      </c>
      <c r="C32" s="919">
        <v>42703</v>
      </c>
      <c r="D32" s="914" t="s">
        <v>1120</v>
      </c>
      <c r="E32" s="914" t="s">
        <v>1120</v>
      </c>
      <c r="F32" s="914" t="s">
        <v>7</v>
      </c>
      <c r="G32" s="920" t="s">
        <v>19</v>
      </c>
      <c r="H32" s="920" t="s">
        <v>68</v>
      </c>
      <c r="I32" s="921"/>
      <c r="J32" s="922"/>
      <c r="K32" s="922"/>
      <c r="L32" s="923"/>
      <c r="M32" s="923"/>
      <c r="N32" s="923"/>
      <c r="O32" s="923"/>
      <c r="P32" s="923"/>
      <c r="Q32" s="923"/>
      <c r="R32" s="924">
        <v>985</v>
      </c>
      <c r="S32" s="923"/>
      <c r="T32" s="923"/>
      <c r="U32" s="923"/>
      <c r="V32" s="923"/>
      <c r="W32" s="915">
        <f>IF(NFI_Expiration=1,IF($A32&lt;VLOOKUP(I$5,NFI,5,0),1,0)*Data_NFI_t[[#This Row],[Hygiene Kit]],0)</f>
        <v>0</v>
      </c>
      <c r="X32" s="915">
        <f>IF(NFI_Expiration=1,IF($A32&lt;VLOOKUP(J$5,NFI,5,0),1,0)*Data_NFI_t[[#This Row],[NFI Core Kit]],0)</f>
        <v>0</v>
      </c>
      <c r="Y32" s="916">
        <f>IF(NFI_Expiration=1,IF($A32&lt;VLOOKUP(K$5,NFI,5,0),1,0)*Data_NFI_t[[#This Row],[Sanitary Kit]],0)</f>
        <v>0</v>
      </c>
      <c r="Z32" s="916">
        <f>IF(NFI_Expiration=1,IF($A32&lt;VLOOKUP(L$5,NFI,5,0),1,0)*Data_NFI_t[[#This Row],[Mosquito net]],0)</f>
        <v>0</v>
      </c>
      <c r="AA32" s="916">
        <f>IF(NFI_Expiration=1,IF($A32&lt;VLOOKUP(M$5,NFI,5,0),1,0)*Data_NFI_t[[#This Row],[Tarpaulin]],0)</f>
        <v>0</v>
      </c>
      <c r="AB32" s="916">
        <f>IF(NFI_Expiration=1,IF($A32&lt;VLOOKUP(N$5,NFI,5,0),1,0)*Data_NFI_t[[#This Row],[Blanket]],0)</f>
        <v>0</v>
      </c>
      <c r="AC32" s="916">
        <f>IF(NFI_Expiration=1,IF($A32&lt;VLOOKUP(O$5,NFI,5,0),1,0)*Data_NFI_t[[#This Row],[Kitchen Set]],0)</f>
        <v>0</v>
      </c>
      <c r="AD32" s="916">
        <f>IF(NFI_Expiration=1,IF($A32&lt;VLOOKUP(P$5,NFI,5,0),1,0)*Data_NFI_t[[#This Row],[Complementary Kit]],0)</f>
        <v>0</v>
      </c>
      <c r="AE32" s="916">
        <f>IF(NFI_Expiration=1,IF($A32&lt;VLOOKUP(Q$5,NFI,5,0),1,0)*Data_NFI_t[[#This Row],[Plastic Bucket]],0)</f>
        <v>0</v>
      </c>
      <c r="AF32" s="915">
        <f>IF(NFI_Expiration=1,IF($A32&lt;VLOOKUP(R$5,NFI,5,0),1,0)*Data_NFI_t[[#This Row],[Jerry Can]],0)</f>
        <v>985</v>
      </c>
      <c r="AG32" s="915">
        <f>IF(NFI_Expiration=1,IF($A32&lt;VLOOKUP(S$5,NFI,5,0),1,0)*Data_NFI_t[[#This Row],[Plastic Mat]],0)*IF(Data_NFI_t[[#This Row],[Distribution Date]]&gt;"01-06-2015",1,2.5)</f>
        <v>0</v>
      </c>
      <c r="AH32" s="915">
        <f>IF(NFI_Expiration=1,IF($A32&lt;VLOOKUP(T$5,NFI,5,0),1,0)*Data_NFI_t[[#This Row],[Adult Clothes]],0)</f>
        <v>0</v>
      </c>
      <c r="AI32" s="915">
        <f>IF(NFI_Expiration=1,IF($A32&lt;VLOOKUP(U$5,NFI,5,0),1,0)*Data_NFI_t[[#This Row],[Children Clothes]],0)</f>
        <v>0</v>
      </c>
      <c r="AJ32" s="915">
        <f>IF(NFI_Expiration=1,IF($A32&lt;VLOOKUP(V$5,NFI,5,0),1,0)*Data_NFI_t[[#This Row],[Sewing Kit]],0)</f>
        <v>0</v>
      </c>
      <c r="AK32" s="131" t="str">
        <f ca="1">IFERROR(OFFSET(Camp_List[P_Code],MATCH(Data_NFI_t[[#This Row],[Camp Name]],Camp_List[Camp Name],0)-1,0,1,1),"")</f>
        <v>MMR012CMP046</v>
      </c>
      <c r="AL32" s="513" t="str">
        <f ca="1">IFERROR(OFFSET(Camp_List[Status],MATCH(Data_NFI_t[[#This Row],[Camp Name]],Camp_List[Camp Name],0)-1,0,1,1),"")</f>
        <v>Open</v>
      </c>
      <c r="AM32" s="131"/>
      <c r="AP32" s="796"/>
    </row>
    <row r="33" spans="1:39" s="793" customFormat="1" ht="19.5" customHeight="1" x14ac:dyDescent="0.25">
      <c r="A33" s="522">
        <f>IF(ISBLANK(C33),"",(Report_Date-C33)/30)</f>
        <v>3.2</v>
      </c>
      <c r="B33" s="522">
        <v>2016</v>
      </c>
      <c r="C33" s="901">
        <v>42699</v>
      </c>
      <c r="D33" s="902" t="s">
        <v>971</v>
      </c>
      <c r="E33" s="903" t="s">
        <v>971</v>
      </c>
      <c r="F33" s="902" t="s">
        <v>7</v>
      </c>
      <c r="G33" s="118" t="s">
        <v>19</v>
      </c>
      <c r="H33" s="118" t="s">
        <v>70</v>
      </c>
      <c r="I33" s="118">
        <v>1000</v>
      </c>
      <c r="J33" s="119">
        <v>32</v>
      </c>
      <c r="K33" s="119"/>
      <c r="L33" s="119">
        <v>32</v>
      </c>
      <c r="M33" s="119"/>
      <c r="N33" s="119">
        <v>64</v>
      </c>
      <c r="O33" s="119"/>
      <c r="P33" s="119"/>
      <c r="Q33" s="119">
        <v>64</v>
      </c>
      <c r="R33" s="512">
        <v>64</v>
      </c>
      <c r="S33" s="119">
        <v>64</v>
      </c>
      <c r="T33" s="119"/>
      <c r="U33" s="119"/>
      <c r="V33" s="119"/>
      <c r="W33" s="904">
        <f>IF(NFI_Expiration=1,IF($A33&lt;VLOOKUP(I$5,NFI,5,0),1,0)*Data_NFI_t[[#This Row],[Hygiene Kit]],0)</f>
        <v>1000</v>
      </c>
      <c r="X33" s="904">
        <f>IF(NFI_Expiration=1,IF($A33&lt;VLOOKUP(J$5,NFI,5,0),1,0)*Data_NFI_t[[#This Row],[NFI Core Kit]],0)</f>
        <v>32</v>
      </c>
      <c r="Y33" s="905">
        <f>IF(NFI_Expiration=1,IF($A33&lt;VLOOKUP(K$5,NFI,5,0),1,0)*Data_NFI_t[[#This Row],[Sanitary Kit]],0)</f>
        <v>0</v>
      </c>
      <c r="Z33" s="905">
        <f>IF(NFI_Expiration=1,IF($A33&lt;VLOOKUP(L$5,NFI,5,0),1,0)*Data_NFI_t[[#This Row],[Mosquito net]],0)</f>
        <v>32</v>
      </c>
      <c r="AA33" s="905">
        <f>IF(NFI_Expiration=1,IF($A33&lt;VLOOKUP(M$5,NFI,5,0),1,0)*Data_NFI_t[[#This Row],[Tarpaulin]],0)</f>
        <v>0</v>
      </c>
      <c r="AB33" s="905">
        <f>IF(NFI_Expiration=1,IF($A33&lt;VLOOKUP(N$5,NFI,5,0),1,0)*Data_NFI_t[[#This Row],[Blanket]],0)</f>
        <v>64</v>
      </c>
      <c r="AC33" s="905">
        <f>IF(NFI_Expiration=1,IF($A33&lt;VLOOKUP(O$5,NFI,5,0),1,0)*Data_NFI_t[[#This Row],[Kitchen Set]],0)</f>
        <v>0</v>
      </c>
      <c r="AD33" s="905">
        <f>IF(NFI_Expiration=1,IF($A33&lt;VLOOKUP(P$5,NFI,5,0),1,0)*Data_NFI_t[[#This Row],[Complementary Kit]],0)</f>
        <v>0</v>
      </c>
      <c r="AE33" s="905">
        <f>IF(NFI_Expiration=1,IF($A33&lt;VLOOKUP(Q$5,NFI,5,0),1,0)*Data_NFI_t[[#This Row],[Plastic Bucket]],0)</f>
        <v>64</v>
      </c>
      <c r="AF33" s="904">
        <f>IF(NFI_Expiration=1,IF($A33&lt;VLOOKUP(R$5,NFI,5,0),1,0)*Data_NFI_t[[#This Row],[Jerry Can]],0)</f>
        <v>64</v>
      </c>
      <c r="AG33" s="904">
        <f>IF(NFI_Expiration=1,IF($A33&lt;VLOOKUP(S$5,NFI,5,0),1,0)*Data_NFI_t[[#This Row],[Plastic Mat]],0)*IF(Data_NFI_t[[#This Row],[Distribution Date]]&gt;"01-06-2015",1,2.5)</f>
        <v>160</v>
      </c>
      <c r="AH33" s="915">
        <f>IF(NFI_Expiration=1,IF($A33&lt;VLOOKUP(T$5,NFI,5,0),1,0)*Data_NFI_t[[#This Row],[Adult Clothes]],0)</f>
        <v>0</v>
      </c>
      <c r="AI33" s="904">
        <f>IF(NFI_Expiration=1,IF($A33&lt;VLOOKUP(U$5,NFI,5,0),1,0)*Data_NFI_t[[#This Row],[Children Clothes]],0)</f>
        <v>0</v>
      </c>
      <c r="AJ33" s="904">
        <f>IF(NFI_Expiration=1,IF($A33&lt;VLOOKUP(V$5,NFI,5,0),1,0)*Data_NFI_t[[#This Row],[Sewing Kit]],0)</f>
        <v>0</v>
      </c>
      <c r="AK33" s="904" t="str">
        <f ca="1">IFERROR(OFFSET(Camp_List[P_Code],MATCH(Data_NFI_t[[#This Row],[Camp Name]],Camp_List[Camp Name],0)-1,0,1,1),"")</f>
        <v>MMR012CMP048</v>
      </c>
      <c r="AL33" s="906" t="str">
        <f ca="1">IFERROR(OFFSET(Camp_List[Status],MATCH(Data_NFI_t[[#This Row],[Camp Name]],Camp_List[Camp Name],0)-1,0,1,1),"")</f>
        <v>Open</v>
      </c>
      <c r="AM33" s="131"/>
    </row>
    <row r="34" spans="1:39" ht="19.5" customHeight="1" x14ac:dyDescent="0.25">
      <c r="A34" s="242">
        <f>IF(ISBLANK(C34),"",(Report_Date-C34)/30)</f>
        <v>3.2</v>
      </c>
      <c r="B34" s="794">
        <v>2016</v>
      </c>
      <c r="C34" s="927">
        <v>42699</v>
      </c>
      <c r="D34" s="794" t="s">
        <v>971</v>
      </c>
      <c r="E34" s="794" t="s">
        <v>971</v>
      </c>
      <c r="F34" s="794" t="s">
        <v>7</v>
      </c>
      <c r="G34" s="794" t="s">
        <v>19</v>
      </c>
      <c r="H34" s="794" t="s">
        <v>629</v>
      </c>
      <c r="I34" s="794"/>
      <c r="J34" s="794">
        <v>624</v>
      </c>
      <c r="K34" s="794">
        <v>656</v>
      </c>
      <c r="L34" s="794">
        <v>1248</v>
      </c>
      <c r="M34" s="794"/>
      <c r="N34" s="794">
        <v>624</v>
      </c>
      <c r="O34" s="794"/>
      <c r="P34" s="794"/>
      <c r="Q34" s="794">
        <v>1248</v>
      </c>
      <c r="R34" s="794">
        <v>1248</v>
      </c>
      <c r="S34" s="794">
        <v>1248</v>
      </c>
      <c r="T34" s="794"/>
      <c r="U34" s="794"/>
      <c r="V34" s="794"/>
      <c r="W34" s="794">
        <f>IF(NFI_Expiration=1,IF($A34&lt;VLOOKUP(I$5,NFI,5,0),1,0)*Data_NFI_t[[#This Row],[Hygiene Kit]],0)</f>
        <v>0</v>
      </c>
      <c r="X34" s="794">
        <f>IF(NFI_Expiration=1,IF($A34&lt;VLOOKUP(J$5,NFI,5,0),1,0)*Data_NFI_t[[#This Row],[NFI Core Kit]],0)</f>
        <v>624</v>
      </c>
      <c r="Y34" s="794">
        <f>IF(NFI_Expiration=1,IF($A34&lt;VLOOKUP(K$5,NFI,5,0),1,0)*Data_NFI_t[[#This Row],[Sanitary Kit]],0)</f>
        <v>656</v>
      </c>
      <c r="Z34" s="794">
        <f>IF(NFI_Expiration=1,IF($A34&lt;VLOOKUP(L$5,NFI,5,0),1,0)*Data_NFI_t[[#This Row],[Mosquito net]],0)</f>
        <v>1248</v>
      </c>
      <c r="AA34" s="794">
        <f>IF(NFI_Expiration=1,IF($A34&lt;VLOOKUP(M$5,NFI,5,0),1,0)*Data_NFI_t[[#This Row],[Tarpaulin]],0)</f>
        <v>0</v>
      </c>
      <c r="AB34" s="794">
        <f>IF(NFI_Expiration=1,IF($A34&lt;VLOOKUP(N$5,NFI,5,0),1,0)*Data_NFI_t[[#This Row],[Blanket]],0)</f>
        <v>624</v>
      </c>
      <c r="AC34" s="794">
        <f>IF(NFI_Expiration=1,IF($A34&lt;VLOOKUP(O$5,NFI,5,0),1,0)*Data_NFI_t[[#This Row],[Kitchen Set]],0)</f>
        <v>0</v>
      </c>
      <c r="AD34" s="794">
        <f>IF(NFI_Expiration=1,IF($A34&lt;VLOOKUP(P$5,NFI,5,0),1,0)*Data_NFI_t[[#This Row],[Complementary Kit]],0)</f>
        <v>0</v>
      </c>
      <c r="AE34" s="794">
        <f>IF(NFI_Expiration=1,IF($A34&lt;VLOOKUP(Q$5,NFI,5,0),1,0)*Data_NFI_t[[#This Row],[Plastic Bucket]],0)</f>
        <v>1248</v>
      </c>
      <c r="AF34" s="794">
        <f>IF(NFI_Expiration=1,IF($A34&lt;VLOOKUP(R$5,NFI,5,0),1,0)*Data_NFI_t[[#This Row],[Jerry Can]],0)</f>
        <v>1248</v>
      </c>
      <c r="AG34" s="794">
        <f>IF(NFI_Expiration=1,IF($A34&lt;VLOOKUP(S$5,NFI,5,0),1,0)*Data_NFI_t[[#This Row],[Plastic Mat]],0)*IF(Data_NFI_t[[#This Row],[Distribution Date]]&gt;"01-06-2015",1,2.5)</f>
        <v>3120</v>
      </c>
      <c r="AH34" s="915">
        <f>IF(NFI_Expiration=1,IF($A34&lt;VLOOKUP(T$5,NFI,5,0),1,0)*Data_NFI_t[[#This Row],[Adult Clothes]],0)</f>
        <v>0</v>
      </c>
      <c r="AI34" s="794">
        <f>IF(NFI_Expiration=1,IF($A34&lt;VLOOKUP(U$5,NFI,5,0),1,0)*Data_NFI_t[[#This Row],[Children Clothes]],0)</f>
        <v>0</v>
      </c>
      <c r="AJ34" s="794">
        <f>IF(NFI_Expiration=1,IF($A34&lt;VLOOKUP(V$5,NFI,5,0),1,0)*Data_NFI_t[[#This Row],[Sewing Kit]],0)</f>
        <v>0</v>
      </c>
      <c r="AK34" s="794" t="str">
        <f ca="1">IFERROR(OFFSET(Camp_List[P_Code],MATCH(Data_NFI_t[[#This Row],[Camp Name]],Camp_List[Camp Name],0)-1,0,1,1),"")</f>
        <v>MMR012CMP092</v>
      </c>
      <c r="AL34" s="794" t="str">
        <f ca="1">IFERROR(OFFSET(Camp_List[Status],MATCH(Data_NFI_t[[#This Row],[Camp Name]],Camp_List[Camp Name],0)-1,0,1,1),"")</f>
        <v>Open</v>
      </c>
      <c r="AM34" s="131"/>
    </row>
    <row r="35" spans="1:39" s="793" customFormat="1" ht="19.5" customHeight="1" x14ac:dyDescent="0.25">
      <c r="A35" s="242">
        <f>IF(ISBLANK(C35),"",(Report_Date-C35)/30)</f>
        <v>3.5</v>
      </c>
      <c r="B35" s="522">
        <v>2016</v>
      </c>
      <c r="C35" s="927">
        <v>42690</v>
      </c>
      <c r="D35" s="489" t="s">
        <v>707</v>
      </c>
      <c r="E35" s="488" t="s">
        <v>707</v>
      </c>
      <c r="F35" s="489" t="s">
        <v>7</v>
      </c>
      <c r="G35" s="794" t="s">
        <v>867</v>
      </c>
      <c r="H35" s="794" t="s">
        <v>38</v>
      </c>
      <c r="I35" s="794"/>
      <c r="J35" s="51"/>
      <c r="K35" s="51"/>
      <c r="L35" s="119"/>
      <c r="M35" s="119"/>
      <c r="N35" s="119"/>
      <c r="O35" s="119"/>
      <c r="P35" s="119">
        <v>195</v>
      </c>
      <c r="Q35" s="119"/>
      <c r="R35" s="512"/>
      <c r="S35" s="119"/>
      <c r="T35" s="119"/>
      <c r="U35" s="119"/>
      <c r="V35" s="119"/>
      <c r="W35" s="131">
        <f>IF(NFI_Expiration=1,IF($A35&lt;VLOOKUP(I$5,NFI,5,0),1,0)*Data_NFI_t[[#This Row],[Hygiene Kit]],0)</f>
        <v>0</v>
      </c>
      <c r="X35" s="131">
        <f>IF(NFI_Expiration=1,IF($A35&lt;VLOOKUP(J$5,NFI,5,0),1,0)*Data_NFI_t[[#This Row],[NFI Core Kit]],0)</f>
        <v>0</v>
      </c>
      <c r="Y35" s="112">
        <f>IF(NFI_Expiration=1,IF($A35&lt;VLOOKUP(K$5,NFI,5,0),1,0)*Data_NFI_t[[#This Row],[Sanitary Kit]],0)</f>
        <v>0</v>
      </c>
      <c r="Z35" s="112">
        <f>IF(NFI_Expiration=1,IF($A35&lt;VLOOKUP(L$5,NFI,5,0),1,0)*Data_NFI_t[[#This Row],[Mosquito net]],0)</f>
        <v>0</v>
      </c>
      <c r="AA35" s="112">
        <f>IF(NFI_Expiration=1,IF($A35&lt;VLOOKUP(M$5,NFI,5,0),1,0)*Data_NFI_t[[#This Row],[Tarpaulin]],0)</f>
        <v>0</v>
      </c>
      <c r="AB35" s="112">
        <f>IF(NFI_Expiration=1,IF($A35&lt;VLOOKUP(N$5,NFI,5,0),1,0)*Data_NFI_t[[#This Row],[Blanket]],0)</f>
        <v>0</v>
      </c>
      <c r="AC35" s="112">
        <f>IF(NFI_Expiration=1,IF($A35&lt;VLOOKUP(O$5,NFI,5,0),1,0)*Data_NFI_t[[#This Row],[Kitchen Set]],0)</f>
        <v>0</v>
      </c>
      <c r="AD35" s="112">
        <f>IF(NFI_Expiration=1,IF($A35&lt;VLOOKUP(P$5,NFI,5,0),1,0)*Data_NFI_t[[#This Row],[Complementary Kit]],0)</f>
        <v>195</v>
      </c>
      <c r="AE35" s="112">
        <f>IF(NFI_Expiration=1,IF($A35&lt;VLOOKUP(Q$5,NFI,5,0),1,0)*Data_NFI_t[[#This Row],[Plastic Bucket]],0)</f>
        <v>0</v>
      </c>
      <c r="AF35" s="131">
        <f>IF(NFI_Expiration=1,IF($A35&lt;VLOOKUP(R$5,NFI,5,0),1,0)*Data_NFI_t[[#This Row],[Jerry Can]],0)</f>
        <v>0</v>
      </c>
      <c r="AG35" s="131">
        <f>IF(NFI_Expiration=1,IF($A35&lt;VLOOKUP(S$5,NFI,5,0),1,0)*Data_NFI_t[[#This Row],[Plastic Mat]],0)*IF(Data_NFI_t[[#This Row],[Distribution Date]]&gt;"01-06-2015",1,2.5)</f>
        <v>0</v>
      </c>
      <c r="AH35" s="915">
        <f>IF(NFI_Expiration=1,IF($A35&lt;VLOOKUP(T$5,NFI,5,0),1,0)*Data_NFI_t[[#This Row],[Adult Clothes]],0)</f>
        <v>0</v>
      </c>
      <c r="AI35" s="131">
        <f>IF(NFI_Expiration=1,IF($A35&lt;VLOOKUP(U$5,NFI,5,0),1,0)*Data_NFI_t[[#This Row],[Children Clothes]],0)</f>
        <v>0</v>
      </c>
      <c r="AJ35" s="131">
        <f>IF(NFI_Expiration=1,IF($A35&lt;VLOOKUP(V$5,NFI,5,0),1,0)*Data_NFI_t[[#This Row],[Sewing Kit]],0)</f>
        <v>0</v>
      </c>
      <c r="AK35" s="131" t="str">
        <f ca="1">IFERROR(OFFSET(Camp_List[P_Code],MATCH(Data_NFI_t[[#This Row],[Camp Name]],Camp_List[Camp Name],0)-1,0,1,1),"")</f>
        <v>MMR012CMP014</v>
      </c>
      <c r="AL35" s="513" t="str">
        <f ca="1">IFERROR(OFFSET(Camp_List[Status],MATCH(Data_NFI_t[[#This Row],[Camp Name]],Camp_List[Camp Name],0)-1,0,1,1),"")</f>
        <v>Open</v>
      </c>
      <c r="AM35" s="131"/>
    </row>
    <row r="36" spans="1:39" s="793" customFormat="1" ht="19.5" customHeight="1" x14ac:dyDescent="0.25">
      <c r="A36" s="242">
        <f>IF(ISBLANK(C36),"",(Report_Date-C36)/30)</f>
        <v>3.7</v>
      </c>
      <c r="B36" s="522">
        <v>2016</v>
      </c>
      <c r="C36" s="927">
        <v>42684</v>
      </c>
      <c r="D36" s="489" t="s">
        <v>1120</v>
      </c>
      <c r="E36" s="488" t="s">
        <v>1120</v>
      </c>
      <c r="F36" s="489" t="s">
        <v>7</v>
      </c>
      <c r="G36" s="794" t="s">
        <v>14</v>
      </c>
      <c r="H36" s="794" t="s">
        <v>1070</v>
      </c>
      <c r="I36" s="794"/>
      <c r="J36" s="51"/>
      <c r="K36" s="51"/>
      <c r="L36" s="119"/>
      <c r="M36" s="119"/>
      <c r="N36" s="119"/>
      <c r="O36" s="119">
        <v>856</v>
      </c>
      <c r="P36" s="119"/>
      <c r="Q36" s="119"/>
      <c r="R36" s="512"/>
      <c r="S36" s="119"/>
      <c r="T36" s="119"/>
      <c r="U36" s="119"/>
      <c r="V36" s="119"/>
      <c r="W36" s="131">
        <f>IF(NFI_Expiration=1,IF($A36&lt;VLOOKUP(I$5,NFI,5,0),1,0)*Data_NFI_t[[#This Row],[Hygiene Kit]],0)</f>
        <v>0</v>
      </c>
      <c r="X36" s="131">
        <f>IF(NFI_Expiration=1,IF($A36&lt;VLOOKUP(J$5,NFI,5,0),1,0)*Data_NFI_t[[#This Row],[NFI Core Kit]],0)</f>
        <v>0</v>
      </c>
      <c r="Y36" s="112">
        <f>IF(NFI_Expiration=1,IF($A36&lt;VLOOKUP(K$5,NFI,5,0),1,0)*Data_NFI_t[[#This Row],[Sanitary Kit]],0)</f>
        <v>0</v>
      </c>
      <c r="Z36" s="112">
        <f>IF(NFI_Expiration=1,IF($A36&lt;VLOOKUP(L$5,NFI,5,0),1,0)*Data_NFI_t[[#This Row],[Mosquito net]],0)</f>
        <v>0</v>
      </c>
      <c r="AA36" s="112">
        <f>IF(NFI_Expiration=1,IF($A36&lt;VLOOKUP(M$5,NFI,5,0),1,0)*Data_NFI_t[[#This Row],[Tarpaulin]],0)</f>
        <v>0</v>
      </c>
      <c r="AB36" s="112">
        <f>IF(NFI_Expiration=1,IF($A36&lt;VLOOKUP(N$5,NFI,5,0),1,0)*Data_NFI_t[[#This Row],[Blanket]],0)</f>
        <v>0</v>
      </c>
      <c r="AC36" s="112">
        <f>IF(NFI_Expiration=1,IF($A36&lt;VLOOKUP(O$5,NFI,5,0),1,0)*Data_NFI_t[[#This Row],[Kitchen Set]],0)</f>
        <v>856</v>
      </c>
      <c r="AD36" s="112">
        <f>IF(NFI_Expiration=1,IF($A36&lt;VLOOKUP(P$5,NFI,5,0),1,0)*Data_NFI_t[[#This Row],[Complementary Kit]],0)</f>
        <v>0</v>
      </c>
      <c r="AE36" s="112">
        <f>IF(NFI_Expiration=1,IF($A36&lt;VLOOKUP(Q$5,NFI,5,0),1,0)*Data_NFI_t[[#This Row],[Plastic Bucket]],0)</f>
        <v>0</v>
      </c>
      <c r="AF36" s="131">
        <f>IF(NFI_Expiration=1,IF($A36&lt;VLOOKUP(R$5,NFI,5,0),1,0)*Data_NFI_t[[#This Row],[Jerry Can]],0)</f>
        <v>0</v>
      </c>
      <c r="AG36" s="131">
        <f>IF(NFI_Expiration=1,IF($A36&lt;VLOOKUP(S$5,NFI,5,0),1,0)*Data_NFI_t[[#This Row],[Plastic Mat]],0)*IF(Data_NFI_t[[#This Row],[Distribution Date]]&gt;"01-06-2015",1,2.5)</f>
        <v>0</v>
      </c>
      <c r="AH36" s="915">
        <f>IF(NFI_Expiration=1,IF($A36&lt;VLOOKUP(T$5,NFI,5,0),1,0)*Data_NFI_t[[#This Row],[Adult Clothes]],0)</f>
        <v>0</v>
      </c>
      <c r="AI36" s="131">
        <f>IF(NFI_Expiration=1,IF($A36&lt;VLOOKUP(U$5,NFI,5,0),1,0)*Data_NFI_t[[#This Row],[Children Clothes]],0)</f>
        <v>0</v>
      </c>
      <c r="AJ36" s="131">
        <f>IF(NFI_Expiration=1,IF($A36&lt;VLOOKUP(V$5,NFI,5,0),1,0)*Data_NFI_t[[#This Row],[Sewing Kit]],0)</f>
        <v>0</v>
      </c>
      <c r="AK36" s="131" t="str">
        <f ca="1">IFERROR(OFFSET(Camp_List[P_Code],MATCH(Data_NFI_t[[#This Row],[Camp Name]],Camp_List[Camp Name],0)-1,0,1,1),"")</f>
        <v>MMR012CMP017</v>
      </c>
      <c r="AL36" s="513" t="str">
        <f ca="1">IFERROR(OFFSET(Camp_List[Status],MATCH(Data_NFI_t[[#This Row],[Camp Name]],Camp_List[Camp Name],0)-1,0,1,1),"")</f>
        <v>Open</v>
      </c>
      <c r="AM36" s="131"/>
    </row>
    <row r="37" spans="1:39" ht="19.5" customHeight="1" x14ac:dyDescent="0.25">
      <c r="A37" s="242">
        <f>IF(ISBLANK(C37),"",(Report_Date-C37)/30)</f>
        <v>3.7666666666666666</v>
      </c>
      <c r="B37" s="794">
        <v>2016</v>
      </c>
      <c r="C37" s="927">
        <v>42682</v>
      </c>
      <c r="D37" s="794" t="s">
        <v>707</v>
      </c>
      <c r="E37" s="794" t="s">
        <v>707</v>
      </c>
      <c r="F37" s="794" t="s">
        <v>7</v>
      </c>
      <c r="G37" s="794" t="s">
        <v>867</v>
      </c>
      <c r="H37" s="794" t="s">
        <v>38</v>
      </c>
      <c r="I37" s="794">
        <v>734</v>
      </c>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915">
        <f>IF(NFI_Expiration=1,IF($A37&lt;VLOOKUP(T$5,NFI,5,0),1,0)*Data_NFI_t[[#This Row],[Adult Clothes]],0)</f>
        <v>0</v>
      </c>
      <c r="AI37" s="794">
        <f>IF(NFI_Expiration=1,IF($A37&lt;VLOOKUP(U$5,NFI,5,0),1,0)*Data_NFI_t[[#This Row],[Children Clothes]],0)</f>
        <v>0</v>
      </c>
      <c r="AJ37" s="794">
        <f>IF(NFI_Expiration=1,IF($A37&lt;VLOOKUP(V$5,NFI,5,0),1,0)*Data_NFI_t[[#This Row],[Sewing Kit]],0)</f>
        <v>0</v>
      </c>
      <c r="AK37" s="131" t="str">
        <f ca="1">IFERROR(OFFSET(Camp_List[P_Code],MATCH(Data_NFI_t[[#This Row],[Camp Name]],Camp_List[Camp Name],0)-1,0,1,1),"")</f>
        <v>MMR012CMP014</v>
      </c>
      <c r="AL37" s="513" t="str">
        <f ca="1">IFERROR(OFFSET(Camp_List[Status],MATCH(Data_NFI_t[[#This Row],[Camp Name]],Camp_List[Camp Name],0)-1,0,1,1),"")</f>
        <v>Open</v>
      </c>
      <c r="AM37" s="131"/>
    </row>
    <row r="38" spans="1:39" s="793" customFormat="1" ht="19.5" customHeight="1" x14ac:dyDescent="0.25">
      <c r="A38" s="242">
        <f>IF(ISBLANK(C38),"",(Report_Date-C38)/30)</f>
        <v>5.166666666666667</v>
      </c>
      <c r="B38" s="522">
        <f>YEAR(Data_NFI_t[[#This Row],[Distribution Date]])</f>
        <v>2016</v>
      </c>
      <c r="C38" s="927">
        <v>42640</v>
      </c>
      <c r="D38" s="489" t="s">
        <v>971</v>
      </c>
      <c r="E38" s="488" t="s">
        <v>971</v>
      </c>
      <c r="F38" s="489" t="s">
        <v>7</v>
      </c>
      <c r="G38" s="794" t="s">
        <v>19</v>
      </c>
      <c r="H38" s="794" t="s">
        <v>70</v>
      </c>
      <c r="I38" s="794"/>
      <c r="J38" s="51">
        <v>973</v>
      </c>
      <c r="K38" s="51"/>
      <c r="L38" s="119">
        <v>973</v>
      </c>
      <c r="M38" s="119"/>
      <c r="N38" s="119">
        <v>973</v>
      </c>
      <c r="O38" s="119"/>
      <c r="P38" s="119"/>
      <c r="Q38" s="119">
        <v>1964</v>
      </c>
      <c r="R38" s="512">
        <v>1964</v>
      </c>
      <c r="S38" s="119">
        <v>1964</v>
      </c>
      <c r="T38" s="119"/>
      <c r="U38" s="119"/>
      <c r="V38" s="119"/>
      <c r="W38" s="131">
        <f>IF(NFI_Expiration=1,IF($A38&lt;VLOOKUP(I$5,NFI,5,0),1,0)*Data_NFI_t[[#This Row],[Hygiene Kit]],0)</f>
        <v>0</v>
      </c>
      <c r="X38" s="131">
        <f>IF(NFI_Expiration=1,IF($A38&lt;VLOOKUP(J$5,NFI,5,0),1,0)*Data_NFI_t[[#This Row],[NFI Core Kit]],0)</f>
        <v>973</v>
      </c>
      <c r="Y38" s="112">
        <f>IF(NFI_Expiration=1,IF($A38&lt;VLOOKUP(K$5,NFI,5,0),1,0)*Data_NFI_t[[#This Row],[Sanitary Kit]],0)</f>
        <v>0</v>
      </c>
      <c r="Z38" s="112">
        <f>IF(NFI_Expiration=1,IF($A38&lt;VLOOKUP(L$5,NFI,5,0),1,0)*Data_NFI_t[[#This Row],[Mosquito net]],0)</f>
        <v>973</v>
      </c>
      <c r="AA38" s="112">
        <f>IF(NFI_Expiration=1,IF($A38&lt;VLOOKUP(M$5,NFI,5,0),1,0)*Data_NFI_t[[#This Row],[Tarpaulin]],0)</f>
        <v>0</v>
      </c>
      <c r="AB38" s="112">
        <f>IF(NFI_Expiration=1,IF($A38&lt;VLOOKUP(N$5,NFI,5,0),1,0)*Data_NFI_t[[#This Row],[Blanket]],0)</f>
        <v>973</v>
      </c>
      <c r="AC38" s="112">
        <f>IF(NFI_Expiration=1,IF($A38&lt;VLOOKUP(O$5,NFI,5,0),1,0)*Data_NFI_t[[#This Row],[Kitchen Set]],0)</f>
        <v>0</v>
      </c>
      <c r="AD38" s="112">
        <f>IF(NFI_Expiration=1,IF($A38&lt;VLOOKUP(P$5,NFI,5,0),1,0)*Data_NFI_t[[#This Row],[Complementary Kit]],0)</f>
        <v>0</v>
      </c>
      <c r="AE38" s="112">
        <f>IF(NFI_Expiration=1,IF($A38&lt;VLOOKUP(Q$5,NFI,5,0),1,0)*Data_NFI_t[[#This Row],[Plastic Bucket]],0)</f>
        <v>1964</v>
      </c>
      <c r="AF38" s="131">
        <f>IF(NFI_Expiration=1,IF($A38&lt;VLOOKUP(R$5,NFI,5,0),1,0)*Data_NFI_t[[#This Row],[Jerry Can]],0)</f>
        <v>1964</v>
      </c>
      <c r="AG38" s="131">
        <f>IF(NFI_Expiration=1,IF($A38&lt;VLOOKUP(S$5,NFI,5,0),1,0)*Data_NFI_t[[#This Row],[Plastic Mat]],0)*IF(Data_NFI_t[[#This Row],[Distribution Date]]&gt;"01-06-2015",1,2.5)</f>
        <v>4910</v>
      </c>
      <c r="AH38" s="915">
        <f>IF(NFI_Expiration=1,IF($A38&lt;VLOOKUP(T$5,NFI,5,0),1,0)*Data_NFI_t[[#This Row],[Adult Clothes]],0)</f>
        <v>0</v>
      </c>
      <c r="AI38" s="131">
        <f>IF(NFI_Expiration=1,IF($A38&lt;VLOOKUP(U$5,NFI,5,0),1,0)*Data_NFI_t[[#This Row],[Children Clothes]],0)</f>
        <v>0</v>
      </c>
      <c r="AJ38" s="131">
        <f>IF(NFI_Expiration=1,IF($A38&lt;VLOOKUP(V$5,NFI,5,0),1,0)*Data_NFI_t[[#This Row],[Sewing Kit]],0)</f>
        <v>0</v>
      </c>
      <c r="AK38" s="131" t="str">
        <f ca="1">IFERROR(OFFSET(Camp_List[P_Code],MATCH(Data_NFI_t[[#This Row],[Camp Name]],Camp_List[Camp Name],0)-1,0,1,1),"")</f>
        <v>MMR012CMP048</v>
      </c>
      <c r="AL38" s="513" t="str">
        <f ca="1">IFERROR(OFFSET(Camp_List[Status],MATCH(Data_NFI_t[[#This Row],[Camp Name]],Camp_List[Camp Name],0)-1,0,1,1),"")</f>
        <v>Open</v>
      </c>
      <c r="AM38" s="131"/>
    </row>
    <row r="39" spans="1:39" s="793" customFormat="1" ht="19.5" customHeight="1" x14ac:dyDescent="0.25">
      <c r="A39" s="242">
        <f>IF(ISBLANK(C39),"",(Report_Date-C39)/30)</f>
        <v>6.9333333333333336</v>
      </c>
      <c r="B39" s="522">
        <f>YEAR(Data_NFI_t[[#This Row],[Distribution Date]])</f>
        <v>2016</v>
      </c>
      <c r="C39" s="927">
        <v>42587</v>
      </c>
      <c r="D39" s="489" t="s">
        <v>707</v>
      </c>
      <c r="E39" s="488" t="s">
        <v>707</v>
      </c>
      <c r="F39" s="489" t="s">
        <v>7</v>
      </c>
      <c r="G39" s="794" t="s">
        <v>867</v>
      </c>
      <c r="H39" s="794" t="s">
        <v>38</v>
      </c>
      <c r="I39" s="794">
        <v>703</v>
      </c>
      <c r="J39" s="51"/>
      <c r="K39" s="51"/>
      <c r="L39" s="119"/>
      <c r="M39" s="119"/>
      <c r="N39" s="119"/>
      <c r="O39" s="119"/>
      <c r="P39" s="119"/>
      <c r="Q39" s="119"/>
      <c r="R39" s="512"/>
      <c r="S39" s="119"/>
      <c r="T39" s="119"/>
      <c r="U39" s="119"/>
      <c r="V39" s="119"/>
      <c r="W39" s="131">
        <f>IF(NFI_Expiration=1,IF($A39&lt;VLOOKUP(I$5,NFI,5,0),1,0)*Data_NFI_t[[#This Row],[Hygiene Kit]],0)</f>
        <v>703</v>
      </c>
      <c r="X39" s="131">
        <f>IF(NFI_Expiration=1,IF($A39&lt;VLOOKUP(J$5,NFI,5,0),1,0)*Data_NFI_t[[#This Row],[NFI Core Kit]],0)</f>
        <v>0</v>
      </c>
      <c r="Y39" s="112">
        <f>IF(NFI_Expiration=1,IF($A39&lt;VLOOKUP(K$5,NFI,5,0),1,0)*Data_NFI_t[[#This Row],[Sanitary Kit]],0)</f>
        <v>0</v>
      </c>
      <c r="Z39" s="112">
        <f>IF(NFI_Expiration=1,IF($A39&lt;VLOOKUP(L$5,NFI,5,0),1,0)*Data_NFI_t[[#This Row],[Mosquito net]],0)</f>
        <v>0</v>
      </c>
      <c r="AA39" s="112">
        <f>IF(NFI_Expiration=1,IF($A39&lt;VLOOKUP(M$5,NFI,5,0),1,0)*Data_NFI_t[[#This Row],[Tarpaulin]],0)</f>
        <v>0</v>
      </c>
      <c r="AB39" s="112">
        <f>IF(NFI_Expiration=1,IF($A39&lt;VLOOKUP(N$5,NFI,5,0),1,0)*Data_NFI_t[[#This Row],[Blanket]],0)</f>
        <v>0</v>
      </c>
      <c r="AC39" s="112">
        <f>IF(NFI_Expiration=1,IF($A39&lt;VLOOKUP(O$5,NFI,5,0),1,0)*Data_NFI_t[[#This Row],[Kitchen Set]],0)</f>
        <v>0</v>
      </c>
      <c r="AD39" s="112">
        <f>IF(NFI_Expiration=1,IF($A39&lt;VLOOKUP(P$5,NFI,5,0),1,0)*Data_NFI_t[[#This Row],[Complementary Kit]],0)</f>
        <v>0</v>
      </c>
      <c r="AE39" s="112">
        <f>IF(NFI_Expiration=1,IF($A39&lt;VLOOKUP(Q$5,NFI,5,0),1,0)*Data_NFI_t[[#This Row],[Plastic Bucket]],0)</f>
        <v>0</v>
      </c>
      <c r="AF39" s="131">
        <f>IF(NFI_Expiration=1,IF($A39&lt;VLOOKUP(R$5,NFI,5,0),1,0)*Data_NFI_t[[#This Row],[Jerry Can]],0)</f>
        <v>0</v>
      </c>
      <c r="AG39" s="131">
        <f>IF(NFI_Expiration=1,IF($A39&lt;VLOOKUP(S$5,NFI,5,0),1,0)*Data_NFI_t[[#This Row],[Plastic Mat]],0)*IF(Data_NFI_t[[#This Row],[Distribution Date]]&gt;"01-06-2015",1,2.5)</f>
        <v>0</v>
      </c>
      <c r="AH39" s="915">
        <f>IF(NFI_Expiration=1,IF($A39&lt;VLOOKUP(T$5,NFI,5,0),1,0)*Data_NFI_t[[#This Row],[Adult Clothes]],0)</f>
        <v>0</v>
      </c>
      <c r="AI39" s="131">
        <f>IF(NFI_Expiration=1,IF($A39&lt;VLOOKUP(U$5,NFI,5,0),1,0)*Data_NFI_t[[#This Row],[Children Clothes]],0)</f>
        <v>0</v>
      </c>
      <c r="AJ39" s="131">
        <f>IF(NFI_Expiration=1,IF($A39&lt;VLOOKUP(V$5,NFI,5,0),1,0)*Data_NFI_t[[#This Row],[Sewing Kit]],0)</f>
        <v>0</v>
      </c>
      <c r="AK39" s="131" t="str">
        <f ca="1">IFERROR(OFFSET(Camp_List[P_Code],MATCH(Data_NFI_t[[#This Row],[Camp Name]],Camp_List[Camp Name],0)-1,0,1,1),"")</f>
        <v>MMR012CMP014</v>
      </c>
      <c r="AL39" s="513" t="str">
        <f ca="1">IFERROR(OFFSET(Camp_List[Status],MATCH(Data_NFI_t[[#This Row],[Camp Name]],Camp_List[Camp Name],0)-1,0,1,1),"")</f>
        <v>Open</v>
      </c>
      <c r="AM39" s="131"/>
    </row>
    <row r="40" spans="1:39" s="90" customFormat="1" ht="19.5" customHeight="1" x14ac:dyDescent="0.25">
      <c r="A40" s="242">
        <f>IF(ISBLANK(C40),"",(Report_Date-C40)/30)</f>
        <v>6.9333333333333336</v>
      </c>
      <c r="B40" s="522">
        <f>YEAR(Data_NFI_t[[#This Row],[Distribution Date]])</f>
        <v>2016</v>
      </c>
      <c r="C40" s="927">
        <v>42587</v>
      </c>
      <c r="D40" s="489" t="s">
        <v>707</v>
      </c>
      <c r="E40" s="488" t="s">
        <v>707</v>
      </c>
      <c r="F40" s="489" t="s">
        <v>7</v>
      </c>
      <c r="G40" s="794" t="s">
        <v>867</v>
      </c>
      <c r="H40" s="794" t="s">
        <v>37</v>
      </c>
      <c r="I40" s="794">
        <v>40</v>
      </c>
      <c r="J40" s="51"/>
      <c r="K40" s="51"/>
      <c r="L40" s="119"/>
      <c r="M40" s="119"/>
      <c r="N40" s="119"/>
      <c r="O40" s="119"/>
      <c r="P40" s="119"/>
      <c r="Q40" s="119"/>
      <c r="R40" s="512"/>
      <c r="S40" s="119"/>
      <c r="T40" s="119"/>
      <c r="U40" s="119"/>
      <c r="V40" s="119"/>
      <c r="W40" s="131">
        <f>IF(NFI_Expiration=1,IF($A40&lt;VLOOKUP(I$5,NFI,5,0),1,0)*Data_NFI_t[[#This Row],[Hygiene Kit]],0)</f>
        <v>40</v>
      </c>
      <c r="X40" s="131">
        <f>IF(NFI_Expiration=1,IF($A40&lt;VLOOKUP(J$5,NFI,5,0),1,0)*Data_NFI_t[[#This Row],[NFI Core Kit]],0)</f>
        <v>0</v>
      </c>
      <c r="Y40" s="112">
        <f>IF(NFI_Expiration=1,IF($A40&lt;VLOOKUP(K$5,NFI,5,0),1,0)*Data_NFI_t[[#This Row],[Sanitary Kit]],0)</f>
        <v>0</v>
      </c>
      <c r="Z40" s="112">
        <f>IF(NFI_Expiration=1,IF($A40&lt;VLOOKUP(L$5,NFI,5,0),1,0)*Data_NFI_t[[#This Row],[Mosquito net]],0)</f>
        <v>0</v>
      </c>
      <c r="AA40" s="112">
        <f>IF(NFI_Expiration=1,IF($A40&lt;VLOOKUP(M$5,NFI,5,0),1,0)*Data_NFI_t[[#This Row],[Tarpaulin]],0)</f>
        <v>0</v>
      </c>
      <c r="AB40" s="112">
        <f>IF(NFI_Expiration=1,IF($A40&lt;VLOOKUP(N$5,NFI,5,0),1,0)*Data_NFI_t[[#This Row],[Blanket]],0)</f>
        <v>0</v>
      </c>
      <c r="AC40" s="112">
        <f>IF(NFI_Expiration=1,IF($A40&lt;VLOOKUP(O$5,NFI,5,0),1,0)*Data_NFI_t[[#This Row],[Kitchen Set]],0)</f>
        <v>0</v>
      </c>
      <c r="AD40" s="112">
        <f>IF(NFI_Expiration=1,IF($A40&lt;VLOOKUP(P$5,NFI,5,0),1,0)*Data_NFI_t[[#This Row],[Complementary Kit]],0)</f>
        <v>0</v>
      </c>
      <c r="AE40" s="112">
        <f>IF(NFI_Expiration=1,IF($A40&lt;VLOOKUP(Q$5,NFI,5,0),1,0)*Data_NFI_t[[#This Row],[Plastic Bucket]],0)</f>
        <v>0</v>
      </c>
      <c r="AF40" s="131">
        <f>IF(NFI_Expiration=1,IF($A40&lt;VLOOKUP(R$5,NFI,5,0),1,0)*Data_NFI_t[[#This Row],[Jerry Can]],0)</f>
        <v>0</v>
      </c>
      <c r="AG40" s="131">
        <f>IF(NFI_Expiration=1,IF($A40&lt;VLOOKUP(S$5,NFI,5,0),1,0)*Data_NFI_t[[#This Row],[Plastic Mat]],0)*IF(Data_NFI_t[[#This Row],[Distribution Date]]&gt;"01-06-2015",1,2.5)</f>
        <v>0</v>
      </c>
      <c r="AH40" s="915">
        <f>IF(NFI_Expiration=1,IF($A40&lt;VLOOKUP(T$5,NFI,5,0),1,0)*Data_NFI_t[[#This Row],[Adult Clothes]],0)</f>
        <v>0</v>
      </c>
      <c r="AI40" s="131">
        <f>IF(NFI_Expiration=1,IF($A40&lt;VLOOKUP(U$5,NFI,5,0),1,0)*Data_NFI_t[[#This Row],[Children Clothes]],0)</f>
        <v>0</v>
      </c>
      <c r="AJ40" s="131">
        <f>IF(NFI_Expiration=1,IF($A40&lt;VLOOKUP(V$5,NFI,5,0),1,0)*Data_NFI_t[[#This Row],[Sewing Kit]],0)</f>
        <v>0</v>
      </c>
      <c r="AK40" s="131" t="str">
        <f ca="1">IFERROR(OFFSET(Camp_List[P_Code],MATCH(Data_NFI_t[[#This Row],[Camp Name]],Camp_List[Camp Name],0)-1,0,1,1),"")</f>
        <v>MMR012CMP013</v>
      </c>
      <c r="AL40" s="513" t="str">
        <f ca="1">IFERROR(OFFSET(Camp_List[Status],MATCH(Data_NFI_t[[#This Row],[Camp Name]],Camp_List[Camp Name],0)-1,0,1,1),"")</f>
        <v>Relocated</v>
      </c>
      <c r="AM40" s="131"/>
    </row>
    <row r="41" spans="1:39" s="90" customFormat="1" ht="19.5" customHeight="1" x14ac:dyDescent="0.25">
      <c r="A41" s="242">
        <f>IF(ISBLANK(C41),"",(Report_Date-C41)/30)</f>
        <v>8.4333333333333336</v>
      </c>
      <c r="B41" s="522">
        <f>YEAR(Data_NFI_t[[#This Row],[Distribution Date]])</f>
        <v>2016</v>
      </c>
      <c r="C41" s="927">
        <v>42542</v>
      </c>
      <c r="D41" s="489" t="s">
        <v>285</v>
      </c>
      <c r="E41" s="488" t="s">
        <v>285</v>
      </c>
      <c r="F41" s="489" t="s">
        <v>7</v>
      </c>
      <c r="G41" s="794" t="s">
        <v>608</v>
      </c>
      <c r="H41" s="794" t="s">
        <v>58</v>
      </c>
      <c r="I41" s="794">
        <v>65</v>
      </c>
      <c r="J41" s="51">
        <v>65</v>
      </c>
      <c r="K41" s="51"/>
      <c r="L41" s="119"/>
      <c r="M41" s="119"/>
      <c r="N41" s="119">
        <v>65</v>
      </c>
      <c r="O41" s="119"/>
      <c r="P41" s="119"/>
      <c r="Q41" s="119"/>
      <c r="R41" s="512"/>
      <c r="S41" s="119"/>
      <c r="T41" s="119"/>
      <c r="U41" s="119"/>
      <c r="V41" s="119"/>
      <c r="W41" s="131">
        <f>IF(NFI_Expiration=1,IF($A41&lt;VLOOKUP(I$5,NFI,5,0),1,0)*Data_NFI_t[[#This Row],[Hygiene Kit]],0)</f>
        <v>65</v>
      </c>
      <c r="X41" s="131">
        <f>IF(NFI_Expiration=1,IF($A41&lt;VLOOKUP(J$5,NFI,5,0),1,0)*Data_NFI_t[[#This Row],[NFI Core Kit]],0)</f>
        <v>65</v>
      </c>
      <c r="Y41" s="112">
        <f>IF(NFI_Expiration=1,IF($A41&lt;VLOOKUP(K$5,NFI,5,0),1,0)*Data_NFI_t[[#This Row],[Sanitary Kit]],0)</f>
        <v>0</v>
      </c>
      <c r="Z41" s="112">
        <f>IF(NFI_Expiration=1,IF($A41&lt;VLOOKUP(L$5,NFI,5,0),1,0)*Data_NFI_t[[#This Row],[Mosquito net]],0)</f>
        <v>0</v>
      </c>
      <c r="AA41" s="112">
        <f>IF(NFI_Expiration=1,IF($A41&lt;VLOOKUP(M$5,NFI,5,0),1,0)*Data_NFI_t[[#This Row],[Tarpaulin]],0)</f>
        <v>0</v>
      </c>
      <c r="AB41" s="112">
        <f>IF(NFI_Expiration=1,IF($A41&lt;VLOOKUP(N$5,NFI,5,0),1,0)*Data_NFI_t[[#This Row],[Blanket]],0)</f>
        <v>65</v>
      </c>
      <c r="AC41" s="112">
        <f>IF(NFI_Expiration=1,IF($A41&lt;VLOOKUP(O$5,NFI,5,0),1,0)*Data_NFI_t[[#This Row],[Kitchen Set]],0)</f>
        <v>0</v>
      </c>
      <c r="AD41" s="112">
        <f>IF(NFI_Expiration=1,IF($A41&lt;VLOOKUP(P$5,NFI,5,0),1,0)*Data_NFI_t[[#This Row],[Complementary Kit]],0)</f>
        <v>0</v>
      </c>
      <c r="AE41" s="112">
        <f>IF(NFI_Expiration=1,IF($A41&lt;VLOOKUP(Q$5,NFI,5,0),1,0)*Data_NFI_t[[#This Row],[Plastic Bucket]],0)</f>
        <v>0</v>
      </c>
      <c r="AF41" s="131">
        <f>IF(NFI_Expiration=1,IF($A41&lt;VLOOKUP(R$5,NFI,5,0),1,0)*Data_NFI_t[[#This Row],[Jerry Can]],0)</f>
        <v>0</v>
      </c>
      <c r="AG41" s="131">
        <f>IF(NFI_Expiration=1,IF($A41&lt;VLOOKUP(S$5,NFI,5,0),1,0)*Data_NFI_t[[#This Row],[Plastic Mat]],0)*IF(Data_NFI_t[[#This Row],[Distribution Date]]&gt;"01-06-2015",1,2.5)</f>
        <v>0</v>
      </c>
      <c r="AH41" s="915">
        <f>IF(NFI_Expiration=1,IF($A41&lt;VLOOKUP(T$5,NFI,5,0),1,0)*Data_NFI_t[[#This Row],[Adult Clothes]],0)</f>
        <v>0</v>
      </c>
      <c r="AI41" s="131">
        <f>IF(NFI_Expiration=1,IF($A41&lt;VLOOKUP(U$5,NFI,5,0),1,0)*Data_NFI_t[[#This Row],[Children Clothes]],0)</f>
        <v>0</v>
      </c>
      <c r="AJ41" s="131">
        <f>IF(NFI_Expiration=1,IF($A41&lt;VLOOKUP(V$5,NFI,5,0),1,0)*Data_NFI_t[[#This Row],[Sewing Kit]],0)</f>
        <v>0</v>
      </c>
      <c r="AK41" s="131" t="str">
        <f ca="1">IFERROR(OFFSET(Camp_List[P_Code],MATCH(Data_NFI_t[[#This Row],[Camp Name]],Camp_List[Camp Name],0)-1,0,1,1),"")</f>
        <v>MMR012CMP035</v>
      </c>
      <c r="AL41" s="513" t="str">
        <f ca="1">IFERROR(OFFSET(Camp_List[Status],MATCH(Data_NFI_t[[#This Row],[Camp Name]],Camp_List[Camp Name],0)-1,0,1,1),"")</f>
        <v>Open</v>
      </c>
      <c r="AM41" s="131"/>
    </row>
    <row r="42" spans="1:39" s="90" customFormat="1" ht="19.5" customHeight="1" x14ac:dyDescent="0.25">
      <c r="A42" s="242">
        <f>IF(ISBLANK(C42),"",(Report_Date-C42)/30)</f>
        <v>8.4666666666666668</v>
      </c>
      <c r="B42" s="522">
        <f>YEAR(Data_NFI_t[[#This Row],[Distribution Date]])</f>
        <v>2016</v>
      </c>
      <c r="C42" s="927">
        <v>42541</v>
      </c>
      <c r="D42" s="489" t="s">
        <v>285</v>
      </c>
      <c r="E42" s="488" t="s">
        <v>285</v>
      </c>
      <c r="F42" s="489" t="s">
        <v>7</v>
      </c>
      <c r="G42" s="794" t="s">
        <v>608</v>
      </c>
      <c r="H42" s="794" t="s">
        <v>474</v>
      </c>
      <c r="I42" s="794"/>
      <c r="J42" s="51">
        <v>427</v>
      </c>
      <c r="K42" s="51"/>
      <c r="L42" s="119"/>
      <c r="M42" s="119"/>
      <c r="N42" s="119">
        <v>854</v>
      </c>
      <c r="O42" s="119"/>
      <c r="P42" s="119"/>
      <c r="Q42" s="119"/>
      <c r="R42" s="512"/>
      <c r="S42" s="119"/>
      <c r="T42" s="119"/>
      <c r="U42" s="119"/>
      <c r="V42" s="119"/>
      <c r="W42" s="131">
        <f>IF(NFI_Expiration=1,IF($A42&lt;VLOOKUP(I$5,NFI,5,0),1,0)*Data_NFI_t[[#This Row],[Hygiene Kit]],0)</f>
        <v>0</v>
      </c>
      <c r="X42" s="131">
        <f>IF(NFI_Expiration=1,IF($A42&lt;VLOOKUP(J$5,NFI,5,0),1,0)*Data_NFI_t[[#This Row],[NFI Core Kit]],0)</f>
        <v>427</v>
      </c>
      <c r="Y42" s="112">
        <f>IF(NFI_Expiration=1,IF($A42&lt;VLOOKUP(K$5,NFI,5,0),1,0)*Data_NFI_t[[#This Row],[Sanitary Kit]],0)</f>
        <v>0</v>
      </c>
      <c r="Z42" s="112">
        <f>IF(NFI_Expiration=1,IF($A42&lt;VLOOKUP(L$5,NFI,5,0),1,0)*Data_NFI_t[[#This Row],[Mosquito net]],0)</f>
        <v>0</v>
      </c>
      <c r="AA42" s="112">
        <f>IF(NFI_Expiration=1,IF($A42&lt;VLOOKUP(M$5,NFI,5,0),1,0)*Data_NFI_t[[#This Row],[Tarpaulin]],0)</f>
        <v>0</v>
      </c>
      <c r="AB42" s="112">
        <f>IF(NFI_Expiration=1,IF($A42&lt;VLOOKUP(N$5,NFI,5,0),1,0)*Data_NFI_t[[#This Row],[Blanket]],0)</f>
        <v>854</v>
      </c>
      <c r="AC42" s="112">
        <f>IF(NFI_Expiration=1,IF($A42&lt;VLOOKUP(O$5,NFI,5,0),1,0)*Data_NFI_t[[#This Row],[Kitchen Set]],0)</f>
        <v>0</v>
      </c>
      <c r="AD42" s="112">
        <f>IF(NFI_Expiration=1,IF($A42&lt;VLOOKUP(P$5,NFI,5,0),1,0)*Data_NFI_t[[#This Row],[Complementary Kit]],0)</f>
        <v>0</v>
      </c>
      <c r="AE42" s="112">
        <f>IF(NFI_Expiration=1,IF($A42&lt;VLOOKUP(Q$5,NFI,5,0),1,0)*Data_NFI_t[[#This Row],[Plastic Bucket]],0)</f>
        <v>0</v>
      </c>
      <c r="AF42" s="131">
        <f>IF(NFI_Expiration=1,IF($A42&lt;VLOOKUP(R$5,NFI,5,0),1,0)*Data_NFI_t[[#This Row],[Jerry Can]],0)</f>
        <v>0</v>
      </c>
      <c r="AG42" s="131">
        <f>IF(NFI_Expiration=1,IF($A42&lt;VLOOKUP(S$5,NFI,5,0),1,0)*Data_NFI_t[[#This Row],[Plastic Mat]],0)*IF(Data_NFI_t[[#This Row],[Distribution Date]]&gt;"01-06-2015",1,2.5)</f>
        <v>0</v>
      </c>
      <c r="AH42" s="915">
        <f>IF(NFI_Expiration=1,IF($A42&lt;VLOOKUP(T$5,NFI,5,0),1,0)*Data_NFI_t[[#This Row],[Adult Clothes]],0)</f>
        <v>0</v>
      </c>
      <c r="AI42" s="131">
        <f>IF(NFI_Expiration=1,IF($A42&lt;VLOOKUP(U$5,NFI,5,0),1,0)*Data_NFI_t[[#This Row],[Children Clothes]],0)</f>
        <v>0</v>
      </c>
      <c r="AJ42" s="131">
        <f>IF(NFI_Expiration=1,IF($A42&lt;VLOOKUP(V$5,NFI,5,0),1,0)*Data_NFI_t[[#This Row],[Sewing Kit]],0)</f>
        <v>0</v>
      </c>
      <c r="AK42" s="131" t="str">
        <f ca="1">IFERROR(OFFSET(Camp_List[P_Code],MATCH(Data_NFI_t[[#This Row],[Camp Name]],Camp_List[Camp Name],0)-1,0,1,1),"")</f>
        <v>MMR012CMP036</v>
      </c>
      <c r="AL42" s="513" t="str">
        <f ca="1">IFERROR(OFFSET(Camp_List[Status],MATCH(Data_NFI_t[[#This Row],[Camp Name]],Camp_List[Camp Name],0)-1,0,1,1),"")</f>
        <v>Open</v>
      </c>
      <c r="AM42" s="131"/>
    </row>
    <row r="43" spans="1:39" s="90" customFormat="1" ht="19.5" customHeight="1" x14ac:dyDescent="0.25">
      <c r="A43" s="242">
        <f>IF(ISBLANK(C43),"",(Report_Date-C43)/30)</f>
        <v>9.1666666666666661</v>
      </c>
      <c r="B43" s="522">
        <f>YEAR(Data_NFI_t[[#This Row],[Distribution Date]])</f>
        <v>2016</v>
      </c>
      <c r="C43" s="927">
        <v>42520</v>
      </c>
      <c r="D43" s="489" t="s">
        <v>285</v>
      </c>
      <c r="E43" s="488" t="s">
        <v>624</v>
      </c>
      <c r="F43" s="489" t="s">
        <v>7</v>
      </c>
      <c r="G43" s="794" t="s">
        <v>14</v>
      </c>
      <c r="H43" s="794" t="s">
        <v>40</v>
      </c>
      <c r="I43" s="794"/>
      <c r="J43" s="51"/>
      <c r="K43" s="51"/>
      <c r="L43" s="119"/>
      <c r="M43" s="119">
        <v>60</v>
      </c>
      <c r="N43" s="119"/>
      <c r="O43" s="119"/>
      <c r="P43" s="119"/>
      <c r="Q43" s="119"/>
      <c r="R43" s="512"/>
      <c r="S43" s="119"/>
      <c r="T43" s="119"/>
      <c r="U43" s="119"/>
      <c r="V43" s="119"/>
      <c r="W43" s="131">
        <f>IF(NFI_Expiration=1,IF($A43&lt;VLOOKUP(I$5,NFI,5,0),1,0)*Data_NFI_t[[#This Row],[Hygiene Kit]],0)</f>
        <v>0</v>
      </c>
      <c r="X43" s="131">
        <f>IF(NFI_Expiration=1,IF($A43&lt;VLOOKUP(J$5,NFI,5,0),1,0)*Data_NFI_t[[#This Row],[NFI Core Kit]],0)</f>
        <v>0</v>
      </c>
      <c r="Y43" s="112">
        <f>IF(NFI_Expiration=1,IF($A43&lt;VLOOKUP(K$5,NFI,5,0),1,0)*Data_NFI_t[[#This Row],[Sanitary Kit]],0)</f>
        <v>0</v>
      </c>
      <c r="Z43" s="112">
        <f>IF(NFI_Expiration=1,IF($A43&lt;VLOOKUP(L$5,NFI,5,0),1,0)*Data_NFI_t[[#This Row],[Mosquito net]],0)</f>
        <v>0</v>
      </c>
      <c r="AA43" s="112">
        <f>IF(NFI_Expiration=1,IF($A43&lt;VLOOKUP(M$5,NFI,5,0),1,0)*Data_NFI_t[[#This Row],[Tarpaulin]],0)</f>
        <v>60</v>
      </c>
      <c r="AB43" s="112">
        <f>IF(NFI_Expiration=1,IF($A43&lt;VLOOKUP(N$5,NFI,5,0),1,0)*Data_NFI_t[[#This Row],[Blanket]],0)</f>
        <v>0</v>
      </c>
      <c r="AC43" s="112">
        <f>IF(NFI_Expiration=1,IF($A43&lt;VLOOKUP(O$5,NFI,5,0),1,0)*Data_NFI_t[[#This Row],[Kitchen Set]],0)</f>
        <v>0</v>
      </c>
      <c r="AD43" s="112">
        <f>IF(NFI_Expiration=1,IF($A43&lt;VLOOKUP(P$5,NFI,5,0),1,0)*Data_NFI_t[[#This Row],[Complementary Kit]],0)</f>
        <v>0</v>
      </c>
      <c r="AE43" s="112">
        <f>IF(NFI_Expiration=1,IF($A43&lt;VLOOKUP(Q$5,NFI,5,0),1,0)*Data_NFI_t[[#This Row],[Plastic Bucket]],0)</f>
        <v>0</v>
      </c>
      <c r="AF43" s="131">
        <f>IF(NFI_Expiration=1,IF($A43&lt;VLOOKUP(R$5,NFI,5,0),1,0)*Data_NFI_t[[#This Row],[Jerry Can]],0)</f>
        <v>0</v>
      </c>
      <c r="AG43" s="131">
        <f>IF(NFI_Expiration=1,IF($A43&lt;VLOOKUP(S$5,NFI,5,0),1,0)*Data_NFI_t[[#This Row],[Plastic Mat]],0)*IF(Data_NFI_t[[#This Row],[Distribution Date]]&gt;"01-06-2015",1,2.5)</f>
        <v>0</v>
      </c>
      <c r="AH43" s="915">
        <f>IF(NFI_Expiration=1,IF($A43&lt;VLOOKUP(T$5,NFI,5,0),1,0)*Data_NFI_t[[#This Row],[Adult Clothes]],0)</f>
        <v>0</v>
      </c>
      <c r="AI43" s="131">
        <f>IF(NFI_Expiration=1,IF($A43&lt;VLOOKUP(U$5,NFI,5,0),1,0)*Data_NFI_t[[#This Row],[Children Clothes]],0)</f>
        <v>0</v>
      </c>
      <c r="AJ43" s="131">
        <f>IF(NFI_Expiration=1,IF($A43&lt;VLOOKUP(V$5,NFI,5,0),1,0)*Data_NFI_t[[#This Row],[Sewing Kit]],0)</f>
        <v>0</v>
      </c>
      <c r="AK43" s="131" t="str">
        <f ca="1">IFERROR(OFFSET(Camp_List[P_Code],MATCH(Data_NFI_t[[#This Row],[Camp Name]],Camp_List[Camp Name],0)-1,0,1,1),"")</f>
        <v>MMR012CMP016</v>
      </c>
      <c r="AL43" s="513" t="str">
        <f ca="1">IFERROR(OFFSET(Camp_List[Status],MATCH(Data_NFI_t[[#This Row],[Camp Name]],Camp_List[Camp Name],0)-1,0,1,1),"")</f>
        <v>Open</v>
      </c>
      <c r="AM43" s="131"/>
    </row>
    <row r="44" spans="1:39" s="90" customFormat="1" ht="19.5" customHeight="1" x14ac:dyDescent="0.25">
      <c r="A44" s="242">
        <f>IF(ISBLANK(C44),"",(Report_Date-C44)/30)</f>
        <v>9.9666666666666668</v>
      </c>
      <c r="B44" s="522">
        <v>2016</v>
      </c>
      <c r="C44" s="927">
        <v>42496</v>
      </c>
      <c r="D44" s="489" t="s">
        <v>288</v>
      </c>
      <c r="E44" s="488" t="s">
        <v>288</v>
      </c>
      <c r="F44" s="489" t="s">
        <v>7</v>
      </c>
      <c r="G44" s="794" t="s">
        <v>19</v>
      </c>
      <c r="H44" s="794" t="s">
        <v>631</v>
      </c>
      <c r="I44" s="794"/>
      <c r="J44" s="51"/>
      <c r="K44" s="51">
        <v>424</v>
      </c>
      <c r="L44" s="119"/>
      <c r="M44" s="119">
        <v>424</v>
      </c>
      <c r="N44" s="119"/>
      <c r="O44" s="119"/>
      <c r="P44" s="119"/>
      <c r="Q44" s="119"/>
      <c r="R44" s="512"/>
      <c r="S44" s="119">
        <v>848</v>
      </c>
      <c r="T44" s="119"/>
      <c r="U44" s="119"/>
      <c r="V44" s="119"/>
      <c r="W44" s="131">
        <f>IF(NFI_Expiration=1,IF($A44&lt;VLOOKUP(I$5,NFI,5,0),1,0)*Data_NFI_t[[#This Row],[Hygiene Kit]],0)</f>
        <v>0</v>
      </c>
      <c r="X44" s="131">
        <f>IF(NFI_Expiration=1,IF($A44&lt;VLOOKUP(J$5,NFI,5,0),1,0)*Data_NFI_t[[#This Row],[NFI Core Kit]],0)</f>
        <v>0</v>
      </c>
      <c r="Y44" s="112">
        <f>IF(NFI_Expiration=1,IF($A44&lt;VLOOKUP(K$5,NFI,5,0),1,0)*Data_NFI_t[[#This Row],[Sanitary Kit]],0)</f>
        <v>424</v>
      </c>
      <c r="Z44" s="112">
        <f>IF(NFI_Expiration=1,IF($A44&lt;VLOOKUP(L$5,NFI,5,0),1,0)*Data_NFI_t[[#This Row],[Mosquito net]],0)</f>
        <v>0</v>
      </c>
      <c r="AA44" s="112">
        <f>IF(NFI_Expiration=1,IF($A44&lt;VLOOKUP(M$5,NFI,5,0),1,0)*Data_NFI_t[[#This Row],[Tarpaulin]],0)</f>
        <v>424</v>
      </c>
      <c r="AB44" s="112">
        <f>IF(NFI_Expiration=1,IF($A44&lt;VLOOKUP(N$5,NFI,5,0),1,0)*Data_NFI_t[[#This Row],[Blanket]],0)</f>
        <v>0</v>
      </c>
      <c r="AC44" s="112">
        <f>IF(NFI_Expiration=1,IF($A44&lt;VLOOKUP(O$5,NFI,5,0),1,0)*Data_NFI_t[[#This Row],[Kitchen Set]],0)</f>
        <v>0</v>
      </c>
      <c r="AD44" s="112">
        <f>IF(NFI_Expiration=1,IF($A44&lt;VLOOKUP(P$5,NFI,5,0),1,0)*Data_NFI_t[[#This Row],[Complementary Kit]],0)</f>
        <v>0</v>
      </c>
      <c r="AE44" s="112">
        <f>IF(NFI_Expiration=1,IF($A44&lt;VLOOKUP(Q$5,NFI,5,0),1,0)*Data_NFI_t[[#This Row],[Plastic Bucket]],0)</f>
        <v>0</v>
      </c>
      <c r="AF44" s="131">
        <f>IF(NFI_Expiration=1,IF($A44&lt;VLOOKUP(R$5,NFI,5,0),1,0)*Data_NFI_t[[#This Row],[Jerry Can]],0)</f>
        <v>0</v>
      </c>
      <c r="AG44" s="131">
        <f>IF(NFI_Expiration=1,IF($A44&lt;VLOOKUP(S$5,NFI,5,0),1,0)*Data_NFI_t[[#This Row],[Plastic Mat]],0)*IF(Data_NFI_t[[#This Row],[Distribution Date]]&gt;"01-06-2015",1,2.5)</f>
        <v>2120</v>
      </c>
      <c r="AH44" s="915">
        <f>IF(NFI_Expiration=1,IF($A44&lt;VLOOKUP(T$5,NFI,5,0),1,0)*Data_NFI_t[[#This Row],[Adult Clothes]],0)</f>
        <v>0</v>
      </c>
      <c r="AI44" s="131">
        <f>IF(NFI_Expiration=1,IF($A44&lt;VLOOKUP(U$5,NFI,5,0),1,0)*Data_NFI_t[[#This Row],[Children Clothes]],0)</f>
        <v>0</v>
      </c>
      <c r="AJ44" s="131">
        <f>IF(NFI_Expiration=1,IF($A44&lt;VLOOKUP(V$5,NFI,5,0),1,0)*Data_NFI_t[[#This Row],[Sewing Kit]],0)</f>
        <v>0</v>
      </c>
      <c r="AK44" s="131" t="str">
        <f ca="1">IFERROR(OFFSET(Camp_List[P_Code],MATCH(Data_NFI_t[[#This Row],[Camp Name]],Camp_List[Camp Name],0)-1,0,1,1),"")</f>
        <v>MMR012CMP114</v>
      </c>
      <c r="AL44" s="513" t="str">
        <f ca="1">IFERROR(OFFSET(Camp_List[Status],MATCH(Data_NFI_t[[#This Row],[Camp Name]],Camp_List[Camp Name],0)-1,0,1,1),"")</f>
        <v>Open</v>
      </c>
      <c r="AM44" s="131"/>
    </row>
    <row r="45" spans="1:39" s="90" customFormat="1" ht="19.5" customHeight="1" x14ac:dyDescent="0.25">
      <c r="A45" s="242">
        <f>IF(ISBLANK(C45),"",(Report_Date-C45)/30)</f>
        <v>13.033333333333333</v>
      </c>
      <c r="B45" s="522">
        <v>2016</v>
      </c>
      <c r="C45" s="927">
        <v>42404</v>
      </c>
      <c r="D45" s="489" t="s">
        <v>285</v>
      </c>
      <c r="E45" s="488" t="s">
        <v>285</v>
      </c>
      <c r="F45" s="489" t="s">
        <v>7</v>
      </c>
      <c r="G45" s="794" t="s">
        <v>19</v>
      </c>
      <c r="H45" s="794" t="s">
        <v>67</v>
      </c>
      <c r="I45" s="794"/>
      <c r="J45" s="51"/>
      <c r="K45" s="51"/>
      <c r="L45" s="119">
        <v>3630</v>
      </c>
      <c r="M45" s="119">
        <v>1815</v>
      </c>
      <c r="N45" s="119">
        <v>1815</v>
      </c>
      <c r="O45" s="119">
        <v>1815</v>
      </c>
      <c r="P45" s="119"/>
      <c r="Q45" s="119">
        <v>1815</v>
      </c>
      <c r="R45" s="512">
        <v>1815</v>
      </c>
      <c r="S45" s="119">
        <v>9075</v>
      </c>
      <c r="T45" s="119"/>
      <c r="U45" s="119"/>
      <c r="V45" s="119"/>
      <c r="W45" s="131">
        <f>IF(NFI_Expiration=1,IF($A45&lt;VLOOKUP(I$5,NFI,5,0),1,0)*Data_NFI_t[[#This Row],[Hygiene Kit]],0)</f>
        <v>0</v>
      </c>
      <c r="X45" s="131">
        <f>IF(NFI_Expiration=1,IF($A45&lt;VLOOKUP(J$5,NFI,5,0),1,0)*Data_NFI_t[[#This Row],[NFI Core Kit]],0)</f>
        <v>0</v>
      </c>
      <c r="Y45" s="112">
        <f>IF(NFI_Expiration=1,IF($A45&lt;VLOOKUP(K$5,NFI,5,0),1,0)*Data_NFI_t[[#This Row],[Sanitary Kit]],0)</f>
        <v>0</v>
      </c>
      <c r="Z45" s="112">
        <f>IF(NFI_Expiration=1,IF($A45&lt;VLOOKUP(L$5,NFI,5,0),1,0)*Data_NFI_t[[#This Row],[Mosquito net]],0)</f>
        <v>0</v>
      </c>
      <c r="AA45" s="112">
        <f>IF(NFI_Expiration=1,IF($A45&lt;VLOOKUP(M$5,NFI,5,0),1,0)*Data_NFI_t[[#This Row],[Tarpaulin]],0)</f>
        <v>0</v>
      </c>
      <c r="AB45" s="112">
        <f>IF(NFI_Expiration=1,IF($A45&lt;VLOOKUP(N$5,NFI,5,0),1,0)*Data_NFI_t[[#This Row],[Blanket]],0)</f>
        <v>0</v>
      </c>
      <c r="AC45" s="112">
        <f>IF(NFI_Expiration=1,IF($A45&lt;VLOOKUP(O$5,NFI,5,0),1,0)*Data_NFI_t[[#This Row],[Kitchen Set]],0)</f>
        <v>0</v>
      </c>
      <c r="AD45" s="112">
        <f>IF(NFI_Expiration=1,IF($A45&lt;VLOOKUP(P$5,NFI,5,0),1,0)*Data_NFI_t[[#This Row],[Complementary Kit]],0)</f>
        <v>0</v>
      </c>
      <c r="AE45" s="112">
        <f>IF(NFI_Expiration=1,IF($A45&lt;VLOOKUP(Q$5,NFI,5,0),1,0)*Data_NFI_t[[#This Row],[Plastic Bucket]],0)</f>
        <v>0</v>
      </c>
      <c r="AF45" s="131">
        <f>IF(NFI_Expiration=1,IF($A45&lt;VLOOKUP(R$5,NFI,5,0),1,0)*Data_NFI_t[[#This Row],[Jerry Can]],0)</f>
        <v>0</v>
      </c>
      <c r="AG45" s="131">
        <f>IF(NFI_Expiration=1,IF($A45&lt;VLOOKUP(S$5,NFI,5,0),1,0)*Data_NFI_t[[#This Row],[Plastic Mat]],0)*IF(Data_NFI_t[[#This Row],[Distribution Date]]&gt;"01-06-2015",1,2.5)</f>
        <v>0</v>
      </c>
      <c r="AH45" s="915">
        <f>IF(NFI_Expiration=1,IF($A45&lt;VLOOKUP(T$5,NFI,5,0),1,0)*Data_NFI_t[[#This Row],[Adult Clothes]],0)</f>
        <v>0</v>
      </c>
      <c r="AI45" s="131">
        <f>IF(NFI_Expiration=1,IF($A45&lt;VLOOKUP(U$5,NFI,5,0),1,0)*Data_NFI_t[[#This Row],[Children Clothes]],0)</f>
        <v>0</v>
      </c>
      <c r="AJ45" s="131">
        <f>IF(NFI_Expiration=1,IF($A45&lt;VLOOKUP(V$5,NFI,5,0),1,0)*Data_NFI_t[[#This Row],[Sewing Kit]],0)</f>
        <v>0</v>
      </c>
      <c r="AK45" s="131" t="str">
        <f ca="1">IFERROR(OFFSET(Camp_List[P_Code],MATCH(Data_NFI_t[[#This Row],[Camp Name]],Camp_List[Camp Name],0)-1,0,1,1),"")</f>
        <v>MMR012CMP045</v>
      </c>
      <c r="AL45" s="513" t="str">
        <f ca="1">IFERROR(OFFSET(Camp_List[Status],MATCH(Data_NFI_t[[#This Row],[Camp Name]],Camp_List[Camp Name],0)-1,0,1,1),"")</f>
        <v>Open</v>
      </c>
      <c r="AM45" s="131"/>
    </row>
    <row r="46" spans="1:39" s="90" customFormat="1" ht="19.5" customHeight="1" x14ac:dyDescent="0.25">
      <c r="A46" s="242">
        <f>IF(ISBLANK(C46),"",(Report_Date-C46)/30)</f>
        <v>13.233333333333333</v>
      </c>
      <c r="B46" s="242">
        <v>2016</v>
      </c>
      <c r="C46" s="927">
        <v>42398</v>
      </c>
      <c r="D46" s="489" t="s">
        <v>285</v>
      </c>
      <c r="E46" s="488" t="s">
        <v>285</v>
      </c>
      <c r="F46" s="489" t="s">
        <v>7</v>
      </c>
      <c r="G46" s="794" t="s">
        <v>19</v>
      </c>
      <c r="H46" s="794" t="s">
        <v>27</v>
      </c>
      <c r="I46" s="794"/>
      <c r="J46" s="51"/>
      <c r="K46" s="51"/>
      <c r="L46" s="51">
        <v>6</v>
      </c>
      <c r="M46" s="51">
        <v>3</v>
      </c>
      <c r="N46" s="51">
        <v>6</v>
      </c>
      <c r="O46" s="51">
        <v>3</v>
      </c>
      <c r="P46" s="51"/>
      <c r="Q46" s="51">
        <v>3</v>
      </c>
      <c r="R46" s="511">
        <v>3</v>
      </c>
      <c r="S46" s="51">
        <v>15</v>
      </c>
      <c r="T46" s="51"/>
      <c r="U46" s="51"/>
      <c r="V46" s="51"/>
      <c r="W46" s="131">
        <f>IF(NFI_Expiration=1,IF($A46&lt;VLOOKUP(I$5,NFI,5,0),1,0)*Data_NFI_t[[#This Row],[Hygiene Kit]],0)</f>
        <v>0</v>
      </c>
      <c r="X46" s="131">
        <f>IF(NFI_Expiration=1,IF($A46&lt;VLOOKUP(J$5,NFI,5,0),1,0)*Data_NFI_t[[#This Row],[NFI Core Kit]],0)</f>
        <v>0</v>
      </c>
      <c r="Y46" s="112">
        <f>IF(NFI_Expiration=1,IF($A46&lt;VLOOKUP(K$5,NFI,5,0),1,0)*Data_NFI_t[[#This Row],[Sanitary Kit]],0)</f>
        <v>0</v>
      </c>
      <c r="Z46" s="112">
        <f>IF(NFI_Expiration=1,IF($A46&lt;VLOOKUP(L$5,NFI,5,0),1,0)*Data_NFI_t[[#This Row],[Mosquito net]],0)</f>
        <v>0</v>
      </c>
      <c r="AA46" s="112">
        <f>IF(NFI_Expiration=1,IF($A46&lt;VLOOKUP(M$5,NFI,5,0),1,0)*Data_NFI_t[[#This Row],[Tarpaulin]],0)</f>
        <v>0</v>
      </c>
      <c r="AB46" s="112">
        <f>IF(NFI_Expiration=1,IF($A46&lt;VLOOKUP(N$5,NFI,5,0),1,0)*Data_NFI_t[[#This Row],[Blanket]],0)</f>
        <v>0</v>
      </c>
      <c r="AC46" s="112">
        <f>IF(NFI_Expiration=1,IF($A46&lt;VLOOKUP(O$5,NFI,5,0),1,0)*Data_NFI_t[[#This Row],[Kitchen Set]],0)</f>
        <v>0</v>
      </c>
      <c r="AD46" s="112">
        <f>IF(NFI_Expiration=1,IF($A46&lt;VLOOKUP(P$5,NFI,5,0),1,0)*Data_NFI_t[[#This Row],[Complementary Kit]],0)</f>
        <v>0</v>
      </c>
      <c r="AE46" s="112">
        <f>IF(NFI_Expiration=1,IF($A46&lt;VLOOKUP(Q$5,NFI,5,0),1,0)*Data_NFI_t[[#This Row],[Plastic Bucket]],0)</f>
        <v>0</v>
      </c>
      <c r="AF46" s="131">
        <f>IF(NFI_Expiration=1,IF($A46&lt;VLOOKUP(R$5,NFI,5,0),1,0)*Data_NFI_t[[#This Row],[Jerry Can]],0)</f>
        <v>0</v>
      </c>
      <c r="AG46" s="131">
        <f>IF(NFI_Expiration=1,IF($A46&lt;VLOOKUP(S$5,NFI,5,0),1,0)*Data_NFI_t[[#This Row],[Plastic Mat]],0)*IF(Data_NFI_t[[#This Row],[Distribution Date]]&gt;"01-06-2015",1,2.5)</f>
        <v>0</v>
      </c>
      <c r="AH46" s="915">
        <f>IF(NFI_Expiration=1,IF($A46&lt;VLOOKUP(T$5,NFI,5,0),1,0)*Data_NFI_t[[#This Row],[Adult Clothes]],0)</f>
        <v>0</v>
      </c>
      <c r="AI46" s="131">
        <f>IF(NFI_Expiration=1,IF($A46&lt;VLOOKUP(U$5,NFI,5,0),1,0)*Data_NFI_t[[#This Row],[Children Clothes]],0)</f>
        <v>0</v>
      </c>
      <c r="AJ46" s="131">
        <f>IF(NFI_Expiration=1,IF($A46&lt;VLOOKUP(V$5,NFI,5,0),1,0)*Data_NFI_t[[#This Row],[Sewing Kit]],0)</f>
        <v>0</v>
      </c>
      <c r="AK46" s="131" t="str">
        <f ca="1">IFERROR(OFFSET(Camp_List[P_Code],MATCH(Data_NFI_t[[#This Row],[Camp Name]],Camp_List[Camp Name],0)-1,0,1,1),"")</f>
        <v>MMR012CMP003</v>
      </c>
      <c r="AL46" s="513" t="str">
        <f ca="1">IFERROR(OFFSET(Camp_List[Status],MATCH(Data_NFI_t[[#This Row],[Camp Name]],Camp_List[Camp Name],0)-1,0,1,1),"")</f>
        <v>Returned</v>
      </c>
      <c r="AM46" s="131"/>
    </row>
    <row r="47" spans="1:39" s="90" customFormat="1" ht="19.5" customHeight="1" x14ac:dyDescent="0.25">
      <c r="A47" s="242">
        <f>IF(ISBLANK(C47),"",(Report_Date-C47)/30)</f>
        <v>13.3</v>
      </c>
      <c r="B47" s="242">
        <v>2016</v>
      </c>
      <c r="C47" s="927">
        <v>42396</v>
      </c>
      <c r="D47" s="489" t="s">
        <v>707</v>
      </c>
      <c r="E47" s="488" t="s">
        <v>707</v>
      </c>
      <c r="F47" s="489" t="s">
        <v>7</v>
      </c>
      <c r="G47" s="794" t="s">
        <v>867</v>
      </c>
      <c r="H47" s="794" t="s">
        <v>37</v>
      </c>
      <c r="I47" s="794"/>
      <c r="J47" s="51"/>
      <c r="K47" s="51"/>
      <c r="L47" s="51">
        <v>42</v>
      </c>
      <c r="M47" s="51">
        <v>42</v>
      </c>
      <c r="N47" s="51"/>
      <c r="O47" s="51">
        <v>42</v>
      </c>
      <c r="P47" s="51"/>
      <c r="Q47" s="51"/>
      <c r="R47" s="511">
        <v>42</v>
      </c>
      <c r="S47" s="51"/>
      <c r="T47" s="51"/>
      <c r="U47" s="51"/>
      <c r="V47" s="51"/>
      <c r="W47" s="131">
        <f>IF(NFI_Expiration=1,IF($A47&lt;VLOOKUP(I$5,NFI,5,0),1,0)*Data_NFI_t[[#This Row],[Hygiene Kit]],0)</f>
        <v>0</v>
      </c>
      <c r="X47" s="131">
        <f>IF(NFI_Expiration=1,IF($A47&lt;VLOOKUP(J$5,NFI,5,0),1,0)*Data_NFI_t[[#This Row],[NFI Core Kit]],0)</f>
        <v>0</v>
      </c>
      <c r="Y47" s="112">
        <f>IF(NFI_Expiration=1,IF($A47&lt;VLOOKUP(K$5,NFI,5,0),1,0)*Data_NFI_t[[#This Row],[Sanitary Kit]],0)</f>
        <v>0</v>
      </c>
      <c r="Z47" s="112">
        <f>IF(NFI_Expiration=1,IF($A47&lt;VLOOKUP(L$5,NFI,5,0),1,0)*Data_NFI_t[[#This Row],[Mosquito net]],0)</f>
        <v>0</v>
      </c>
      <c r="AA47" s="112">
        <f>IF(NFI_Expiration=1,IF($A47&lt;VLOOKUP(M$5,NFI,5,0),1,0)*Data_NFI_t[[#This Row],[Tarpaulin]],0)</f>
        <v>0</v>
      </c>
      <c r="AB47" s="112">
        <f>IF(NFI_Expiration=1,IF($A47&lt;VLOOKUP(N$5,NFI,5,0),1,0)*Data_NFI_t[[#This Row],[Blanket]],0)</f>
        <v>0</v>
      </c>
      <c r="AC47" s="112">
        <f>IF(NFI_Expiration=1,IF($A47&lt;VLOOKUP(O$5,NFI,5,0),1,0)*Data_NFI_t[[#This Row],[Kitchen Set]],0)</f>
        <v>0</v>
      </c>
      <c r="AD47" s="112">
        <f>IF(NFI_Expiration=1,IF($A47&lt;VLOOKUP(P$5,NFI,5,0),1,0)*Data_NFI_t[[#This Row],[Complementary Kit]],0)</f>
        <v>0</v>
      </c>
      <c r="AE47" s="112">
        <f>IF(NFI_Expiration=1,IF($A47&lt;VLOOKUP(Q$5,NFI,5,0),1,0)*Data_NFI_t[[#This Row],[Plastic Bucket]],0)</f>
        <v>0</v>
      </c>
      <c r="AF47" s="131">
        <f>IF(NFI_Expiration=1,IF($A47&lt;VLOOKUP(R$5,NFI,5,0),1,0)*Data_NFI_t[[#This Row],[Jerry Can]],0)</f>
        <v>0</v>
      </c>
      <c r="AG47" s="131">
        <f>IF(NFI_Expiration=1,IF($A47&lt;VLOOKUP(S$5,NFI,5,0),1,0)*Data_NFI_t[[#This Row],[Plastic Mat]],0)*IF(Data_NFI_t[[#This Row],[Distribution Date]]&gt;"01-06-2015",1,2.5)</f>
        <v>0</v>
      </c>
      <c r="AH47" s="915">
        <f>IF(NFI_Expiration=1,IF($A47&lt;VLOOKUP(T$5,NFI,5,0),1,0)*Data_NFI_t[[#This Row],[Adult Clothes]],0)</f>
        <v>0</v>
      </c>
      <c r="AI47" s="131">
        <f>IF(NFI_Expiration=1,IF($A47&lt;VLOOKUP(U$5,NFI,5,0),1,0)*Data_NFI_t[[#This Row],[Children Clothes]],0)</f>
        <v>0</v>
      </c>
      <c r="AJ47" s="131">
        <f>IF(NFI_Expiration=1,IF($A47&lt;VLOOKUP(V$5,NFI,5,0),1,0)*Data_NFI_t[[#This Row],[Sewing Kit]],0)</f>
        <v>0</v>
      </c>
      <c r="AK47" s="131" t="str">
        <f ca="1">IFERROR(OFFSET(Camp_List[P_Code],MATCH(Data_NFI_t[[#This Row],[Camp Name]],Camp_List[Camp Name],0)-1,0,1,1),"")</f>
        <v>MMR012CMP013</v>
      </c>
      <c r="AL47" s="513" t="str">
        <f ca="1">IFERROR(OFFSET(Camp_List[Status],MATCH(Data_NFI_t[[#This Row],[Camp Name]],Camp_List[Camp Name],0)-1,0,1,1),"")</f>
        <v>Relocated</v>
      </c>
      <c r="AM47" s="131"/>
    </row>
    <row r="48" spans="1:39" s="90" customFormat="1" ht="19.5" customHeight="1" x14ac:dyDescent="0.25">
      <c r="A48" s="242">
        <f>IF(ISBLANK(C48),"",(Report_Date-C48)/30)</f>
        <v>13.3</v>
      </c>
      <c r="B48" s="242">
        <v>2016</v>
      </c>
      <c r="C48" s="927">
        <v>42396</v>
      </c>
      <c r="D48" s="489" t="s">
        <v>707</v>
      </c>
      <c r="E48" s="488" t="s">
        <v>707</v>
      </c>
      <c r="F48" s="489" t="s">
        <v>7</v>
      </c>
      <c r="G48" s="794" t="s">
        <v>867</v>
      </c>
      <c r="H48" s="794" t="s">
        <v>38</v>
      </c>
      <c r="I48" s="794"/>
      <c r="J48" s="51"/>
      <c r="K48" s="51"/>
      <c r="L48" s="51">
        <v>682</v>
      </c>
      <c r="M48" s="51">
        <v>682</v>
      </c>
      <c r="N48" s="51"/>
      <c r="O48" s="51">
        <v>682</v>
      </c>
      <c r="P48" s="51"/>
      <c r="Q48" s="51"/>
      <c r="R48" s="511">
        <v>682</v>
      </c>
      <c r="S48" s="51"/>
      <c r="T48" s="51"/>
      <c r="U48" s="51"/>
      <c r="V48" s="51"/>
      <c r="W48" s="131">
        <f>IF(NFI_Expiration=1,IF($A48&lt;VLOOKUP(I$5,NFI,5,0),1,0)*Data_NFI_t[[#This Row],[Hygiene Kit]],0)</f>
        <v>0</v>
      </c>
      <c r="X48" s="131">
        <f>IF(NFI_Expiration=1,IF($A48&lt;VLOOKUP(J$5,NFI,5,0),1,0)*Data_NFI_t[[#This Row],[NFI Core Kit]],0)</f>
        <v>0</v>
      </c>
      <c r="Y48" s="112">
        <f>IF(NFI_Expiration=1,IF($A48&lt;VLOOKUP(K$5,NFI,5,0),1,0)*Data_NFI_t[[#This Row],[Sanitary Kit]],0)</f>
        <v>0</v>
      </c>
      <c r="Z48" s="112">
        <f>IF(NFI_Expiration=1,IF($A48&lt;VLOOKUP(L$5,NFI,5,0),1,0)*Data_NFI_t[[#This Row],[Mosquito net]],0)</f>
        <v>0</v>
      </c>
      <c r="AA48" s="112">
        <f>IF(NFI_Expiration=1,IF($A48&lt;VLOOKUP(M$5,NFI,5,0),1,0)*Data_NFI_t[[#This Row],[Tarpaulin]],0)</f>
        <v>0</v>
      </c>
      <c r="AB48" s="112">
        <f>IF(NFI_Expiration=1,IF($A48&lt;VLOOKUP(N$5,NFI,5,0),1,0)*Data_NFI_t[[#This Row],[Blanket]],0)</f>
        <v>0</v>
      </c>
      <c r="AC48" s="112">
        <f>IF(NFI_Expiration=1,IF($A48&lt;VLOOKUP(O$5,NFI,5,0),1,0)*Data_NFI_t[[#This Row],[Kitchen Set]],0)</f>
        <v>0</v>
      </c>
      <c r="AD48" s="112">
        <f>IF(NFI_Expiration=1,IF($A48&lt;VLOOKUP(P$5,NFI,5,0),1,0)*Data_NFI_t[[#This Row],[Complementary Kit]],0)</f>
        <v>0</v>
      </c>
      <c r="AE48" s="112">
        <f>IF(NFI_Expiration=1,IF($A48&lt;VLOOKUP(Q$5,NFI,5,0),1,0)*Data_NFI_t[[#This Row],[Plastic Bucket]],0)</f>
        <v>0</v>
      </c>
      <c r="AF48" s="131">
        <f>IF(NFI_Expiration=1,IF($A48&lt;VLOOKUP(R$5,NFI,5,0),1,0)*Data_NFI_t[[#This Row],[Jerry Can]],0)</f>
        <v>0</v>
      </c>
      <c r="AG48" s="131">
        <f>IF(NFI_Expiration=1,IF($A48&lt;VLOOKUP(S$5,NFI,5,0),1,0)*Data_NFI_t[[#This Row],[Plastic Mat]],0)*IF(Data_NFI_t[[#This Row],[Distribution Date]]&gt;"01-06-2015",1,2.5)</f>
        <v>0</v>
      </c>
      <c r="AH48" s="915">
        <f>IF(NFI_Expiration=1,IF($A48&lt;VLOOKUP(T$5,NFI,5,0),1,0)*Data_NFI_t[[#This Row],[Adult Clothes]],0)</f>
        <v>0</v>
      </c>
      <c r="AI48" s="131">
        <f>IF(NFI_Expiration=1,IF($A48&lt;VLOOKUP(U$5,NFI,5,0),1,0)*Data_NFI_t[[#This Row],[Children Clothes]],0)</f>
        <v>0</v>
      </c>
      <c r="AJ48" s="131">
        <f>IF(NFI_Expiration=1,IF($A48&lt;VLOOKUP(V$5,NFI,5,0),1,0)*Data_NFI_t[[#This Row],[Sewing Kit]],0)</f>
        <v>0</v>
      </c>
      <c r="AK48" s="131" t="str">
        <f ca="1">IFERROR(OFFSET(Camp_List[P_Code],MATCH(Data_NFI_t[[#This Row],[Camp Name]],Camp_List[Camp Name],0)-1,0,1,1),"")</f>
        <v>MMR012CMP014</v>
      </c>
      <c r="AL48" s="513" t="str">
        <f ca="1">IFERROR(OFFSET(Camp_List[Status],MATCH(Data_NFI_t[[#This Row],[Camp Name]],Camp_List[Camp Name],0)-1,0,1,1),"")</f>
        <v>Open</v>
      </c>
      <c r="AM48" s="131"/>
    </row>
    <row r="49" spans="1:39" s="90" customFormat="1" ht="19.5" customHeight="1" x14ac:dyDescent="0.25">
      <c r="A49" s="242">
        <f>IF(ISBLANK(C49),"",(Report_Date-C49)/30)</f>
        <v>13.466666666666667</v>
      </c>
      <c r="B49" s="242">
        <v>2016</v>
      </c>
      <c r="C49" s="927">
        <v>42391</v>
      </c>
      <c r="D49" s="489" t="s">
        <v>285</v>
      </c>
      <c r="E49" s="488" t="s">
        <v>285</v>
      </c>
      <c r="F49" s="489" t="s">
        <v>7</v>
      </c>
      <c r="G49" s="794" t="s">
        <v>19</v>
      </c>
      <c r="H49" s="794" t="s">
        <v>47</v>
      </c>
      <c r="I49" s="794"/>
      <c r="J49" s="51">
        <v>85</v>
      </c>
      <c r="K49" s="51"/>
      <c r="L49" s="51">
        <v>170</v>
      </c>
      <c r="M49" s="51">
        <v>85</v>
      </c>
      <c r="N49" s="51">
        <v>85</v>
      </c>
      <c r="O49" s="51">
        <v>85</v>
      </c>
      <c r="P49" s="51"/>
      <c r="Q49" s="51">
        <v>85</v>
      </c>
      <c r="R49" s="511">
        <v>85</v>
      </c>
      <c r="S49" s="51">
        <v>425</v>
      </c>
      <c r="T49" s="51"/>
      <c r="U49" s="51"/>
      <c r="V49" s="51"/>
      <c r="W49" s="131">
        <f>IF(NFI_Expiration=1,IF($A49&lt;VLOOKUP(I$5,NFI,5,0),1,0)*Data_NFI_t[[#This Row],[Hygiene Kit]],0)</f>
        <v>0</v>
      </c>
      <c r="X49" s="131">
        <f>IF(NFI_Expiration=1,IF($A49&lt;VLOOKUP(J$5,NFI,5,0),1,0)*Data_NFI_t[[#This Row],[NFI Core Kit]],0)</f>
        <v>0</v>
      </c>
      <c r="Y49" s="112">
        <f>IF(NFI_Expiration=1,IF($A49&lt;VLOOKUP(K$5,NFI,5,0),1,0)*Data_NFI_t[[#This Row],[Sanitary Kit]],0)</f>
        <v>0</v>
      </c>
      <c r="Z49" s="112">
        <f>IF(NFI_Expiration=1,IF($A49&lt;VLOOKUP(L$5,NFI,5,0),1,0)*Data_NFI_t[[#This Row],[Mosquito net]],0)</f>
        <v>0</v>
      </c>
      <c r="AA49" s="112">
        <f>IF(NFI_Expiration=1,IF($A49&lt;VLOOKUP(M$5,NFI,5,0),1,0)*Data_NFI_t[[#This Row],[Tarpaulin]],0)</f>
        <v>0</v>
      </c>
      <c r="AB49" s="112">
        <f>IF(NFI_Expiration=1,IF($A49&lt;VLOOKUP(N$5,NFI,5,0),1,0)*Data_NFI_t[[#This Row],[Blanket]],0)</f>
        <v>0</v>
      </c>
      <c r="AC49" s="112">
        <f>IF(NFI_Expiration=1,IF($A49&lt;VLOOKUP(O$5,NFI,5,0),1,0)*Data_NFI_t[[#This Row],[Kitchen Set]],0)</f>
        <v>0</v>
      </c>
      <c r="AD49" s="112">
        <f>IF(NFI_Expiration=1,IF($A49&lt;VLOOKUP(P$5,NFI,5,0),1,0)*Data_NFI_t[[#This Row],[Complementary Kit]],0)</f>
        <v>0</v>
      </c>
      <c r="AE49" s="112">
        <f>IF(NFI_Expiration=1,IF($A49&lt;VLOOKUP(Q$5,NFI,5,0),1,0)*Data_NFI_t[[#This Row],[Plastic Bucket]],0)</f>
        <v>0</v>
      </c>
      <c r="AF49" s="131">
        <f>IF(NFI_Expiration=1,IF($A49&lt;VLOOKUP(R$5,NFI,5,0),1,0)*Data_NFI_t[[#This Row],[Jerry Can]],0)</f>
        <v>0</v>
      </c>
      <c r="AG49" s="131">
        <f>IF(NFI_Expiration=1,IF($A49&lt;VLOOKUP(S$5,NFI,5,0),1,0)*Data_NFI_t[[#This Row],[Plastic Mat]],0)*IF(Data_NFI_t[[#This Row],[Distribution Date]]&gt;"01-06-2015",1,2.5)</f>
        <v>0</v>
      </c>
      <c r="AH49" s="915">
        <f>IF(NFI_Expiration=1,IF($A49&lt;VLOOKUP(T$5,NFI,5,0),1,0)*Data_NFI_t[[#This Row],[Adult Clothes]],0)</f>
        <v>0</v>
      </c>
      <c r="AI49" s="131">
        <f>IF(NFI_Expiration=1,IF($A49&lt;VLOOKUP(U$5,NFI,5,0),1,0)*Data_NFI_t[[#This Row],[Children Clothes]],0)</f>
        <v>0</v>
      </c>
      <c r="AJ49" s="131">
        <f>IF(NFI_Expiration=1,IF($A49&lt;VLOOKUP(V$5,NFI,5,0),1,0)*Data_NFI_t[[#This Row],[Sewing Kit]],0)</f>
        <v>0</v>
      </c>
      <c r="AK49" s="131" t="str">
        <f ca="1">IFERROR(OFFSET(Camp_List[P_Code],MATCH(Data_NFI_t[[#This Row],[Camp Name]],Camp_List[Camp Name],0)-1,0,1,1),"")</f>
        <v>MMR012CMP023</v>
      </c>
      <c r="AL49" s="513" t="str">
        <f ca="1">IFERROR(OFFSET(Camp_List[Status],MATCH(Data_NFI_t[[#This Row],[Camp Name]],Camp_List[Camp Name],0)-1,0,1,1),"")</f>
        <v>Open</v>
      </c>
      <c r="AM49" s="131"/>
    </row>
    <row r="50" spans="1:39" s="90" customFormat="1" ht="19.5" customHeight="1" x14ac:dyDescent="0.25">
      <c r="A50" s="242">
        <f>IF(ISBLANK(C50),"",(Report_Date-C50)/30)</f>
        <v>14.933333333333334</v>
      </c>
      <c r="B50" s="242">
        <v>2015</v>
      </c>
      <c r="C50" s="927">
        <v>42347</v>
      </c>
      <c r="D50" s="489" t="s">
        <v>294</v>
      </c>
      <c r="E50" s="488" t="s">
        <v>624</v>
      </c>
      <c r="F50" s="489" t="s">
        <v>7</v>
      </c>
      <c r="G50" s="794" t="s">
        <v>19</v>
      </c>
      <c r="H50" s="794" t="s">
        <v>64</v>
      </c>
      <c r="I50" s="794"/>
      <c r="J50" s="51"/>
      <c r="K50" s="51"/>
      <c r="L50" s="51"/>
      <c r="M50" s="51"/>
      <c r="N50" s="51">
        <v>1598</v>
      </c>
      <c r="O50" s="51"/>
      <c r="P50" s="51"/>
      <c r="Q50" s="51"/>
      <c r="R50" s="511"/>
      <c r="S50" s="51"/>
      <c r="T50" s="51"/>
      <c r="U50" s="51"/>
      <c r="V50" s="51"/>
      <c r="W50" s="131">
        <f>IF(NFI_Expiration=1,IF($A50&lt;VLOOKUP(I$5,NFI,5,0),1,0)*Data_NFI_t[[#This Row],[Hygiene Kit]],0)</f>
        <v>0</v>
      </c>
      <c r="X50" s="131">
        <f>IF(NFI_Expiration=1,IF($A50&lt;VLOOKUP(J$5,NFI,5,0),1,0)*Data_NFI_t[[#This Row],[NFI Core Kit]],0)</f>
        <v>0</v>
      </c>
      <c r="Y50" s="112">
        <f>IF(NFI_Expiration=1,IF($A50&lt;VLOOKUP(K$5,NFI,5,0),1,0)*Data_NFI_t[[#This Row],[Sanitary Kit]],0)</f>
        <v>0</v>
      </c>
      <c r="Z50" s="112">
        <f>IF(NFI_Expiration=1,IF($A50&lt;VLOOKUP(L$5,NFI,5,0),1,0)*Data_NFI_t[[#This Row],[Mosquito net]],0)</f>
        <v>0</v>
      </c>
      <c r="AA50" s="112">
        <f>IF(NFI_Expiration=1,IF($A50&lt;VLOOKUP(M$5,NFI,5,0),1,0)*Data_NFI_t[[#This Row],[Tarpaulin]],0)</f>
        <v>0</v>
      </c>
      <c r="AB50" s="112">
        <f>IF(NFI_Expiration=1,IF($A50&lt;VLOOKUP(N$5,NFI,5,0),1,0)*Data_NFI_t[[#This Row],[Blanket]],0)</f>
        <v>0</v>
      </c>
      <c r="AC50" s="112">
        <f>IF(NFI_Expiration=1,IF($A50&lt;VLOOKUP(O$5,NFI,5,0),1,0)*Data_NFI_t[[#This Row],[Kitchen Set]],0)</f>
        <v>0</v>
      </c>
      <c r="AD50" s="112">
        <f>IF(NFI_Expiration=1,IF($A50&lt;VLOOKUP(P$5,NFI,5,0),1,0)*Data_NFI_t[[#This Row],[Complementary Kit]],0)</f>
        <v>0</v>
      </c>
      <c r="AE50" s="112">
        <f>IF(NFI_Expiration=1,IF($A50&lt;VLOOKUP(Q$5,NFI,5,0),1,0)*Data_NFI_t[[#This Row],[Plastic Bucket]],0)</f>
        <v>0</v>
      </c>
      <c r="AF50" s="112">
        <f>IF(NFI_Expiration=1,IF($A50&lt;VLOOKUP(R$5,NFI,5,0),1,0)*Data_NFI_t[[#This Row],[Jerry Can]],0)</f>
        <v>0</v>
      </c>
      <c r="AG50" s="131">
        <f>IF(NFI_Expiration=1,IF($A50&lt;VLOOKUP(S$5,NFI,5,0),1,0)*Data_NFI_t[[#This Row],[Plastic Mat]],0)*IF(Data_NFI_t[[#This Row],[Distribution Date]]&gt;"01-06-2015",1,2.5)</f>
        <v>0</v>
      </c>
      <c r="AH50" s="915">
        <f>IF(NFI_Expiration=1,IF($A50&lt;VLOOKUP(T$5,NFI,5,0),1,0)*Data_NFI_t[[#This Row],[Adult Clothes]],0)</f>
        <v>0</v>
      </c>
      <c r="AI50" s="131">
        <f>IF(NFI_Expiration=1,IF($A50&lt;VLOOKUP(U$5,NFI,5,0),1,0)*Data_NFI_t[[#This Row],[Children Clothes]],0)</f>
        <v>0</v>
      </c>
      <c r="AJ50" s="131">
        <f>IF(NFI_Expiration=1,IF($A50&lt;VLOOKUP(V$5,NFI,5,0),1,0)*Data_NFI_t[[#This Row],[Sewing Kit]],0)</f>
        <v>0</v>
      </c>
      <c r="AK50" s="131" t="str">
        <f ca="1">IFERROR(OFFSET(Camp_List[P_Code],MATCH(Data_NFI_t[[#This Row],[Camp Name]],Camp_List[Camp Name],0)-1,0,1,1),"")</f>
        <v>MMR012CMP042</v>
      </c>
      <c r="AL50" s="513" t="str">
        <f ca="1">IFERROR(OFFSET(Camp_List[Status],MATCH(Data_NFI_t[[#This Row],[Camp Name]],Camp_List[Camp Name],0)-1,0,1,1),"")</f>
        <v>Open</v>
      </c>
      <c r="AM50" s="131"/>
    </row>
    <row r="51" spans="1:39" s="90" customFormat="1" ht="19.5" customHeight="1" x14ac:dyDescent="0.25">
      <c r="A51" s="242">
        <f>IF(ISBLANK(C51),"",(Report_Date-C51)/30)</f>
        <v>15.466666666666667</v>
      </c>
      <c r="B51" s="242">
        <v>2015</v>
      </c>
      <c r="C51" s="927">
        <v>42331</v>
      </c>
      <c r="D51" s="489" t="s">
        <v>624</v>
      </c>
      <c r="E51" s="488" t="s">
        <v>624</v>
      </c>
      <c r="F51" s="489" t="s">
        <v>7</v>
      </c>
      <c r="G51" s="794" t="s">
        <v>14</v>
      </c>
      <c r="H51" s="794" t="s">
        <v>40</v>
      </c>
      <c r="I51" s="794"/>
      <c r="J51" s="51">
        <v>986</v>
      </c>
      <c r="K51" s="51"/>
      <c r="L51" s="51">
        <v>1972</v>
      </c>
      <c r="M51" s="51">
        <v>986</v>
      </c>
      <c r="N51" s="51">
        <v>1972</v>
      </c>
      <c r="O51" s="51">
        <v>986</v>
      </c>
      <c r="P51" s="51"/>
      <c r="Q51" s="51">
        <v>968</v>
      </c>
      <c r="R51" s="511">
        <v>986</v>
      </c>
      <c r="S51" s="51">
        <v>4930</v>
      </c>
      <c r="T51" s="51"/>
      <c r="U51" s="51"/>
      <c r="V51" s="51"/>
      <c r="W51" s="131">
        <f>IF(NFI_Expiration=1,IF($A51&lt;VLOOKUP(I$5,NFI,5,0),1,0)*Data_NFI_t[[#This Row],[Hygiene Kit]],0)</f>
        <v>0</v>
      </c>
      <c r="X51" s="131">
        <f>IF(NFI_Expiration=1,IF($A51&lt;VLOOKUP(J$5,NFI,5,0),1,0)*Data_NFI_t[[#This Row],[NFI Core Kit]],0)</f>
        <v>0</v>
      </c>
      <c r="Y51" s="112">
        <f>IF(NFI_Expiration=1,IF($A51&lt;VLOOKUP(K$5,NFI,5,0),1,0)*Data_NFI_t[[#This Row],[Sanitary Kit]],0)</f>
        <v>0</v>
      </c>
      <c r="Z51" s="112">
        <f>IF(NFI_Expiration=1,IF($A51&lt;VLOOKUP(L$5,NFI,5,0),1,0)*Data_NFI_t[[#This Row],[Mosquito net]],0)</f>
        <v>0</v>
      </c>
      <c r="AA51" s="112">
        <f>IF(NFI_Expiration=1,IF($A51&lt;VLOOKUP(M$5,NFI,5,0),1,0)*Data_NFI_t[[#This Row],[Tarpaulin]],0)</f>
        <v>0</v>
      </c>
      <c r="AB51" s="112">
        <f>IF(NFI_Expiration=1,IF($A51&lt;VLOOKUP(N$5,NFI,5,0),1,0)*Data_NFI_t[[#This Row],[Blanket]],0)</f>
        <v>0</v>
      </c>
      <c r="AC51" s="112">
        <f>IF(NFI_Expiration=1,IF($A51&lt;VLOOKUP(O$5,NFI,5,0),1,0)*Data_NFI_t[[#This Row],[Kitchen Set]],0)</f>
        <v>0</v>
      </c>
      <c r="AD51" s="112">
        <f>IF(NFI_Expiration=1,IF($A51&lt;VLOOKUP(P$5,NFI,5,0),1,0)*Data_NFI_t[[#This Row],[Complementary Kit]],0)</f>
        <v>0</v>
      </c>
      <c r="AE51" s="112">
        <f>IF(NFI_Expiration=1,IF($A51&lt;VLOOKUP(Q$5,NFI,5,0),1,0)*Data_NFI_t[[#This Row],[Plastic Bucket]],0)</f>
        <v>0</v>
      </c>
      <c r="AF51" s="112">
        <f>IF(NFI_Expiration=1,IF($A51&lt;VLOOKUP(R$5,NFI,5,0),1,0)*Data_NFI_t[[#This Row],[Jerry Can]],0)</f>
        <v>0</v>
      </c>
      <c r="AG51" s="131">
        <f>IF(NFI_Expiration=1,IF($A51&lt;VLOOKUP(S$5,NFI,5,0),1,0)*Data_NFI_t[[#This Row],[Plastic Mat]],0)*IF(Data_NFI_t[[#This Row],[Distribution Date]]&gt;"01-06-2015",1,2.5)</f>
        <v>0</v>
      </c>
      <c r="AH51" s="915">
        <f>IF(NFI_Expiration=1,IF($A51&lt;VLOOKUP(T$5,NFI,5,0),1,0)*Data_NFI_t[[#This Row],[Adult Clothes]],0)</f>
        <v>0</v>
      </c>
      <c r="AI51" s="131">
        <f>IF(NFI_Expiration=1,IF($A51&lt;VLOOKUP(U$5,NFI,5,0),1,0)*Data_NFI_t[[#This Row],[Children Clothes]],0)</f>
        <v>0</v>
      </c>
      <c r="AJ51" s="131">
        <f>IF(NFI_Expiration=1,IF($A51&lt;VLOOKUP(V$5,NFI,5,0),1,0)*Data_NFI_t[[#This Row],[Sewing Kit]],0)</f>
        <v>0</v>
      </c>
      <c r="AK51" s="131" t="str">
        <f ca="1">IFERROR(OFFSET(Camp_List[P_Code],MATCH(Data_NFI_t[[#This Row],[Camp Name]],Camp_List[Camp Name],0)-1,0,1,1),"")</f>
        <v>MMR012CMP016</v>
      </c>
      <c r="AL51" s="513" t="str">
        <f ca="1">IFERROR(OFFSET(Camp_List[Status],MATCH(Data_NFI_t[[#This Row],[Camp Name]],Camp_List[Camp Name],0)-1,0,1,1),"")</f>
        <v>Open</v>
      </c>
      <c r="AM51" s="131"/>
    </row>
    <row r="52" spans="1:39" s="90" customFormat="1" ht="19.5" customHeight="1" x14ac:dyDescent="0.25">
      <c r="A52" s="242">
        <f>IF(ISBLANK(C52),"",(Report_Date-C52)/30)</f>
        <v>15.6</v>
      </c>
      <c r="B52" s="242">
        <v>2015</v>
      </c>
      <c r="C52" s="927">
        <v>42327</v>
      </c>
      <c r="D52" s="489" t="s">
        <v>938</v>
      </c>
      <c r="E52" s="488" t="s">
        <v>624</v>
      </c>
      <c r="F52" s="489" t="s">
        <v>7</v>
      </c>
      <c r="G52" s="794" t="s">
        <v>14</v>
      </c>
      <c r="H52" s="794" t="s">
        <v>41</v>
      </c>
      <c r="I52" s="794"/>
      <c r="J52" s="51"/>
      <c r="K52" s="51"/>
      <c r="L52" s="51">
        <v>1563</v>
      </c>
      <c r="M52" s="51"/>
      <c r="N52" s="51"/>
      <c r="O52" s="51"/>
      <c r="P52" s="51"/>
      <c r="Q52" s="51"/>
      <c r="R52" s="511"/>
      <c r="S52" s="51"/>
      <c r="T52" s="51"/>
      <c r="U52" s="51"/>
      <c r="V52" s="51"/>
      <c r="W52" s="131">
        <f>IF(NFI_Expiration=1,IF($A52&lt;VLOOKUP(I$5,NFI,5,0),1,0)*Data_NFI_t[[#This Row],[Hygiene Kit]],0)</f>
        <v>0</v>
      </c>
      <c r="X52" s="131">
        <f>IF(NFI_Expiration=1,IF($A52&lt;VLOOKUP(J$5,NFI,5,0),1,0)*Data_NFI_t[[#This Row],[NFI Core Kit]],0)</f>
        <v>0</v>
      </c>
      <c r="Y52" s="112">
        <f>IF(NFI_Expiration=1,IF($A52&lt;VLOOKUP(K$5,NFI,5,0),1,0)*Data_NFI_t[[#This Row],[Sanitary Kit]],0)</f>
        <v>0</v>
      </c>
      <c r="Z52" s="112">
        <f>IF(NFI_Expiration=1,IF($A52&lt;VLOOKUP(L$5,NFI,5,0),1,0)*Data_NFI_t[[#This Row],[Mosquito net]],0)</f>
        <v>0</v>
      </c>
      <c r="AA52" s="112">
        <f>IF(NFI_Expiration=1,IF($A52&lt;VLOOKUP(M$5,NFI,5,0),1,0)*Data_NFI_t[[#This Row],[Tarpaulin]],0)</f>
        <v>0</v>
      </c>
      <c r="AB52" s="112">
        <f>IF(NFI_Expiration=1,IF($A52&lt;VLOOKUP(N$5,NFI,5,0),1,0)*Data_NFI_t[[#This Row],[Blanket]],0)</f>
        <v>0</v>
      </c>
      <c r="AC52" s="112">
        <f>IF(NFI_Expiration=1,IF($A52&lt;VLOOKUP(O$5,NFI,5,0),1,0)*Data_NFI_t[[#This Row],[Kitchen Set]],0)</f>
        <v>0</v>
      </c>
      <c r="AD52" s="112">
        <f>IF(NFI_Expiration=1,IF($A52&lt;VLOOKUP(P$5,NFI,5,0),1,0)*Data_NFI_t[[#This Row],[Complementary Kit]],0)</f>
        <v>0</v>
      </c>
      <c r="AE52" s="112">
        <f>IF(NFI_Expiration=1,IF($A52&lt;VLOOKUP(Q$5,NFI,5,0),1,0)*Data_NFI_t[[#This Row],[Plastic Bucket]],0)</f>
        <v>0</v>
      </c>
      <c r="AF52" s="112">
        <f>IF(NFI_Expiration=1,IF($A52&lt;VLOOKUP(R$5,NFI,5,0),1,0)*Data_NFI_t[[#This Row],[Jerry Can]],0)</f>
        <v>0</v>
      </c>
      <c r="AG52" s="131">
        <f>IF(NFI_Expiration=1,IF($A52&lt;VLOOKUP(S$5,NFI,5,0),1,0)*Data_NFI_t[[#This Row],[Plastic Mat]],0)*IF(Data_NFI_t[[#This Row],[Distribution Date]]&gt;"01-06-2015",1,2.5)</f>
        <v>0</v>
      </c>
      <c r="AH52" s="915">
        <f>IF(NFI_Expiration=1,IF($A52&lt;VLOOKUP(T$5,NFI,5,0),1,0)*Data_NFI_t[[#This Row],[Adult Clothes]],0)</f>
        <v>0</v>
      </c>
      <c r="AI52" s="131">
        <f>IF(NFI_Expiration=1,IF($A52&lt;VLOOKUP(U$5,NFI,5,0),1,0)*Data_NFI_t[[#This Row],[Children Clothes]],0)</f>
        <v>0</v>
      </c>
      <c r="AJ52" s="131">
        <f>IF(NFI_Expiration=1,IF($A52&lt;VLOOKUP(V$5,NFI,5,0),1,0)*Data_NFI_t[[#This Row],[Sewing Kit]],0)</f>
        <v>0</v>
      </c>
      <c r="AK52" s="131" t="str">
        <f ca="1">IFERROR(OFFSET(Camp_List[P_Code],MATCH(Data_NFI_t[[#This Row],[Camp Name]],Camp_List[Camp Name],0)-1,0,1,1),"")</f>
        <v/>
      </c>
      <c r="AL52" s="513" t="str">
        <f ca="1">IFERROR(OFFSET(Camp_List[Status],MATCH(Data_NFI_t[[#This Row],[Camp Name]],Camp_List[Camp Name],0)-1,0,1,1),"")</f>
        <v/>
      </c>
      <c r="AM52" s="131"/>
    </row>
    <row r="53" spans="1:39" s="90" customFormat="1" ht="19.5" customHeight="1" x14ac:dyDescent="0.25">
      <c r="A53" s="242">
        <f>IF(ISBLANK(C53),"",(Report_Date-C53)/30)</f>
        <v>15.633333333333333</v>
      </c>
      <c r="B53" s="242">
        <v>2015</v>
      </c>
      <c r="C53" s="927">
        <v>42326</v>
      </c>
      <c r="D53" s="489" t="s">
        <v>624</v>
      </c>
      <c r="E53" s="488" t="s">
        <v>624</v>
      </c>
      <c r="F53" s="489" t="s">
        <v>7</v>
      </c>
      <c r="G53" s="794" t="s">
        <v>14</v>
      </c>
      <c r="H53" s="794" t="s">
        <v>39</v>
      </c>
      <c r="I53" s="794"/>
      <c r="J53" s="51">
        <v>21</v>
      </c>
      <c r="K53" s="51"/>
      <c r="L53" s="51">
        <v>42</v>
      </c>
      <c r="M53" s="51">
        <v>21</v>
      </c>
      <c r="N53" s="51">
        <v>42</v>
      </c>
      <c r="O53" s="51">
        <v>21</v>
      </c>
      <c r="P53" s="51"/>
      <c r="Q53" s="51">
        <v>21</v>
      </c>
      <c r="R53" s="511">
        <v>21</v>
      </c>
      <c r="S53" s="51">
        <v>105</v>
      </c>
      <c r="T53" s="51"/>
      <c r="U53" s="51"/>
      <c r="V53" s="51"/>
      <c r="W53" s="131">
        <f>IF(NFI_Expiration=1,IF($A53&lt;VLOOKUP(I$5,NFI,5,0),1,0)*Data_NFI_t[[#This Row],[Hygiene Kit]],0)</f>
        <v>0</v>
      </c>
      <c r="X53" s="131">
        <f>IF(NFI_Expiration=1,IF($A53&lt;VLOOKUP(J$5,NFI,5,0),1,0)*Data_NFI_t[[#This Row],[NFI Core Kit]],0)</f>
        <v>0</v>
      </c>
      <c r="Y53" s="112">
        <f>IF(NFI_Expiration=1,IF($A53&lt;VLOOKUP(K$5,NFI,5,0),1,0)*Data_NFI_t[[#This Row],[Sanitary Kit]],0)</f>
        <v>0</v>
      </c>
      <c r="Z53" s="112">
        <f>IF(NFI_Expiration=1,IF($A53&lt;VLOOKUP(L$5,NFI,5,0),1,0)*Data_NFI_t[[#This Row],[Mosquito net]],0)</f>
        <v>0</v>
      </c>
      <c r="AA53" s="112">
        <f>IF(NFI_Expiration=1,IF($A53&lt;VLOOKUP(M$5,NFI,5,0),1,0)*Data_NFI_t[[#This Row],[Tarpaulin]],0)</f>
        <v>0</v>
      </c>
      <c r="AB53" s="112">
        <f>IF(NFI_Expiration=1,IF($A53&lt;VLOOKUP(N$5,NFI,5,0),1,0)*Data_NFI_t[[#This Row],[Blanket]],0)</f>
        <v>0</v>
      </c>
      <c r="AC53" s="112">
        <f>IF(NFI_Expiration=1,IF($A53&lt;VLOOKUP(O$5,NFI,5,0),1,0)*Data_NFI_t[[#This Row],[Kitchen Set]],0)</f>
        <v>0</v>
      </c>
      <c r="AD53" s="112">
        <f>IF(NFI_Expiration=1,IF($A53&lt;VLOOKUP(P$5,NFI,5,0),1,0)*Data_NFI_t[[#This Row],[Complementary Kit]],0)</f>
        <v>0</v>
      </c>
      <c r="AE53" s="112">
        <f>IF(NFI_Expiration=1,IF($A53&lt;VLOOKUP(Q$5,NFI,5,0),1,0)*Data_NFI_t[[#This Row],[Plastic Bucket]],0)</f>
        <v>0</v>
      </c>
      <c r="AF53" s="112">
        <f>IF(NFI_Expiration=1,IF($A53&lt;VLOOKUP(R$5,NFI,5,0),1,0)*Data_NFI_t[[#This Row],[Jerry Can]],0)</f>
        <v>0</v>
      </c>
      <c r="AG53" s="131">
        <f>IF(NFI_Expiration=1,IF($A53&lt;VLOOKUP(S$5,NFI,5,0),1,0)*Data_NFI_t[[#This Row],[Plastic Mat]],0)*IF(Data_NFI_t[[#This Row],[Distribution Date]]&gt;"01-06-2015",1,2.5)</f>
        <v>0</v>
      </c>
      <c r="AH53" s="915">
        <f>IF(NFI_Expiration=1,IF($A53&lt;VLOOKUP(T$5,NFI,5,0),1,0)*Data_NFI_t[[#This Row],[Adult Clothes]],0)</f>
        <v>0</v>
      </c>
      <c r="AI53" s="131">
        <f>IF(NFI_Expiration=1,IF($A53&lt;VLOOKUP(U$5,NFI,5,0),1,0)*Data_NFI_t[[#This Row],[Children Clothes]],0)</f>
        <v>0</v>
      </c>
      <c r="AJ53" s="131">
        <f>IF(NFI_Expiration=1,IF($A53&lt;VLOOKUP(V$5,NFI,5,0),1,0)*Data_NFI_t[[#This Row],[Sewing Kit]],0)</f>
        <v>0</v>
      </c>
      <c r="AK53" s="131" t="str">
        <f ca="1">IFERROR(OFFSET(Camp_List[P_Code],MATCH(Data_NFI_t[[#This Row],[Camp Name]],Camp_List[Camp Name],0)-1,0,1,1),"")</f>
        <v>MMR012CMP015</v>
      </c>
      <c r="AL53" s="513" t="str">
        <f ca="1">IFERROR(OFFSET(Camp_List[Status],MATCH(Data_NFI_t[[#This Row],[Camp Name]],Camp_List[Camp Name],0)-1,0,1,1),"")</f>
        <v>Relocated</v>
      </c>
      <c r="AM53" s="131"/>
    </row>
    <row r="54" spans="1:39" s="90" customFormat="1" ht="19.5" customHeight="1" x14ac:dyDescent="0.25">
      <c r="A54" s="242">
        <f>IF(ISBLANK(C54),"",(Report_Date-C54)/30)</f>
        <v>16.133333333333333</v>
      </c>
      <c r="B54" s="242">
        <v>2015</v>
      </c>
      <c r="C54" s="927">
        <v>42311</v>
      </c>
      <c r="D54" s="489" t="s">
        <v>285</v>
      </c>
      <c r="E54" s="488" t="s">
        <v>940</v>
      </c>
      <c r="F54" s="489" t="s">
        <v>7</v>
      </c>
      <c r="G54" s="794" t="s">
        <v>16</v>
      </c>
      <c r="H54" s="794" t="s">
        <v>57</v>
      </c>
      <c r="I54" s="794">
        <v>0</v>
      </c>
      <c r="J54" s="51">
        <v>0</v>
      </c>
      <c r="K54" s="51">
        <v>0</v>
      </c>
      <c r="L54" s="51">
        <v>0</v>
      </c>
      <c r="M54" s="51">
        <v>7</v>
      </c>
      <c r="N54" s="51">
        <v>0</v>
      </c>
      <c r="O54" s="51">
        <v>0</v>
      </c>
      <c r="P54" s="51">
        <v>0</v>
      </c>
      <c r="Q54" s="51">
        <v>0</v>
      </c>
      <c r="R54" s="511">
        <v>0</v>
      </c>
      <c r="S54" s="51">
        <v>0</v>
      </c>
      <c r="T54" s="51"/>
      <c r="U54" s="51"/>
      <c r="V54" s="51"/>
      <c r="W54" s="131">
        <f>IF(NFI_Expiration=1,IF($A54&lt;VLOOKUP(I$5,NFI,5,0),1,0)*Data_NFI_t[[#This Row],[Hygiene Kit]],0)</f>
        <v>0</v>
      </c>
      <c r="X54" s="131">
        <f>IF(NFI_Expiration=1,IF($A54&lt;VLOOKUP(J$5,NFI,5,0),1,0)*Data_NFI_t[[#This Row],[NFI Core Kit]],0)</f>
        <v>0</v>
      </c>
      <c r="Y54" s="112">
        <f>IF(NFI_Expiration=1,IF($A54&lt;VLOOKUP(K$5,NFI,5,0),1,0)*Data_NFI_t[[#This Row],[Sanitary Kit]],0)</f>
        <v>0</v>
      </c>
      <c r="Z54" s="112">
        <f>IF(NFI_Expiration=1,IF($A54&lt;VLOOKUP(L$5,NFI,5,0),1,0)*Data_NFI_t[[#This Row],[Mosquito net]],0)</f>
        <v>0</v>
      </c>
      <c r="AA54" s="112">
        <f>IF(NFI_Expiration=1,IF($A54&lt;VLOOKUP(M$5,NFI,5,0),1,0)*Data_NFI_t[[#This Row],[Tarpaulin]],0)</f>
        <v>0</v>
      </c>
      <c r="AB54" s="112">
        <f>IF(NFI_Expiration=1,IF($A54&lt;VLOOKUP(N$5,NFI,5,0),1,0)*Data_NFI_t[[#This Row],[Blanket]],0)</f>
        <v>0</v>
      </c>
      <c r="AC54" s="112">
        <f>IF(NFI_Expiration=1,IF($A54&lt;VLOOKUP(O$5,NFI,5,0),1,0)*Data_NFI_t[[#This Row],[Kitchen Set]],0)</f>
        <v>0</v>
      </c>
      <c r="AD54" s="112">
        <f>IF(NFI_Expiration=1,IF($A54&lt;VLOOKUP(P$5,NFI,5,0),1,0)*Data_NFI_t[[#This Row],[Complementary Kit]],0)</f>
        <v>0</v>
      </c>
      <c r="AE54" s="112">
        <f>IF(NFI_Expiration=1,IF($A54&lt;VLOOKUP(Q$5,NFI,5,0),1,0)*Data_NFI_t[[#This Row],[Plastic Bucket]],0)</f>
        <v>0</v>
      </c>
      <c r="AF54" s="112">
        <f>IF(NFI_Expiration=1,IF($A54&lt;VLOOKUP(R$5,NFI,5,0),1,0)*Data_NFI_t[[#This Row],[Jerry Can]],0)</f>
        <v>0</v>
      </c>
      <c r="AG54" s="131">
        <f>IF(NFI_Expiration=1,IF($A54&lt;VLOOKUP(S$5,NFI,5,0),1,0)*Data_NFI_t[[#This Row],[Plastic Mat]],0)*IF(Data_NFI_t[[#This Row],[Distribution Date]]&gt;"01-06-2015",1,2.5)</f>
        <v>0</v>
      </c>
      <c r="AH54" s="915">
        <f>IF(NFI_Expiration=1,IF($A54&lt;VLOOKUP(T$5,NFI,5,0),1,0)*Data_NFI_t[[#This Row],[Adult Clothes]],0)</f>
        <v>0</v>
      </c>
      <c r="AI54" s="131">
        <f>IF(NFI_Expiration=1,IF($A54&lt;VLOOKUP(U$5,NFI,5,0),1,0)*Data_NFI_t[[#This Row],[Children Clothes]],0)</f>
        <v>0</v>
      </c>
      <c r="AJ54" s="131">
        <f>IF(NFI_Expiration=1,IF($A54&lt;VLOOKUP(V$5,NFI,5,0),1,0)*Data_NFI_t[[#This Row],[Sewing Kit]],0)</f>
        <v>0</v>
      </c>
      <c r="AK54" s="131" t="str">
        <f ca="1">IFERROR(OFFSET(Camp_List[P_Code],MATCH(Data_NFI_t[[#This Row],[Camp Name]],Camp_List[Camp Name],0)-1,0,1,1),"")</f>
        <v>MMR012CMP034</v>
      </c>
      <c r="AL54" s="513" t="str">
        <f ca="1">IFERROR(OFFSET(Camp_List[Status],MATCH(Data_NFI_t[[#This Row],[Camp Name]],Camp_List[Camp Name],0)-1,0,1,1),"")</f>
        <v>Open</v>
      </c>
      <c r="AM54" s="131"/>
    </row>
    <row r="55" spans="1:39" s="90" customFormat="1" ht="19.5" customHeight="1" x14ac:dyDescent="0.25">
      <c r="A55" s="242">
        <f>IF(ISBLANK(C55),"",(Report_Date-C55)/30)</f>
        <v>16.366666666666667</v>
      </c>
      <c r="B55" s="242">
        <v>2015</v>
      </c>
      <c r="C55" s="927">
        <v>42304</v>
      </c>
      <c r="D55" s="489" t="s">
        <v>285</v>
      </c>
      <c r="E55" s="488" t="s">
        <v>940</v>
      </c>
      <c r="F55" s="489" t="s">
        <v>7</v>
      </c>
      <c r="G55" s="794" t="s">
        <v>16</v>
      </c>
      <c r="H55" s="794" t="s">
        <v>56</v>
      </c>
      <c r="I55" s="794">
        <v>0</v>
      </c>
      <c r="J55" s="51">
        <v>0</v>
      </c>
      <c r="K55" s="51">
        <v>0</v>
      </c>
      <c r="L55" s="51">
        <v>0</v>
      </c>
      <c r="M55" s="51">
        <v>5</v>
      </c>
      <c r="N55" s="51">
        <v>0</v>
      </c>
      <c r="O55" s="51">
        <v>0</v>
      </c>
      <c r="P55" s="51">
        <v>0</v>
      </c>
      <c r="Q55" s="51">
        <v>0</v>
      </c>
      <c r="R55" s="511">
        <v>0</v>
      </c>
      <c r="S55" s="51">
        <v>0</v>
      </c>
      <c r="T55" s="51"/>
      <c r="U55" s="51"/>
      <c r="V55" s="51"/>
      <c r="W55" s="131">
        <f>IF(NFI_Expiration=1,IF($A55&lt;VLOOKUP(I$5,NFI,5,0),1,0)*Data_NFI_t[[#This Row],[Hygiene Kit]],0)</f>
        <v>0</v>
      </c>
      <c r="X55" s="131">
        <f>IF(NFI_Expiration=1,IF($A55&lt;VLOOKUP(J$5,NFI,5,0),1,0)*Data_NFI_t[[#This Row],[NFI Core Kit]],0)</f>
        <v>0</v>
      </c>
      <c r="Y55" s="112">
        <f>IF(NFI_Expiration=1,IF($A55&lt;VLOOKUP(K$5,NFI,5,0),1,0)*Data_NFI_t[[#This Row],[Sanitary Kit]],0)</f>
        <v>0</v>
      </c>
      <c r="Z55" s="112">
        <f>IF(NFI_Expiration=1,IF($A55&lt;VLOOKUP(L$5,NFI,5,0),1,0)*Data_NFI_t[[#This Row],[Mosquito net]],0)</f>
        <v>0</v>
      </c>
      <c r="AA55" s="112">
        <f>IF(NFI_Expiration=1,IF($A55&lt;VLOOKUP(M$5,NFI,5,0),1,0)*Data_NFI_t[[#This Row],[Tarpaulin]],0)</f>
        <v>0</v>
      </c>
      <c r="AB55" s="112">
        <f>IF(NFI_Expiration=1,IF($A55&lt;VLOOKUP(N$5,NFI,5,0),1,0)*Data_NFI_t[[#This Row],[Blanket]],0)</f>
        <v>0</v>
      </c>
      <c r="AC55" s="112">
        <f>IF(NFI_Expiration=1,IF($A55&lt;VLOOKUP(O$5,NFI,5,0),1,0)*Data_NFI_t[[#This Row],[Kitchen Set]],0)</f>
        <v>0</v>
      </c>
      <c r="AD55" s="112">
        <f>IF(NFI_Expiration=1,IF($A55&lt;VLOOKUP(P$5,NFI,5,0),1,0)*Data_NFI_t[[#This Row],[Complementary Kit]],0)</f>
        <v>0</v>
      </c>
      <c r="AE55" s="112">
        <f>IF(NFI_Expiration=1,IF($A55&lt;VLOOKUP(Q$5,NFI,5,0),1,0)*Data_NFI_t[[#This Row],[Plastic Bucket]],0)</f>
        <v>0</v>
      </c>
      <c r="AF55" s="112">
        <f>IF(NFI_Expiration=1,IF($A55&lt;VLOOKUP(R$5,NFI,5,0),1,0)*Data_NFI_t[[#This Row],[Jerry Can]],0)</f>
        <v>0</v>
      </c>
      <c r="AG55" s="131">
        <f>IF(NFI_Expiration=1,IF($A55&lt;VLOOKUP(S$5,NFI,5,0),1,0)*Data_NFI_t[[#This Row],[Plastic Mat]],0)*IF(Data_NFI_t[[#This Row],[Distribution Date]]&gt;"01-06-2015",1,2.5)</f>
        <v>0</v>
      </c>
      <c r="AH55" s="915">
        <f>IF(NFI_Expiration=1,IF($A55&lt;VLOOKUP(T$5,NFI,5,0),1,0)*Data_NFI_t[[#This Row],[Adult Clothes]],0)</f>
        <v>0</v>
      </c>
      <c r="AI55" s="131">
        <f>IF(NFI_Expiration=1,IF($A55&lt;VLOOKUP(U$5,NFI,5,0),1,0)*Data_NFI_t[[#This Row],[Children Clothes]],0)</f>
        <v>0</v>
      </c>
      <c r="AJ55" s="131">
        <f>IF(NFI_Expiration=1,IF($A55&lt;VLOOKUP(V$5,NFI,5,0),1,0)*Data_NFI_t[[#This Row],[Sewing Kit]],0)</f>
        <v>0</v>
      </c>
      <c r="AK55" s="131" t="str">
        <f ca="1">IFERROR(OFFSET(Camp_List[P_Code],MATCH(Data_NFI_t[[#This Row],[Camp Name]],Camp_List[Camp Name],0)-1,0,1,1),"")</f>
        <v>MMR012CMP032</v>
      </c>
      <c r="AL55" s="513" t="str">
        <f ca="1">IFERROR(OFFSET(Camp_List[Status],MATCH(Data_NFI_t[[#This Row],[Camp Name]],Camp_List[Camp Name],0)-1,0,1,1),"")</f>
        <v>Returned</v>
      </c>
      <c r="AM55" s="131"/>
    </row>
    <row r="56" spans="1:39" s="90" customFormat="1" ht="19.5" customHeight="1" x14ac:dyDescent="0.25">
      <c r="A56" s="242">
        <f>IF(ISBLANK(C56),"",(Report_Date-C56)/30)</f>
        <v>17</v>
      </c>
      <c r="B56" s="242">
        <f>YEAR(Data_NFI_t[[#This Row],[Distribution Date]])</f>
        <v>2015</v>
      </c>
      <c r="C56" s="927">
        <v>42285</v>
      </c>
      <c r="D56" s="489" t="s">
        <v>285</v>
      </c>
      <c r="E56" s="488" t="s">
        <v>624</v>
      </c>
      <c r="F56" s="489" t="s">
        <v>7</v>
      </c>
      <c r="G56" s="794" t="s">
        <v>19</v>
      </c>
      <c r="H56" s="794" t="s">
        <v>64</v>
      </c>
      <c r="I56" s="794"/>
      <c r="J56" s="51"/>
      <c r="K56" s="51"/>
      <c r="L56" s="51">
        <v>252</v>
      </c>
      <c r="M56" s="51">
        <v>127</v>
      </c>
      <c r="N56" s="51">
        <v>252</v>
      </c>
      <c r="O56" s="51">
        <v>127</v>
      </c>
      <c r="P56" s="51"/>
      <c r="Q56" s="51">
        <v>127</v>
      </c>
      <c r="R56" s="511">
        <v>127</v>
      </c>
      <c r="S56" s="51">
        <v>635</v>
      </c>
      <c r="T56" s="51"/>
      <c r="U56" s="51"/>
      <c r="V56" s="51"/>
      <c r="W56" s="131">
        <f>IF(NFI_Expiration=1,IF($A56&lt;VLOOKUP(I$5,NFI,5,0),1,0)*Data_NFI_t[[#This Row],[Hygiene Kit]],0)</f>
        <v>0</v>
      </c>
      <c r="X56" s="131">
        <f>IF(NFI_Expiration=1,IF($A56&lt;VLOOKUP(J$5,NFI,5,0),1,0)*Data_NFI_t[[#This Row],[NFI Core Kit]],0)</f>
        <v>0</v>
      </c>
      <c r="Y56" s="112">
        <f>IF(NFI_Expiration=1,IF($A56&lt;VLOOKUP(K$5,NFI,5,0),1,0)*Data_NFI_t[[#This Row],[Sanitary Kit]],0)</f>
        <v>0</v>
      </c>
      <c r="Z56" s="112">
        <f>IF(NFI_Expiration=1,IF($A56&lt;VLOOKUP(L$5,NFI,5,0),1,0)*Data_NFI_t[[#This Row],[Mosquito net]],0)</f>
        <v>0</v>
      </c>
      <c r="AA56" s="112">
        <f>IF(NFI_Expiration=1,IF($A56&lt;VLOOKUP(M$5,NFI,5,0),1,0)*Data_NFI_t[[#This Row],[Tarpaulin]],0)</f>
        <v>0</v>
      </c>
      <c r="AB56" s="112">
        <f>IF(NFI_Expiration=1,IF($A56&lt;VLOOKUP(N$5,NFI,5,0),1,0)*Data_NFI_t[[#This Row],[Blanket]],0)</f>
        <v>0</v>
      </c>
      <c r="AC56" s="112">
        <f>IF(NFI_Expiration=1,IF($A56&lt;VLOOKUP(O$5,NFI,5,0),1,0)*Data_NFI_t[[#This Row],[Kitchen Set]],0)</f>
        <v>0</v>
      </c>
      <c r="AD56" s="112">
        <f>IF(NFI_Expiration=1,IF($A56&lt;VLOOKUP(P$5,NFI,5,0),1,0)*Data_NFI_t[[#This Row],[Complementary Kit]],0)</f>
        <v>0</v>
      </c>
      <c r="AE56" s="112">
        <f>IF(NFI_Expiration=1,IF($A56&lt;VLOOKUP(Q$5,NFI,5,0),1,0)*Data_NFI_t[[#This Row],[Plastic Bucket]],0)</f>
        <v>0</v>
      </c>
      <c r="AF56" s="112">
        <f>IF(NFI_Expiration=1,IF($A56&lt;VLOOKUP(R$5,NFI,5,0),1,0)*Data_NFI_t[[#This Row],[Jerry Can]],0)</f>
        <v>0</v>
      </c>
      <c r="AG56" s="131">
        <f>IF(NFI_Expiration=1,IF($A56&lt;VLOOKUP(S$5,NFI,5,0),1,0)*Data_NFI_t[[#This Row],[Plastic Mat]],0)*IF(Data_NFI_t[[#This Row],[Distribution Date]]&gt;"01-06-2015",1,2.5)</f>
        <v>0</v>
      </c>
      <c r="AH56" s="915">
        <f>IF(NFI_Expiration=1,IF($A56&lt;VLOOKUP(T$5,NFI,5,0),1,0)*Data_NFI_t[[#This Row],[Adult Clothes]],0)</f>
        <v>0</v>
      </c>
      <c r="AI56" s="131">
        <f>IF(NFI_Expiration=1,IF($A56&lt;VLOOKUP(U$5,NFI,5,0),1,0)*Data_NFI_t[[#This Row],[Children Clothes]],0)</f>
        <v>0</v>
      </c>
      <c r="AJ56" s="131">
        <f>IF(NFI_Expiration=1,IF($A56&lt;VLOOKUP(V$5,NFI,5,0),1,0)*Data_NFI_t[[#This Row],[Sewing Kit]],0)</f>
        <v>0</v>
      </c>
      <c r="AK56" s="131" t="str">
        <f ca="1">IFERROR(OFFSET(Camp_List[P_Code],MATCH(Data_NFI_t[[#This Row],[Camp Name]],Camp_List[Camp Name],0)-1,0,1,1),"")</f>
        <v>MMR012CMP042</v>
      </c>
      <c r="AL56" s="513" t="str">
        <f ca="1">IFERROR(OFFSET(Camp_List[Status],MATCH(Data_NFI_t[[#This Row],[Camp Name]],Camp_List[Camp Name],0)-1,0,1,1),"")</f>
        <v>Open</v>
      </c>
      <c r="AM56" s="131"/>
    </row>
    <row r="57" spans="1:39" s="90" customFormat="1" ht="19.5" customHeight="1" x14ac:dyDescent="0.25">
      <c r="A57" s="242">
        <f>IF(ISBLANK(C57),"",(Report_Date-C57)/30)</f>
        <v>17</v>
      </c>
      <c r="B57" s="242">
        <f>YEAR(Data_NFI_t[[#This Row],[Distribution Date]])</f>
        <v>2015</v>
      </c>
      <c r="C57" s="927">
        <v>42285</v>
      </c>
      <c r="D57" s="489" t="s">
        <v>624</v>
      </c>
      <c r="E57" s="488" t="s">
        <v>624</v>
      </c>
      <c r="F57" s="489" t="s">
        <v>7</v>
      </c>
      <c r="G57" s="794" t="s">
        <v>19</v>
      </c>
      <c r="H57" s="794" t="s">
        <v>64</v>
      </c>
      <c r="I57" s="794"/>
      <c r="J57" s="51"/>
      <c r="K57" s="51"/>
      <c r="L57" s="51" t="s">
        <v>930</v>
      </c>
      <c r="M57" s="51">
        <v>1</v>
      </c>
      <c r="N57" s="51" t="s">
        <v>930</v>
      </c>
      <c r="O57" s="51" t="s">
        <v>931</v>
      </c>
      <c r="P57" s="51"/>
      <c r="Q57" s="51" t="s">
        <v>931</v>
      </c>
      <c r="R57" s="511"/>
      <c r="S57" s="51" t="s">
        <v>932</v>
      </c>
      <c r="T57" s="51"/>
      <c r="U57" s="51"/>
      <c r="V57" s="51"/>
      <c r="W57" s="131">
        <f>IF(NFI_Expiration=1,IF($A57&lt;VLOOKUP(I$5,NFI,5,0),1,0)*Data_NFI_t[[#This Row],[Hygiene Kit]],0)</f>
        <v>0</v>
      </c>
      <c r="X57" s="131">
        <f>IF(NFI_Expiration=1,IF($A57&lt;VLOOKUP(J$5,NFI,5,0),1,0)*Data_NFI_t[[#This Row],[NFI Core Kit]],0)</f>
        <v>0</v>
      </c>
      <c r="Y57" s="112">
        <f>IF(NFI_Expiration=1,IF($A57&lt;VLOOKUP(K$5,NFI,5,0),1,0)*Data_NFI_t[[#This Row],[Sanitary Kit]],0)</f>
        <v>0</v>
      </c>
      <c r="Z57" s="112">
        <f>IF(NFI_Expiration=1,IF($A57&lt;VLOOKUP(L$5,NFI,5,0),1,0)*Data_NFI_t[[#This Row],[Mosquito net]],0)</f>
        <v>0</v>
      </c>
      <c r="AA57" s="112">
        <f>IF(NFI_Expiration=1,IF($A57&lt;VLOOKUP(M$5,NFI,5,0),1,0)*Data_NFI_t[[#This Row],[Tarpaulin]],0)</f>
        <v>0</v>
      </c>
      <c r="AB57" s="112">
        <f>IF(NFI_Expiration=1,IF($A57&lt;VLOOKUP(N$5,NFI,5,0),1,0)*Data_NFI_t[[#This Row],[Blanket]],0)</f>
        <v>0</v>
      </c>
      <c r="AC57" s="112">
        <f>IF(NFI_Expiration=1,IF($A57&lt;VLOOKUP(O$5,NFI,5,0),1,0)*Data_NFI_t[[#This Row],[Kitchen Set]],0)</f>
        <v>0</v>
      </c>
      <c r="AD57" s="112">
        <f>IF(NFI_Expiration=1,IF($A57&lt;VLOOKUP(P$5,NFI,5,0),1,0)*Data_NFI_t[[#This Row],[Complementary Kit]],0)</f>
        <v>0</v>
      </c>
      <c r="AE57" s="112">
        <f>IF(NFI_Expiration=1,IF($A57&lt;VLOOKUP(Q$5,NFI,5,0),1,0)*Data_NFI_t[[#This Row],[Plastic Bucket]],0)</f>
        <v>0</v>
      </c>
      <c r="AF57" s="112">
        <f>IF(NFI_Expiration=1,IF($A57&lt;VLOOKUP(R$5,NFI,5,0),1,0)*Data_NFI_t[[#This Row],[Jerry Can]],0)</f>
        <v>0</v>
      </c>
      <c r="AG57" s="131">
        <f>IF(NFI_Expiration=1,IF($A57&lt;VLOOKUP(S$5,NFI,5,0),1,0)*Data_NFI_t[[#This Row],[Plastic Mat]],0)*IF(Data_NFI_t[[#This Row],[Distribution Date]]&gt;"01-06-2015",1,2.5)</f>
        <v>0</v>
      </c>
      <c r="AH57" s="915">
        <f>IF(NFI_Expiration=1,IF($A57&lt;VLOOKUP(T$5,NFI,5,0),1,0)*Data_NFI_t[[#This Row],[Adult Clothes]],0)</f>
        <v>0</v>
      </c>
      <c r="AI57" s="131">
        <f>IF(NFI_Expiration=1,IF($A57&lt;VLOOKUP(U$5,NFI,5,0),1,0)*Data_NFI_t[[#This Row],[Children Clothes]],0)</f>
        <v>0</v>
      </c>
      <c r="AJ57" s="131">
        <f>IF(NFI_Expiration=1,IF($A57&lt;VLOOKUP(V$5,NFI,5,0),1,0)*Data_NFI_t[[#This Row],[Sewing Kit]],0)</f>
        <v>0</v>
      </c>
      <c r="AK57" s="131" t="str">
        <f ca="1">IFERROR(OFFSET(Camp_List[P_Code],MATCH(Data_NFI_t[[#This Row],[Camp Name]],Camp_List[Camp Name],0)-1,0,1,1),"")</f>
        <v>MMR012CMP042</v>
      </c>
      <c r="AL57" s="513" t="str">
        <f ca="1">IFERROR(OFFSET(Camp_List[Status],MATCH(Data_NFI_t[[#This Row],[Camp Name]],Camp_List[Camp Name],0)-1,0,1,1),"")</f>
        <v>Open</v>
      </c>
      <c r="AM57" s="131"/>
    </row>
    <row r="58" spans="1:39" s="90" customFormat="1" ht="19.5" customHeight="1" x14ac:dyDescent="0.25">
      <c r="A58" s="242">
        <f>IF(ISBLANK(C58),"",(Report_Date-C58)/30)</f>
        <v>17.7</v>
      </c>
      <c r="B58" s="242">
        <f>YEAR(Data_NFI_t[[#This Row],[Distribution Date]])</f>
        <v>2015</v>
      </c>
      <c r="C58" s="927">
        <v>42264</v>
      </c>
      <c r="D58" s="489" t="s">
        <v>285</v>
      </c>
      <c r="E58" s="488" t="s">
        <v>288</v>
      </c>
      <c r="F58" s="489" t="s">
        <v>7</v>
      </c>
      <c r="G58" s="794" t="s">
        <v>19</v>
      </c>
      <c r="H58" s="794" t="s">
        <v>67</v>
      </c>
      <c r="I58" s="794"/>
      <c r="J58" s="51"/>
      <c r="K58" s="51"/>
      <c r="L58" s="51">
        <v>730</v>
      </c>
      <c r="M58" s="51">
        <v>365</v>
      </c>
      <c r="N58" s="51">
        <v>730</v>
      </c>
      <c r="O58" s="51">
        <v>365</v>
      </c>
      <c r="P58" s="51"/>
      <c r="Q58" s="51">
        <v>365</v>
      </c>
      <c r="R58" s="511">
        <v>365</v>
      </c>
      <c r="S58" s="51">
        <v>1825</v>
      </c>
      <c r="T58" s="51"/>
      <c r="U58" s="51"/>
      <c r="V58" s="51"/>
      <c r="W58" s="131">
        <f>IF(NFI_Expiration=1,IF($A58&lt;VLOOKUP(I$5,NFI,5,0),1,0)*Data_NFI_t[[#This Row],[Hygiene Kit]],0)</f>
        <v>0</v>
      </c>
      <c r="X58" s="131">
        <f>IF(NFI_Expiration=1,IF($A58&lt;VLOOKUP(J$5,NFI,5,0),1,0)*Data_NFI_t[[#This Row],[NFI Core Kit]],0)</f>
        <v>0</v>
      </c>
      <c r="Y58" s="112">
        <f>IF(NFI_Expiration=1,IF($A58&lt;VLOOKUP(K$5,NFI,5,0),1,0)*Data_NFI_t[[#This Row],[Sanitary Kit]],0)</f>
        <v>0</v>
      </c>
      <c r="Z58" s="112">
        <f>IF(NFI_Expiration=1,IF($A58&lt;VLOOKUP(L$5,NFI,5,0),1,0)*Data_NFI_t[[#This Row],[Mosquito net]],0)</f>
        <v>0</v>
      </c>
      <c r="AA58" s="112">
        <f>IF(NFI_Expiration=1,IF($A58&lt;VLOOKUP(M$5,NFI,5,0),1,0)*Data_NFI_t[[#This Row],[Tarpaulin]],0)</f>
        <v>0</v>
      </c>
      <c r="AB58" s="112">
        <f>IF(NFI_Expiration=1,IF($A58&lt;VLOOKUP(N$5,NFI,5,0),1,0)*Data_NFI_t[[#This Row],[Blanket]],0)</f>
        <v>0</v>
      </c>
      <c r="AC58" s="112">
        <f>IF(NFI_Expiration=1,IF($A58&lt;VLOOKUP(O$5,NFI,5,0),1,0)*Data_NFI_t[[#This Row],[Kitchen Set]],0)</f>
        <v>0</v>
      </c>
      <c r="AD58" s="112">
        <f>IF(NFI_Expiration=1,IF($A58&lt;VLOOKUP(P$5,NFI,5,0),1,0)*Data_NFI_t[[#This Row],[Complementary Kit]],0)</f>
        <v>0</v>
      </c>
      <c r="AE58" s="112">
        <f>IF(NFI_Expiration=1,IF($A58&lt;VLOOKUP(Q$5,NFI,5,0),1,0)*Data_NFI_t[[#This Row],[Plastic Bucket]],0)</f>
        <v>0</v>
      </c>
      <c r="AF58" s="112">
        <f>IF(NFI_Expiration=1,IF($A58&lt;VLOOKUP(R$5,NFI,5,0),1,0)*Data_NFI_t[[#This Row],[Jerry Can]],0)</f>
        <v>0</v>
      </c>
      <c r="AG58" s="131">
        <f>IF(NFI_Expiration=1,IF($A58&lt;VLOOKUP(S$5,NFI,5,0),1,0)*Data_NFI_t[[#This Row],[Plastic Mat]],0)*IF(Data_NFI_t[[#This Row],[Distribution Date]]&gt;"01-06-2015",1,2.5)</f>
        <v>0</v>
      </c>
      <c r="AH58" s="915">
        <f>IF(NFI_Expiration=1,IF($A58&lt;VLOOKUP(T$5,NFI,5,0),1,0)*Data_NFI_t[[#This Row],[Adult Clothes]],0)</f>
        <v>0</v>
      </c>
      <c r="AI58" s="131">
        <f>IF(NFI_Expiration=1,IF($A58&lt;VLOOKUP(U$5,NFI,5,0),1,0)*Data_NFI_t[[#This Row],[Children Clothes]],0)</f>
        <v>0</v>
      </c>
      <c r="AJ58" s="131">
        <f>IF(NFI_Expiration=1,IF($A58&lt;VLOOKUP(V$5,NFI,5,0),1,0)*Data_NFI_t[[#This Row],[Sewing Kit]],0)</f>
        <v>0</v>
      </c>
      <c r="AK58" s="131" t="str">
        <f ca="1">IFERROR(OFFSET(Camp_List[P_Code],MATCH(Data_NFI_t[[#This Row],[Camp Name]],Camp_List[Camp Name],0)-1,0,1,1),"")</f>
        <v>MMR012CMP045</v>
      </c>
      <c r="AL58" s="513" t="str">
        <f ca="1">IFERROR(OFFSET(Camp_List[Status],MATCH(Data_NFI_t[[#This Row],[Camp Name]],Camp_List[Camp Name],0)-1,0,1,1),"")</f>
        <v>Open</v>
      </c>
      <c r="AM58" s="131"/>
    </row>
    <row r="59" spans="1:39" s="90" customFormat="1" ht="19.5" customHeight="1" x14ac:dyDescent="0.25">
      <c r="A59" s="242">
        <f>IF(ISBLANK(C59),"",(Report_Date-C59)/30)</f>
        <v>17.7</v>
      </c>
      <c r="B59" s="242">
        <v>2015</v>
      </c>
      <c r="C59" s="927">
        <v>42264</v>
      </c>
      <c r="D59" s="489" t="s">
        <v>285</v>
      </c>
      <c r="E59" s="488" t="s">
        <v>940</v>
      </c>
      <c r="F59" s="489" t="s">
        <v>7</v>
      </c>
      <c r="G59" s="794" t="s">
        <v>16</v>
      </c>
      <c r="H59" s="794" t="s">
        <v>605</v>
      </c>
      <c r="I59" s="794">
        <v>0</v>
      </c>
      <c r="J59" s="51">
        <v>0</v>
      </c>
      <c r="K59" s="51">
        <v>0</v>
      </c>
      <c r="L59" s="51">
        <v>0</v>
      </c>
      <c r="M59" s="51">
        <v>10</v>
      </c>
      <c r="N59" s="51">
        <v>0</v>
      </c>
      <c r="O59" s="51">
        <v>0</v>
      </c>
      <c r="P59" s="51">
        <v>0</v>
      </c>
      <c r="Q59" s="51">
        <v>0</v>
      </c>
      <c r="R59" s="511">
        <v>0</v>
      </c>
      <c r="S59" s="51">
        <v>0</v>
      </c>
      <c r="T59" s="51"/>
      <c r="U59" s="51"/>
      <c r="V59" s="51"/>
      <c r="W59" s="131">
        <f>IF(NFI_Expiration=1,IF($A59&lt;VLOOKUP(I$5,NFI,5,0),1,0)*Data_NFI_t[[#This Row],[Hygiene Kit]],0)</f>
        <v>0</v>
      </c>
      <c r="X59" s="131">
        <f>IF(NFI_Expiration=1,IF($A59&lt;VLOOKUP(J$5,NFI,5,0),1,0)*Data_NFI_t[[#This Row],[NFI Core Kit]],0)</f>
        <v>0</v>
      </c>
      <c r="Y59" s="112">
        <f>IF(NFI_Expiration=1,IF($A59&lt;VLOOKUP(K$5,NFI,5,0),1,0)*Data_NFI_t[[#This Row],[Sanitary Kit]],0)</f>
        <v>0</v>
      </c>
      <c r="Z59" s="112">
        <f>IF(NFI_Expiration=1,IF($A59&lt;VLOOKUP(L$5,NFI,5,0),1,0)*Data_NFI_t[[#This Row],[Mosquito net]],0)</f>
        <v>0</v>
      </c>
      <c r="AA59" s="112">
        <f>IF(NFI_Expiration=1,IF($A59&lt;VLOOKUP(M$5,NFI,5,0),1,0)*Data_NFI_t[[#This Row],[Tarpaulin]],0)</f>
        <v>0</v>
      </c>
      <c r="AB59" s="112">
        <f>IF(NFI_Expiration=1,IF($A59&lt;VLOOKUP(N$5,NFI,5,0),1,0)*Data_NFI_t[[#This Row],[Blanket]],0)</f>
        <v>0</v>
      </c>
      <c r="AC59" s="112">
        <f>IF(NFI_Expiration=1,IF($A59&lt;VLOOKUP(O$5,NFI,5,0),1,0)*Data_NFI_t[[#This Row],[Kitchen Set]],0)</f>
        <v>0</v>
      </c>
      <c r="AD59" s="112">
        <f>IF(NFI_Expiration=1,IF($A59&lt;VLOOKUP(P$5,NFI,5,0),1,0)*Data_NFI_t[[#This Row],[Complementary Kit]],0)</f>
        <v>0</v>
      </c>
      <c r="AE59" s="112">
        <f>IF(NFI_Expiration=1,IF($A59&lt;VLOOKUP(Q$5,NFI,5,0),1,0)*Data_NFI_t[[#This Row],[Plastic Bucket]],0)</f>
        <v>0</v>
      </c>
      <c r="AF59" s="112">
        <f>IF(NFI_Expiration=1,IF($A59&lt;VLOOKUP(R$5,NFI,5,0),1,0)*Data_NFI_t[[#This Row],[Jerry Can]],0)</f>
        <v>0</v>
      </c>
      <c r="AG59" s="131">
        <f>IF(NFI_Expiration=1,IF($A59&lt;VLOOKUP(S$5,NFI,5,0),1,0)*Data_NFI_t[[#This Row],[Plastic Mat]],0)*IF(Data_NFI_t[[#This Row],[Distribution Date]]&gt;"01-06-2015",1,2.5)</f>
        <v>0</v>
      </c>
      <c r="AH59" s="915">
        <f>IF(NFI_Expiration=1,IF($A59&lt;VLOOKUP(T$5,NFI,5,0),1,0)*Data_NFI_t[[#This Row],[Adult Clothes]],0)</f>
        <v>0</v>
      </c>
      <c r="AI59" s="131">
        <f>IF(NFI_Expiration=1,IF($A59&lt;VLOOKUP(U$5,NFI,5,0),1,0)*Data_NFI_t[[#This Row],[Children Clothes]],0)</f>
        <v>0</v>
      </c>
      <c r="AJ59" s="131">
        <f>IF(NFI_Expiration=1,IF($A59&lt;VLOOKUP(V$5,NFI,5,0),1,0)*Data_NFI_t[[#This Row],[Sewing Kit]],0)</f>
        <v>0</v>
      </c>
      <c r="AK59" s="131" t="str">
        <f ca="1">IFERROR(OFFSET(Camp_List[P_Code],MATCH(Data_NFI_t[[#This Row],[Camp Name]],Camp_List[Camp Name],0)-1,0,1,1),"")</f>
        <v>MMR012CMP033</v>
      </c>
      <c r="AL59" s="513" t="str">
        <f ca="1">IFERROR(OFFSET(Camp_List[Status],MATCH(Data_NFI_t[[#This Row],[Camp Name]],Camp_List[Camp Name],0)-1,0,1,1),"")</f>
        <v>Open</v>
      </c>
      <c r="AM59" s="131"/>
    </row>
    <row r="60" spans="1:39" s="90" customFormat="1" ht="19.5" customHeight="1" x14ac:dyDescent="0.25">
      <c r="A60" s="242">
        <f>IF(ISBLANK(C60),"",(Report_Date-C60)/30)</f>
        <v>18.899999999999999</v>
      </c>
      <c r="B60" s="242">
        <f>YEAR(Data_NFI_t[[#This Row],[Distribution Date]])</f>
        <v>2015</v>
      </c>
      <c r="C60" s="927">
        <v>42228</v>
      </c>
      <c r="D60" s="489" t="s">
        <v>285</v>
      </c>
      <c r="E60" s="488" t="s">
        <v>288</v>
      </c>
      <c r="F60" s="489" t="s">
        <v>7</v>
      </c>
      <c r="G60" s="794" t="s">
        <v>19</v>
      </c>
      <c r="H60" s="794" t="s">
        <v>67</v>
      </c>
      <c r="I60" s="794"/>
      <c r="J60" s="51">
        <v>273</v>
      </c>
      <c r="K60" s="51"/>
      <c r="L60" s="51">
        <v>546</v>
      </c>
      <c r="M60" s="51">
        <v>273</v>
      </c>
      <c r="N60" s="51">
        <v>546</v>
      </c>
      <c r="O60" s="51">
        <v>273</v>
      </c>
      <c r="P60" s="51"/>
      <c r="Q60" s="51">
        <v>273</v>
      </c>
      <c r="R60" s="511">
        <v>273</v>
      </c>
      <c r="S60" s="51">
        <v>1365</v>
      </c>
      <c r="T60" s="51"/>
      <c r="U60" s="51"/>
      <c r="V60" s="51"/>
      <c r="W60" s="131">
        <f>IF(NFI_Expiration=1,IF($A60&lt;VLOOKUP(I$5,NFI,5,0),1,0)*Data_NFI_t[[#This Row],[Hygiene Kit]],0)</f>
        <v>0</v>
      </c>
      <c r="X60" s="131">
        <f>IF(NFI_Expiration=1,IF($A60&lt;VLOOKUP(J$5,NFI,5,0),1,0)*Data_NFI_t[[#This Row],[NFI Core Kit]],0)</f>
        <v>0</v>
      </c>
      <c r="Y60" s="112">
        <f>IF(NFI_Expiration=1,IF($A60&lt;VLOOKUP(K$5,NFI,5,0),1,0)*Data_NFI_t[[#This Row],[Sanitary Kit]],0)</f>
        <v>0</v>
      </c>
      <c r="Z60" s="112">
        <f>IF(NFI_Expiration=1,IF($A60&lt;VLOOKUP(L$5,NFI,5,0),1,0)*Data_NFI_t[[#This Row],[Mosquito net]],0)</f>
        <v>0</v>
      </c>
      <c r="AA60" s="112">
        <f>IF(NFI_Expiration=1,IF($A60&lt;VLOOKUP(M$5,NFI,5,0),1,0)*Data_NFI_t[[#This Row],[Tarpaulin]],0)</f>
        <v>0</v>
      </c>
      <c r="AB60" s="112">
        <f>IF(NFI_Expiration=1,IF($A60&lt;VLOOKUP(N$5,NFI,5,0),1,0)*Data_NFI_t[[#This Row],[Blanket]],0)</f>
        <v>0</v>
      </c>
      <c r="AC60" s="112">
        <f>IF(NFI_Expiration=1,IF($A60&lt;VLOOKUP(O$5,NFI,5,0),1,0)*Data_NFI_t[[#This Row],[Kitchen Set]],0)</f>
        <v>0</v>
      </c>
      <c r="AD60" s="112">
        <f>IF(NFI_Expiration=1,IF($A60&lt;VLOOKUP(P$5,NFI,5,0),1,0)*Data_NFI_t[[#This Row],[Complementary Kit]],0)</f>
        <v>0</v>
      </c>
      <c r="AE60" s="112">
        <f>IF(NFI_Expiration=1,IF($A60&lt;VLOOKUP(Q$5,NFI,5,0),1,0)*Data_NFI_t[[#This Row],[Plastic Bucket]],0)</f>
        <v>0</v>
      </c>
      <c r="AF60" s="112">
        <f>IF(NFI_Expiration=1,IF($A60&lt;VLOOKUP(R$5,NFI,5,0),1,0)*Data_NFI_t[[#This Row],[Jerry Can]],0)</f>
        <v>0</v>
      </c>
      <c r="AG60" s="131">
        <f>IF(NFI_Expiration=1,IF($A60&lt;VLOOKUP(S$5,NFI,5,0),1,0)*Data_NFI_t[[#This Row],[Plastic Mat]],0)*IF(Data_NFI_t[[#This Row],[Distribution Date]]&gt;"01-06-2015",1,2.5)</f>
        <v>0</v>
      </c>
      <c r="AH60" s="915">
        <f>IF(NFI_Expiration=1,IF($A60&lt;VLOOKUP(T$5,NFI,5,0),1,0)*Data_NFI_t[[#This Row],[Adult Clothes]],0)</f>
        <v>0</v>
      </c>
      <c r="AI60" s="131">
        <f>IF(NFI_Expiration=1,IF($A60&lt;VLOOKUP(U$5,NFI,5,0),1,0)*Data_NFI_t[[#This Row],[Children Clothes]],0)</f>
        <v>0</v>
      </c>
      <c r="AJ60" s="131">
        <f>IF(NFI_Expiration=1,IF($A60&lt;VLOOKUP(V$5,NFI,5,0),1,0)*Data_NFI_t[[#This Row],[Sewing Kit]],0)</f>
        <v>0</v>
      </c>
      <c r="AK60" s="131" t="str">
        <f ca="1">IFERROR(OFFSET(Camp_List[P_Code],MATCH(Data_NFI_t[[#This Row],[Camp Name]],Camp_List[Camp Name],0)-1,0,1,1),"")</f>
        <v>MMR012CMP045</v>
      </c>
      <c r="AL60" s="513" t="str">
        <f ca="1">IFERROR(OFFSET(Camp_List[Status],MATCH(Data_NFI_t[[#This Row],[Camp Name]],Camp_List[Camp Name],0)-1,0,1,1),"")</f>
        <v>Open</v>
      </c>
      <c r="AM60" s="131"/>
    </row>
    <row r="61" spans="1:39" s="90" customFormat="1" ht="19.5" customHeight="1" x14ac:dyDescent="0.25">
      <c r="A61" s="242">
        <f>IF(ISBLANK(C61),"",(Report_Date-C61)/30)</f>
        <v>18.899999999999999</v>
      </c>
      <c r="B61" s="242">
        <f>YEAR(Data_NFI_t[[#This Row],[Distribution Date]])</f>
        <v>2015</v>
      </c>
      <c r="C61" s="927">
        <v>42228</v>
      </c>
      <c r="D61" s="489" t="s">
        <v>285</v>
      </c>
      <c r="E61" s="488" t="s">
        <v>624</v>
      </c>
      <c r="F61" s="489" t="s">
        <v>7</v>
      </c>
      <c r="G61" s="794" t="s">
        <v>19</v>
      </c>
      <c r="H61" s="794" t="s">
        <v>61</v>
      </c>
      <c r="I61" s="794"/>
      <c r="J61" s="51">
        <v>59</v>
      </c>
      <c r="K61" s="51"/>
      <c r="L61" s="51">
        <v>6</v>
      </c>
      <c r="M61" s="51">
        <v>3</v>
      </c>
      <c r="N61" s="51">
        <v>6</v>
      </c>
      <c r="O61" s="51">
        <v>3</v>
      </c>
      <c r="P61" s="51"/>
      <c r="Q61" s="51">
        <v>3</v>
      </c>
      <c r="R61" s="511">
        <v>3</v>
      </c>
      <c r="S61" s="51">
        <v>15</v>
      </c>
      <c r="T61" s="51"/>
      <c r="U61" s="51"/>
      <c r="V61" s="51"/>
      <c r="W61" s="131">
        <f>IF(NFI_Expiration=1,IF($A61&lt;VLOOKUP(I$5,NFI,5,0),1,0)*Data_NFI_t[[#This Row],[Hygiene Kit]],0)</f>
        <v>0</v>
      </c>
      <c r="X61" s="131">
        <f>IF(NFI_Expiration=1,IF($A61&lt;VLOOKUP(J$5,NFI,5,0),1,0)*Data_NFI_t[[#This Row],[NFI Core Kit]],0)</f>
        <v>0</v>
      </c>
      <c r="Y61" s="112">
        <f>IF(NFI_Expiration=1,IF($A61&lt;VLOOKUP(K$5,NFI,5,0),1,0)*Data_NFI_t[[#This Row],[Sanitary Kit]],0)</f>
        <v>0</v>
      </c>
      <c r="Z61" s="112">
        <f>IF(NFI_Expiration=1,IF($A61&lt;VLOOKUP(L$5,NFI,5,0),1,0)*Data_NFI_t[[#This Row],[Mosquito net]],0)</f>
        <v>0</v>
      </c>
      <c r="AA61" s="112">
        <f>IF(NFI_Expiration=1,IF($A61&lt;VLOOKUP(M$5,NFI,5,0),1,0)*Data_NFI_t[[#This Row],[Tarpaulin]],0)</f>
        <v>0</v>
      </c>
      <c r="AB61" s="112">
        <f>IF(NFI_Expiration=1,IF($A61&lt;VLOOKUP(N$5,NFI,5,0),1,0)*Data_NFI_t[[#This Row],[Blanket]],0)</f>
        <v>0</v>
      </c>
      <c r="AC61" s="112">
        <f>IF(NFI_Expiration=1,IF($A61&lt;VLOOKUP(O$5,NFI,5,0),1,0)*Data_NFI_t[[#This Row],[Kitchen Set]],0)</f>
        <v>0</v>
      </c>
      <c r="AD61" s="112">
        <f>IF(NFI_Expiration=1,IF($A61&lt;VLOOKUP(P$5,NFI,5,0),1,0)*Data_NFI_t[[#This Row],[Complementary Kit]],0)</f>
        <v>0</v>
      </c>
      <c r="AE61" s="112">
        <f>IF(NFI_Expiration=1,IF($A61&lt;VLOOKUP(Q$5,NFI,5,0),1,0)*Data_NFI_t[[#This Row],[Plastic Bucket]],0)</f>
        <v>0</v>
      </c>
      <c r="AF61" s="112">
        <f>IF(NFI_Expiration=1,IF($A61&lt;VLOOKUP(R$5,NFI,5,0),1,0)*Data_NFI_t[[#This Row],[Jerry Can]],0)</f>
        <v>0</v>
      </c>
      <c r="AG61" s="131">
        <f>IF(NFI_Expiration=1,IF($A61&lt;VLOOKUP(S$5,NFI,5,0),1,0)*Data_NFI_t[[#This Row],[Plastic Mat]],0)*IF(Data_NFI_t[[#This Row],[Distribution Date]]&gt;"01-06-2015",1,2.5)</f>
        <v>0</v>
      </c>
      <c r="AH61" s="915">
        <f>IF(NFI_Expiration=1,IF($A61&lt;VLOOKUP(T$5,NFI,5,0),1,0)*Data_NFI_t[[#This Row],[Adult Clothes]],0)</f>
        <v>0</v>
      </c>
      <c r="AI61" s="131">
        <f>IF(NFI_Expiration=1,IF($A61&lt;VLOOKUP(U$5,NFI,5,0),1,0)*Data_NFI_t[[#This Row],[Children Clothes]],0)</f>
        <v>0</v>
      </c>
      <c r="AJ61" s="131">
        <f>IF(NFI_Expiration=1,IF($A61&lt;VLOOKUP(V$5,NFI,5,0),1,0)*Data_NFI_t[[#This Row],[Sewing Kit]],0)</f>
        <v>0</v>
      </c>
      <c r="AK61" s="131" t="str">
        <f ca="1">IFERROR(OFFSET(Camp_List[P_Code],MATCH(Data_NFI_t[[#This Row],[Camp Name]],Camp_List[Camp Name],0)-1,0,1,1),"")</f>
        <v>MMR012CMP039</v>
      </c>
      <c r="AL61" s="513" t="str">
        <f ca="1">IFERROR(OFFSET(Camp_List[Status],MATCH(Data_NFI_t[[#This Row],[Camp Name]],Camp_List[Camp Name],0)-1,0,1,1),"")</f>
        <v>Open</v>
      </c>
      <c r="AM61" s="131"/>
    </row>
    <row r="62" spans="1:39" s="90" customFormat="1" ht="19.5" customHeight="1" x14ac:dyDescent="0.25">
      <c r="A62" s="242">
        <f>IF(ISBLANK(C62),"",(Report_Date-C62)/30)</f>
        <v>18.899999999999999</v>
      </c>
      <c r="B62" s="242">
        <f>YEAR(Data_NFI_t[[#This Row],[Distribution Date]])</f>
        <v>2015</v>
      </c>
      <c r="C62" s="927">
        <v>42228</v>
      </c>
      <c r="D62" s="489" t="s">
        <v>285</v>
      </c>
      <c r="E62" s="488" t="s">
        <v>624</v>
      </c>
      <c r="F62" s="489" t="s">
        <v>7</v>
      </c>
      <c r="G62" s="794" t="s">
        <v>19</v>
      </c>
      <c r="H62" s="794" t="s">
        <v>64</v>
      </c>
      <c r="I62" s="794"/>
      <c r="J62" s="51">
        <v>160</v>
      </c>
      <c r="K62" s="51"/>
      <c r="L62" s="51">
        <v>96</v>
      </c>
      <c r="M62" s="51">
        <v>48</v>
      </c>
      <c r="N62" s="51">
        <v>96</v>
      </c>
      <c r="O62" s="51">
        <v>48</v>
      </c>
      <c r="P62" s="51"/>
      <c r="Q62" s="51">
        <v>48</v>
      </c>
      <c r="R62" s="511">
        <v>48</v>
      </c>
      <c r="S62" s="51">
        <v>240</v>
      </c>
      <c r="T62" s="51"/>
      <c r="U62" s="51"/>
      <c r="V62" s="51"/>
      <c r="W62" s="131">
        <f>IF(NFI_Expiration=1,IF($A62&lt;VLOOKUP(I$5,NFI,5,0),1,0)*Data_NFI_t[[#This Row],[Hygiene Kit]],0)</f>
        <v>0</v>
      </c>
      <c r="X62" s="131">
        <f>IF(NFI_Expiration=1,IF($A62&lt;VLOOKUP(J$5,NFI,5,0),1,0)*Data_NFI_t[[#This Row],[NFI Core Kit]],0)</f>
        <v>0</v>
      </c>
      <c r="Y62" s="112">
        <f>IF(NFI_Expiration=1,IF($A62&lt;VLOOKUP(K$5,NFI,5,0),1,0)*Data_NFI_t[[#This Row],[Sanitary Kit]],0)</f>
        <v>0</v>
      </c>
      <c r="Z62" s="112">
        <f>IF(NFI_Expiration=1,IF($A62&lt;VLOOKUP(L$5,NFI,5,0),1,0)*Data_NFI_t[[#This Row],[Mosquito net]],0)</f>
        <v>0</v>
      </c>
      <c r="AA62" s="112">
        <f>IF(NFI_Expiration=1,IF($A62&lt;VLOOKUP(M$5,NFI,5,0),1,0)*Data_NFI_t[[#This Row],[Tarpaulin]],0)</f>
        <v>0</v>
      </c>
      <c r="AB62" s="112">
        <f>IF(NFI_Expiration=1,IF($A62&lt;VLOOKUP(N$5,NFI,5,0),1,0)*Data_NFI_t[[#This Row],[Blanket]],0)</f>
        <v>0</v>
      </c>
      <c r="AC62" s="112">
        <f>IF(NFI_Expiration=1,IF($A62&lt;VLOOKUP(O$5,NFI,5,0),1,0)*Data_NFI_t[[#This Row],[Kitchen Set]],0)</f>
        <v>0</v>
      </c>
      <c r="AD62" s="112">
        <f>IF(NFI_Expiration=1,IF($A62&lt;VLOOKUP(P$5,NFI,5,0),1,0)*Data_NFI_t[[#This Row],[Complementary Kit]],0)</f>
        <v>0</v>
      </c>
      <c r="AE62" s="112">
        <f>IF(NFI_Expiration=1,IF($A62&lt;VLOOKUP(Q$5,NFI,5,0),1,0)*Data_NFI_t[[#This Row],[Plastic Bucket]],0)</f>
        <v>0</v>
      </c>
      <c r="AF62" s="112">
        <f>IF(NFI_Expiration=1,IF($A62&lt;VLOOKUP(R$5,NFI,5,0),1,0)*Data_NFI_t[[#This Row],[Jerry Can]],0)</f>
        <v>0</v>
      </c>
      <c r="AG62" s="131">
        <f>IF(NFI_Expiration=1,IF($A62&lt;VLOOKUP(S$5,NFI,5,0),1,0)*Data_NFI_t[[#This Row],[Plastic Mat]],0)*IF(Data_NFI_t[[#This Row],[Distribution Date]]&gt;"01-06-2015",1,2.5)</f>
        <v>0</v>
      </c>
      <c r="AH62" s="915">
        <f>IF(NFI_Expiration=1,IF($A62&lt;VLOOKUP(T$5,NFI,5,0),1,0)*Data_NFI_t[[#This Row],[Adult Clothes]],0)</f>
        <v>0</v>
      </c>
      <c r="AI62" s="131">
        <f>IF(NFI_Expiration=1,IF($A62&lt;VLOOKUP(U$5,NFI,5,0),1,0)*Data_NFI_t[[#This Row],[Children Clothes]],0)</f>
        <v>0</v>
      </c>
      <c r="AJ62" s="131">
        <f>IF(NFI_Expiration=1,IF($A62&lt;VLOOKUP(V$5,NFI,5,0),1,0)*Data_NFI_t[[#This Row],[Sewing Kit]],0)</f>
        <v>0</v>
      </c>
      <c r="AK62" s="131" t="str">
        <f ca="1">IFERROR(OFFSET(Camp_List[P_Code],MATCH(Data_NFI_t[[#This Row],[Camp Name]],Camp_List[Camp Name],0)-1,0,1,1),"")</f>
        <v>MMR012CMP042</v>
      </c>
      <c r="AL62" s="513" t="str">
        <f ca="1">IFERROR(OFFSET(Camp_List[Status],MATCH(Data_NFI_t[[#This Row],[Camp Name]],Camp_List[Camp Name],0)-1,0,1,1),"")</f>
        <v>Open</v>
      </c>
      <c r="AM62" s="131"/>
    </row>
    <row r="63" spans="1:39" s="90" customFormat="1" ht="19.5" customHeight="1" x14ac:dyDescent="0.25">
      <c r="A63" s="242">
        <f>IF(ISBLANK(C63),"",(Report_Date-C63)/30)</f>
        <v>19.033333333333335</v>
      </c>
      <c r="B63" s="242">
        <f>YEAR(Data_NFI_t[[#This Row],[Distribution Date]])</f>
        <v>2015</v>
      </c>
      <c r="C63" s="927">
        <v>42224</v>
      </c>
      <c r="D63" s="489" t="s">
        <v>285</v>
      </c>
      <c r="E63" s="488" t="s">
        <v>515</v>
      </c>
      <c r="F63" s="489" t="s">
        <v>7</v>
      </c>
      <c r="G63" s="794" t="s">
        <v>14</v>
      </c>
      <c r="H63" s="794" t="s">
        <v>42</v>
      </c>
      <c r="I63" s="794"/>
      <c r="J63" s="51"/>
      <c r="K63" s="51"/>
      <c r="L63" s="51">
        <v>62</v>
      </c>
      <c r="M63" s="51">
        <v>31</v>
      </c>
      <c r="N63" s="51">
        <v>62</v>
      </c>
      <c r="O63" s="51">
        <v>31</v>
      </c>
      <c r="P63" s="51"/>
      <c r="Q63" s="51">
        <v>31</v>
      </c>
      <c r="R63" s="511">
        <v>31</v>
      </c>
      <c r="S63" s="51">
        <v>155</v>
      </c>
      <c r="T63" s="51"/>
      <c r="U63" s="51"/>
      <c r="V63" s="51"/>
      <c r="W63" s="131">
        <f>IF(NFI_Expiration=1,IF($A63&lt;VLOOKUP(I$5,NFI,5,0),1,0)*Data_NFI_t[[#This Row],[Hygiene Kit]],0)</f>
        <v>0</v>
      </c>
      <c r="X63" s="131">
        <f>IF(NFI_Expiration=1,IF($A63&lt;VLOOKUP(J$5,NFI,5,0),1,0)*Data_NFI_t[[#This Row],[NFI Core Kit]],0)</f>
        <v>0</v>
      </c>
      <c r="Y63" s="112">
        <f>IF(NFI_Expiration=1,IF($A63&lt;VLOOKUP(K$5,NFI,5,0),1,0)*Data_NFI_t[[#This Row],[Sanitary Kit]],0)</f>
        <v>0</v>
      </c>
      <c r="Z63" s="112">
        <f>IF(NFI_Expiration=1,IF($A63&lt;VLOOKUP(L$5,NFI,5,0),1,0)*Data_NFI_t[[#This Row],[Mosquito net]],0)</f>
        <v>0</v>
      </c>
      <c r="AA63" s="112">
        <f>IF(NFI_Expiration=1,IF($A63&lt;VLOOKUP(M$5,NFI,5,0),1,0)*Data_NFI_t[[#This Row],[Tarpaulin]],0)</f>
        <v>0</v>
      </c>
      <c r="AB63" s="112">
        <f>IF(NFI_Expiration=1,IF($A63&lt;VLOOKUP(N$5,NFI,5,0),1,0)*Data_NFI_t[[#This Row],[Blanket]],0)</f>
        <v>0</v>
      </c>
      <c r="AC63" s="112">
        <f>IF(NFI_Expiration=1,IF($A63&lt;VLOOKUP(O$5,NFI,5,0),1,0)*Data_NFI_t[[#This Row],[Kitchen Set]],0)</f>
        <v>0</v>
      </c>
      <c r="AD63" s="112">
        <f>IF(NFI_Expiration=1,IF($A63&lt;VLOOKUP(P$5,NFI,5,0),1,0)*Data_NFI_t[[#This Row],[Complementary Kit]],0)</f>
        <v>0</v>
      </c>
      <c r="AE63" s="112">
        <f>IF(NFI_Expiration=1,IF($A63&lt;VLOOKUP(Q$5,NFI,5,0),1,0)*Data_NFI_t[[#This Row],[Plastic Bucket]],0)</f>
        <v>0</v>
      </c>
      <c r="AF63" s="112">
        <f>IF(NFI_Expiration=1,IF($A63&lt;VLOOKUP(R$5,NFI,5,0),1,0)*Data_NFI_t[[#This Row],[Jerry Can]],0)</f>
        <v>0</v>
      </c>
      <c r="AG63" s="131">
        <f>IF(NFI_Expiration=1,IF($A63&lt;VLOOKUP(S$5,NFI,5,0),1,0)*Data_NFI_t[[#This Row],[Plastic Mat]],0)*IF(Data_NFI_t[[#This Row],[Distribution Date]]&gt;"01-06-2015",1,2.5)</f>
        <v>0</v>
      </c>
      <c r="AH63" s="915">
        <f>IF(NFI_Expiration=1,IF($A63&lt;VLOOKUP(T$5,NFI,5,0),1,0)*Data_NFI_t[[#This Row],[Adult Clothes]],0)</f>
        <v>0</v>
      </c>
      <c r="AI63" s="131">
        <f>IF(NFI_Expiration=1,IF($A63&lt;VLOOKUP(U$5,NFI,5,0),1,0)*Data_NFI_t[[#This Row],[Children Clothes]],0)</f>
        <v>0</v>
      </c>
      <c r="AJ63" s="131">
        <f>IF(NFI_Expiration=1,IF($A63&lt;VLOOKUP(V$5,NFI,5,0),1,0)*Data_NFI_t[[#This Row],[Sewing Kit]],0)</f>
        <v>0</v>
      </c>
      <c r="AK63" s="131" t="str">
        <f ca="1">IFERROR(OFFSET(Camp_List[P_Code],MATCH(Data_NFI_t[[#This Row],[Camp Name]],Camp_List[Camp Name],0)-1,0,1,1),"")</f>
        <v>MMR012CMP018</v>
      </c>
      <c r="AL63" s="513" t="str">
        <f ca="1">IFERROR(OFFSET(Camp_List[Status],MATCH(Data_NFI_t[[#This Row],[Camp Name]],Camp_List[Camp Name],0)-1,0,1,1),"")</f>
        <v>Open</v>
      </c>
      <c r="AM63" s="131"/>
    </row>
    <row r="64" spans="1:39" s="90" customFormat="1" ht="19.5" customHeight="1" x14ac:dyDescent="0.25">
      <c r="A64" s="242">
        <f>IF(ISBLANK(C64),"",(Report_Date-C64)/30)</f>
        <v>19.533333333333335</v>
      </c>
      <c r="B64" s="242">
        <f>YEAR(Data_NFI_t[[#This Row],[Distribution Date]])</f>
        <v>2015</v>
      </c>
      <c r="C64" s="927">
        <v>42209</v>
      </c>
      <c r="D64" s="489" t="s">
        <v>285</v>
      </c>
      <c r="E64" s="488" t="s">
        <v>515</v>
      </c>
      <c r="F64" s="489" t="s">
        <v>7</v>
      </c>
      <c r="G64" s="794" t="s">
        <v>19</v>
      </c>
      <c r="H64" s="794" t="s">
        <v>70</v>
      </c>
      <c r="I64" s="794"/>
      <c r="J64" s="51">
        <v>984</v>
      </c>
      <c r="K64" s="51"/>
      <c r="L64" s="51">
        <v>1968</v>
      </c>
      <c r="M64" s="51">
        <v>984</v>
      </c>
      <c r="N64" s="51">
        <v>1968</v>
      </c>
      <c r="O64" s="51">
        <v>984</v>
      </c>
      <c r="P64" s="51"/>
      <c r="Q64" s="51">
        <v>984</v>
      </c>
      <c r="R64" s="511">
        <v>984</v>
      </c>
      <c r="S64" s="51">
        <v>4920</v>
      </c>
      <c r="T64" s="51"/>
      <c r="U64" s="51"/>
      <c r="V64" s="51"/>
      <c r="W64" s="131">
        <f>IF(NFI_Expiration=1,IF($A64&lt;VLOOKUP(I$5,NFI,5,0),1,0)*Data_NFI_t[[#This Row],[Hygiene Kit]],0)</f>
        <v>0</v>
      </c>
      <c r="X64" s="131">
        <f>IF(NFI_Expiration=1,IF($A64&lt;VLOOKUP(J$5,NFI,5,0),1,0)*Data_NFI_t[[#This Row],[NFI Core Kit]],0)</f>
        <v>0</v>
      </c>
      <c r="Y64" s="112">
        <f>IF(NFI_Expiration=1,IF($A64&lt;VLOOKUP(K$5,NFI,5,0),1,0)*Data_NFI_t[[#This Row],[Sanitary Kit]],0)</f>
        <v>0</v>
      </c>
      <c r="Z64" s="112">
        <f>IF(NFI_Expiration=1,IF($A64&lt;VLOOKUP(L$5,NFI,5,0),1,0)*Data_NFI_t[[#This Row],[Mosquito net]],0)</f>
        <v>0</v>
      </c>
      <c r="AA64" s="112">
        <f>IF(NFI_Expiration=1,IF($A64&lt;VLOOKUP(M$5,NFI,5,0),1,0)*Data_NFI_t[[#This Row],[Tarpaulin]],0)</f>
        <v>0</v>
      </c>
      <c r="AB64" s="112">
        <f>IF(NFI_Expiration=1,IF($A64&lt;VLOOKUP(N$5,NFI,5,0),1,0)*Data_NFI_t[[#This Row],[Blanket]],0)</f>
        <v>0</v>
      </c>
      <c r="AC64" s="112">
        <f>IF(NFI_Expiration=1,IF($A64&lt;VLOOKUP(O$5,NFI,5,0),1,0)*Data_NFI_t[[#This Row],[Kitchen Set]],0)</f>
        <v>0</v>
      </c>
      <c r="AD64" s="112">
        <f>IF(NFI_Expiration=1,IF($A64&lt;VLOOKUP(P$5,NFI,5,0),1,0)*Data_NFI_t[[#This Row],[Complementary Kit]],0)</f>
        <v>0</v>
      </c>
      <c r="AE64" s="112">
        <f>IF(NFI_Expiration=1,IF($A64&lt;VLOOKUP(Q$5,NFI,5,0),1,0)*Data_NFI_t[[#This Row],[Plastic Bucket]],0)</f>
        <v>0</v>
      </c>
      <c r="AF64" s="112">
        <f>IF(NFI_Expiration=1,IF($A64&lt;VLOOKUP(R$5,NFI,5,0),1,0)*Data_NFI_t[[#This Row],[Jerry Can]],0)</f>
        <v>0</v>
      </c>
      <c r="AG64" s="131">
        <f>IF(NFI_Expiration=1,IF($A64&lt;VLOOKUP(S$5,NFI,5,0),1,0)*Data_NFI_t[[#This Row],[Plastic Mat]],0)*IF(Data_NFI_t[[#This Row],[Distribution Date]]&gt;"01-06-2015",1,2.5)</f>
        <v>0</v>
      </c>
      <c r="AH64" s="915">
        <f>IF(NFI_Expiration=1,IF($A64&lt;VLOOKUP(T$5,NFI,5,0),1,0)*Data_NFI_t[[#This Row],[Adult Clothes]],0)</f>
        <v>0</v>
      </c>
      <c r="AI64" s="131">
        <f>IF(NFI_Expiration=1,IF($A64&lt;VLOOKUP(U$5,NFI,5,0),1,0)*Data_NFI_t[[#This Row],[Children Clothes]],0)</f>
        <v>0</v>
      </c>
      <c r="AJ64" s="131">
        <f>IF(NFI_Expiration=1,IF($A64&lt;VLOOKUP(V$5,NFI,5,0),1,0)*Data_NFI_t[[#This Row],[Sewing Kit]],0)</f>
        <v>0</v>
      </c>
      <c r="AK64" s="131" t="str">
        <f ca="1">IFERROR(OFFSET(Camp_List[P_Code],MATCH(Data_NFI_t[[#This Row],[Camp Name]],Camp_List[Camp Name],0)-1,0,1,1),"")</f>
        <v>MMR012CMP048</v>
      </c>
      <c r="AL64" s="513" t="str">
        <f ca="1">IFERROR(OFFSET(Camp_List[Status],MATCH(Data_NFI_t[[#This Row],[Camp Name]],Camp_List[Camp Name],0)-1,0,1,1),"")</f>
        <v>Open</v>
      </c>
      <c r="AM64" s="131"/>
    </row>
    <row r="65" spans="1:39" s="90" customFormat="1" ht="19.5" customHeight="1" x14ac:dyDescent="0.25">
      <c r="A65" s="242">
        <f>IF(ISBLANK(C65),"",(Report_Date-C65)/30)</f>
        <v>19.566666666666666</v>
      </c>
      <c r="B65" s="242">
        <v>2015</v>
      </c>
      <c r="C65" s="927">
        <v>42208</v>
      </c>
      <c r="D65" s="489" t="s">
        <v>285</v>
      </c>
      <c r="E65" s="488" t="s">
        <v>285</v>
      </c>
      <c r="F65" s="489" t="s">
        <v>7</v>
      </c>
      <c r="G65" s="794" t="s">
        <v>16</v>
      </c>
      <c r="H65" s="794" t="s">
        <v>400</v>
      </c>
      <c r="I65" s="794">
        <v>0</v>
      </c>
      <c r="J65" s="51">
        <v>0</v>
      </c>
      <c r="K65" s="51">
        <v>0</v>
      </c>
      <c r="L65" s="51">
        <v>0</v>
      </c>
      <c r="M65" s="51">
        <v>217</v>
      </c>
      <c r="N65" s="51">
        <v>0</v>
      </c>
      <c r="O65" s="51">
        <v>0</v>
      </c>
      <c r="P65" s="51">
        <v>0</v>
      </c>
      <c r="Q65" s="51">
        <v>0</v>
      </c>
      <c r="R65" s="511">
        <v>0</v>
      </c>
      <c r="S65" s="51">
        <v>0</v>
      </c>
      <c r="T65" s="51"/>
      <c r="U65" s="51"/>
      <c r="V65" s="51"/>
      <c r="W65" s="131">
        <f>IF(NFI_Expiration=1,IF($A65&lt;VLOOKUP(I$5,NFI,5,0),1,0)*Data_NFI_t[[#This Row],[Hygiene Kit]],0)</f>
        <v>0</v>
      </c>
      <c r="X65" s="131">
        <f>IF(NFI_Expiration=1,IF($A65&lt;VLOOKUP(J$5,NFI,5,0),1,0)*Data_NFI_t[[#This Row],[NFI Core Kit]],0)</f>
        <v>0</v>
      </c>
      <c r="Y65" s="112">
        <f>IF(NFI_Expiration=1,IF($A65&lt;VLOOKUP(K$5,NFI,5,0),1,0)*Data_NFI_t[[#This Row],[Sanitary Kit]],0)</f>
        <v>0</v>
      </c>
      <c r="Z65" s="112">
        <f>IF(NFI_Expiration=1,IF($A65&lt;VLOOKUP(L$5,NFI,5,0),1,0)*Data_NFI_t[[#This Row],[Mosquito net]],0)</f>
        <v>0</v>
      </c>
      <c r="AA65" s="112">
        <f>IF(NFI_Expiration=1,IF($A65&lt;VLOOKUP(M$5,NFI,5,0),1,0)*Data_NFI_t[[#This Row],[Tarpaulin]],0)</f>
        <v>0</v>
      </c>
      <c r="AB65" s="112">
        <f>IF(NFI_Expiration=1,IF($A65&lt;VLOOKUP(N$5,NFI,5,0),1,0)*Data_NFI_t[[#This Row],[Blanket]],0)</f>
        <v>0</v>
      </c>
      <c r="AC65" s="112">
        <f>IF(NFI_Expiration=1,IF($A65&lt;VLOOKUP(O$5,NFI,5,0),1,0)*Data_NFI_t[[#This Row],[Kitchen Set]],0)</f>
        <v>0</v>
      </c>
      <c r="AD65" s="112">
        <f>IF(NFI_Expiration=1,IF($A65&lt;VLOOKUP(P$5,NFI,5,0),1,0)*Data_NFI_t[[#This Row],[Complementary Kit]],0)</f>
        <v>0</v>
      </c>
      <c r="AE65" s="112">
        <f>IF(NFI_Expiration=1,IF($A65&lt;VLOOKUP(Q$5,NFI,5,0),1,0)*Data_NFI_t[[#This Row],[Plastic Bucket]],0)</f>
        <v>0</v>
      </c>
      <c r="AF65" s="112">
        <f>IF(NFI_Expiration=1,IF($A65&lt;VLOOKUP(R$5,NFI,5,0),1,0)*Data_NFI_t[[#This Row],[Jerry Can]],0)</f>
        <v>0</v>
      </c>
      <c r="AG65" s="131">
        <f>IF(NFI_Expiration=1,IF($A65&lt;VLOOKUP(S$5,NFI,5,0),1,0)*Data_NFI_t[[#This Row],[Plastic Mat]],0)*IF(Data_NFI_t[[#This Row],[Distribution Date]]&gt;"01-06-2015",1,2.5)</f>
        <v>0</v>
      </c>
      <c r="AH65" s="915">
        <f>IF(NFI_Expiration=1,IF($A65&lt;VLOOKUP(T$5,NFI,5,0),1,0)*Data_NFI_t[[#This Row],[Adult Clothes]],0)</f>
        <v>0</v>
      </c>
      <c r="AI65" s="131">
        <f>IF(NFI_Expiration=1,IF($A65&lt;VLOOKUP(U$5,NFI,5,0),1,0)*Data_NFI_t[[#This Row],[Children Clothes]],0)</f>
        <v>0</v>
      </c>
      <c r="AJ65" s="131">
        <f>IF(NFI_Expiration=1,IF($A65&lt;VLOOKUP(V$5,NFI,5,0),1,0)*Data_NFI_t[[#This Row],[Sewing Kit]],0)</f>
        <v>0</v>
      </c>
      <c r="AK65" s="131" t="str">
        <f ca="1">IFERROR(OFFSET(Camp_List[P_Code],MATCH(Data_NFI_t[[#This Row],[Camp Name]],Camp_List[Camp Name],0)-1,0,1,1),"")</f>
        <v>MMR012CMP110</v>
      </c>
      <c r="AL65" s="513" t="str">
        <f ca="1">IFERROR(OFFSET(Camp_List[Status],MATCH(Data_NFI_t[[#This Row],[Camp Name]],Camp_List[Camp Name],0)-1,0,1,1),"")</f>
        <v>Open</v>
      </c>
      <c r="AM65" s="131"/>
    </row>
    <row r="66" spans="1:39" s="90" customFormat="1" ht="19.5" customHeight="1" x14ac:dyDescent="0.25">
      <c r="A66" s="242">
        <f>IF(ISBLANK(C66),"",(Report_Date-C66)/30)</f>
        <v>19.566666666666666</v>
      </c>
      <c r="B66" s="242">
        <v>2015</v>
      </c>
      <c r="C66" s="927">
        <v>42208</v>
      </c>
      <c r="D66" s="489" t="s">
        <v>285</v>
      </c>
      <c r="E66" s="488" t="s">
        <v>285</v>
      </c>
      <c r="F66" s="489" t="s">
        <v>7</v>
      </c>
      <c r="G66" s="794" t="s">
        <v>16</v>
      </c>
      <c r="H66" s="794" t="s">
        <v>605</v>
      </c>
      <c r="I66" s="794">
        <v>0</v>
      </c>
      <c r="J66" s="51">
        <v>0</v>
      </c>
      <c r="K66" s="51">
        <v>0</v>
      </c>
      <c r="L66" s="51">
        <v>0</v>
      </c>
      <c r="M66" s="51">
        <v>167</v>
      </c>
      <c r="N66" s="51">
        <v>0</v>
      </c>
      <c r="O66" s="51">
        <v>0</v>
      </c>
      <c r="P66" s="51">
        <v>0</v>
      </c>
      <c r="Q66" s="51">
        <v>0</v>
      </c>
      <c r="R66" s="511">
        <v>0</v>
      </c>
      <c r="S66" s="51">
        <v>0</v>
      </c>
      <c r="T66" s="51"/>
      <c r="U66" s="51"/>
      <c r="V66" s="51"/>
      <c r="W66" s="131">
        <f>IF(NFI_Expiration=1,IF($A66&lt;VLOOKUP(I$5,NFI,5,0),1,0)*Data_NFI_t[[#This Row],[Hygiene Kit]],0)</f>
        <v>0</v>
      </c>
      <c r="X66" s="131">
        <f>IF(NFI_Expiration=1,IF($A66&lt;VLOOKUP(J$5,NFI,5,0),1,0)*Data_NFI_t[[#This Row],[NFI Core Kit]],0)</f>
        <v>0</v>
      </c>
      <c r="Y66" s="112">
        <f>IF(NFI_Expiration=1,IF($A66&lt;VLOOKUP(K$5,NFI,5,0),1,0)*Data_NFI_t[[#This Row],[Sanitary Kit]],0)</f>
        <v>0</v>
      </c>
      <c r="Z66" s="112">
        <f>IF(NFI_Expiration=1,IF($A66&lt;VLOOKUP(L$5,NFI,5,0),1,0)*Data_NFI_t[[#This Row],[Mosquito net]],0)</f>
        <v>0</v>
      </c>
      <c r="AA66" s="112">
        <f>IF(NFI_Expiration=1,IF($A66&lt;VLOOKUP(M$5,NFI,5,0),1,0)*Data_NFI_t[[#This Row],[Tarpaulin]],0)</f>
        <v>0</v>
      </c>
      <c r="AB66" s="112">
        <f>IF(NFI_Expiration=1,IF($A66&lt;VLOOKUP(N$5,NFI,5,0),1,0)*Data_NFI_t[[#This Row],[Blanket]],0)</f>
        <v>0</v>
      </c>
      <c r="AC66" s="112">
        <f>IF(NFI_Expiration=1,IF($A66&lt;VLOOKUP(O$5,NFI,5,0),1,0)*Data_NFI_t[[#This Row],[Kitchen Set]],0)</f>
        <v>0</v>
      </c>
      <c r="AD66" s="112">
        <f>IF(NFI_Expiration=1,IF($A66&lt;VLOOKUP(P$5,NFI,5,0),1,0)*Data_NFI_t[[#This Row],[Complementary Kit]],0)</f>
        <v>0</v>
      </c>
      <c r="AE66" s="112">
        <f>IF(NFI_Expiration=1,IF($A66&lt;VLOOKUP(Q$5,NFI,5,0),1,0)*Data_NFI_t[[#This Row],[Plastic Bucket]],0)</f>
        <v>0</v>
      </c>
      <c r="AF66" s="112">
        <f>IF(NFI_Expiration=1,IF($A66&lt;VLOOKUP(R$5,NFI,5,0),1,0)*Data_NFI_t[[#This Row],[Jerry Can]],0)</f>
        <v>0</v>
      </c>
      <c r="AG66" s="131">
        <f>IF(NFI_Expiration=1,IF($A66&lt;VLOOKUP(S$5,NFI,5,0),1,0)*Data_NFI_t[[#This Row],[Plastic Mat]],0)*IF(Data_NFI_t[[#This Row],[Distribution Date]]&gt;"01-06-2015",1,2.5)</f>
        <v>0</v>
      </c>
      <c r="AH66" s="915">
        <f>IF(NFI_Expiration=1,IF($A66&lt;VLOOKUP(T$5,NFI,5,0),1,0)*Data_NFI_t[[#This Row],[Adult Clothes]],0)</f>
        <v>0</v>
      </c>
      <c r="AI66" s="131">
        <f>IF(NFI_Expiration=1,IF($A66&lt;VLOOKUP(U$5,NFI,5,0),1,0)*Data_NFI_t[[#This Row],[Children Clothes]],0)</f>
        <v>0</v>
      </c>
      <c r="AJ66" s="131">
        <f>IF(NFI_Expiration=1,IF($A66&lt;VLOOKUP(V$5,NFI,5,0),1,0)*Data_NFI_t[[#This Row],[Sewing Kit]],0)</f>
        <v>0</v>
      </c>
      <c r="AK66" s="131" t="str">
        <f ca="1">IFERROR(OFFSET(Camp_List[P_Code],MATCH(Data_NFI_t[[#This Row],[Camp Name]],Camp_List[Camp Name],0)-1,0,1,1),"")</f>
        <v>MMR012CMP033</v>
      </c>
      <c r="AL66" s="513" t="str">
        <f ca="1">IFERROR(OFFSET(Camp_List[Status],MATCH(Data_NFI_t[[#This Row],[Camp Name]],Camp_List[Camp Name],0)-1,0,1,1),"")</f>
        <v>Open</v>
      </c>
      <c r="AM66" s="131"/>
    </row>
    <row r="67" spans="1:39" s="90" customFormat="1" ht="19.5" customHeight="1" x14ac:dyDescent="0.25">
      <c r="A67" s="242">
        <f>IF(ISBLANK(C67),"",(Report_Date-C67)/30)</f>
        <v>20.033333333333335</v>
      </c>
      <c r="B67" s="242">
        <f>YEAR(Data_NFI_t[[#This Row],[Distribution Date]])</f>
        <v>2015</v>
      </c>
      <c r="C67" s="927">
        <v>42194</v>
      </c>
      <c r="D67" s="489" t="s">
        <v>285</v>
      </c>
      <c r="E67" s="488" t="s">
        <v>515</v>
      </c>
      <c r="F67" s="489" t="s">
        <v>7</v>
      </c>
      <c r="G67" s="794" t="s">
        <v>19</v>
      </c>
      <c r="H67" s="794" t="s">
        <v>629</v>
      </c>
      <c r="I67" s="794"/>
      <c r="J67" s="51">
        <v>624</v>
      </c>
      <c r="K67" s="51"/>
      <c r="L67" s="51">
        <v>1248</v>
      </c>
      <c r="M67" s="51">
        <v>624</v>
      </c>
      <c r="N67" s="51">
        <v>1248</v>
      </c>
      <c r="O67" s="51">
        <v>624</v>
      </c>
      <c r="P67" s="51"/>
      <c r="Q67" s="51">
        <v>624</v>
      </c>
      <c r="R67" s="511">
        <v>624</v>
      </c>
      <c r="S67" s="51">
        <v>3120</v>
      </c>
      <c r="T67" s="51"/>
      <c r="U67" s="51"/>
      <c r="V67" s="51"/>
      <c r="W67" s="131">
        <f>IF(NFI_Expiration=1,IF($A67&lt;VLOOKUP(I$5,NFI,5,0),1,0)*Data_NFI_t[[#This Row],[Hygiene Kit]],0)</f>
        <v>0</v>
      </c>
      <c r="X67" s="131">
        <f>IF(NFI_Expiration=1,IF($A67&lt;VLOOKUP(J$5,NFI,5,0),1,0)*Data_NFI_t[[#This Row],[NFI Core Kit]],0)</f>
        <v>0</v>
      </c>
      <c r="Y67" s="112">
        <f>IF(NFI_Expiration=1,IF($A67&lt;VLOOKUP(K$5,NFI,5,0),1,0)*Data_NFI_t[[#This Row],[Sanitary Kit]],0)</f>
        <v>0</v>
      </c>
      <c r="Z67" s="112">
        <f>IF(NFI_Expiration=1,IF($A67&lt;VLOOKUP(L$5,NFI,5,0),1,0)*Data_NFI_t[[#This Row],[Mosquito net]],0)</f>
        <v>0</v>
      </c>
      <c r="AA67" s="112">
        <f>IF(NFI_Expiration=1,IF($A67&lt;VLOOKUP(M$5,NFI,5,0),1,0)*Data_NFI_t[[#This Row],[Tarpaulin]],0)</f>
        <v>0</v>
      </c>
      <c r="AB67" s="112">
        <f>IF(NFI_Expiration=1,IF($A67&lt;VLOOKUP(N$5,NFI,5,0),1,0)*Data_NFI_t[[#This Row],[Blanket]],0)</f>
        <v>0</v>
      </c>
      <c r="AC67" s="112">
        <f>IF(NFI_Expiration=1,IF($A67&lt;VLOOKUP(O$5,NFI,5,0),1,0)*Data_NFI_t[[#This Row],[Kitchen Set]],0)</f>
        <v>0</v>
      </c>
      <c r="AD67" s="112">
        <f>IF(NFI_Expiration=1,IF($A67&lt;VLOOKUP(P$5,NFI,5,0),1,0)*Data_NFI_t[[#This Row],[Complementary Kit]],0)</f>
        <v>0</v>
      </c>
      <c r="AE67" s="112">
        <f>IF(NFI_Expiration=1,IF($A67&lt;VLOOKUP(Q$5,NFI,5,0),1,0)*Data_NFI_t[[#This Row],[Plastic Bucket]],0)</f>
        <v>0</v>
      </c>
      <c r="AF67" s="112">
        <f>IF(NFI_Expiration=1,IF($A67&lt;VLOOKUP(R$5,NFI,5,0),1,0)*Data_NFI_t[[#This Row],[Jerry Can]],0)</f>
        <v>0</v>
      </c>
      <c r="AG67" s="131">
        <f>IF(NFI_Expiration=1,IF($A67&lt;VLOOKUP(S$5,NFI,5,0),1,0)*Data_NFI_t[[#This Row],[Plastic Mat]],0)*IF(Data_NFI_t[[#This Row],[Distribution Date]]&gt;"01-06-2015",1,2.5)</f>
        <v>0</v>
      </c>
      <c r="AH67" s="915">
        <f>IF(NFI_Expiration=1,IF($A67&lt;VLOOKUP(T$5,NFI,5,0),1,0)*Data_NFI_t[[#This Row],[Adult Clothes]],0)</f>
        <v>0</v>
      </c>
      <c r="AI67" s="131">
        <f>IF(NFI_Expiration=1,IF($A67&lt;VLOOKUP(U$5,NFI,5,0),1,0)*Data_NFI_t[[#This Row],[Children Clothes]],0)</f>
        <v>0</v>
      </c>
      <c r="AJ67" s="131">
        <f>IF(NFI_Expiration=1,IF($A67&lt;VLOOKUP(V$5,NFI,5,0),1,0)*Data_NFI_t[[#This Row],[Sewing Kit]],0)</f>
        <v>0</v>
      </c>
      <c r="AK67" s="131" t="str">
        <f ca="1">IFERROR(OFFSET(Camp_List[P_Code],MATCH(Data_NFI_t[[#This Row],[Camp Name]],Camp_List[Camp Name],0)-1,0,1,1),"")</f>
        <v>MMR012CMP092</v>
      </c>
      <c r="AL67" s="513" t="str">
        <f ca="1">IFERROR(OFFSET(Camp_List[Status],MATCH(Data_NFI_t[[#This Row],[Camp Name]],Camp_List[Camp Name],0)-1,0,1,1),"")</f>
        <v>Open</v>
      </c>
      <c r="AM67" s="131"/>
    </row>
    <row r="68" spans="1:39" s="90" customFormat="1" ht="19.5" customHeight="1" x14ac:dyDescent="0.25">
      <c r="A68" s="242">
        <f>IF(ISBLANK(C68),"",(Report_Date-C68)/30)</f>
        <v>20.466666666666665</v>
      </c>
      <c r="B68" s="242">
        <f>YEAR(Data_NFI_t[[#This Row],[Distribution Date]])</f>
        <v>2015</v>
      </c>
      <c r="C68" s="927">
        <v>42181</v>
      </c>
      <c r="D68" s="489" t="s">
        <v>285</v>
      </c>
      <c r="E68" s="488" t="s">
        <v>285</v>
      </c>
      <c r="F68" s="489" t="s">
        <v>7</v>
      </c>
      <c r="G68" s="794" t="s">
        <v>15</v>
      </c>
      <c r="H68" s="794" t="s">
        <v>52</v>
      </c>
      <c r="I68" s="794"/>
      <c r="J68" s="51"/>
      <c r="K68" s="51"/>
      <c r="L68" s="51"/>
      <c r="M68" s="51">
        <v>112</v>
      </c>
      <c r="N68" s="51"/>
      <c r="O68" s="51"/>
      <c r="P68" s="51"/>
      <c r="Q68" s="51"/>
      <c r="R68" s="511"/>
      <c r="S68" s="51"/>
      <c r="T68" s="51"/>
      <c r="U68" s="51"/>
      <c r="V68" s="51"/>
      <c r="W68" s="131">
        <f>IF(NFI_Expiration=1,IF($A68&lt;VLOOKUP(I$5,NFI,5,0),1,0)*Data_NFI_t[[#This Row],[Hygiene Kit]],0)</f>
        <v>0</v>
      </c>
      <c r="X68" s="131">
        <f>IF(NFI_Expiration=1,IF($A68&lt;VLOOKUP(J$5,NFI,5,0),1,0)*Data_NFI_t[[#This Row],[NFI Core Kit]],0)</f>
        <v>0</v>
      </c>
      <c r="Y68" s="112">
        <f>IF(NFI_Expiration=1,IF($A68&lt;VLOOKUP(K$5,NFI,5,0),1,0)*Data_NFI_t[[#This Row],[Sanitary Kit]],0)</f>
        <v>0</v>
      </c>
      <c r="Z68" s="112">
        <f>IF(NFI_Expiration=1,IF($A68&lt;VLOOKUP(L$5,NFI,5,0),1,0)*Data_NFI_t[[#This Row],[Mosquito net]],0)</f>
        <v>0</v>
      </c>
      <c r="AA68" s="112">
        <f>IF(NFI_Expiration=1,IF($A68&lt;VLOOKUP(M$5,NFI,5,0),1,0)*Data_NFI_t[[#This Row],[Tarpaulin]],0)</f>
        <v>0</v>
      </c>
      <c r="AB68" s="112">
        <f>IF(NFI_Expiration=1,IF($A68&lt;VLOOKUP(N$5,NFI,5,0),1,0)*Data_NFI_t[[#This Row],[Blanket]],0)</f>
        <v>0</v>
      </c>
      <c r="AC68" s="112">
        <f>IF(NFI_Expiration=1,IF($A68&lt;VLOOKUP(O$5,NFI,5,0),1,0)*Data_NFI_t[[#This Row],[Kitchen Set]],0)</f>
        <v>0</v>
      </c>
      <c r="AD68" s="112">
        <f>IF(NFI_Expiration=1,IF($A68&lt;VLOOKUP(P$5,NFI,5,0),1,0)*Data_NFI_t[[#This Row],[Complementary Kit]],0)</f>
        <v>0</v>
      </c>
      <c r="AE68" s="112">
        <f>IF(NFI_Expiration=1,IF($A68&lt;VLOOKUP(Q$5,NFI,5,0),1,0)*Data_NFI_t[[#This Row],[Plastic Bucket]],0)</f>
        <v>0</v>
      </c>
      <c r="AF68" s="112">
        <f>IF(NFI_Expiration=1,IF($A68&lt;VLOOKUP(R$5,NFI,5,0),1,0)*Data_NFI_t[[#This Row],[Jerry Can]],0)</f>
        <v>0</v>
      </c>
      <c r="AG68" s="131">
        <f>IF(NFI_Expiration=1,IF($A68&lt;VLOOKUP(S$5,NFI,5,0),1,0)*Data_NFI_t[[#This Row],[Plastic Mat]],0)*IF(Data_NFI_t[[#This Row],[Distribution Date]]&gt;"01-06-2015",1,2.5)</f>
        <v>0</v>
      </c>
      <c r="AH68" s="915">
        <f>IF(NFI_Expiration=1,IF($A68&lt;VLOOKUP(T$5,NFI,5,0),1,0)*Data_NFI_t[[#This Row],[Adult Clothes]],0)</f>
        <v>0</v>
      </c>
      <c r="AI68" s="131">
        <f>IF(NFI_Expiration=1,IF($A68&lt;VLOOKUP(U$5,NFI,5,0),1,0)*Data_NFI_t[[#This Row],[Children Clothes]],0)</f>
        <v>0</v>
      </c>
      <c r="AJ68" s="131">
        <f>IF(NFI_Expiration=1,IF($A68&lt;VLOOKUP(V$5,NFI,5,0),1,0)*Data_NFI_t[[#This Row],[Sewing Kit]],0)</f>
        <v>0</v>
      </c>
      <c r="AK68" s="131" t="str">
        <f ca="1">IFERROR(OFFSET(Camp_List[P_Code],MATCH(Data_NFI_t[[#This Row],[Camp Name]],Camp_List[Camp Name],0)-1,0,1,1),"")</f>
        <v>MMR012CMP028</v>
      </c>
      <c r="AL68" s="513" t="str">
        <f ca="1">IFERROR(OFFSET(Camp_List[Status],MATCH(Data_NFI_t[[#This Row],[Camp Name]],Camp_List[Camp Name],0)-1,0,1,1),"")</f>
        <v>Returned</v>
      </c>
      <c r="AM68" s="131"/>
    </row>
    <row r="69" spans="1:39" s="90" customFormat="1" ht="19.5" customHeight="1" x14ac:dyDescent="0.25">
      <c r="A69" s="242">
        <f>IF(ISBLANK(C69),"",(Report_Date-C69)/30)</f>
        <v>20.466666666666665</v>
      </c>
      <c r="B69" s="242">
        <f>YEAR(Data_NFI_t[[#This Row],[Distribution Date]])</f>
        <v>2015</v>
      </c>
      <c r="C69" s="927">
        <v>42181</v>
      </c>
      <c r="D69" s="489" t="s">
        <v>285</v>
      </c>
      <c r="E69" s="488" t="s">
        <v>285</v>
      </c>
      <c r="F69" s="489" t="s">
        <v>7</v>
      </c>
      <c r="G69" s="794" t="s">
        <v>15</v>
      </c>
      <c r="H69" s="794" t="s">
        <v>53</v>
      </c>
      <c r="I69" s="794"/>
      <c r="J69" s="51"/>
      <c r="K69" s="51"/>
      <c r="L69" s="51"/>
      <c r="M69" s="51">
        <v>138</v>
      </c>
      <c r="N69" s="51"/>
      <c r="O69" s="51"/>
      <c r="P69" s="51"/>
      <c r="Q69" s="51"/>
      <c r="R69" s="511"/>
      <c r="S69" s="51"/>
      <c r="T69" s="51"/>
      <c r="U69" s="51"/>
      <c r="V69" s="51"/>
      <c r="W69" s="131">
        <f>IF(NFI_Expiration=1,IF($A69&lt;VLOOKUP(I$5,NFI,5,0),1,0)*Data_NFI_t[[#This Row],[Hygiene Kit]],0)</f>
        <v>0</v>
      </c>
      <c r="X69" s="131">
        <f>IF(NFI_Expiration=1,IF($A69&lt;VLOOKUP(J$5,NFI,5,0),1,0)*Data_NFI_t[[#This Row],[NFI Core Kit]],0)</f>
        <v>0</v>
      </c>
      <c r="Y69" s="112">
        <f>IF(NFI_Expiration=1,IF($A69&lt;VLOOKUP(K$5,NFI,5,0),1,0)*Data_NFI_t[[#This Row],[Sanitary Kit]],0)</f>
        <v>0</v>
      </c>
      <c r="Z69" s="112">
        <f>IF(NFI_Expiration=1,IF($A69&lt;VLOOKUP(L$5,NFI,5,0),1,0)*Data_NFI_t[[#This Row],[Mosquito net]],0)</f>
        <v>0</v>
      </c>
      <c r="AA69" s="112">
        <f>IF(NFI_Expiration=1,IF($A69&lt;VLOOKUP(M$5,NFI,5,0),1,0)*Data_NFI_t[[#This Row],[Tarpaulin]],0)</f>
        <v>0</v>
      </c>
      <c r="AB69" s="112">
        <f>IF(NFI_Expiration=1,IF($A69&lt;VLOOKUP(N$5,NFI,5,0),1,0)*Data_NFI_t[[#This Row],[Blanket]],0)</f>
        <v>0</v>
      </c>
      <c r="AC69" s="112">
        <f>IF(NFI_Expiration=1,IF($A69&lt;VLOOKUP(O$5,NFI,5,0),1,0)*Data_NFI_t[[#This Row],[Kitchen Set]],0)</f>
        <v>0</v>
      </c>
      <c r="AD69" s="112">
        <f>IF(NFI_Expiration=1,IF($A69&lt;VLOOKUP(P$5,NFI,5,0),1,0)*Data_NFI_t[[#This Row],[Complementary Kit]],0)</f>
        <v>0</v>
      </c>
      <c r="AE69" s="112">
        <f>IF(NFI_Expiration=1,IF($A69&lt;VLOOKUP(Q$5,NFI,5,0),1,0)*Data_NFI_t[[#This Row],[Plastic Bucket]],0)</f>
        <v>0</v>
      </c>
      <c r="AF69" s="112">
        <f>IF(NFI_Expiration=1,IF($A69&lt;VLOOKUP(R$5,NFI,5,0),1,0)*Data_NFI_t[[#This Row],[Jerry Can]],0)</f>
        <v>0</v>
      </c>
      <c r="AG69" s="131">
        <f>IF(NFI_Expiration=1,IF($A69&lt;VLOOKUP(S$5,NFI,5,0),1,0)*Data_NFI_t[[#This Row],[Plastic Mat]],0)*IF(Data_NFI_t[[#This Row],[Distribution Date]]&gt;"01-06-2015",1,2.5)</f>
        <v>0</v>
      </c>
      <c r="AH69" s="915">
        <f>IF(NFI_Expiration=1,IF($A69&lt;VLOOKUP(T$5,NFI,5,0),1,0)*Data_NFI_t[[#This Row],[Adult Clothes]],0)</f>
        <v>0</v>
      </c>
      <c r="AI69" s="131">
        <f>IF(NFI_Expiration=1,IF($A69&lt;VLOOKUP(U$5,NFI,5,0),1,0)*Data_NFI_t[[#This Row],[Children Clothes]],0)</f>
        <v>0</v>
      </c>
      <c r="AJ69" s="131">
        <f>IF(NFI_Expiration=1,IF($A69&lt;VLOOKUP(V$5,NFI,5,0),1,0)*Data_NFI_t[[#This Row],[Sewing Kit]],0)</f>
        <v>0</v>
      </c>
      <c r="AK69" s="131" t="str">
        <f ca="1">IFERROR(OFFSET(Camp_List[P_Code],MATCH(Data_NFI_t[[#This Row],[Camp Name]],Camp_List[Camp Name],0)-1,0,1,1),"")</f>
        <v>MMR012CMP029</v>
      </c>
      <c r="AL69" s="513" t="str">
        <f ca="1">IFERROR(OFFSET(Camp_List[Status],MATCH(Data_NFI_t[[#This Row],[Camp Name]],Camp_List[Camp Name],0)-1,0,1,1),"")</f>
        <v>Returned</v>
      </c>
      <c r="AM69" s="131"/>
    </row>
    <row r="70" spans="1:39" s="90" customFormat="1" ht="19.5" customHeight="1" x14ac:dyDescent="0.25">
      <c r="A70" s="242">
        <f>IF(ISBLANK(C70),"",(Report_Date-C70)/30)</f>
        <v>20.5</v>
      </c>
      <c r="B70" s="242">
        <f>YEAR(Data_NFI_t[[#This Row],[Distribution Date]])</f>
        <v>2015</v>
      </c>
      <c r="C70" s="927">
        <v>42180</v>
      </c>
      <c r="D70" s="489" t="s">
        <v>285</v>
      </c>
      <c r="E70" s="488" t="s">
        <v>285</v>
      </c>
      <c r="F70" s="489" t="s">
        <v>7</v>
      </c>
      <c r="G70" s="794" t="s">
        <v>15</v>
      </c>
      <c r="H70" s="794" t="s">
        <v>47</v>
      </c>
      <c r="I70" s="794"/>
      <c r="J70" s="51"/>
      <c r="K70" s="51"/>
      <c r="L70" s="51"/>
      <c r="M70" s="51">
        <v>85</v>
      </c>
      <c r="N70" s="51"/>
      <c r="O70" s="51"/>
      <c r="P70" s="51"/>
      <c r="Q70" s="51"/>
      <c r="R70" s="511"/>
      <c r="S70" s="51"/>
      <c r="T70" s="51"/>
      <c r="U70" s="51"/>
      <c r="V70" s="51"/>
      <c r="W70" s="131">
        <f>IF(NFI_Expiration=1,IF($A70&lt;VLOOKUP(I$5,NFI,5,0),1,0)*Data_NFI_t[[#This Row],[Hygiene Kit]],0)</f>
        <v>0</v>
      </c>
      <c r="X70" s="131">
        <f>IF(NFI_Expiration=1,IF($A70&lt;VLOOKUP(J$5,NFI,5,0),1,0)*Data_NFI_t[[#This Row],[NFI Core Kit]],0)</f>
        <v>0</v>
      </c>
      <c r="Y70" s="112">
        <f>IF(NFI_Expiration=1,IF($A70&lt;VLOOKUP(K$5,NFI,5,0),1,0)*Data_NFI_t[[#This Row],[Sanitary Kit]],0)</f>
        <v>0</v>
      </c>
      <c r="Z70" s="112">
        <f>IF(NFI_Expiration=1,IF($A70&lt;VLOOKUP(L$5,NFI,5,0),1,0)*Data_NFI_t[[#This Row],[Mosquito net]],0)</f>
        <v>0</v>
      </c>
      <c r="AA70" s="112">
        <f>IF(NFI_Expiration=1,IF($A70&lt;VLOOKUP(M$5,NFI,5,0),1,0)*Data_NFI_t[[#This Row],[Tarpaulin]],0)</f>
        <v>0</v>
      </c>
      <c r="AB70" s="112">
        <f>IF(NFI_Expiration=1,IF($A70&lt;VLOOKUP(N$5,NFI,5,0),1,0)*Data_NFI_t[[#This Row],[Blanket]],0)</f>
        <v>0</v>
      </c>
      <c r="AC70" s="112">
        <f>IF(NFI_Expiration=1,IF($A70&lt;VLOOKUP(O$5,NFI,5,0),1,0)*Data_NFI_t[[#This Row],[Kitchen Set]],0)</f>
        <v>0</v>
      </c>
      <c r="AD70" s="112">
        <f>IF(NFI_Expiration=1,IF($A70&lt;VLOOKUP(P$5,NFI,5,0),1,0)*Data_NFI_t[[#This Row],[Complementary Kit]],0)</f>
        <v>0</v>
      </c>
      <c r="AE70" s="112">
        <f>IF(NFI_Expiration=1,IF($A70&lt;VLOOKUP(Q$5,NFI,5,0),1,0)*Data_NFI_t[[#This Row],[Plastic Bucket]],0)</f>
        <v>0</v>
      </c>
      <c r="AF70" s="112">
        <f>IF(NFI_Expiration=1,IF($A70&lt;VLOOKUP(R$5,NFI,5,0),1,0)*Data_NFI_t[[#This Row],[Jerry Can]],0)</f>
        <v>0</v>
      </c>
      <c r="AG70" s="131">
        <f>IF(NFI_Expiration=1,IF($A70&lt;VLOOKUP(S$5,NFI,5,0),1,0)*Data_NFI_t[[#This Row],[Plastic Mat]],0)*IF(Data_NFI_t[[#This Row],[Distribution Date]]&gt;"01-06-2015",1,2.5)</f>
        <v>0</v>
      </c>
      <c r="AH70" s="915">
        <f>IF(NFI_Expiration=1,IF($A70&lt;VLOOKUP(T$5,NFI,5,0),1,0)*Data_NFI_t[[#This Row],[Adult Clothes]],0)</f>
        <v>0</v>
      </c>
      <c r="AI70" s="131">
        <f>IF(NFI_Expiration=1,IF($A70&lt;VLOOKUP(U$5,NFI,5,0),1,0)*Data_NFI_t[[#This Row],[Children Clothes]],0)</f>
        <v>0</v>
      </c>
      <c r="AJ70" s="131">
        <f>IF(NFI_Expiration=1,IF($A70&lt;VLOOKUP(V$5,NFI,5,0),1,0)*Data_NFI_t[[#This Row],[Sewing Kit]],0)</f>
        <v>0</v>
      </c>
      <c r="AK70" s="131" t="str">
        <f ca="1">IFERROR(OFFSET(Camp_List[P_Code],MATCH(Data_NFI_t[[#This Row],[Camp Name]],Camp_List[Camp Name],0)-1,0,1,1),"")</f>
        <v>MMR012CMP023</v>
      </c>
      <c r="AL70" s="513" t="str">
        <f ca="1">IFERROR(OFFSET(Camp_List[Status],MATCH(Data_NFI_t[[#This Row],[Camp Name]],Camp_List[Camp Name],0)-1,0,1,1),"")</f>
        <v>Open</v>
      </c>
      <c r="AM70" s="131"/>
    </row>
    <row r="71" spans="1:39" s="90" customFormat="1" ht="19.5" customHeight="1" x14ac:dyDescent="0.25">
      <c r="A71" s="242">
        <f>IF(ISBLANK(C71),"",(Report_Date-C71)/30)</f>
        <v>20.5</v>
      </c>
      <c r="B71" s="242">
        <f>YEAR(Data_NFI_t[[#This Row],[Distribution Date]])</f>
        <v>2015</v>
      </c>
      <c r="C71" s="927">
        <v>42180</v>
      </c>
      <c r="D71" s="489" t="s">
        <v>285</v>
      </c>
      <c r="E71" s="488" t="s">
        <v>285</v>
      </c>
      <c r="F71" s="489" t="s">
        <v>7</v>
      </c>
      <c r="G71" s="794" t="s">
        <v>15</v>
      </c>
      <c r="H71" s="794" t="s">
        <v>54</v>
      </c>
      <c r="I71" s="794"/>
      <c r="J71" s="51"/>
      <c r="K71" s="51"/>
      <c r="L71" s="51"/>
      <c r="M71" s="51">
        <v>97</v>
      </c>
      <c r="N71" s="51"/>
      <c r="O71" s="51"/>
      <c r="P71" s="51"/>
      <c r="Q71" s="51"/>
      <c r="R71" s="511"/>
      <c r="S71" s="51"/>
      <c r="T71" s="51"/>
      <c r="U71" s="51"/>
      <c r="V71" s="51"/>
      <c r="W71" s="131">
        <f>IF(NFI_Expiration=1,IF($A71&lt;VLOOKUP(I$5,NFI,5,0),1,0)*Data_NFI_t[[#This Row],[Hygiene Kit]],0)</f>
        <v>0</v>
      </c>
      <c r="X71" s="131">
        <f>IF(NFI_Expiration=1,IF($A71&lt;VLOOKUP(J$5,NFI,5,0),1,0)*Data_NFI_t[[#This Row],[NFI Core Kit]],0)</f>
        <v>0</v>
      </c>
      <c r="Y71" s="112">
        <f>IF(NFI_Expiration=1,IF($A71&lt;VLOOKUP(K$5,NFI,5,0),1,0)*Data_NFI_t[[#This Row],[Sanitary Kit]],0)</f>
        <v>0</v>
      </c>
      <c r="Z71" s="112">
        <f>IF(NFI_Expiration=1,IF($A71&lt;VLOOKUP(L$5,NFI,5,0),1,0)*Data_NFI_t[[#This Row],[Mosquito net]],0)</f>
        <v>0</v>
      </c>
      <c r="AA71" s="112">
        <f>IF(NFI_Expiration=1,IF($A71&lt;VLOOKUP(M$5,NFI,5,0),1,0)*Data_NFI_t[[#This Row],[Tarpaulin]],0)</f>
        <v>0</v>
      </c>
      <c r="AB71" s="112">
        <f>IF(NFI_Expiration=1,IF($A71&lt;VLOOKUP(N$5,NFI,5,0),1,0)*Data_NFI_t[[#This Row],[Blanket]],0)</f>
        <v>0</v>
      </c>
      <c r="AC71" s="112">
        <f>IF(NFI_Expiration=1,IF($A71&lt;VLOOKUP(O$5,NFI,5,0),1,0)*Data_NFI_t[[#This Row],[Kitchen Set]],0)</f>
        <v>0</v>
      </c>
      <c r="AD71" s="112">
        <f>IF(NFI_Expiration=1,IF($A71&lt;VLOOKUP(P$5,NFI,5,0),1,0)*Data_NFI_t[[#This Row],[Complementary Kit]],0)</f>
        <v>0</v>
      </c>
      <c r="AE71" s="112">
        <f>IF(NFI_Expiration=1,IF($A71&lt;VLOOKUP(Q$5,NFI,5,0),1,0)*Data_NFI_t[[#This Row],[Plastic Bucket]],0)</f>
        <v>0</v>
      </c>
      <c r="AF71" s="112">
        <f>IF(NFI_Expiration=1,IF($A71&lt;VLOOKUP(R$5,NFI,5,0),1,0)*Data_NFI_t[[#This Row],[Jerry Can]],0)</f>
        <v>0</v>
      </c>
      <c r="AG71" s="131">
        <f>IF(NFI_Expiration=1,IF($A71&lt;VLOOKUP(S$5,NFI,5,0),1,0)*Data_NFI_t[[#This Row],[Plastic Mat]],0)*IF(Data_NFI_t[[#This Row],[Distribution Date]]&gt;"01-06-2015",1,2.5)</f>
        <v>0</v>
      </c>
      <c r="AH71" s="915">
        <f>IF(NFI_Expiration=1,IF($A71&lt;VLOOKUP(T$5,NFI,5,0),1,0)*Data_NFI_t[[#This Row],[Adult Clothes]],0)</f>
        <v>0</v>
      </c>
      <c r="AI71" s="131">
        <f>IF(NFI_Expiration=1,IF($A71&lt;VLOOKUP(U$5,NFI,5,0),1,0)*Data_NFI_t[[#This Row],[Children Clothes]],0)</f>
        <v>0</v>
      </c>
      <c r="AJ71" s="131">
        <f>IF(NFI_Expiration=1,IF($A71&lt;VLOOKUP(V$5,NFI,5,0),1,0)*Data_NFI_t[[#This Row],[Sewing Kit]],0)</f>
        <v>0</v>
      </c>
      <c r="AK71" s="131" t="str">
        <f ca="1">IFERROR(OFFSET(Camp_List[P_Code],MATCH(Data_NFI_t[[#This Row],[Camp Name]],Camp_List[Camp Name],0)-1,0,1,1),"")</f>
        <v>MMR012CMP030</v>
      </c>
      <c r="AL71" s="513" t="str">
        <f ca="1">IFERROR(OFFSET(Camp_List[Status],MATCH(Data_NFI_t[[#This Row],[Camp Name]],Camp_List[Camp Name],0)-1,0,1,1),"")</f>
        <v>Relocated</v>
      </c>
      <c r="AM71" s="131"/>
    </row>
    <row r="72" spans="1:39" s="90" customFormat="1" ht="19.5" customHeight="1" x14ac:dyDescent="0.25">
      <c r="A72" s="242">
        <f>IF(ISBLANK(C72),"",(Report_Date-C72)/30)</f>
        <v>20.533333333333335</v>
      </c>
      <c r="B72" s="242">
        <f>YEAR(Data_NFI_t[[#This Row],[Distribution Date]])</f>
        <v>2015</v>
      </c>
      <c r="C72" s="927">
        <v>42179</v>
      </c>
      <c r="D72" s="489" t="s">
        <v>285</v>
      </c>
      <c r="E72" s="488" t="s">
        <v>285</v>
      </c>
      <c r="F72" s="489" t="s">
        <v>7</v>
      </c>
      <c r="G72" s="794" t="s">
        <v>15</v>
      </c>
      <c r="H72" s="794" t="s">
        <v>50</v>
      </c>
      <c r="I72" s="794"/>
      <c r="J72" s="51"/>
      <c r="K72" s="51"/>
      <c r="L72" s="51"/>
      <c r="M72" s="51">
        <v>236</v>
      </c>
      <c r="N72" s="51"/>
      <c r="O72" s="51"/>
      <c r="P72" s="51"/>
      <c r="Q72" s="51"/>
      <c r="R72" s="511"/>
      <c r="S72" s="51"/>
      <c r="T72" s="51"/>
      <c r="U72" s="51"/>
      <c r="V72" s="51"/>
      <c r="W72" s="131">
        <f>IF(NFI_Expiration=1,IF($A72&lt;VLOOKUP(I$5,NFI,5,0),1,0)*Data_NFI_t[[#This Row],[Hygiene Kit]],0)</f>
        <v>0</v>
      </c>
      <c r="X72" s="131">
        <f>IF(NFI_Expiration=1,IF($A72&lt;VLOOKUP(J$5,NFI,5,0),1,0)*Data_NFI_t[[#This Row],[NFI Core Kit]],0)</f>
        <v>0</v>
      </c>
      <c r="Y72" s="112">
        <f>IF(NFI_Expiration=1,IF($A72&lt;VLOOKUP(K$5,NFI,5,0),1,0)*Data_NFI_t[[#This Row],[Sanitary Kit]],0)</f>
        <v>0</v>
      </c>
      <c r="Z72" s="112">
        <f>IF(NFI_Expiration=1,IF($A72&lt;VLOOKUP(L$5,NFI,5,0),1,0)*Data_NFI_t[[#This Row],[Mosquito net]],0)</f>
        <v>0</v>
      </c>
      <c r="AA72" s="112">
        <f>IF(NFI_Expiration=1,IF($A72&lt;VLOOKUP(M$5,NFI,5,0),1,0)*Data_NFI_t[[#This Row],[Tarpaulin]],0)</f>
        <v>0</v>
      </c>
      <c r="AB72" s="112">
        <f>IF(NFI_Expiration=1,IF($A72&lt;VLOOKUP(N$5,NFI,5,0),1,0)*Data_NFI_t[[#This Row],[Blanket]],0)</f>
        <v>0</v>
      </c>
      <c r="AC72" s="112">
        <f>IF(NFI_Expiration=1,IF($A72&lt;VLOOKUP(O$5,NFI,5,0),1,0)*Data_NFI_t[[#This Row],[Kitchen Set]],0)</f>
        <v>0</v>
      </c>
      <c r="AD72" s="112">
        <f>IF(NFI_Expiration=1,IF($A72&lt;VLOOKUP(P$5,NFI,5,0),1,0)*Data_NFI_t[[#This Row],[Complementary Kit]],0)</f>
        <v>0</v>
      </c>
      <c r="AE72" s="112">
        <f>IF(NFI_Expiration=1,IF($A72&lt;VLOOKUP(Q$5,NFI,5,0),1,0)*Data_NFI_t[[#This Row],[Plastic Bucket]],0)</f>
        <v>0</v>
      </c>
      <c r="AF72" s="112">
        <f>IF(NFI_Expiration=1,IF($A72&lt;VLOOKUP(R$5,NFI,5,0),1,0)*Data_NFI_t[[#This Row],[Jerry Can]],0)</f>
        <v>0</v>
      </c>
      <c r="AG72" s="131">
        <f>IF(NFI_Expiration=1,IF($A72&lt;VLOOKUP(S$5,NFI,5,0),1,0)*Data_NFI_t[[#This Row],[Plastic Mat]],0)*IF(Data_NFI_t[[#This Row],[Distribution Date]]&gt;"01-06-2015",1,2.5)</f>
        <v>0</v>
      </c>
      <c r="AH72" s="915">
        <f>IF(NFI_Expiration=1,IF($A72&lt;VLOOKUP(T$5,NFI,5,0),1,0)*Data_NFI_t[[#This Row],[Adult Clothes]],0)</f>
        <v>0</v>
      </c>
      <c r="AI72" s="131">
        <f>IF(NFI_Expiration=1,IF($A72&lt;VLOOKUP(U$5,NFI,5,0),1,0)*Data_NFI_t[[#This Row],[Children Clothes]],0)</f>
        <v>0</v>
      </c>
      <c r="AJ72" s="131">
        <f>IF(NFI_Expiration=1,IF($A72&lt;VLOOKUP(V$5,NFI,5,0),1,0)*Data_NFI_t[[#This Row],[Sewing Kit]],0)</f>
        <v>0</v>
      </c>
      <c r="AK72" s="131" t="str">
        <f ca="1">IFERROR(OFFSET(Camp_List[P_Code],MATCH(Data_NFI_t[[#This Row],[Camp Name]],Camp_List[Camp Name],0)-1,0,1,1),"")</f>
        <v>MMR012CMP026</v>
      </c>
      <c r="AL72" s="513" t="str">
        <f ca="1">IFERROR(OFFSET(Camp_List[Status],MATCH(Data_NFI_t[[#This Row],[Camp Name]],Camp_List[Camp Name],0)-1,0,1,1),"")</f>
        <v>Returned</v>
      </c>
      <c r="AM72" s="131"/>
    </row>
    <row r="73" spans="1:39" s="90" customFormat="1" ht="19.5" customHeight="1" x14ac:dyDescent="0.25">
      <c r="A73" s="242">
        <f>IF(ISBLANK(C73),"",(Report_Date-C73)/30)</f>
        <v>20.533333333333335</v>
      </c>
      <c r="B73" s="242">
        <f>YEAR(Data_NFI_t[[#This Row],[Distribution Date]])</f>
        <v>2015</v>
      </c>
      <c r="C73" s="927">
        <v>42179</v>
      </c>
      <c r="D73" s="489" t="s">
        <v>285</v>
      </c>
      <c r="E73" s="488" t="s">
        <v>285</v>
      </c>
      <c r="F73" s="489" t="s">
        <v>7</v>
      </c>
      <c r="G73" s="794" t="s">
        <v>15</v>
      </c>
      <c r="H73" s="794" t="s">
        <v>48</v>
      </c>
      <c r="I73" s="794"/>
      <c r="J73" s="51"/>
      <c r="K73" s="51"/>
      <c r="L73" s="51"/>
      <c r="M73" s="51">
        <v>92</v>
      </c>
      <c r="N73" s="51"/>
      <c r="O73" s="51"/>
      <c r="P73" s="51"/>
      <c r="Q73" s="51"/>
      <c r="R73" s="511"/>
      <c r="S73" s="51"/>
      <c r="T73" s="51"/>
      <c r="U73" s="51"/>
      <c r="V73" s="51"/>
      <c r="W73" s="131">
        <f>IF(NFI_Expiration=1,IF($A73&lt;VLOOKUP(I$5,NFI,5,0),1,0)*Data_NFI_t[[#This Row],[Hygiene Kit]],0)</f>
        <v>0</v>
      </c>
      <c r="X73" s="131">
        <f>IF(NFI_Expiration=1,IF($A73&lt;VLOOKUP(J$5,NFI,5,0),1,0)*Data_NFI_t[[#This Row],[NFI Core Kit]],0)</f>
        <v>0</v>
      </c>
      <c r="Y73" s="112">
        <f>IF(NFI_Expiration=1,IF($A73&lt;VLOOKUP(K$5,NFI,5,0),1,0)*Data_NFI_t[[#This Row],[Sanitary Kit]],0)</f>
        <v>0</v>
      </c>
      <c r="Z73" s="112">
        <f>IF(NFI_Expiration=1,IF($A73&lt;VLOOKUP(L$5,NFI,5,0),1,0)*Data_NFI_t[[#This Row],[Mosquito net]],0)</f>
        <v>0</v>
      </c>
      <c r="AA73" s="112">
        <f>IF(NFI_Expiration=1,IF($A73&lt;VLOOKUP(M$5,NFI,5,0),1,0)*Data_NFI_t[[#This Row],[Tarpaulin]],0)</f>
        <v>0</v>
      </c>
      <c r="AB73" s="112">
        <f>IF(NFI_Expiration=1,IF($A73&lt;VLOOKUP(N$5,NFI,5,0),1,0)*Data_NFI_t[[#This Row],[Blanket]],0)</f>
        <v>0</v>
      </c>
      <c r="AC73" s="112">
        <f>IF(NFI_Expiration=1,IF($A73&lt;VLOOKUP(O$5,NFI,5,0),1,0)*Data_NFI_t[[#This Row],[Kitchen Set]],0)</f>
        <v>0</v>
      </c>
      <c r="AD73" s="112">
        <f>IF(NFI_Expiration=1,IF($A73&lt;VLOOKUP(P$5,NFI,5,0),1,0)*Data_NFI_t[[#This Row],[Complementary Kit]],0)</f>
        <v>0</v>
      </c>
      <c r="AE73" s="112">
        <f>IF(NFI_Expiration=1,IF($A73&lt;VLOOKUP(Q$5,NFI,5,0),1,0)*Data_NFI_t[[#This Row],[Plastic Bucket]],0)</f>
        <v>0</v>
      </c>
      <c r="AF73" s="112">
        <f>IF(NFI_Expiration=1,IF($A73&lt;VLOOKUP(R$5,NFI,5,0),1,0)*Data_NFI_t[[#This Row],[Jerry Can]],0)</f>
        <v>0</v>
      </c>
      <c r="AG73" s="131">
        <f>IF(NFI_Expiration=1,IF($A73&lt;VLOOKUP(S$5,NFI,5,0),1,0)*Data_NFI_t[[#This Row],[Plastic Mat]],0)*IF(Data_NFI_t[[#This Row],[Distribution Date]]&gt;"01-06-2015",1,2.5)</f>
        <v>0</v>
      </c>
      <c r="AH73" s="915">
        <f>IF(NFI_Expiration=1,IF($A73&lt;VLOOKUP(T$5,NFI,5,0),1,0)*Data_NFI_t[[#This Row],[Adult Clothes]],0)</f>
        <v>0</v>
      </c>
      <c r="AI73" s="131">
        <f>IF(NFI_Expiration=1,IF($A73&lt;VLOOKUP(U$5,NFI,5,0),1,0)*Data_NFI_t[[#This Row],[Children Clothes]],0)</f>
        <v>0</v>
      </c>
      <c r="AJ73" s="131">
        <f>IF(NFI_Expiration=1,IF($A73&lt;VLOOKUP(V$5,NFI,5,0),1,0)*Data_NFI_t[[#This Row],[Sewing Kit]],0)</f>
        <v>0</v>
      </c>
      <c r="AK73" s="131" t="str">
        <f ca="1">IFERROR(OFFSET(Camp_List[P_Code],MATCH(Data_NFI_t[[#This Row],[Camp Name]],Camp_List[Camp Name],0)-1,0,1,1),"")</f>
        <v>MMR012CMP024</v>
      </c>
      <c r="AL73" s="513" t="str">
        <f ca="1">IFERROR(OFFSET(Camp_List[Status],MATCH(Data_NFI_t[[#This Row],[Camp Name]],Camp_List[Camp Name],0)-1,0,1,1),"")</f>
        <v>Returned</v>
      </c>
      <c r="AM73" s="131"/>
    </row>
    <row r="74" spans="1:39" s="90" customFormat="1" ht="19.5" customHeight="1" x14ac:dyDescent="0.25">
      <c r="A74" s="242">
        <f>IF(ISBLANK(C74),"",(Report_Date-C74)/30)</f>
        <v>20.533333333333335</v>
      </c>
      <c r="B74" s="242">
        <f>YEAR(Data_NFI_t[[#This Row],[Distribution Date]])</f>
        <v>2015</v>
      </c>
      <c r="C74" s="927">
        <v>42179</v>
      </c>
      <c r="D74" s="489" t="s">
        <v>285</v>
      </c>
      <c r="E74" s="488" t="s">
        <v>285</v>
      </c>
      <c r="F74" s="489" t="s">
        <v>7</v>
      </c>
      <c r="G74" s="794" t="s">
        <v>15</v>
      </c>
      <c r="H74" s="794" t="s">
        <v>51</v>
      </c>
      <c r="I74" s="794"/>
      <c r="J74" s="51"/>
      <c r="K74" s="51"/>
      <c r="L74" s="51"/>
      <c r="M74" s="51">
        <v>116</v>
      </c>
      <c r="N74" s="51"/>
      <c r="O74" s="51"/>
      <c r="P74" s="51"/>
      <c r="Q74" s="51"/>
      <c r="R74" s="511"/>
      <c r="S74" s="51"/>
      <c r="T74" s="51"/>
      <c r="U74" s="51"/>
      <c r="V74" s="51"/>
      <c r="W74" s="131">
        <f>IF(NFI_Expiration=1,IF($A74&lt;VLOOKUP(I$5,NFI,5,0),1,0)*Data_NFI_t[[#This Row],[Hygiene Kit]],0)</f>
        <v>0</v>
      </c>
      <c r="X74" s="131">
        <f>IF(NFI_Expiration=1,IF($A74&lt;VLOOKUP(J$5,NFI,5,0),1,0)*Data_NFI_t[[#This Row],[NFI Core Kit]],0)</f>
        <v>0</v>
      </c>
      <c r="Y74" s="112">
        <f>IF(NFI_Expiration=1,IF($A74&lt;VLOOKUP(K$5,NFI,5,0),1,0)*Data_NFI_t[[#This Row],[Sanitary Kit]],0)</f>
        <v>0</v>
      </c>
      <c r="Z74" s="112">
        <f>IF(NFI_Expiration=1,IF($A74&lt;VLOOKUP(L$5,NFI,5,0),1,0)*Data_NFI_t[[#This Row],[Mosquito net]],0)</f>
        <v>0</v>
      </c>
      <c r="AA74" s="112">
        <f>IF(NFI_Expiration=1,IF($A74&lt;VLOOKUP(M$5,NFI,5,0),1,0)*Data_NFI_t[[#This Row],[Tarpaulin]],0)</f>
        <v>0</v>
      </c>
      <c r="AB74" s="112">
        <f>IF(NFI_Expiration=1,IF($A74&lt;VLOOKUP(N$5,NFI,5,0),1,0)*Data_NFI_t[[#This Row],[Blanket]],0)</f>
        <v>0</v>
      </c>
      <c r="AC74" s="112">
        <f>IF(NFI_Expiration=1,IF($A74&lt;VLOOKUP(O$5,NFI,5,0),1,0)*Data_NFI_t[[#This Row],[Kitchen Set]],0)</f>
        <v>0</v>
      </c>
      <c r="AD74" s="112">
        <f>IF(NFI_Expiration=1,IF($A74&lt;VLOOKUP(P$5,NFI,5,0),1,0)*Data_NFI_t[[#This Row],[Complementary Kit]],0)</f>
        <v>0</v>
      </c>
      <c r="AE74" s="112">
        <f>IF(NFI_Expiration=1,IF($A74&lt;VLOOKUP(Q$5,NFI,5,0),1,0)*Data_NFI_t[[#This Row],[Plastic Bucket]],0)</f>
        <v>0</v>
      </c>
      <c r="AF74" s="112">
        <f>IF(NFI_Expiration=1,IF($A74&lt;VLOOKUP(R$5,NFI,5,0),1,0)*Data_NFI_t[[#This Row],[Jerry Can]],0)</f>
        <v>0</v>
      </c>
      <c r="AG74" s="131">
        <f>IF(NFI_Expiration=1,IF($A74&lt;VLOOKUP(S$5,NFI,5,0),1,0)*Data_NFI_t[[#This Row],[Plastic Mat]],0)*IF(Data_NFI_t[[#This Row],[Distribution Date]]&gt;"01-06-2015",1,2.5)</f>
        <v>0</v>
      </c>
      <c r="AH74" s="915">
        <f>IF(NFI_Expiration=1,IF($A74&lt;VLOOKUP(T$5,NFI,5,0),1,0)*Data_NFI_t[[#This Row],[Adult Clothes]],0)</f>
        <v>0</v>
      </c>
      <c r="AI74" s="131">
        <f>IF(NFI_Expiration=1,IF($A74&lt;VLOOKUP(U$5,NFI,5,0),1,0)*Data_NFI_t[[#This Row],[Children Clothes]],0)</f>
        <v>0</v>
      </c>
      <c r="AJ74" s="131">
        <f>IF(NFI_Expiration=1,IF($A74&lt;VLOOKUP(V$5,NFI,5,0),1,0)*Data_NFI_t[[#This Row],[Sewing Kit]],0)</f>
        <v>0</v>
      </c>
      <c r="AK74" s="131" t="str">
        <f ca="1">IFERROR(OFFSET(Camp_List[P_Code],MATCH(Data_NFI_t[[#This Row],[Camp Name]],Camp_List[Camp Name],0)-1,0,1,1),"")</f>
        <v>MMR012CMP027</v>
      </c>
      <c r="AL74" s="513" t="str">
        <f ca="1">IFERROR(OFFSET(Camp_List[Status],MATCH(Data_NFI_t[[#This Row],[Camp Name]],Camp_List[Camp Name],0)-1,0,1,1),"")</f>
        <v>Returned</v>
      </c>
      <c r="AM74" s="131"/>
    </row>
    <row r="75" spans="1:39" s="90" customFormat="1" ht="19.5" customHeight="1" x14ac:dyDescent="0.25">
      <c r="A75" s="242">
        <f>IF(ISBLANK(C75),"",(Report_Date-C75)/30)</f>
        <v>20.566666666666666</v>
      </c>
      <c r="B75" s="242">
        <f>YEAR(Data_NFI_t[[#This Row],[Distribution Date]])</f>
        <v>2015</v>
      </c>
      <c r="C75" s="927">
        <v>42178</v>
      </c>
      <c r="D75" s="489" t="s">
        <v>285</v>
      </c>
      <c r="E75" s="488" t="s">
        <v>285</v>
      </c>
      <c r="F75" s="489" t="s">
        <v>7</v>
      </c>
      <c r="G75" s="794" t="s">
        <v>11</v>
      </c>
      <c r="H75" s="794" t="s">
        <v>26</v>
      </c>
      <c r="I75" s="794"/>
      <c r="J75" s="51"/>
      <c r="K75" s="51"/>
      <c r="L75" s="51"/>
      <c r="M75" s="51">
        <v>16</v>
      </c>
      <c r="N75" s="51"/>
      <c r="O75" s="51"/>
      <c r="P75" s="51"/>
      <c r="Q75" s="51"/>
      <c r="R75" s="511"/>
      <c r="S75" s="51"/>
      <c r="T75" s="51"/>
      <c r="U75" s="51"/>
      <c r="V75" s="51"/>
      <c r="W75" s="131">
        <f>IF(NFI_Expiration=1,IF($A75&lt;VLOOKUP(I$5,NFI,5,0),1,0)*Data_NFI_t[[#This Row],[Hygiene Kit]],0)</f>
        <v>0</v>
      </c>
      <c r="X75" s="131">
        <f>IF(NFI_Expiration=1,IF($A75&lt;VLOOKUP(J$5,NFI,5,0),1,0)*Data_NFI_t[[#This Row],[NFI Core Kit]],0)</f>
        <v>0</v>
      </c>
      <c r="Y75" s="112">
        <f>IF(NFI_Expiration=1,IF($A75&lt;VLOOKUP(K$5,NFI,5,0),1,0)*Data_NFI_t[[#This Row],[Sanitary Kit]],0)</f>
        <v>0</v>
      </c>
      <c r="Z75" s="112">
        <f>IF(NFI_Expiration=1,IF($A75&lt;VLOOKUP(L$5,NFI,5,0),1,0)*Data_NFI_t[[#This Row],[Mosquito net]],0)</f>
        <v>0</v>
      </c>
      <c r="AA75" s="112">
        <f>IF(NFI_Expiration=1,IF($A75&lt;VLOOKUP(M$5,NFI,5,0),1,0)*Data_NFI_t[[#This Row],[Tarpaulin]],0)</f>
        <v>0</v>
      </c>
      <c r="AB75" s="112">
        <f>IF(NFI_Expiration=1,IF($A75&lt;VLOOKUP(N$5,NFI,5,0),1,0)*Data_NFI_t[[#This Row],[Blanket]],0)</f>
        <v>0</v>
      </c>
      <c r="AC75" s="112">
        <f>IF(NFI_Expiration=1,IF($A75&lt;VLOOKUP(O$5,NFI,5,0),1,0)*Data_NFI_t[[#This Row],[Kitchen Set]],0)</f>
        <v>0</v>
      </c>
      <c r="AD75" s="112">
        <f>IF(NFI_Expiration=1,IF($A75&lt;VLOOKUP(P$5,NFI,5,0),1,0)*Data_NFI_t[[#This Row],[Complementary Kit]],0)</f>
        <v>0</v>
      </c>
      <c r="AE75" s="112">
        <f>IF(NFI_Expiration=1,IF($A75&lt;VLOOKUP(Q$5,NFI,5,0),1,0)*Data_NFI_t[[#This Row],[Plastic Bucket]],0)</f>
        <v>0</v>
      </c>
      <c r="AF75" s="112">
        <f>IF(NFI_Expiration=1,IF($A75&lt;VLOOKUP(R$5,NFI,5,0),1,0)*Data_NFI_t[[#This Row],[Jerry Can]],0)</f>
        <v>0</v>
      </c>
      <c r="AG75" s="131">
        <f>IF(NFI_Expiration=1,IF($A75&lt;VLOOKUP(S$5,NFI,5,0),1,0)*Data_NFI_t[[#This Row],[Plastic Mat]],0)*IF(Data_NFI_t[[#This Row],[Distribution Date]]&gt;"01-06-2015",1,2.5)</f>
        <v>0</v>
      </c>
      <c r="AH75" s="915">
        <f>IF(NFI_Expiration=1,IF($A75&lt;VLOOKUP(T$5,NFI,5,0),1,0)*Data_NFI_t[[#This Row],[Adult Clothes]],0)</f>
        <v>0</v>
      </c>
      <c r="AI75" s="131">
        <f>IF(NFI_Expiration=1,IF($A75&lt;VLOOKUP(U$5,NFI,5,0),1,0)*Data_NFI_t[[#This Row],[Children Clothes]],0)</f>
        <v>0</v>
      </c>
      <c r="AJ75" s="131">
        <f>IF(NFI_Expiration=1,IF($A75&lt;VLOOKUP(V$5,NFI,5,0),1,0)*Data_NFI_t[[#This Row],[Sewing Kit]],0)</f>
        <v>0</v>
      </c>
      <c r="AK75" s="131" t="str">
        <f ca="1">IFERROR(OFFSET(Camp_List[P_Code],MATCH(Data_NFI_t[[#This Row],[Camp Name]],Camp_List[Camp Name],0)-1,0,1,1),"")</f>
        <v>MMR012CMP002</v>
      </c>
      <c r="AL75" s="513" t="str">
        <f ca="1">IFERROR(OFFSET(Camp_List[Status],MATCH(Data_NFI_t[[#This Row],[Camp Name]],Camp_List[Camp Name],0)-1,0,1,1),"")</f>
        <v>Returned</v>
      </c>
      <c r="AM75" s="131"/>
    </row>
    <row r="76" spans="1:39" s="90" customFormat="1" ht="19.5" customHeight="1" x14ac:dyDescent="0.25">
      <c r="A76" s="242">
        <f>IF(ISBLANK(C76),"",(Report_Date-C76)/30)</f>
        <v>20.833333333333332</v>
      </c>
      <c r="B76" s="242">
        <v>2015</v>
      </c>
      <c r="C76" s="927">
        <v>42170</v>
      </c>
      <c r="D76" s="489" t="s">
        <v>285</v>
      </c>
      <c r="E76" s="488" t="s">
        <v>940</v>
      </c>
      <c r="F76" s="489" t="s">
        <v>7</v>
      </c>
      <c r="G76" s="794" t="s">
        <v>16</v>
      </c>
      <c r="H76" s="794" t="s">
        <v>400</v>
      </c>
      <c r="I76" s="794">
        <v>0</v>
      </c>
      <c r="J76" s="51">
        <v>0</v>
      </c>
      <c r="K76" s="51">
        <v>0</v>
      </c>
      <c r="L76" s="51">
        <v>0</v>
      </c>
      <c r="M76" s="51">
        <v>10</v>
      </c>
      <c r="N76" s="51">
        <v>0</v>
      </c>
      <c r="O76" s="51">
        <v>0</v>
      </c>
      <c r="P76" s="51">
        <v>0</v>
      </c>
      <c r="Q76" s="51">
        <v>0</v>
      </c>
      <c r="R76" s="511">
        <v>0</v>
      </c>
      <c r="S76" s="51">
        <v>0</v>
      </c>
      <c r="T76" s="51"/>
      <c r="U76" s="51"/>
      <c r="V76" s="51"/>
      <c r="W76" s="131">
        <f>IF(NFI_Expiration=1,IF($A76&lt;VLOOKUP(I$5,NFI,5,0),1,0)*Data_NFI_t[[#This Row],[Hygiene Kit]],0)</f>
        <v>0</v>
      </c>
      <c r="X76" s="131">
        <f>IF(NFI_Expiration=1,IF($A76&lt;VLOOKUP(J$5,NFI,5,0),1,0)*Data_NFI_t[[#This Row],[NFI Core Kit]],0)</f>
        <v>0</v>
      </c>
      <c r="Y76" s="112">
        <f>IF(NFI_Expiration=1,IF($A76&lt;VLOOKUP(K$5,NFI,5,0),1,0)*Data_NFI_t[[#This Row],[Sanitary Kit]],0)</f>
        <v>0</v>
      </c>
      <c r="Z76" s="112">
        <f>IF(NFI_Expiration=1,IF($A76&lt;VLOOKUP(L$5,NFI,5,0),1,0)*Data_NFI_t[[#This Row],[Mosquito net]],0)</f>
        <v>0</v>
      </c>
      <c r="AA76" s="112">
        <f>IF(NFI_Expiration=1,IF($A76&lt;VLOOKUP(M$5,NFI,5,0),1,0)*Data_NFI_t[[#This Row],[Tarpaulin]],0)</f>
        <v>0</v>
      </c>
      <c r="AB76" s="112">
        <f>IF(NFI_Expiration=1,IF($A76&lt;VLOOKUP(N$5,NFI,5,0),1,0)*Data_NFI_t[[#This Row],[Blanket]],0)</f>
        <v>0</v>
      </c>
      <c r="AC76" s="112">
        <f>IF(NFI_Expiration=1,IF($A76&lt;VLOOKUP(O$5,NFI,5,0),1,0)*Data_NFI_t[[#This Row],[Kitchen Set]],0)</f>
        <v>0</v>
      </c>
      <c r="AD76" s="112">
        <f>IF(NFI_Expiration=1,IF($A76&lt;VLOOKUP(P$5,NFI,5,0),1,0)*Data_NFI_t[[#This Row],[Complementary Kit]],0)</f>
        <v>0</v>
      </c>
      <c r="AE76" s="112">
        <f>IF(NFI_Expiration=1,IF($A76&lt;VLOOKUP(Q$5,NFI,5,0),1,0)*Data_NFI_t[[#This Row],[Plastic Bucket]],0)</f>
        <v>0</v>
      </c>
      <c r="AF76" s="112">
        <f>IF(NFI_Expiration=1,IF($A76&lt;VLOOKUP(R$5,NFI,5,0),1,0)*Data_NFI_t[[#This Row],[Jerry Can]],0)</f>
        <v>0</v>
      </c>
      <c r="AG76" s="131">
        <f>IF(NFI_Expiration=1,IF($A76&lt;VLOOKUP(S$5,NFI,5,0),1,0)*Data_NFI_t[[#This Row],[Plastic Mat]],0)*IF(Data_NFI_t[[#This Row],[Distribution Date]]&gt;"01-06-2015",1,2.5)</f>
        <v>0</v>
      </c>
      <c r="AH76" s="915">
        <f>IF(NFI_Expiration=1,IF($A76&lt;VLOOKUP(T$5,NFI,5,0),1,0)*Data_NFI_t[[#This Row],[Adult Clothes]],0)</f>
        <v>0</v>
      </c>
      <c r="AI76" s="131">
        <f>IF(NFI_Expiration=1,IF($A76&lt;VLOOKUP(U$5,NFI,5,0),1,0)*Data_NFI_t[[#This Row],[Children Clothes]],0)</f>
        <v>0</v>
      </c>
      <c r="AJ76" s="131">
        <f>IF(NFI_Expiration=1,IF($A76&lt;VLOOKUP(V$5,NFI,5,0),1,0)*Data_NFI_t[[#This Row],[Sewing Kit]],0)</f>
        <v>0</v>
      </c>
      <c r="AK76" s="131" t="str">
        <f ca="1">IFERROR(OFFSET(Camp_List[P_Code],MATCH(Data_NFI_t[[#This Row],[Camp Name]],Camp_List[Camp Name],0)-1,0,1,1),"")</f>
        <v>MMR012CMP110</v>
      </c>
      <c r="AL76" s="513" t="str">
        <f ca="1">IFERROR(OFFSET(Camp_List[Status],MATCH(Data_NFI_t[[#This Row],[Camp Name]],Camp_List[Camp Name],0)-1,0,1,1),"")</f>
        <v>Open</v>
      </c>
      <c r="AM76" s="131"/>
    </row>
    <row r="77" spans="1:39" s="90" customFormat="1" ht="19.5" customHeight="1" x14ac:dyDescent="0.25">
      <c r="A77" s="242">
        <f>IF(ISBLANK(C77),"",(Report_Date-C77)/30)</f>
        <v>20.833333333333332</v>
      </c>
      <c r="B77" s="242">
        <v>2015</v>
      </c>
      <c r="C77" s="927">
        <v>42170</v>
      </c>
      <c r="D77" s="489" t="s">
        <v>285</v>
      </c>
      <c r="E77" s="488" t="s">
        <v>940</v>
      </c>
      <c r="F77" s="489" t="s">
        <v>7</v>
      </c>
      <c r="G77" s="794" t="s">
        <v>16</v>
      </c>
      <c r="H77" s="794" t="s">
        <v>605</v>
      </c>
      <c r="I77" s="794">
        <v>0</v>
      </c>
      <c r="J77" s="51">
        <v>0</v>
      </c>
      <c r="K77" s="51">
        <v>0</v>
      </c>
      <c r="L77" s="51">
        <v>0</v>
      </c>
      <c r="M77" s="51">
        <v>20</v>
      </c>
      <c r="N77" s="51">
        <v>0</v>
      </c>
      <c r="O77" s="51">
        <v>0</v>
      </c>
      <c r="P77" s="51">
        <v>0</v>
      </c>
      <c r="Q77" s="51">
        <v>0</v>
      </c>
      <c r="R77" s="511">
        <v>0</v>
      </c>
      <c r="S77" s="51">
        <v>0</v>
      </c>
      <c r="T77" s="51"/>
      <c r="U77" s="51"/>
      <c r="V77" s="51"/>
      <c r="W77" s="131">
        <f>IF(NFI_Expiration=1,IF($A77&lt;VLOOKUP(I$5,NFI,5,0),1,0)*Data_NFI_t[[#This Row],[Hygiene Kit]],0)</f>
        <v>0</v>
      </c>
      <c r="X77" s="131">
        <f>IF(NFI_Expiration=1,IF($A77&lt;VLOOKUP(J$5,NFI,5,0),1,0)*Data_NFI_t[[#This Row],[NFI Core Kit]],0)</f>
        <v>0</v>
      </c>
      <c r="Y77" s="112">
        <f>IF(NFI_Expiration=1,IF($A77&lt;VLOOKUP(K$5,NFI,5,0),1,0)*Data_NFI_t[[#This Row],[Sanitary Kit]],0)</f>
        <v>0</v>
      </c>
      <c r="Z77" s="112">
        <f>IF(NFI_Expiration=1,IF($A77&lt;VLOOKUP(L$5,NFI,5,0),1,0)*Data_NFI_t[[#This Row],[Mosquito net]],0)</f>
        <v>0</v>
      </c>
      <c r="AA77" s="112">
        <f>IF(NFI_Expiration=1,IF($A77&lt;VLOOKUP(M$5,NFI,5,0),1,0)*Data_NFI_t[[#This Row],[Tarpaulin]],0)</f>
        <v>0</v>
      </c>
      <c r="AB77" s="112">
        <f>IF(NFI_Expiration=1,IF($A77&lt;VLOOKUP(N$5,NFI,5,0),1,0)*Data_NFI_t[[#This Row],[Blanket]],0)</f>
        <v>0</v>
      </c>
      <c r="AC77" s="112">
        <f>IF(NFI_Expiration=1,IF($A77&lt;VLOOKUP(O$5,NFI,5,0),1,0)*Data_NFI_t[[#This Row],[Kitchen Set]],0)</f>
        <v>0</v>
      </c>
      <c r="AD77" s="112">
        <f>IF(NFI_Expiration=1,IF($A77&lt;VLOOKUP(P$5,NFI,5,0),1,0)*Data_NFI_t[[#This Row],[Complementary Kit]],0)</f>
        <v>0</v>
      </c>
      <c r="AE77" s="112">
        <f>IF(NFI_Expiration=1,IF($A77&lt;VLOOKUP(Q$5,NFI,5,0),1,0)*Data_NFI_t[[#This Row],[Plastic Bucket]],0)</f>
        <v>0</v>
      </c>
      <c r="AF77" s="112">
        <f>IF(NFI_Expiration=1,IF($A77&lt;VLOOKUP(R$5,NFI,5,0),1,0)*Data_NFI_t[[#This Row],[Jerry Can]],0)</f>
        <v>0</v>
      </c>
      <c r="AG77" s="131">
        <f>IF(NFI_Expiration=1,IF($A77&lt;VLOOKUP(S$5,NFI,5,0),1,0)*Data_NFI_t[[#This Row],[Plastic Mat]],0)*IF(Data_NFI_t[[#This Row],[Distribution Date]]&gt;"01-06-2015",1,2.5)</f>
        <v>0</v>
      </c>
      <c r="AH77" s="915">
        <f>IF(NFI_Expiration=1,IF($A77&lt;VLOOKUP(T$5,NFI,5,0),1,0)*Data_NFI_t[[#This Row],[Adult Clothes]],0)</f>
        <v>0</v>
      </c>
      <c r="AI77" s="131">
        <f>IF(NFI_Expiration=1,IF($A77&lt;VLOOKUP(U$5,NFI,5,0),1,0)*Data_NFI_t[[#This Row],[Children Clothes]],0)</f>
        <v>0</v>
      </c>
      <c r="AJ77" s="131">
        <f>IF(NFI_Expiration=1,IF($A77&lt;VLOOKUP(V$5,NFI,5,0),1,0)*Data_NFI_t[[#This Row],[Sewing Kit]],0)</f>
        <v>0</v>
      </c>
      <c r="AK77" s="131" t="str">
        <f ca="1">IFERROR(OFFSET(Camp_List[P_Code],MATCH(Data_NFI_t[[#This Row],[Camp Name]],Camp_List[Camp Name],0)-1,0,1,1),"")</f>
        <v>MMR012CMP033</v>
      </c>
      <c r="AL77" s="513" t="str">
        <f ca="1">IFERROR(OFFSET(Camp_List[Status],MATCH(Data_NFI_t[[#This Row],[Camp Name]],Camp_List[Camp Name],0)-1,0,1,1),"")</f>
        <v>Open</v>
      </c>
      <c r="AM77" s="131"/>
    </row>
    <row r="78" spans="1:39" s="90" customFormat="1" ht="19.5" customHeight="1" x14ac:dyDescent="0.25">
      <c r="A78" s="242">
        <f>IF(ISBLANK(C78),"",(Report_Date-C78)/30)</f>
        <v>20.833333333333332</v>
      </c>
      <c r="B78" s="242">
        <v>2015</v>
      </c>
      <c r="C78" s="927">
        <v>42170</v>
      </c>
      <c r="D78" s="489" t="s">
        <v>285</v>
      </c>
      <c r="E78" s="488" t="s">
        <v>940</v>
      </c>
      <c r="F78" s="489" t="s">
        <v>7</v>
      </c>
      <c r="G78" s="794" t="s">
        <v>16</v>
      </c>
      <c r="H78" s="794" t="s">
        <v>57</v>
      </c>
      <c r="I78" s="794">
        <v>0</v>
      </c>
      <c r="J78" s="51">
        <v>0</v>
      </c>
      <c r="K78" s="51">
        <v>0</v>
      </c>
      <c r="L78" s="51">
        <v>0</v>
      </c>
      <c r="M78" s="51">
        <v>10</v>
      </c>
      <c r="N78" s="51">
        <v>0</v>
      </c>
      <c r="O78" s="51">
        <v>0</v>
      </c>
      <c r="P78" s="51">
        <v>0</v>
      </c>
      <c r="Q78" s="51">
        <v>0</v>
      </c>
      <c r="R78" s="511">
        <v>0</v>
      </c>
      <c r="S78" s="51">
        <v>0</v>
      </c>
      <c r="T78" s="51"/>
      <c r="U78" s="51"/>
      <c r="V78" s="51"/>
      <c r="W78" s="131">
        <f>IF(NFI_Expiration=1,IF($A78&lt;VLOOKUP(I$5,NFI,5,0),1,0)*Data_NFI_t[[#This Row],[Hygiene Kit]],0)</f>
        <v>0</v>
      </c>
      <c r="X78" s="131">
        <f>IF(NFI_Expiration=1,IF($A78&lt;VLOOKUP(J$5,NFI,5,0),1,0)*Data_NFI_t[[#This Row],[NFI Core Kit]],0)</f>
        <v>0</v>
      </c>
      <c r="Y78" s="112">
        <f>IF(NFI_Expiration=1,IF($A78&lt;VLOOKUP(K$5,NFI,5,0),1,0)*Data_NFI_t[[#This Row],[Sanitary Kit]],0)</f>
        <v>0</v>
      </c>
      <c r="Z78" s="112">
        <f>IF(NFI_Expiration=1,IF($A78&lt;VLOOKUP(L$5,NFI,5,0),1,0)*Data_NFI_t[[#This Row],[Mosquito net]],0)</f>
        <v>0</v>
      </c>
      <c r="AA78" s="112">
        <f>IF(NFI_Expiration=1,IF($A78&lt;VLOOKUP(M$5,NFI,5,0),1,0)*Data_NFI_t[[#This Row],[Tarpaulin]],0)</f>
        <v>0</v>
      </c>
      <c r="AB78" s="112">
        <f>IF(NFI_Expiration=1,IF($A78&lt;VLOOKUP(N$5,NFI,5,0),1,0)*Data_NFI_t[[#This Row],[Blanket]],0)</f>
        <v>0</v>
      </c>
      <c r="AC78" s="112">
        <f>IF(NFI_Expiration=1,IF($A78&lt;VLOOKUP(O$5,NFI,5,0),1,0)*Data_NFI_t[[#This Row],[Kitchen Set]],0)</f>
        <v>0</v>
      </c>
      <c r="AD78" s="112">
        <f>IF(NFI_Expiration=1,IF($A78&lt;VLOOKUP(P$5,NFI,5,0),1,0)*Data_NFI_t[[#This Row],[Complementary Kit]],0)</f>
        <v>0</v>
      </c>
      <c r="AE78" s="112">
        <f>IF(NFI_Expiration=1,IF($A78&lt;VLOOKUP(Q$5,NFI,5,0),1,0)*Data_NFI_t[[#This Row],[Plastic Bucket]],0)</f>
        <v>0</v>
      </c>
      <c r="AF78" s="112">
        <f>IF(NFI_Expiration=1,IF($A78&lt;VLOOKUP(R$5,NFI,5,0),1,0)*Data_NFI_t[[#This Row],[Jerry Can]],0)</f>
        <v>0</v>
      </c>
      <c r="AG78" s="131">
        <f>IF(NFI_Expiration=1,IF($A78&lt;VLOOKUP(S$5,NFI,5,0),1,0)*Data_NFI_t[[#This Row],[Plastic Mat]],0)*IF(Data_NFI_t[[#This Row],[Distribution Date]]&gt;"01-06-2015",1,2.5)</f>
        <v>0</v>
      </c>
      <c r="AH78" s="915">
        <f>IF(NFI_Expiration=1,IF($A78&lt;VLOOKUP(T$5,NFI,5,0),1,0)*Data_NFI_t[[#This Row],[Adult Clothes]],0)</f>
        <v>0</v>
      </c>
      <c r="AI78" s="131">
        <f>IF(NFI_Expiration=1,IF($A78&lt;VLOOKUP(U$5,NFI,5,0),1,0)*Data_NFI_t[[#This Row],[Children Clothes]],0)</f>
        <v>0</v>
      </c>
      <c r="AJ78" s="131">
        <f>IF(NFI_Expiration=1,IF($A78&lt;VLOOKUP(V$5,NFI,5,0),1,0)*Data_NFI_t[[#This Row],[Sewing Kit]],0)</f>
        <v>0</v>
      </c>
      <c r="AK78" s="131" t="str">
        <f ca="1">IFERROR(OFFSET(Camp_List[P_Code],MATCH(Data_NFI_t[[#This Row],[Camp Name]],Camp_List[Camp Name],0)-1,0,1,1),"")</f>
        <v>MMR012CMP034</v>
      </c>
      <c r="AL78" s="513" t="str">
        <f ca="1">IFERROR(OFFSET(Camp_List[Status],MATCH(Data_NFI_t[[#This Row],[Camp Name]],Camp_List[Camp Name],0)-1,0,1,1),"")</f>
        <v>Open</v>
      </c>
      <c r="AM78" s="131"/>
    </row>
    <row r="79" spans="1:39" s="90" customFormat="1" ht="19.5" customHeight="1" x14ac:dyDescent="0.25">
      <c r="A79" s="242">
        <f>IF(ISBLANK(C79),"",(Report_Date-C79)/30)</f>
        <v>20.966666666666665</v>
      </c>
      <c r="B79" s="242">
        <f>YEAR(Data_NFI_t[[#This Row],[Distribution Date]])</f>
        <v>2015</v>
      </c>
      <c r="C79" s="927">
        <v>42166</v>
      </c>
      <c r="D79" s="489" t="s">
        <v>285</v>
      </c>
      <c r="E79" s="488" t="s">
        <v>285</v>
      </c>
      <c r="F79" s="489" t="s">
        <v>7</v>
      </c>
      <c r="G79" s="794" t="s">
        <v>11</v>
      </c>
      <c r="H79" s="794" t="s">
        <v>26</v>
      </c>
      <c r="I79" s="794"/>
      <c r="J79" s="51"/>
      <c r="K79" s="51"/>
      <c r="L79" s="51"/>
      <c r="M79" s="51">
        <v>187</v>
      </c>
      <c r="N79" s="51"/>
      <c r="O79" s="51"/>
      <c r="P79" s="51"/>
      <c r="Q79" s="51"/>
      <c r="R79" s="511"/>
      <c r="S79" s="51"/>
      <c r="T79" s="51"/>
      <c r="U79" s="51"/>
      <c r="V79" s="51"/>
      <c r="W79" s="131">
        <f>IF(NFI_Expiration=1,IF($A79&lt;VLOOKUP(I$5,NFI,5,0),1,0)*Data_NFI_t[[#This Row],[Hygiene Kit]],0)</f>
        <v>0</v>
      </c>
      <c r="X79" s="131">
        <f>IF(NFI_Expiration=1,IF($A79&lt;VLOOKUP(J$5,NFI,5,0),1,0)*Data_NFI_t[[#This Row],[NFI Core Kit]],0)</f>
        <v>0</v>
      </c>
      <c r="Y79" s="112">
        <f>IF(NFI_Expiration=1,IF($A79&lt;VLOOKUP(K$5,NFI,5,0),1,0)*Data_NFI_t[[#This Row],[Sanitary Kit]],0)</f>
        <v>0</v>
      </c>
      <c r="Z79" s="112">
        <f>IF(NFI_Expiration=1,IF($A79&lt;VLOOKUP(L$5,NFI,5,0),1,0)*Data_NFI_t[[#This Row],[Mosquito net]],0)</f>
        <v>0</v>
      </c>
      <c r="AA79" s="112">
        <f>IF(NFI_Expiration=1,IF($A79&lt;VLOOKUP(M$5,NFI,5,0),1,0)*Data_NFI_t[[#This Row],[Tarpaulin]],0)</f>
        <v>0</v>
      </c>
      <c r="AB79" s="112">
        <f>IF(NFI_Expiration=1,IF($A79&lt;VLOOKUP(N$5,NFI,5,0),1,0)*Data_NFI_t[[#This Row],[Blanket]],0)</f>
        <v>0</v>
      </c>
      <c r="AC79" s="112">
        <f>IF(NFI_Expiration=1,IF($A79&lt;VLOOKUP(O$5,NFI,5,0),1,0)*Data_NFI_t[[#This Row],[Kitchen Set]],0)</f>
        <v>0</v>
      </c>
      <c r="AD79" s="112">
        <f>IF(NFI_Expiration=1,IF($A79&lt;VLOOKUP(P$5,NFI,5,0),1,0)*Data_NFI_t[[#This Row],[Complementary Kit]],0)</f>
        <v>0</v>
      </c>
      <c r="AE79" s="112">
        <f>IF(NFI_Expiration=1,IF($A79&lt;VLOOKUP(Q$5,NFI,5,0),1,0)*Data_NFI_t[[#This Row],[Plastic Bucket]],0)</f>
        <v>0</v>
      </c>
      <c r="AF79" s="112">
        <f>IF(NFI_Expiration=1,IF($A79&lt;VLOOKUP(R$5,NFI,5,0),1,0)*Data_NFI_t[[#This Row],[Jerry Can]],0)</f>
        <v>0</v>
      </c>
      <c r="AG79" s="131">
        <f>IF(NFI_Expiration=1,IF($A79&lt;VLOOKUP(S$5,NFI,5,0),1,0)*Data_NFI_t[[#This Row],[Plastic Mat]],0)*IF(Data_NFI_t[[#This Row],[Distribution Date]]&gt;"01-06-2015",1,2.5)</f>
        <v>0</v>
      </c>
      <c r="AH79" s="915">
        <f>IF(NFI_Expiration=1,IF($A79&lt;VLOOKUP(T$5,NFI,5,0),1,0)*Data_NFI_t[[#This Row],[Adult Clothes]],0)</f>
        <v>0</v>
      </c>
      <c r="AI79" s="131">
        <f>IF(NFI_Expiration=1,IF($A79&lt;VLOOKUP(U$5,NFI,5,0),1,0)*Data_NFI_t[[#This Row],[Children Clothes]],0)</f>
        <v>0</v>
      </c>
      <c r="AJ79" s="131">
        <f>IF(NFI_Expiration=1,IF($A79&lt;VLOOKUP(V$5,NFI,5,0),1,0)*Data_NFI_t[[#This Row],[Sewing Kit]],0)</f>
        <v>0</v>
      </c>
      <c r="AK79" s="131" t="str">
        <f ca="1">IFERROR(OFFSET(Camp_List[P_Code],MATCH(Data_NFI_t[[#This Row],[Camp Name]],Camp_List[Camp Name],0)-1,0,1,1),"")</f>
        <v>MMR012CMP002</v>
      </c>
      <c r="AL79" s="513" t="str">
        <f ca="1">IFERROR(OFFSET(Camp_List[Status],MATCH(Data_NFI_t[[#This Row],[Camp Name]],Camp_List[Camp Name],0)-1,0,1,1),"")</f>
        <v>Returned</v>
      </c>
      <c r="AM79" s="131"/>
    </row>
    <row r="80" spans="1:39" s="90" customFormat="1" ht="19.5" customHeight="1" x14ac:dyDescent="0.25">
      <c r="A80" s="242">
        <f>IF(ISBLANK(C80),"",(Report_Date-C80)/30)</f>
        <v>20.966666666666665</v>
      </c>
      <c r="B80" s="242">
        <f>YEAR(Data_NFI_t[[#This Row],[Distribution Date]])</f>
        <v>2015</v>
      </c>
      <c r="C80" s="927">
        <v>42166</v>
      </c>
      <c r="D80" s="489" t="s">
        <v>285</v>
      </c>
      <c r="E80" s="488" t="s">
        <v>285</v>
      </c>
      <c r="F80" s="489" t="s">
        <v>7</v>
      </c>
      <c r="G80" s="794" t="s">
        <v>11</v>
      </c>
      <c r="H80" s="794" t="s">
        <v>27</v>
      </c>
      <c r="I80" s="794"/>
      <c r="J80" s="51"/>
      <c r="K80" s="51"/>
      <c r="L80" s="51"/>
      <c r="M80" s="51">
        <v>90</v>
      </c>
      <c r="N80" s="51"/>
      <c r="O80" s="51"/>
      <c r="P80" s="51"/>
      <c r="Q80" s="51"/>
      <c r="R80" s="511"/>
      <c r="S80" s="51"/>
      <c r="T80" s="51"/>
      <c r="U80" s="51"/>
      <c r="V80" s="51"/>
      <c r="W80" s="131">
        <f>IF(NFI_Expiration=1,IF($A80&lt;VLOOKUP(I$5,NFI,5,0),1,0)*Data_NFI_t[[#This Row],[Hygiene Kit]],0)</f>
        <v>0</v>
      </c>
      <c r="X80" s="131">
        <f>IF(NFI_Expiration=1,IF($A80&lt;VLOOKUP(J$5,NFI,5,0),1,0)*Data_NFI_t[[#This Row],[NFI Core Kit]],0)</f>
        <v>0</v>
      </c>
      <c r="Y80" s="112">
        <f>IF(NFI_Expiration=1,IF($A80&lt;VLOOKUP(K$5,NFI,5,0),1,0)*Data_NFI_t[[#This Row],[Sanitary Kit]],0)</f>
        <v>0</v>
      </c>
      <c r="Z80" s="112">
        <f>IF(NFI_Expiration=1,IF($A80&lt;VLOOKUP(L$5,NFI,5,0),1,0)*Data_NFI_t[[#This Row],[Mosquito net]],0)</f>
        <v>0</v>
      </c>
      <c r="AA80" s="112">
        <f>IF(NFI_Expiration=1,IF($A80&lt;VLOOKUP(M$5,NFI,5,0),1,0)*Data_NFI_t[[#This Row],[Tarpaulin]],0)</f>
        <v>0</v>
      </c>
      <c r="AB80" s="112">
        <f>IF(NFI_Expiration=1,IF($A80&lt;VLOOKUP(N$5,NFI,5,0),1,0)*Data_NFI_t[[#This Row],[Blanket]],0)</f>
        <v>0</v>
      </c>
      <c r="AC80" s="112">
        <f>IF(NFI_Expiration=1,IF($A80&lt;VLOOKUP(O$5,NFI,5,0),1,0)*Data_NFI_t[[#This Row],[Kitchen Set]],0)</f>
        <v>0</v>
      </c>
      <c r="AD80" s="112">
        <f>IF(NFI_Expiration=1,IF($A80&lt;VLOOKUP(P$5,NFI,5,0),1,0)*Data_NFI_t[[#This Row],[Complementary Kit]],0)</f>
        <v>0</v>
      </c>
      <c r="AE80" s="112">
        <f>IF(NFI_Expiration=1,IF($A80&lt;VLOOKUP(Q$5,NFI,5,0),1,0)*Data_NFI_t[[#This Row],[Plastic Bucket]],0)</f>
        <v>0</v>
      </c>
      <c r="AF80" s="112">
        <f>IF(NFI_Expiration=1,IF($A80&lt;VLOOKUP(R$5,NFI,5,0),1,0)*Data_NFI_t[[#This Row],[Jerry Can]],0)</f>
        <v>0</v>
      </c>
      <c r="AG80" s="131">
        <f>IF(NFI_Expiration=1,IF($A80&lt;VLOOKUP(S$5,NFI,5,0),1,0)*Data_NFI_t[[#This Row],[Plastic Mat]],0)*IF(Data_NFI_t[[#This Row],[Distribution Date]]&gt;"01-06-2015",1,2.5)</f>
        <v>0</v>
      </c>
      <c r="AH80" s="915">
        <f>IF(NFI_Expiration=1,IF($A80&lt;VLOOKUP(T$5,NFI,5,0),1,0)*Data_NFI_t[[#This Row],[Adult Clothes]],0)</f>
        <v>0</v>
      </c>
      <c r="AI80" s="131">
        <f>IF(NFI_Expiration=1,IF($A80&lt;VLOOKUP(U$5,NFI,5,0),1,0)*Data_NFI_t[[#This Row],[Children Clothes]],0)</f>
        <v>0</v>
      </c>
      <c r="AJ80" s="131">
        <f>IF(NFI_Expiration=1,IF($A80&lt;VLOOKUP(V$5,NFI,5,0),1,0)*Data_NFI_t[[#This Row],[Sewing Kit]],0)</f>
        <v>0</v>
      </c>
      <c r="AK80" s="131" t="str">
        <f ca="1">IFERROR(OFFSET(Camp_List[P_Code],MATCH(Data_NFI_t[[#This Row],[Camp Name]],Camp_List[Camp Name],0)-1,0,1,1),"")</f>
        <v>MMR012CMP003</v>
      </c>
      <c r="AL80" s="513" t="str">
        <f ca="1">IFERROR(OFFSET(Camp_List[Status],MATCH(Data_NFI_t[[#This Row],[Camp Name]],Camp_List[Camp Name],0)-1,0,1,1),"")</f>
        <v>Returned</v>
      </c>
      <c r="AM80" s="131"/>
    </row>
    <row r="81" spans="1:39" s="90" customFormat="1" ht="19.5" customHeight="1" x14ac:dyDescent="0.25">
      <c r="A81" s="242">
        <f>IF(ISBLANK(C81),"",(Report_Date-C81)/30)</f>
        <v>20.966666666666665</v>
      </c>
      <c r="B81" s="242">
        <f>YEAR(Data_NFI_t[[#This Row],[Distribution Date]])</f>
        <v>2015</v>
      </c>
      <c r="C81" s="927">
        <v>42166</v>
      </c>
      <c r="D81" s="489" t="s">
        <v>285</v>
      </c>
      <c r="E81" s="488" t="s">
        <v>285</v>
      </c>
      <c r="F81" s="489" t="s">
        <v>7</v>
      </c>
      <c r="G81" s="794" t="s">
        <v>11</v>
      </c>
      <c r="H81" s="794" t="s">
        <v>30</v>
      </c>
      <c r="I81" s="794"/>
      <c r="J81" s="51"/>
      <c r="K81" s="51"/>
      <c r="L81" s="51"/>
      <c r="M81" s="51">
        <v>86</v>
      </c>
      <c r="N81" s="51"/>
      <c r="O81" s="51"/>
      <c r="P81" s="51"/>
      <c r="Q81" s="51"/>
      <c r="R81" s="511"/>
      <c r="S81" s="51"/>
      <c r="T81" s="51"/>
      <c r="U81" s="51"/>
      <c r="V81" s="51"/>
      <c r="W81" s="131">
        <f>IF(NFI_Expiration=1,IF($A81&lt;VLOOKUP(I$5,NFI,5,0),1,0)*Data_NFI_t[[#This Row],[Hygiene Kit]],0)</f>
        <v>0</v>
      </c>
      <c r="X81" s="131">
        <f>IF(NFI_Expiration=1,IF($A81&lt;VLOOKUP(J$5,NFI,5,0),1,0)*Data_NFI_t[[#This Row],[NFI Core Kit]],0)</f>
        <v>0</v>
      </c>
      <c r="Y81" s="112">
        <f>IF(NFI_Expiration=1,IF($A81&lt;VLOOKUP(K$5,NFI,5,0),1,0)*Data_NFI_t[[#This Row],[Sanitary Kit]],0)</f>
        <v>0</v>
      </c>
      <c r="Z81" s="112">
        <f>IF(NFI_Expiration=1,IF($A81&lt;VLOOKUP(L$5,NFI,5,0),1,0)*Data_NFI_t[[#This Row],[Mosquito net]],0)</f>
        <v>0</v>
      </c>
      <c r="AA81" s="112">
        <f>IF(NFI_Expiration=1,IF($A81&lt;VLOOKUP(M$5,NFI,5,0),1,0)*Data_NFI_t[[#This Row],[Tarpaulin]],0)</f>
        <v>0</v>
      </c>
      <c r="AB81" s="112">
        <f>IF(NFI_Expiration=1,IF($A81&lt;VLOOKUP(N$5,NFI,5,0),1,0)*Data_NFI_t[[#This Row],[Blanket]],0)</f>
        <v>0</v>
      </c>
      <c r="AC81" s="112">
        <f>IF(NFI_Expiration=1,IF($A81&lt;VLOOKUP(O$5,NFI,5,0),1,0)*Data_NFI_t[[#This Row],[Kitchen Set]],0)</f>
        <v>0</v>
      </c>
      <c r="AD81" s="112">
        <f>IF(NFI_Expiration=1,IF($A81&lt;VLOOKUP(P$5,NFI,5,0),1,0)*Data_NFI_t[[#This Row],[Complementary Kit]],0)</f>
        <v>0</v>
      </c>
      <c r="AE81" s="112">
        <f>IF(NFI_Expiration=1,IF($A81&lt;VLOOKUP(Q$5,NFI,5,0),1,0)*Data_NFI_t[[#This Row],[Plastic Bucket]],0)</f>
        <v>0</v>
      </c>
      <c r="AF81" s="112">
        <f>IF(NFI_Expiration=1,IF($A81&lt;VLOOKUP(R$5,NFI,5,0),1,0)*Data_NFI_t[[#This Row],[Jerry Can]],0)</f>
        <v>0</v>
      </c>
      <c r="AG81" s="131">
        <f>IF(NFI_Expiration=1,IF($A81&lt;VLOOKUP(S$5,NFI,5,0),1,0)*Data_NFI_t[[#This Row],[Plastic Mat]],0)*IF(Data_NFI_t[[#This Row],[Distribution Date]]&gt;"01-06-2015",1,2.5)</f>
        <v>0</v>
      </c>
      <c r="AH81" s="915">
        <f>IF(NFI_Expiration=1,IF($A81&lt;VLOOKUP(T$5,NFI,5,0),1,0)*Data_NFI_t[[#This Row],[Adult Clothes]],0)</f>
        <v>0</v>
      </c>
      <c r="AI81" s="131">
        <f>IF(NFI_Expiration=1,IF($A81&lt;VLOOKUP(U$5,NFI,5,0),1,0)*Data_NFI_t[[#This Row],[Children Clothes]],0)</f>
        <v>0</v>
      </c>
      <c r="AJ81" s="131">
        <f>IF(NFI_Expiration=1,IF($A81&lt;VLOOKUP(V$5,NFI,5,0),1,0)*Data_NFI_t[[#This Row],[Sewing Kit]],0)</f>
        <v>0</v>
      </c>
      <c r="AK81" s="131" t="str">
        <f ca="1">IFERROR(OFFSET(Camp_List[P_Code],MATCH(Data_NFI_t[[#This Row],[Camp Name]],Camp_List[Camp Name],0)-1,0,1,1),"")</f>
        <v>MMR012CMP006</v>
      </c>
      <c r="AL81" s="513" t="str">
        <f ca="1">IFERROR(OFFSET(Camp_List[Status],MATCH(Data_NFI_t[[#This Row],[Camp Name]],Camp_List[Camp Name],0)-1,0,1,1),"")</f>
        <v>Returned</v>
      </c>
      <c r="AM81" s="131"/>
    </row>
    <row r="82" spans="1:39" s="90" customFormat="1" ht="19.5" customHeight="1" x14ac:dyDescent="0.25">
      <c r="A82" s="242">
        <f>IF(ISBLANK(C82),"",(Report_Date-C82)/30)</f>
        <v>20.966666666666665</v>
      </c>
      <c r="B82" s="242">
        <f>YEAR(Data_NFI_t[[#This Row],[Distribution Date]])</f>
        <v>2015</v>
      </c>
      <c r="C82" s="927">
        <v>42166</v>
      </c>
      <c r="D82" s="489" t="s">
        <v>285</v>
      </c>
      <c r="E82" s="488" t="s">
        <v>285</v>
      </c>
      <c r="F82" s="489" t="s">
        <v>7</v>
      </c>
      <c r="G82" s="794" t="s">
        <v>11</v>
      </c>
      <c r="H82" s="794" t="s">
        <v>32</v>
      </c>
      <c r="I82" s="794"/>
      <c r="J82" s="51"/>
      <c r="K82" s="51"/>
      <c r="L82" s="51"/>
      <c r="M82" s="51">
        <v>225</v>
      </c>
      <c r="N82" s="51"/>
      <c r="O82" s="51"/>
      <c r="P82" s="51"/>
      <c r="Q82" s="51"/>
      <c r="R82" s="511"/>
      <c r="S82" s="51"/>
      <c r="T82" s="51"/>
      <c r="U82" s="51"/>
      <c r="V82" s="51"/>
      <c r="W82" s="131">
        <f>IF(NFI_Expiration=1,IF($A82&lt;VLOOKUP(I$5,NFI,5,0),1,0)*Data_NFI_t[[#This Row],[Hygiene Kit]],0)</f>
        <v>0</v>
      </c>
      <c r="X82" s="131">
        <f>IF(NFI_Expiration=1,IF($A82&lt;VLOOKUP(J$5,NFI,5,0),1,0)*Data_NFI_t[[#This Row],[NFI Core Kit]],0)</f>
        <v>0</v>
      </c>
      <c r="Y82" s="112">
        <f>IF(NFI_Expiration=1,IF($A82&lt;VLOOKUP(K$5,NFI,5,0),1,0)*Data_NFI_t[[#This Row],[Sanitary Kit]],0)</f>
        <v>0</v>
      </c>
      <c r="Z82" s="112">
        <f>IF(NFI_Expiration=1,IF($A82&lt;VLOOKUP(L$5,NFI,5,0),1,0)*Data_NFI_t[[#This Row],[Mosquito net]],0)</f>
        <v>0</v>
      </c>
      <c r="AA82" s="112">
        <f>IF(NFI_Expiration=1,IF($A82&lt;VLOOKUP(M$5,NFI,5,0),1,0)*Data_NFI_t[[#This Row],[Tarpaulin]],0)</f>
        <v>0</v>
      </c>
      <c r="AB82" s="112">
        <f>IF(NFI_Expiration=1,IF($A82&lt;VLOOKUP(N$5,NFI,5,0),1,0)*Data_NFI_t[[#This Row],[Blanket]],0)</f>
        <v>0</v>
      </c>
      <c r="AC82" s="112">
        <f>IF(NFI_Expiration=1,IF($A82&lt;VLOOKUP(O$5,NFI,5,0),1,0)*Data_NFI_t[[#This Row],[Kitchen Set]],0)</f>
        <v>0</v>
      </c>
      <c r="AD82" s="112">
        <f>IF(NFI_Expiration=1,IF($A82&lt;VLOOKUP(P$5,NFI,5,0),1,0)*Data_NFI_t[[#This Row],[Complementary Kit]],0)</f>
        <v>0</v>
      </c>
      <c r="AE82" s="112">
        <f>IF(NFI_Expiration=1,IF($A82&lt;VLOOKUP(Q$5,NFI,5,0),1,0)*Data_NFI_t[[#This Row],[Plastic Bucket]],0)</f>
        <v>0</v>
      </c>
      <c r="AF82" s="112">
        <f>IF(NFI_Expiration=1,IF($A82&lt;VLOOKUP(R$5,NFI,5,0),1,0)*Data_NFI_t[[#This Row],[Jerry Can]],0)</f>
        <v>0</v>
      </c>
      <c r="AG82" s="131">
        <f>IF(NFI_Expiration=1,IF($A82&lt;VLOOKUP(S$5,NFI,5,0),1,0)*Data_NFI_t[[#This Row],[Plastic Mat]],0)*IF(Data_NFI_t[[#This Row],[Distribution Date]]&gt;"01-06-2015",1,2.5)</f>
        <v>0</v>
      </c>
      <c r="AH82" s="915">
        <f>IF(NFI_Expiration=1,IF($A82&lt;VLOOKUP(T$5,NFI,5,0),1,0)*Data_NFI_t[[#This Row],[Adult Clothes]],0)</f>
        <v>0</v>
      </c>
      <c r="AI82" s="131">
        <f>IF(NFI_Expiration=1,IF($A82&lt;VLOOKUP(U$5,NFI,5,0),1,0)*Data_NFI_t[[#This Row],[Children Clothes]],0)</f>
        <v>0</v>
      </c>
      <c r="AJ82" s="131">
        <f>IF(NFI_Expiration=1,IF($A82&lt;VLOOKUP(V$5,NFI,5,0),1,0)*Data_NFI_t[[#This Row],[Sewing Kit]],0)</f>
        <v>0</v>
      </c>
      <c r="AK82" s="131" t="str">
        <f ca="1">IFERROR(OFFSET(Camp_List[P_Code],MATCH(Data_NFI_t[[#This Row],[Camp Name]],Camp_List[Camp Name],0)-1,0,1,1),"")</f>
        <v>MMR012CMP008</v>
      </c>
      <c r="AL82" s="513" t="str">
        <f ca="1">IFERROR(OFFSET(Camp_List[Status],MATCH(Data_NFI_t[[#This Row],[Camp Name]],Camp_List[Camp Name],0)-1,0,1,1),"")</f>
        <v>Returned</v>
      </c>
      <c r="AM82" s="131"/>
    </row>
    <row r="83" spans="1:39" s="90" customFormat="1" ht="19.5" customHeight="1" x14ac:dyDescent="0.25">
      <c r="A83" s="242">
        <f>IF(ISBLANK(C83),"",(Report_Date-C83)/30)</f>
        <v>21</v>
      </c>
      <c r="B83" s="242">
        <f>YEAR(Data_NFI_t[[#This Row],[Distribution Date]])</f>
        <v>2015</v>
      </c>
      <c r="C83" s="927">
        <v>42165</v>
      </c>
      <c r="D83" s="489" t="s">
        <v>285</v>
      </c>
      <c r="E83" s="488" t="s">
        <v>285</v>
      </c>
      <c r="F83" s="489" t="s">
        <v>7</v>
      </c>
      <c r="G83" s="794" t="s">
        <v>1003</v>
      </c>
      <c r="H83" s="794" t="s">
        <v>33</v>
      </c>
      <c r="I83" s="794"/>
      <c r="J83" s="51"/>
      <c r="K83" s="51"/>
      <c r="L83" s="51"/>
      <c r="M83" s="51">
        <v>56</v>
      </c>
      <c r="N83" s="51"/>
      <c r="O83" s="51"/>
      <c r="P83" s="51"/>
      <c r="Q83" s="51"/>
      <c r="R83" s="511"/>
      <c r="S83" s="51"/>
      <c r="T83" s="51"/>
      <c r="U83" s="51"/>
      <c r="V83" s="51"/>
      <c r="W83" s="131">
        <f>IF(NFI_Expiration=1,IF($A83&lt;VLOOKUP(I$5,NFI,5,0),1,0)*Data_NFI_t[[#This Row],[Hygiene Kit]],0)</f>
        <v>0</v>
      </c>
      <c r="X83" s="131">
        <f>IF(NFI_Expiration=1,IF($A83&lt;VLOOKUP(J$5,NFI,5,0),1,0)*Data_NFI_t[[#This Row],[NFI Core Kit]],0)</f>
        <v>0</v>
      </c>
      <c r="Y83" s="112">
        <f>IF(NFI_Expiration=1,IF($A83&lt;VLOOKUP(K$5,NFI,5,0),1,0)*Data_NFI_t[[#This Row],[Sanitary Kit]],0)</f>
        <v>0</v>
      </c>
      <c r="Z83" s="112">
        <f>IF(NFI_Expiration=1,IF($A83&lt;VLOOKUP(L$5,NFI,5,0),1,0)*Data_NFI_t[[#This Row],[Mosquito net]],0)</f>
        <v>0</v>
      </c>
      <c r="AA83" s="112">
        <f>IF(NFI_Expiration=1,IF($A83&lt;VLOOKUP(M$5,NFI,5,0),1,0)*Data_NFI_t[[#This Row],[Tarpaulin]],0)</f>
        <v>0</v>
      </c>
      <c r="AB83" s="112">
        <f>IF(NFI_Expiration=1,IF($A83&lt;VLOOKUP(N$5,NFI,5,0),1,0)*Data_NFI_t[[#This Row],[Blanket]],0)</f>
        <v>0</v>
      </c>
      <c r="AC83" s="112">
        <f>IF(NFI_Expiration=1,IF($A83&lt;VLOOKUP(O$5,NFI,5,0),1,0)*Data_NFI_t[[#This Row],[Kitchen Set]],0)</f>
        <v>0</v>
      </c>
      <c r="AD83" s="112">
        <f>IF(NFI_Expiration=1,IF($A83&lt;VLOOKUP(P$5,NFI,5,0),1,0)*Data_NFI_t[[#This Row],[Complementary Kit]],0)</f>
        <v>0</v>
      </c>
      <c r="AE83" s="112">
        <f>IF(NFI_Expiration=1,IF($A83&lt;VLOOKUP(Q$5,NFI,5,0),1,0)*Data_NFI_t[[#This Row],[Plastic Bucket]],0)</f>
        <v>0</v>
      </c>
      <c r="AF83" s="112">
        <f>IF(NFI_Expiration=1,IF($A83&lt;VLOOKUP(R$5,NFI,5,0),1,0)*Data_NFI_t[[#This Row],[Jerry Can]],0)</f>
        <v>0</v>
      </c>
      <c r="AG83" s="131">
        <f>IF(NFI_Expiration=1,IF($A83&lt;VLOOKUP(S$5,NFI,5,0),1,0)*Data_NFI_t[[#This Row],[Plastic Mat]],0)*IF(Data_NFI_t[[#This Row],[Distribution Date]]&gt;"01-06-2015",1,2.5)</f>
        <v>0</v>
      </c>
      <c r="AH83" s="915">
        <f>IF(NFI_Expiration=1,IF($A83&lt;VLOOKUP(T$5,NFI,5,0),1,0)*Data_NFI_t[[#This Row],[Adult Clothes]],0)</f>
        <v>0</v>
      </c>
      <c r="AI83" s="131">
        <f>IF(NFI_Expiration=1,IF($A83&lt;VLOOKUP(U$5,NFI,5,0),1,0)*Data_NFI_t[[#This Row],[Children Clothes]],0)</f>
        <v>0</v>
      </c>
      <c r="AJ83" s="131">
        <f>IF(NFI_Expiration=1,IF($A83&lt;VLOOKUP(V$5,NFI,5,0),1,0)*Data_NFI_t[[#This Row],[Sewing Kit]],0)</f>
        <v>0</v>
      </c>
      <c r="AK83" s="131" t="str">
        <f ca="1">IFERROR(OFFSET(Camp_List[P_Code],MATCH(Data_NFI_t[[#This Row],[Camp Name]],Camp_List[Camp Name],0)-1,0,1,1),"")</f>
        <v>MMR012CMP009</v>
      </c>
      <c r="AL83" s="513" t="str">
        <f ca="1">IFERROR(OFFSET(Camp_List[Status],MATCH(Data_NFI_t[[#This Row],[Camp Name]],Camp_List[Camp Name],0)-1,0,1,1),"")</f>
        <v>Returned</v>
      </c>
      <c r="AM83" s="131"/>
    </row>
    <row r="84" spans="1:39" s="90" customFormat="1" ht="19.5" customHeight="1" x14ac:dyDescent="0.25">
      <c r="A84" s="242">
        <f>IF(ISBLANK(C84),"",(Report_Date-C84)/30)</f>
        <v>21</v>
      </c>
      <c r="B84" s="242">
        <f>YEAR(Data_NFI_t[[#This Row],[Distribution Date]])</f>
        <v>2015</v>
      </c>
      <c r="C84" s="927">
        <v>42165</v>
      </c>
      <c r="D84" s="489" t="s">
        <v>285</v>
      </c>
      <c r="E84" s="488" t="s">
        <v>285</v>
      </c>
      <c r="F84" s="489" t="s">
        <v>7</v>
      </c>
      <c r="G84" s="794" t="s">
        <v>1003</v>
      </c>
      <c r="H84" s="794" t="s">
        <v>34</v>
      </c>
      <c r="I84" s="794"/>
      <c r="J84" s="51"/>
      <c r="K84" s="51"/>
      <c r="L84" s="51"/>
      <c r="M84" s="51">
        <v>55</v>
      </c>
      <c r="N84" s="51"/>
      <c r="O84" s="51"/>
      <c r="P84" s="51"/>
      <c r="Q84" s="51"/>
      <c r="R84" s="511"/>
      <c r="S84" s="51"/>
      <c r="T84" s="51"/>
      <c r="U84" s="51"/>
      <c r="V84" s="51"/>
      <c r="W84" s="131">
        <f>IF(NFI_Expiration=1,IF($A84&lt;VLOOKUP(I$5,NFI,5,0),1,0)*Data_NFI_t[[#This Row],[Hygiene Kit]],0)</f>
        <v>0</v>
      </c>
      <c r="X84" s="131">
        <f>IF(NFI_Expiration=1,IF($A84&lt;VLOOKUP(J$5,NFI,5,0),1,0)*Data_NFI_t[[#This Row],[NFI Core Kit]],0)</f>
        <v>0</v>
      </c>
      <c r="Y84" s="112">
        <f>IF(NFI_Expiration=1,IF($A84&lt;VLOOKUP(K$5,NFI,5,0),1,0)*Data_NFI_t[[#This Row],[Sanitary Kit]],0)</f>
        <v>0</v>
      </c>
      <c r="Z84" s="112">
        <f>IF(NFI_Expiration=1,IF($A84&lt;VLOOKUP(L$5,NFI,5,0),1,0)*Data_NFI_t[[#This Row],[Mosquito net]],0)</f>
        <v>0</v>
      </c>
      <c r="AA84" s="112">
        <f>IF(NFI_Expiration=1,IF($A84&lt;VLOOKUP(M$5,NFI,5,0),1,0)*Data_NFI_t[[#This Row],[Tarpaulin]],0)</f>
        <v>0</v>
      </c>
      <c r="AB84" s="112">
        <f>IF(NFI_Expiration=1,IF($A84&lt;VLOOKUP(N$5,NFI,5,0),1,0)*Data_NFI_t[[#This Row],[Blanket]],0)</f>
        <v>0</v>
      </c>
      <c r="AC84" s="112">
        <f>IF(NFI_Expiration=1,IF($A84&lt;VLOOKUP(O$5,NFI,5,0),1,0)*Data_NFI_t[[#This Row],[Kitchen Set]],0)</f>
        <v>0</v>
      </c>
      <c r="AD84" s="112">
        <f>IF(NFI_Expiration=1,IF($A84&lt;VLOOKUP(P$5,NFI,5,0),1,0)*Data_NFI_t[[#This Row],[Complementary Kit]],0)</f>
        <v>0</v>
      </c>
      <c r="AE84" s="112">
        <f>IF(NFI_Expiration=1,IF($A84&lt;VLOOKUP(Q$5,NFI,5,0),1,0)*Data_NFI_t[[#This Row],[Plastic Bucket]],0)</f>
        <v>0</v>
      </c>
      <c r="AF84" s="112">
        <f>IF(NFI_Expiration=1,IF($A84&lt;VLOOKUP(R$5,NFI,5,0),1,0)*Data_NFI_t[[#This Row],[Jerry Can]],0)</f>
        <v>0</v>
      </c>
      <c r="AG84" s="131">
        <f>IF(NFI_Expiration=1,IF($A84&lt;VLOOKUP(S$5,NFI,5,0),1,0)*Data_NFI_t[[#This Row],[Plastic Mat]],0)*IF(Data_NFI_t[[#This Row],[Distribution Date]]&gt;"01-06-2015",1,2.5)</f>
        <v>0</v>
      </c>
      <c r="AH84" s="915">
        <f>IF(NFI_Expiration=1,IF($A84&lt;VLOOKUP(T$5,NFI,5,0),1,0)*Data_NFI_t[[#This Row],[Adult Clothes]],0)</f>
        <v>0</v>
      </c>
      <c r="AI84" s="131">
        <f>IF(NFI_Expiration=1,IF($A84&lt;VLOOKUP(U$5,NFI,5,0),1,0)*Data_NFI_t[[#This Row],[Children Clothes]],0)</f>
        <v>0</v>
      </c>
      <c r="AJ84" s="131">
        <f>IF(NFI_Expiration=1,IF($A84&lt;VLOOKUP(V$5,NFI,5,0),1,0)*Data_NFI_t[[#This Row],[Sewing Kit]],0)</f>
        <v>0</v>
      </c>
      <c r="AK84" s="131" t="str">
        <f ca="1">IFERROR(OFFSET(Camp_List[P_Code],MATCH(Data_NFI_t[[#This Row],[Camp Name]],Camp_List[Camp Name],0)-1,0,1,1),"")</f>
        <v>MMR012CMP010</v>
      </c>
      <c r="AL84" s="513" t="str">
        <f ca="1">IFERROR(OFFSET(Camp_List[Status],MATCH(Data_NFI_t[[#This Row],[Camp Name]],Camp_List[Camp Name],0)-1,0,1,1),"")</f>
        <v>Returned</v>
      </c>
      <c r="AM84" s="131"/>
    </row>
    <row r="85" spans="1:39" s="90" customFormat="1" ht="19.5" customHeight="1" x14ac:dyDescent="0.25">
      <c r="A85" s="242">
        <f>IF(ISBLANK(C85),"",(Report_Date-C85)/30)</f>
        <v>21</v>
      </c>
      <c r="B85" s="242">
        <f>YEAR(Data_NFI_t[[#This Row],[Distribution Date]])</f>
        <v>2015</v>
      </c>
      <c r="C85" s="927">
        <v>42165</v>
      </c>
      <c r="D85" s="489" t="s">
        <v>285</v>
      </c>
      <c r="E85" s="488" t="s">
        <v>285</v>
      </c>
      <c r="F85" s="489" t="s">
        <v>7</v>
      </c>
      <c r="G85" s="794" t="s">
        <v>11</v>
      </c>
      <c r="H85" s="794" t="s">
        <v>29</v>
      </c>
      <c r="I85" s="794"/>
      <c r="J85" s="51"/>
      <c r="K85" s="51"/>
      <c r="L85" s="51"/>
      <c r="M85" s="51">
        <v>275</v>
      </c>
      <c r="N85" s="51"/>
      <c r="O85" s="51"/>
      <c r="P85" s="51"/>
      <c r="Q85" s="51"/>
      <c r="R85" s="511"/>
      <c r="S85" s="51"/>
      <c r="T85" s="51"/>
      <c r="U85" s="51"/>
      <c r="V85" s="51"/>
      <c r="W85" s="131">
        <f>IF(NFI_Expiration=1,IF($A85&lt;VLOOKUP(I$5,NFI,5,0),1,0)*Data_NFI_t[[#This Row],[Hygiene Kit]],0)</f>
        <v>0</v>
      </c>
      <c r="X85" s="131">
        <f>IF(NFI_Expiration=1,IF($A85&lt;VLOOKUP(J$5,NFI,5,0),1,0)*Data_NFI_t[[#This Row],[NFI Core Kit]],0)</f>
        <v>0</v>
      </c>
      <c r="Y85" s="112">
        <f>IF(NFI_Expiration=1,IF($A85&lt;VLOOKUP(K$5,NFI,5,0),1,0)*Data_NFI_t[[#This Row],[Sanitary Kit]],0)</f>
        <v>0</v>
      </c>
      <c r="Z85" s="112">
        <f>IF(NFI_Expiration=1,IF($A85&lt;VLOOKUP(L$5,NFI,5,0),1,0)*Data_NFI_t[[#This Row],[Mosquito net]],0)</f>
        <v>0</v>
      </c>
      <c r="AA85" s="112">
        <f>IF(NFI_Expiration=1,IF($A85&lt;VLOOKUP(M$5,NFI,5,0),1,0)*Data_NFI_t[[#This Row],[Tarpaulin]],0)</f>
        <v>0</v>
      </c>
      <c r="AB85" s="112">
        <f>IF(NFI_Expiration=1,IF($A85&lt;VLOOKUP(N$5,NFI,5,0),1,0)*Data_NFI_t[[#This Row],[Blanket]],0)</f>
        <v>0</v>
      </c>
      <c r="AC85" s="112">
        <f>IF(NFI_Expiration=1,IF($A85&lt;VLOOKUP(O$5,NFI,5,0),1,0)*Data_NFI_t[[#This Row],[Kitchen Set]],0)</f>
        <v>0</v>
      </c>
      <c r="AD85" s="112">
        <f>IF(NFI_Expiration=1,IF($A85&lt;VLOOKUP(P$5,NFI,5,0),1,0)*Data_NFI_t[[#This Row],[Complementary Kit]],0)</f>
        <v>0</v>
      </c>
      <c r="AE85" s="112">
        <f>IF(NFI_Expiration=1,IF($A85&lt;VLOOKUP(Q$5,NFI,5,0),1,0)*Data_NFI_t[[#This Row],[Plastic Bucket]],0)</f>
        <v>0</v>
      </c>
      <c r="AF85" s="112">
        <f>IF(NFI_Expiration=1,IF($A85&lt;VLOOKUP(R$5,NFI,5,0),1,0)*Data_NFI_t[[#This Row],[Jerry Can]],0)</f>
        <v>0</v>
      </c>
      <c r="AG85" s="131">
        <f>IF(NFI_Expiration=1,IF($A85&lt;VLOOKUP(S$5,NFI,5,0),1,0)*Data_NFI_t[[#This Row],[Plastic Mat]],0)*IF(Data_NFI_t[[#This Row],[Distribution Date]]&gt;"01-06-2015",1,2.5)</f>
        <v>0</v>
      </c>
      <c r="AH85" s="915">
        <f>IF(NFI_Expiration=1,IF($A85&lt;VLOOKUP(T$5,NFI,5,0),1,0)*Data_NFI_t[[#This Row],[Adult Clothes]],0)</f>
        <v>0</v>
      </c>
      <c r="AI85" s="131">
        <f>IF(NFI_Expiration=1,IF($A85&lt;VLOOKUP(U$5,NFI,5,0),1,0)*Data_NFI_t[[#This Row],[Children Clothes]],0)</f>
        <v>0</v>
      </c>
      <c r="AJ85" s="131">
        <f>IF(NFI_Expiration=1,IF($A85&lt;VLOOKUP(V$5,NFI,5,0),1,0)*Data_NFI_t[[#This Row],[Sewing Kit]],0)</f>
        <v>0</v>
      </c>
      <c r="AK85" s="131" t="str">
        <f ca="1">IFERROR(OFFSET(Camp_List[P_Code],MATCH(Data_NFI_t[[#This Row],[Camp Name]],Camp_List[Camp Name],0)-1,0,1,1),"")</f>
        <v>MMR012CMP005</v>
      </c>
      <c r="AL85" s="513" t="str">
        <f ca="1">IFERROR(OFFSET(Camp_List[Status],MATCH(Data_NFI_t[[#This Row],[Camp Name]],Camp_List[Camp Name],0)-1,0,1,1),"")</f>
        <v>Returned</v>
      </c>
      <c r="AM85" s="131"/>
    </row>
    <row r="86" spans="1:39" s="90" customFormat="1" ht="19.5" customHeight="1" x14ac:dyDescent="0.25">
      <c r="A86" s="242">
        <f>IF(ISBLANK(C86),"",(Report_Date-C86)/30)</f>
        <v>21.7</v>
      </c>
      <c r="B86" s="242">
        <f>YEAR(Data_NFI_t[[#This Row],[Distribution Date]])</f>
        <v>2015</v>
      </c>
      <c r="C86" s="927">
        <v>42144</v>
      </c>
      <c r="D86" s="489" t="s">
        <v>285</v>
      </c>
      <c r="E86" s="488" t="s">
        <v>288</v>
      </c>
      <c r="F86" s="489" t="s">
        <v>7</v>
      </c>
      <c r="G86" s="794" t="s">
        <v>19</v>
      </c>
      <c r="H86" s="794" t="s">
        <v>634</v>
      </c>
      <c r="I86" s="794">
        <v>0</v>
      </c>
      <c r="J86" s="51">
        <v>140</v>
      </c>
      <c r="K86" s="51">
        <v>0</v>
      </c>
      <c r="L86" s="51">
        <v>1298</v>
      </c>
      <c r="M86" s="51">
        <v>649</v>
      </c>
      <c r="N86" s="51">
        <v>1298</v>
      </c>
      <c r="O86" s="51">
        <v>649</v>
      </c>
      <c r="P86" s="51">
        <v>509</v>
      </c>
      <c r="Q86" s="51">
        <v>649</v>
      </c>
      <c r="R86" s="511">
        <v>649</v>
      </c>
      <c r="S86" s="51">
        <v>3245</v>
      </c>
      <c r="T86" s="51"/>
      <c r="U86" s="51"/>
      <c r="V86" s="51"/>
      <c r="W86" s="131">
        <f>IF(NFI_Expiration=1,IF($A86&lt;VLOOKUP(I$5,NFI,5,0),1,0)*Data_NFI_t[[#This Row],[Hygiene Kit]],0)</f>
        <v>0</v>
      </c>
      <c r="X86" s="131">
        <f>IF(NFI_Expiration=1,IF($A86&lt;VLOOKUP(J$5,NFI,5,0),1,0)*Data_NFI_t[[#This Row],[NFI Core Kit]],0)</f>
        <v>0</v>
      </c>
      <c r="Y86" s="112">
        <f>IF(NFI_Expiration=1,IF($A86&lt;VLOOKUP(K$5,NFI,5,0),1,0)*Data_NFI_t[[#This Row],[Sanitary Kit]],0)</f>
        <v>0</v>
      </c>
      <c r="Z86" s="112">
        <f>IF(NFI_Expiration=1,IF($A86&lt;VLOOKUP(L$5,NFI,5,0),1,0)*Data_NFI_t[[#This Row],[Mosquito net]],0)</f>
        <v>0</v>
      </c>
      <c r="AA86" s="112">
        <f>IF(NFI_Expiration=1,IF($A86&lt;VLOOKUP(M$5,NFI,5,0),1,0)*Data_NFI_t[[#This Row],[Tarpaulin]],0)</f>
        <v>0</v>
      </c>
      <c r="AB86" s="112">
        <f>IF(NFI_Expiration=1,IF($A86&lt;VLOOKUP(N$5,NFI,5,0),1,0)*Data_NFI_t[[#This Row],[Blanket]],0)</f>
        <v>0</v>
      </c>
      <c r="AC86" s="112">
        <f>IF(NFI_Expiration=1,IF($A86&lt;VLOOKUP(O$5,NFI,5,0),1,0)*Data_NFI_t[[#This Row],[Kitchen Set]],0)</f>
        <v>0</v>
      </c>
      <c r="AD86" s="112">
        <f>IF(NFI_Expiration=1,IF($A86&lt;VLOOKUP(P$5,NFI,5,0),1,0)*Data_NFI_t[[#This Row],[Complementary Kit]],0)</f>
        <v>0</v>
      </c>
      <c r="AE86" s="112">
        <f>IF(NFI_Expiration=1,IF($A86&lt;VLOOKUP(Q$5,NFI,5,0),1,0)*Data_NFI_t[[#This Row],[Plastic Bucket]],0)</f>
        <v>0</v>
      </c>
      <c r="AF86" s="112">
        <f>IF(NFI_Expiration=1,IF($A86&lt;VLOOKUP(R$5,NFI,5,0),1,0)*Data_NFI_t[[#This Row],[Jerry Can]],0)</f>
        <v>0</v>
      </c>
      <c r="AG86" s="131">
        <f>IF(NFI_Expiration=1,IF($A86&lt;VLOOKUP(S$5,NFI,5,0),1,0)*Data_NFI_t[[#This Row],[Plastic Mat]],0)*IF(Data_NFI_t[[#This Row],[Distribution Date]]&gt;"01-06-2015",1,2.5)</f>
        <v>0</v>
      </c>
      <c r="AH86" s="915">
        <f>IF(NFI_Expiration=1,IF($A86&lt;VLOOKUP(T$5,NFI,5,0),1,0)*Data_NFI_t[[#This Row],[Adult Clothes]],0)</f>
        <v>0</v>
      </c>
      <c r="AI86" s="131">
        <f>IF(NFI_Expiration=1,IF($A86&lt;VLOOKUP(U$5,NFI,5,0),1,0)*Data_NFI_t[[#This Row],[Children Clothes]],0)</f>
        <v>0</v>
      </c>
      <c r="AJ86" s="131">
        <f>IF(NFI_Expiration=1,IF($A86&lt;VLOOKUP(V$5,NFI,5,0),1,0)*Data_NFI_t[[#This Row],[Sewing Kit]],0)</f>
        <v>0</v>
      </c>
      <c r="AK86" s="131" t="str">
        <f ca="1">IFERROR(OFFSET(Camp_List[P_Code],MATCH(Data_NFI_t[[#This Row],[Camp Name]],Camp_List[Camp Name],0)-1,0,1,1),"")</f>
        <v>MMR012CMP098</v>
      </c>
      <c r="AL86" s="513" t="str">
        <f ca="1">IFERROR(OFFSET(Camp_List[Status],MATCH(Data_NFI_t[[#This Row],[Camp Name]],Camp_List[Camp Name],0)-1,0,1,1),"")</f>
        <v>Open</v>
      </c>
      <c r="AM86" s="131"/>
    </row>
    <row r="87" spans="1:39" s="90" customFormat="1" ht="19.5" customHeight="1" x14ac:dyDescent="0.25">
      <c r="A87" s="242">
        <f>IF(ISBLANK(C87),"",(Report_Date-C87)/30)</f>
        <v>21.966666666666665</v>
      </c>
      <c r="B87" s="242">
        <f>YEAR(Data_NFI_t[[#This Row],[Distribution Date]])</f>
        <v>2015</v>
      </c>
      <c r="C87" s="927">
        <v>42136</v>
      </c>
      <c r="D87" s="489" t="s">
        <v>285</v>
      </c>
      <c r="E87" s="488" t="s">
        <v>515</v>
      </c>
      <c r="F87" s="489" t="s">
        <v>7</v>
      </c>
      <c r="G87" s="794" t="s">
        <v>19</v>
      </c>
      <c r="H87" s="794" t="s">
        <v>639</v>
      </c>
      <c r="I87" s="794">
        <v>0</v>
      </c>
      <c r="J87" s="51"/>
      <c r="K87" s="51">
        <v>0</v>
      </c>
      <c r="L87" s="51">
        <v>498</v>
      </c>
      <c r="M87" s="51">
        <v>249</v>
      </c>
      <c r="N87" s="51">
        <v>498</v>
      </c>
      <c r="O87" s="51">
        <v>249</v>
      </c>
      <c r="P87" s="51">
        <v>0</v>
      </c>
      <c r="Q87" s="51">
        <v>249</v>
      </c>
      <c r="R87" s="511">
        <v>249</v>
      </c>
      <c r="S87" s="51">
        <v>1245</v>
      </c>
      <c r="T87" s="51"/>
      <c r="U87" s="51"/>
      <c r="V87" s="51"/>
      <c r="W87" s="131">
        <f>IF(NFI_Expiration=1,IF($A87&lt;VLOOKUP(I$5,NFI,5,0),1,0)*Data_NFI_t[[#This Row],[Hygiene Kit]],0)</f>
        <v>0</v>
      </c>
      <c r="X87" s="131">
        <f>IF(NFI_Expiration=1,IF($A87&lt;VLOOKUP(J$5,NFI,5,0),1,0)*Data_NFI_t[[#This Row],[NFI Core Kit]],0)</f>
        <v>0</v>
      </c>
      <c r="Y87" s="112">
        <f>IF(NFI_Expiration=1,IF($A87&lt;VLOOKUP(K$5,NFI,5,0),1,0)*Data_NFI_t[[#This Row],[Sanitary Kit]],0)</f>
        <v>0</v>
      </c>
      <c r="Z87" s="112">
        <f>IF(NFI_Expiration=1,IF($A87&lt;VLOOKUP(L$5,NFI,5,0),1,0)*Data_NFI_t[[#This Row],[Mosquito net]],0)</f>
        <v>0</v>
      </c>
      <c r="AA87" s="112">
        <f>IF(NFI_Expiration=1,IF($A87&lt;VLOOKUP(M$5,NFI,5,0),1,0)*Data_NFI_t[[#This Row],[Tarpaulin]],0)</f>
        <v>0</v>
      </c>
      <c r="AB87" s="112">
        <f>IF(NFI_Expiration=1,IF($A87&lt;VLOOKUP(N$5,NFI,5,0),1,0)*Data_NFI_t[[#This Row],[Blanket]],0)</f>
        <v>0</v>
      </c>
      <c r="AC87" s="112">
        <f>IF(NFI_Expiration=1,IF($A87&lt;VLOOKUP(O$5,NFI,5,0),1,0)*Data_NFI_t[[#This Row],[Kitchen Set]],0)</f>
        <v>0</v>
      </c>
      <c r="AD87" s="112">
        <f>IF(NFI_Expiration=1,IF($A87&lt;VLOOKUP(P$5,NFI,5,0),1,0)*Data_NFI_t[[#This Row],[Complementary Kit]],0)</f>
        <v>0</v>
      </c>
      <c r="AE87" s="112">
        <f>IF(NFI_Expiration=1,IF($A87&lt;VLOOKUP(Q$5,NFI,5,0),1,0)*Data_NFI_t[[#This Row],[Plastic Bucket]],0)</f>
        <v>0</v>
      </c>
      <c r="AF87" s="112">
        <f>IF(NFI_Expiration=1,IF($A87&lt;VLOOKUP(R$5,NFI,5,0),1,0)*Data_NFI_t[[#This Row],[Jerry Can]],0)</f>
        <v>0</v>
      </c>
      <c r="AG87" s="131">
        <f>IF(NFI_Expiration=1,IF($A87&lt;VLOOKUP(S$5,NFI,5,0),1,0)*Data_NFI_t[[#This Row],[Plastic Mat]],0)*IF(Data_NFI_t[[#This Row],[Distribution Date]]&gt;"01-06-2015",1,2.5)</f>
        <v>0</v>
      </c>
      <c r="AH87" s="915">
        <f>IF(NFI_Expiration=1,IF($A87&lt;VLOOKUP(T$5,NFI,5,0),1,0)*Data_NFI_t[[#This Row],[Adult Clothes]],0)</f>
        <v>0</v>
      </c>
      <c r="AI87" s="131">
        <f>IF(NFI_Expiration=1,IF($A87&lt;VLOOKUP(U$5,NFI,5,0),1,0)*Data_NFI_t[[#This Row],[Children Clothes]],0)</f>
        <v>0</v>
      </c>
      <c r="AJ87" s="131">
        <f>IF(NFI_Expiration=1,IF($A87&lt;VLOOKUP(V$5,NFI,5,0),1,0)*Data_NFI_t[[#This Row],[Sewing Kit]],0)</f>
        <v>0</v>
      </c>
      <c r="AK87" s="131" t="str">
        <f ca="1">IFERROR(OFFSET(Camp_List[P_Code],MATCH(Data_NFI_t[[#This Row],[Camp Name]],Camp_List[Camp Name],0)-1,0,1,1),"")</f>
        <v>MMR012CMP111</v>
      </c>
      <c r="AL87" s="513" t="str">
        <f ca="1">IFERROR(OFFSET(Camp_List[Status],MATCH(Data_NFI_t[[#This Row],[Camp Name]],Camp_List[Camp Name],0)-1,0,1,1),"")</f>
        <v>Relocated</v>
      </c>
      <c r="AM87" s="131"/>
    </row>
    <row r="88" spans="1:39" s="90" customFormat="1" ht="19.5" customHeight="1" x14ac:dyDescent="0.25">
      <c r="A88" s="242">
        <f>IF(ISBLANK(C88),"",(Report_Date-C88)/30)</f>
        <v>22.133333333333333</v>
      </c>
      <c r="B88" s="242">
        <f>YEAR(Data_NFI_t[[#This Row],[Distribution Date]])</f>
        <v>2015</v>
      </c>
      <c r="C88" s="927">
        <v>42131</v>
      </c>
      <c r="D88" s="489" t="s">
        <v>285</v>
      </c>
      <c r="E88" s="488" t="s">
        <v>624</v>
      </c>
      <c r="F88" s="489" t="s">
        <v>7</v>
      </c>
      <c r="G88" s="794" t="s">
        <v>19</v>
      </c>
      <c r="H88" s="794" t="s">
        <v>68</v>
      </c>
      <c r="I88" s="794"/>
      <c r="J88" s="51">
        <v>2145</v>
      </c>
      <c r="K88" s="51"/>
      <c r="L88" s="51">
        <v>4290</v>
      </c>
      <c r="M88" s="51">
        <v>2145</v>
      </c>
      <c r="N88" s="51">
        <v>4290</v>
      </c>
      <c r="O88" s="51">
        <v>2145</v>
      </c>
      <c r="P88" s="51"/>
      <c r="Q88" s="51">
        <v>2145</v>
      </c>
      <c r="R88" s="511">
        <v>2145</v>
      </c>
      <c r="S88" s="51">
        <v>10725</v>
      </c>
      <c r="T88" s="51"/>
      <c r="U88" s="51"/>
      <c r="V88" s="51"/>
      <c r="W88" s="131">
        <f>IF(NFI_Expiration=1,IF($A88&lt;VLOOKUP(I$5,NFI,5,0),1,0)*Data_NFI_t[[#This Row],[Hygiene Kit]],0)</f>
        <v>0</v>
      </c>
      <c r="X88" s="131">
        <f>IF(NFI_Expiration=1,IF($A88&lt;VLOOKUP(J$5,NFI,5,0),1,0)*Data_NFI_t[[#This Row],[NFI Core Kit]],0)</f>
        <v>0</v>
      </c>
      <c r="Y88" s="112">
        <f>IF(NFI_Expiration=1,IF($A88&lt;VLOOKUP(K$5,NFI,5,0),1,0)*Data_NFI_t[[#This Row],[Sanitary Kit]],0)</f>
        <v>0</v>
      </c>
      <c r="Z88" s="112">
        <f>IF(NFI_Expiration=1,IF($A88&lt;VLOOKUP(L$5,NFI,5,0),1,0)*Data_NFI_t[[#This Row],[Mosquito net]],0)</f>
        <v>0</v>
      </c>
      <c r="AA88" s="112">
        <f>IF(NFI_Expiration=1,IF($A88&lt;VLOOKUP(M$5,NFI,5,0),1,0)*Data_NFI_t[[#This Row],[Tarpaulin]],0)</f>
        <v>0</v>
      </c>
      <c r="AB88" s="112">
        <f>IF(NFI_Expiration=1,IF($A88&lt;VLOOKUP(N$5,NFI,5,0),1,0)*Data_NFI_t[[#This Row],[Blanket]],0)</f>
        <v>0</v>
      </c>
      <c r="AC88" s="112">
        <f>IF(NFI_Expiration=1,IF($A88&lt;VLOOKUP(O$5,NFI,5,0),1,0)*Data_NFI_t[[#This Row],[Kitchen Set]],0)</f>
        <v>0</v>
      </c>
      <c r="AD88" s="112">
        <f>IF(NFI_Expiration=1,IF($A88&lt;VLOOKUP(P$5,NFI,5,0),1,0)*Data_NFI_t[[#This Row],[Complementary Kit]],0)</f>
        <v>0</v>
      </c>
      <c r="AE88" s="112">
        <f>IF(NFI_Expiration=1,IF($A88&lt;VLOOKUP(Q$5,NFI,5,0),1,0)*Data_NFI_t[[#This Row],[Plastic Bucket]],0)</f>
        <v>0</v>
      </c>
      <c r="AF88" s="112">
        <f>IF(NFI_Expiration=1,IF($A88&lt;VLOOKUP(R$5,NFI,5,0),1,0)*Data_NFI_t[[#This Row],[Jerry Can]],0)</f>
        <v>0</v>
      </c>
      <c r="AG88" s="131">
        <f>IF(NFI_Expiration=1,IF($A88&lt;VLOOKUP(S$5,NFI,5,0),1,0)*Data_NFI_t[[#This Row],[Plastic Mat]],0)*IF(Data_NFI_t[[#This Row],[Distribution Date]]&gt;"01-06-2015",1,2.5)</f>
        <v>0</v>
      </c>
      <c r="AH88" s="915">
        <f>IF(NFI_Expiration=1,IF($A88&lt;VLOOKUP(T$5,NFI,5,0),1,0)*Data_NFI_t[[#This Row],[Adult Clothes]],0)</f>
        <v>0</v>
      </c>
      <c r="AI88" s="131">
        <f>IF(NFI_Expiration=1,IF($A88&lt;VLOOKUP(U$5,NFI,5,0),1,0)*Data_NFI_t[[#This Row],[Children Clothes]],0)</f>
        <v>0</v>
      </c>
      <c r="AJ88" s="131">
        <f>IF(NFI_Expiration=1,IF($A88&lt;VLOOKUP(V$5,NFI,5,0),1,0)*Data_NFI_t[[#This Row],[Sewing Kit]],0)</f>
        <v>0</v>
      </c>
      <c r="AK88" s="131" t="str">
        <f ca="1">IFERROR(OFFSET(Camp_List[P_Code],MATCH(Data_NFI_t[[#This Row],[Camp Name]],Camp_List[Camp Name],0)-1,0,1,1),"")</f>
        <v>MMR012CMP046</v>
      </c>
      <c r="AL88" s="513" t="str">
        <f ca="1">IFERROR(OFFSET(Camp_List[Status],MATCH(Data_NFI_t[[#This Row],[Camp Name]],Camp_List[Camp Name],0)-1,0,1,1),"")</f>
        <v>Open</v>
      </c>
      <c r="AM88" s="131"/>
    </row>
    <row r="89" spans="1:39" s="90" customFormat="1" ht="19.5" customHeight="1" x14ac:dyDescent="0.25">
      <c r="A89" s="242">
        <f>IF(ISBLANK(C89),"",(Report_Date-C89)/30)</f>
        <v>22.166666666666668</v>
      </c>
      <c r="B89" s="242">
        <f>YEAR(Data_NFI_t[[#This Row],[Distribution Date]])</f>
        <v>2015</v>
      </c>
      <c r="C89" s="927">
        <v>42130</v>
      </c>
      <c r="D89" s="489" t="s">
        <v>288</v>
      </c>
      <c r="E89" s="488" t="s">
        <v>288</v>
      </c>
      <c r="F89" s="489" t="s">
        <v>7</v>
      </c>
      <c r="G89" s="794" t="s">
        <v>19</v>
      </c>
      <c r="H89" s="794" t="s">
        <v>63</v>
      </c>
      <c r="I89" s="794">
        <v>0</v>
      </c>
      <c r="J89" s="51">
        <v>1364</v>
      </c>
      <c r="K89" s="51">
        <v>0</v>
      </c>
      <c r="L89" s="51">
        <v>2728</v>
      </c>
      <c r="M89" s="51">
        <v>1364</v>
      </c>
      <c r="N89" s="51">
        <v>2728</v>
      </c>
      <c r="O89" s="51">
        <v>1364</v>
      </c>
      <c r="P89" s="51">
        <v>0</v>
      </c>
      <c r="Q89" s="51">
        <v>1364</v>
      </c>
      <c r="R89" s="511">
        <v>1364</v>
      </c>
      <c r="S89" s="51">
        <v>6820</v>
      </c>
      <c r="T89" s="51"/>
      <c r="U89" s="51"/>
      <c r="V89" s="51"/>
      <c r="W89" s="131">
        <f>IF(NFI_Expiration=1,IF($A89&lt;VLOOKUP(I$5,NFI,5,0),1,0)*Data_NFI_t[[#This Row],[Hygiene Kit]],0)</f>
        <v>0</v>
      </c>
      <c r="X89" s="131">
        <f>IF(NFI_Expiration=1,IF($A89&lt;VLOOKUP(J$5,NFI,5,0),1,0)*Data_NFI_t[[#This Row],[NFI Core Kit]],0)</f>
        <v>0</v>
      </c>
      <c r="Y89" s="112">
        <f>IF(NFI_Expiration=1,IF($A89&lt;VLOOKUP(K$5,NFI,5,0),1,0)*Data_NFI_t[[#This Row],[Sanitary Kit]],0)</f>
        <v>0</v>
      </c>
      <c r="Z89" s="112">
        <f>IF(NFI_Expiration=1,IF($A89&lt;VLOOKUP(L$5,NFI,5,0),1,0)*Data_NFI_t[[#This Row],[Mosquito net]],0)</f>
        <v>0</v>
      </c>
      <c r="AA89" s="112">
        <f>IF(NFI_Expiration=1,IF($A89&lt;VLOOKUP(M$5,NFI,5,0),1,0)*Data_NFI_t[[#This Row],[Tarpaulin]],0)</f>
        <v>0</v>
      </c>
      <c r="AB89" s="112">
        <f>IF(NFI_Expiration=1,IF($A89&lt;VLOOKUP(N$5,NFI,5,0),1,0)*Data_NFI_t[[#This Row],[Blanket]],0)</f>
        <v>0</v>
      </c>
      <c r="AC89" s="112">
        <f>IF(NFI_Expiration=1,IF($A89&lt;VLOOKUP(O$5,NFI,5,0),1,0)*Data_NFI_t[[#This Row],[Kitchen Set]],0)</f>
        <v>0</v>
      </c>
      <c r="AD89" s="112">
        <f>IF(NFI_Expiration=1,IF($A89&lt;VLOOKUP(P$5,NFI,5,0),1,0)*Data_NFI_t[[#This Row],[Complementary Kit]],0)</f>
        <v>0</v>
      </c>
      <c r="AE89" s="112">
        <f>IF(NFI_Expiration=1,IF($A89&lt;VLOOKUP(Q$5,NFI,5,0),1,0)*Data_NFI_t[[#This Row],[Plastic Bucket]],0)</f>
        <v>0</v>
      </c>
      <c r="AF89" s="112">
        <f>IF(NFI_Expiration=1,IF($A89&lt;VLOOKUP(R$5,NFI,5,0),1,0)*Data_NFI_t[[#This Row],[Jerry Can]],0)</f>
        <v>0</v>
      </c>
      <c r="AG89" s="131">
        <f>IF(NFI_Expiration=1,IF($A89&lt;VLOOKUP(S$5,NFI,5,0),1,0)*Data_NFI_t[[#This Row],[Plastic Mat]],0)*IF(Data_NFI_t[[#This Row],[Distribution Date]]&gt;"01-06-2015",1,2.5)</f>
        <v>0</v>
      </c>
      <c r="AH89" s="915">
        <f>IF(NFI_Expiration=1,IF($A89&lt;VLOOKUP(T$5,NFI,5,0),1,0)*Data_NFI_t[[#This Row],[Adult Clothes]],0)</f>
        <v>0</v>
      </c>
      <c r="AI89" s="131">
        <f>IF(NFI_Expiration=1,IF($A89&lt;VLOOKUP(U$5,NFI,5,0),1,0)*Data_NFI_t[[#This Row],[Children Clothes]],0)</f>
        <v>0</v>
      </c>
      <c r="AJ89" s="131">
        <f>IF(NFI_Expiration=1,IF($A89&lt;VLOOKUP(V$5,NFI,5,0),1,0)*Data_NFI_t[[#This Row],[Sewing Kit]],0)</f>
        <v>0</v>
      </c>
      <c r="AK89" s="131" t="str">
        <f ca="1">IFERROR(OFFSET(Camp_List[P_Code],MATCH(Data_NFI_t[[#This Row],[Camp Name]],Camp_List[Camp Name],0)-1,0,1,1),"")</f>
        <v>MMR012CMP041</v>
      </c>
      <c r="AL89" s="513" t="str">
        <f ca="1">IFERROR(OFFSET(Camp_List[Status],MATCH(Data_NFI_t[[#This Row],[Camp Name]],Camp_List[Camp Name],0)-1,0,1,1),"")</f>
        <v>Open</v>
      </c>
      <c r="AM89" s="131"/>
    </row>
    <row r="90" spans="1:39" s="90" customFormat="1" ht="19.5" customHeight="1" x14ac:dyDescent="0.25">
      <c r="A90" s="242">
        <f>IF(ISBLANK(C90),"",(Report_Date-C90)/30)</f>
        <v>22.2</v>
      </c>
      <c r="B90" s="242">
        <v>2015</v>
      </c>
      <c r="C90" s="927">
        <v>42129</v>
      </c>
      <c r="D90" s="489" t="s">
        <v>285</v>
      </c>
      <c r="E90" s="488" t="s">
        <v>285</v>
      </c>
      <c r="F90" s="489" t="s">
        <v>7</v>
      </c>
      <c r="G90" s="794" t="s">
        <v>16</v>
      </c>
      <c r="H90" s="794" t="s">
        <v>605</v>
      </c>
      <c r="I90" s="794">
        <v>0</v>
      </c>
      <c r="J90" s="51">
        <v>7</v>
      </c>
      <c r="K90" s="51">
        <v>7</v>
      </c>
      <c r="L90" s="51">
        <v>14</v>
      </c>
      <c r="M90" s="51">
        <v>5</v>
      </c>
      <c r="N90" s="51">
        <v>14</v>
      </c>
      <c r="O90" s="51">
        <v>5</v>
      </c>
      <c r="P90" s="51">
        <v>0</v>
      </c>
      <c r="Q90" s="51">
        <v>7</v>
      </c>
      <c r="R90" s="511">
        <v>7</v>
      </c>
      <c r="S90" s="51">
        <v>21</v>
      </c>
      <c r="T90" s="51"/>
      <c r="U90" s="51"/>
      <c r="V90" s="51"/>
      <c r="W90" s="131">
        <f>IF(NFI_Expiration=1,IF($A90&lt;VLOOKUP(I$5,NFI,5,0),1,0)*Data_NFI_t[[#This Row],[Hygiene Kit]],0)</f>
        <v>0</v>
      </c>
      <c r="X90" s="131">
        <f>IF(NFI_Expiration=1,IF($A90&lt;VLOOKUP(J$5,NFI,5,0),1,0)*Data_NFI_t[[#This Row],[NFI Core Kit]],0)</f>
        <v>0</v>
      </c>
      <c r="Y90" s="112">
        <f>IF(NFI_Expiration=1,IF($A90&lt;VLOOKUP(K$5,NFI,5,0),1,0)*Data_NFI_t[[#This Row],[Sanitary Kit]],0)</f>
        <v>0</v>
      </c>
      <c r="Z90" s="112">
        <f>IF(NFI_Expiration=1,IF($A90&lt;VLOOKUP(L$5,NFI,5,0),1,0)*Data_NFI_t[[#This Row],[Mosquito net]],0)</f>
        <v>0</v>
      </c>
      <c r="AA90" s="112">
        <f>IF(NFI_Expiration=1,IF($A90&lt;VLOOKUP(M$5,NFI,5,0),1,0)*Data_NFI_t[[#This Row],[Tarpaulin]],0)</f>
        <v>0</v>
      </c>
      <c r="AB90" s="112">
        <f>IF(NFI_Expiration=1,IF($A90&lt;VLOOKUP(N$5,NFI,5,0),1,0)*Data_NFI_t[[#This Row],[Blanket]],0)</f>
        <v>0</v>
      </c>
      <c r="AC90" s="112">
        <f>IF(NFI_Expiration=1,IF($A90&lt;VLOOKUP(O$5,NFI,5,0),1,0)*Data_NFI_t[[#This Row],[Kitchen Set]],0)</f>
        <v>0</v>
      </c>
      <c r="AD90" s="112">
        <f>IF(NFI_Expiration=1,IF($A90&lt;VLOOKUP(P$5,NFI,5,0),1,0)*Data_NFI_t[[#This Row],[Complementary Kit]],0)</f>
        <v>0</v>
      </c>
      <c r="AE90" s="112">
        <f>IF(NFI_Expiration=1,IF($A90&lt;VLOOKUP(Q$5,NFI,5,0),1,0)*Data_NFI_t[[#This Row],[Plastic Bucket]],0)</f>
        <v>0</v>
      </c>
      <c r="AF90" s="112">
        <f>IF(NFI_Expiration=1,IF($A90&lt;VLOOKUP(R$5,NFI,5,0),1,0)*Data_NFI_t[[#This Row],[Jerry Can]],0)</f>
        <v>0</v>
      </c>
      <c r="AG90" s="131">
        <f>IF(NFI_Expiration=1,IF($A90&lt;VLOOKUP(S$5,NFI,5,0),1,0)*Data_NFI_t[[#This Row],[Plastic Mat]],0)*IF(Data_NFI_t[[#This Row],[Distribution Date]]&gt;"01-06-2015",1,2.5)</f>
        <v>0</v>
      </c>
      <c r="AH90" s="915">
        <f>IF(NFI_Expiration=1,IF($A90&lt;VLOOKUP(T$5,NFI,5,0),1,0)*Data_NFI_t[[#This Row],[Adult Clothes]],0)</f>
        <v>0</v>
      </c>
      <c r="AI90" s="131">
        <f>IF(NFI_Expiration=1,IF($A90&lt;VLOOKUP(U$5,NFI,5,0),1,0)*Data_NFI_t[[#This Row],[Children Clothes]],0)</f>
        <v>0</v>
      </c>
      <c r="AJ90" s="131">
        <f>IF(NFI_Expiration=1,IF($A90&lt;VLOOKUP(V$5,NFI,5,0),1,0)*Data_NFI_t[[#This Row],[Sewing Kit]],0)</f>
        <v>0</v>
      </c>
      <c r="AK90" s="131" t="str">
        <f ca="1">IFERROR(OFFSET(Camp_List[P_Code],MATCH(Data_NFI_t[[#This Row],[Camp Name]],Camp_List[Camp Name],0)-1,0,1,1),"")</f>
        <v>MMR012CMP033</v>
      </c>
      <c r="AL90" s="513" t="str">
        <f ca="1">IFERROR(OFFSET(Camp_List[Status],MATCH(Data_NFI_t[[#This Row],[Camp Name]],Camp_List[Camp Name],0)-1,0,1,1),"")</f>
        <v>Open</v>
      </c>
      <c r="AM90" s="131"/>
    </row>
    <row r="91" spans="1:39" s="90" customFormat="1" ht="19.5" customHeight="1" x14ac:dyDescent="0.25">
      <c r="A91" s="242">
        <f>IF(ISBLANK(C91),"",(Report_Date-C91)/30)</f>
        <v>22.466666666666665</v>
      </c>
      <c r="B91" s="242">
        <f>YEAR(Data_NFI_t[[#This Row],[Distribution Date]])</f>
        <v>2015</v>
      </c>
      <c r="C91" s="927">
        <v>42121</v>
      </c>
      <c r="D91" s="489" t="s">
        <v>285</v>
      </c>
      <c r="E91" s="488" t="s">
        <v>285</v>
      </c>
      <c r="F91" s="489" t="s">
        <v>7</v>
      </c>
      <c r="G91" s="794" t="s">
        <v>19</v>
      </c>
      <c r="H91" s="794" t="s">
        <v>640</v>
      </c>
      <c r="I91" s="794">
        <v>0</v>
      </c>
      <c r="J91" s="51"/>
      <c r="K91" s="51">
        <v>0</v>
      </c>
      <c r="L91" s="51">
        <v>836</v>
      </c>
      <c r="M91" s="51">
        <v>418</v>
      </c>
      <c r="N91" s="51">
        <v>836</v>
      </c>
      <c r="O91" s="51">
        <v>418</v>
      </c>
      <c r="P91" s="51">
        <v>0</v>
      </c>
      <c r="Q91" s="51">
        <v>418</v>
      </c>
      <c r="R91" s="511">
        <v>418</v>
      </c>
      <c r="S91" s="51">
        <v>2090</v>
      </c>
      <c r="T91" s="51"/>
      <c r="U91" s="51"/>
      <c r="V91" s="51"/>
      <c r="W91" s="131">
        <f>IF(NFI_Expiration=1,IF($A91&lt;VLOOKUP(I$5,NFI,5,0),1,0)*Data_NFI_t[[#This Row],[Hygiene Kit]],0)</f>
        <v>0</v>
      </c>
      <c r="X91" s="131">
        <f>IF(NFI_Expiration=1,IF($A91&lt;VLOOKUP(J$5,NFI,5,0),1,0)*Data_NFI_t[[#This Row],[NFI Core Kit]],0)</f>
        <v>0</v>
      </c>
      <c r="Y91" s="112">
        <f>IF(NFI_Expiration=1,IF($A91&lt;VLOOKUP(K$5,NFI,5,0),1,0)*Data_NFI_t[[#This Row],[Sanitary Kit]],0)</f>
        <v>0</v>
      </c>
      <c r="Z91" s="112">
        <f>IF(NFI_Expiration=1,IF($A91&lt;VLOOKUP(L$5,NFI,5,0),1,0)*Data_NFI_t[[#This Row],[Mosquito net]],0)</f>
        <v>0</v>
      </c>
      <c r="AA91" s="112">
        <f>IF(NFI_Expiration=1,IF($A91&lt;VLOOKUP(M$5,NFI,5,0),1,0)*Data_NFI_t[[#This Row],[Tarpaulin]],0)</f>
        <v>0</v>
      </c>
      <c r="AB91" s="112">
        <f>IF(NFI_Expiration=1,IF($A91&lt;VLOOKUP(N$5,NFI,5,0),1,0)*Data_NFI_t[[#This Row],[Blanket]],0)</f>
        <v>0</v>
      </c>
      <c r="AC91" s="112">
        <f>IF(NFI_Expiration=1,IF($A91&lt;VLOOKUP(O$5,NFI,5,0),1,0)*Data_NFI_t[[#This Row],[Kitchen Set]],0)</f>
        <v>0</v>
      </c>
      <c r="AD91" s="112">
        <f>IF(NFI_Expiration=1,IF($A91&lt;VLOOKUP(P$5,NFI,5,0),1,0)*Data_NFI_t[[#This Row],[Complementary Kit]],0)</f>
        <v>0</v>
      </c>
      <c r="AE91" s="112">
        <f>IF(NFI_Expiration=1,IF($A91&lt;VLOOKUP(Q$5,NFI,5,0),1,0)*Data_NFI_t[[#This Row],[Plastic Bucket]],0)</f>
        <v>0</v>
      </c>
      <c r="AF91" s="112">
        <f>IF(NFI_Expiration=1,IF($A91&lt;VLOOKUP(R$5,NFI,5,0),1,0)*Data_NFI_t[[#This Row],[Jerry Can]],0)</f>
        <v>0</v>
      </c>
      <c r="AG91" s="131">
        <f>IF(NFI_Expiration=1,IF($A91&lt;VLOOKUP(S$5,NFI,5,0),1,0)*Data_NFI_t[[#This Row],[Plastic Mat]],0)*IF(Data_NFI_t[[#This Row],[Distribution Date]]&gt;"01-06-2015",1,2.5)</f>
        <v>0</v>
      </c>
      <c r="AH91" s="915">
        <f>IF(NFI_Expiration=1,IF($A91&lt;VLOOKUP(T$5,NFI,5,0),1,0)*Data_NFI_t[[#This Row],[Adult Clothes]],0)</f>
        <v>0</v>
      </c>
      <c r="AI91" s="131">
        <f>IF(NFI_Expiration=1,IF($A91&lt;VLOOKUP(U$5,NFI,5,0),1,0)*Data_NFI_t[[#This Row],[Children Clothes]],0)</f>
        <v>0</v>
      </c>
      <c r="AJ91" s="131">
        <f>IF(NFI_Expiration=1,IF($A91&lt;VLOOKUP(V$5,NFI,5,0),1,0)*Data_NFI_t[[#This Row],[Sewing Kit]],0)</f>
        <v>0</v>
      </c>
      <c r="AK91" s="131" t="str">
        <f ca="1">IFERROR(OFFSET(Camp_List[P_Code],MATCH(Data_NFI_t[[#This Row],[Camp Name]],Camp_List[Camp Name],0)-1,0,1,1),"")</f>
        <v>MMR012CMP112</v>
      </c>
      <c r="AL91" s="513" t="str">
        <f ca="1">IFERROR(OFFSET(Camp_List[Status],MATCH(Data_NFI_t[[#This Row],[Camp Name]],Camp_List[Camp Name],0)-1,0,1,1),"")</f>
        <v>Relocated</v>
      </c>
      <c r="AM91" s="131"/>
    </row>
    <row r="92" spans="1:39" s="90" customFormat="1" ht="19.5" customHeight="1" x14ac:dyDescent="0.25">
      <c r="A92" s="242">
        <f>IF(ISBLANK(C92),"",(Report_Date-C92)/30)</f>
        <v>22.466666666666665</v>
      </c>
      <c r="B92" s="242">
        <f>YEAR(Data_NFI_t[[#This Row],[Distribution Date]])</f>
        <v>2015</v>
      </c>
      <c r="C92" s="927">
        <v>42121</v>
      </c>
      <c r="D92" s="489" t="s">
        <v>285</v>
      </c>
      <c r="E92" s="488" t="s">
        <v>624</v>
      </c>
      <c r="F92" s="489" t="s">
        <v>7</v>
      </c>
      <c r="G92" s="794" t="s">
        <v>19</v>
      </c>
      <c r="H92" s="794" t="s">
        <v>78</v>
      </c>
      <c r="I92" s="794"/>
      <c r="J92" s="51">
        <v>72</v>
      </c>
      <c r="K92" s="51"/>
      <c r="L92" s="51">
        <v>144</v>
      </c>
      <c r="M92" s="51">
        <v>72</v>
      </c>
      <c r="N92" s="51">
        <v>144</v>
      </c>
      <c r="O92" s="51">
        <v>72</v>
      </c>
      <c r="P92" s="51"/>
      <c r="Q92" s="51">
        <v>72</v>
      </c>
      <c r="R92" s="511">
        <v>72</v>
      </c>
      <c r="S92" s="51">
        <v>360</v>
      </c>
      <c r="T92" s="51"/>
      <c r="U92" s="51"/>
      <c r="V92" s="51"/>
      <c r="W92" s="131">
        <f>IF(NFI_Expiration=1,IF($A92&lt;VLOOKUP(I$5,NFI,5,0),1,0)*Data_NFI_t[[#This Row],[Hygiene Kit]],0)</f>
        <v>0</v>
      </c>
      <c r="X92" s="131">
        <f>IF(NFI_Expiration=1,IF($A92&lt;VLOOKUP(J$5,NFI,5,0),1,0)*Data_NFI_t[[#This Row],[NFI Core Kit]],0)</f>
        <v>0</v>
      </c>
      <c r="Y92" s="112">
        <f>IF(NFI_Expiration=1,IF($A92&lt;VLOOKUP(K$5,NFI,5,0),1,0)*Data_NFI_t[[#This Row],[Sanitary Kit]],0)</f>
        <v>0</v>
      </c>
      <c r="Z92" s="112">
        <f>IF(NFI_Expiration=1,IF($A92&lt;VLOOKUP(L$5,NFI,5,0),1,0)*Data_NFI_t[[#This Row],[Mosquito net]],0)</f>
        <v>0</v>
      </c>
      <c r="AA92" s="112">
        <f>IF(NFI_Expiration=1,IF($A92&lt;VLOOKUP(M$5,NFI,5,0),1,0)*Data_NFI_t[[#This Row],[Tarpaulin]],0)</f>
        <v>0</v>
      </c>
      <c r="AB92" s="112">
        <f>IF(NFI_Expiration=1,IF($A92&lt;VLOOKUP(N$5,NFI,5,0),1,0)*Data_NFI_t[[#This Row],[Blanket]],0)</f>
        <v>0</v>
      </c>
      <c r="AC92" s="112">
        <f>IF(NFI_Expiration=1,IF($A92&lt;VLOOKUP(O$5,NFI,5,0),1,0)*Data_NFI_t[[#This Row],[Kitchen Set]],0)</f>
        <v>0</v>
      </c>
      <c r="AD92" s="112">
        <f>IF(NFI_Expiration=1,IF($A92&lt;VLOOKUP(P$5,NFI,5,0),1,0)*Data_NFI_t[[#This Row],[Complementary Kit]],0)</f>
        <v>0</v>
      </c>
      <c r="AE92" s="112">
        <f>IF(NFI_Expiration=1,IF($A92&lt;VLOOKUP(Q$5,NFI,5,0),1,0)*Data_NFI_t[[#This Row],[Plastic Bucket]],0)</f>
        <v>0</v>
      </c>
      <c r="AF92" s="112">
        <f>IF(NFI_Expiration=1,IF($A92&lt;VLOOKUP(R$5,NFI,5,0),1,0)*Data_NFI_t[[#This Row],[Jerry Can]],0)</f>
        <v>0</v>
      </c>
      <c r="AG92" s="131">
        <f>IF(NFI_Expiration=1,IF($A92&lt;VLOOKUP(S$5,NFI,5,0),1,0)*Data_NFI_t[[#This Row],[Plastic Mat]],0)*IF(Data_NFI_t[[#This Row],[Distribution Date]]&gt;"01-06-2015",1,2.5)</f>
        <v>0</v>
      </c>
      <c r="AH92" s="915">
        <f>IF(NFI_Expiration=1,IF($A92&lt;VLOOKUP(T$5,NFI,5,0),1,0)*Data_NFI_t[[#This Row],[Adult Clothes]],0)</f>
        <v>0</v>
      </c>
      <c r="AI92" s="131">
        <f>IF(NFI_Expiration=1,IF($A92&lt;VLOOKUP(U$5,NFI,5,0),1,0)*Data_NFI_t[[#This Row],[Children Clothes]],0)</f>
        <v>0</v>
      </c>
      <c r="AJ92" s="131">
        <f>IF(NFI_Expiration=1,IF($A92&lt;VLOOKUP(V$5,NFI,5,0),1,0)*Data_NFI_t[[#This Row],[Sewing Kit]],0)</f>
        <v>0</v>
      </c>
      <c r="AK92" s="131" t="str">
        <f ca="1">IFERROR(OFFSET(Camp_List[P_Code],MATCH(Data_NFI_t[[#This Row],[Camp Name]],Camp_List[Camp Name],0)-1,0,1,1),"")</f>
        <v>MMR012CMP056</v>
      </c>
      <c r="AL92" s="513" t="str">
        <f ca="1">IFERROR(OFFSET(Camp_List[Status],MATCH(Data_NFI_t[[#This Row],[Camp Name]],Camp_List[Camp Name],0)-1,0,1,1),"")</f>
        <v>Relocated</v>
      </c>
      <c r="AM92" s="131"/>
    </row>
    <row r="93" spans="1:39" s="90" customFormat="1" ht="19.5" customHeight="1" x14ac:dyDescent="0.25">
      <c r="A93" s="242">
        <f>IF(ISBLANK(C93),"",(Report_Date-C93)/30)</f>
        <v>22.466666666666665</v>
      </c>
      <c r="B93" s="242">
        <f>YEAR(Data_NFI_t[[#This Row],[Distribution Date]])</f>
        <v>2015</v>
      </c>
      <c r="C93" s="927">
        <v>42121</v>
      </c>
      <c r="D93" s="489" t="s">
        <v>285</v>
      </c>
      <c r="E93" s="488" t="s">
        <v>624</v>
      </c>
      <c r="F93" s="489" t="s">
        <v>7</v>
      </c>
      <c r="G93" s="794" t="s">
        <v>19</v>
      </c>
      <c r="H93" s="794" t="s">
        <v>245</v>
      </c>
      <c r="I93" s="794"/>
      <c r="J93" s="51">
        <v>151</v>
      </c>
      <c r="K93" s="51"/>
      <c r="L93" s="51">
        <v>302</v>
      </c>
      <c r="M93" s="51">
        <v>151</v>
      </c>
      <c r="N93" s="51">
        <v>302</v>
      </c>
      <c r="O93" s="51">
        <v>151</v>
      </c>
      <c r="P93" s="51"/>
      <c r="Q93" s="51">
        <v>151</v>
      </c>
      <c r="R93" s="511">
        <v>151</v>
      </c>
      <c r="S93" s="51">
        <v>755</v>
      </c>
      <c r="T93" s="51"/>
      <c r="U93" s="51"/>
      <c r="V93" s="51"/>
      <c r="W93" s="131">
        <f>IF(NFI_Expiration=1,IF($A93&lt;VLOOKUP(I$5,NFI,5,0),1,0)*Data_NFI_t[[#This Row],[Hygiene Kit]],0)</f>
        <v>0</v>
      </c>
      <c r="X93" s="131">
        <f>IF(NFI_Expiration=1,IF($A93&lt;VLOOKUP(J$5,NFI,5,0),1,0)*Data_NFI_t[[#This Row],[NFI Core Kit]],0)</f>
        <v>0</v>
      </c>
      <c r="Y93" s="112">
        <f>IF(NFI_Expiration=1,IF($A93&lt;VLOOKUP(K$5,NFI,5,0),1,0)*Data_NFI_t[[#This Row],[Sanitary Kit]],0)</f>
        <v>0</v>
      </c>
      <c r="Z93" s="112">
        <f>IF(NFI_Expiration=1,IF($A93&lt;VLOOKUP(L$5,NFI,5,0),1,0)*Data_NFI_t[[#This Row],[Mosquito net]],0)</f>
        <v>0</v>
      </c>
      <c r="AA93" s="112">
        <f>IF(NFI_Expiration=1,IF($A93&lt;VLOOKUP(M$5,NFI,5,0),1,0)*Data_NFI_t[[#This Row],[Tarpaulin]],0)</f>
        <v>0</v>
      </c>
      <c r="AB93" s="112">
        <f>IF(NFI_Expiration=1,IF($A93&lt;VLOOKUP(N$5,NFI,5,0),1,0)*Data_NFI_t[[#This Row],[Blanket]],0)</f>
        <v>0</v>
      </c>
      <c r="AC93" s="112">
        <f>IF(NFI_Expiration=1,IF($A93&lt;VLOOKUP(O$5,NFI,5,0),1,0)*Data_NFI_t[[#This Row],[Kitchen Set]],0)</f>
        <v>0</v>
      </c>
      <c r="AD93" s="112">
        <f>IF(NFI_Expiration=1,IF($A93&lt;VLOOKUP(P$5,NFI,5,0),1,0)*Data_NFI_t[[#This Row],[Complementary Kit]],0)</f>
        <v>0</v>
      </c>
      <c r="AE93" s="112">
        <f>IF(NFI_Expiration=1,IF($A93&lt;VLOOKUP(Q$5,NFI,5,0),1,0)*Data_NFI_t[[#This Row],[Plastic Bucket]],0)</f>
        <v>0</v>
      </c>
      <c r="AF93" s="112">
        <f>IF(NFI_Expiration=1,IF($A93&lt;VLOOKUP(R$5,NFI,5,0),1,0)*Data_NFI_t[[#This Row],[Jerry Can]],0)</f>
        <v>0</v>
      </c>
      <c r="AG93" s="131">
        <f>IF(NFI_Expiration=1,IF($A93&lt;VLOOKUP(S$5,NFI,5,0),1,0)*Data_NFI_t[[#This Row],[Plastic Mat]],0)*IF(Data_NFI_t[[#This Row],[Distribution Date]]&gt;"01-06-2015",1,2.5)</f>
        <v>0</v>
      </c>
      <c r="AH93" s="915">
        <f>IF(NFI_Expiration=1,IF($A93&lt;VLOOKUP(T$5,NFI,5,0),1,0)*Data_NFI_t[[#This Row],[Adult Clothes]],0)</f>
        <v>0</v>
      </c>
      <c r="AI93" s="131">
        <f>IF(NFI_Expiration=1,IF($A93&lt;VLOOKUP(U$5,NFI,5,0),1,0)*Data_NFI_t[[#This Row],[Children Clothes]],0)</f>
        <v>0</v>
      </c>
      <c r="AJ93" s="131">
        <f>IF(NFI_Expiration=1,IF($A93&lt;VLOOKUP(V$5,NFI,5,0),1,0)*Data_NFI_t[[#This Row],[Sewing Kit]],0)</f>
        <v>0</v>
      </c>
      <c r="AK93" s="131" t="str">
        <f ca="1">IFERROR(OFFSET(Camp_List[P_Code],MATCH(Data_NFI_t[[#This Row],[Camp Name]],Camp_List[Camp Name],0)-1,0,1,1),"")</f>
        <v>MMR012CMP093</v>
      </c>
      <c r="AL93" s="513" t="str">
        <f ca="1">IFERROR(OFFSET(Camp_List[Status],MATCH(Data_NFI_t[[#This Row],[Camp Name]],Camp_List[Camp Name],0)-1,0,1,1),"")</f>
        <v>Relocated</v>
      </c>
      <c r="AM93" s="131"/>
    </row>
    <row r="94" spans="1:39" s="90" customFormat="1" ht="19.5" customHeight="1" x14ac:dyDescent="0.25">
      <c r="A94" s="242">
        <f>IF(ISBLANK(C94),"",(Report_Date-C94)/30)</f>
        <v>23.9</v>
      </c>
      <c r="B94" s="242">
        <f>YEAR(Data_NFI_t[[#This Row],[Distribution Date]])</f>
        <v>2015</v>
      </c>
      <c r="C94" s="927">
        <v>42078</v>
      </c>
      <c r="D94" s="489" t="s">
        <v>515</v>
      </c>
      <c r="E94" s="488" t="s">
        <v>515</v>
      </c>
      <c r="F94" s="489" t="s">
        <v>7</v>
      </c>
      <c r="G94" s="794" t="s">
        <v>19</v>
      </c>
      <c r="H94" s="794" t="s">
        <v>70</v>
      </c>
      <c r="I94" s="794">
        <v>1020</v>
      </c>
      <c r="J94" s="51"/>
      <c r="K94" s="51"/>
      <c r="L94" s="51"/>
      <c r="M94" s="51"/>
      <c r="N94" s="51"/>
      <c r="O94" s="51"/>
      <c r="P94" s="51"/>
      <c r="Q94" s="51"/>
      <c r="R94" s="511"/>
      <c r="S94" s="51"/>
      <c r="T94" s="51"/>
      <c r="U94" s="51"/>
      <c r="V94" s="51"/>
      <c r="W94" s="131">
        <f>IF(NFI_Expiration=1,IF($A94&lt;VLOOKUP(I$5,NFI,5,0),1,0)*Data_NFI_t[[#This Row],[Hygiene Kit]],0)</f>
        <v>0</v>
      </c>
      <c r="X94" s="131">
        <f>IF(NFI_Expiration=1,IF($A94&lt;VLOOKUP(J$5,NFI,5,0),1,0)*Data_NFI_t[[#This Row],[NFI Core Kit]],0)</f>
        <v>0</v>
      </c>
      <c r="Y94" s="112">
        <f>IF(NFI_Expiration=1,IF($A94&lt;VLOOKUP(K$5,NFI,5,0),1,0)*Data_NFI_t[[#This Row],[Sanitary Kit]],0)</f>
        <v>0</v>
      </c>
      <c r="Z94" s="112">
        <f>IF(NFI_Expiration=1,IF($A94&lt;VLOOKUP(L$5,NFI,5,0),1,0)*Data_NFI_t[[#This Row],[Mosquito net]],0)</f>
        <v>0</v>
      </c>
      <c r="AA94" s="112">
        <f>IF(NFI_Expiration=1,IF($A94&lt;VLOOKUP(M$5,NFI,5,0),1,0)*Data_NFI_t[[#This Row],[Tarpaulin]],0)</f>
        <v>0</v>
      </c>
      <c r="AB94" s="112">
        <f>IF(NFI_Expiration=1,IF($A94&lt;VLOOKUP(N$5,NFI,5,0),1,0)*Data_NFI_t[[#This Row],[Blanket]],0)</f>
        <v>0</v>
      </c>
      <c r="AC94" s="112">
        <f>IF(NFI_Expiration=1,IF($A94&lt;VLOOKUP(O$5,NFI,5,0),1,0)*Data_NFI_t[[#This Row],[Kitchen Set]],0)</f>
        <v>0</v>
      </c>
      <c r="AD94" s="112">
        <f>IF(NFI_Expiration=1,IF($A94&lt;VLOOKUP(P$5,NFI,5,0),1,0)*Data_NFI_t[[#This Row],[Complementary Kit]],0)</f>
        <v>0</v>
      </c>
      <c r="AE94" s="112">
        <f>IF(NFI_Expiration=1,IF($A94&lt;VLOOKUP(Q$5,NFI,5,0),1,0)*Data_NFI_t[[#This Row],[Plastic Bucket]],0)</f>
        <v>0</v>
      </c>
      <c r="AF94" s="112">
        <f>IF(NFI_Expiration=1,IF($A94&lt;VLOOKUP(R$5,NFI,5,0),1,0)*Data_NFI_t[[#This Row],[Jerry Can]],0)</f>
        <v>0</v>
      </c>
      <c r="AG94" s="131">
        <f>IF(NFI_Expiration=1,IF($A94&lt;VLOOKUP(S$5,NFI,5,0),1,0)*Data_NFI_t[[#This Row],[Plastic Mat]],0)*IF(Data_NFI_t[[#This Row],[Distribution Date]]&gt;"01-06-2015",1,2.5)</f>
        <v>0</v>
      </c>
      <c r="AH94" s="915">
        <f>IF(NFI_Expiration=1,IF($A94&lt;VLOOKUP(T$5,NFI,5,0),1,0)*Data_NFI_t[[#This Row],[Adult Clothes]],0)</f>
        <v>0</v>
      </c>
      <c r="AI94" s="131">
        <f>IF(NFI_Expiration=1,IF($A94&lt;VLOOKUP(U$5,NFI,5,0),1,0)*Data_NFI_t[[#This Row],[Children Clothes]],0)</f>
        <v>0</v>
      </c>
      <c r="AJ94" s="131">
        <f>IF(NFI_Expiration=1,IF($A94&lt;VLOOKUP(V$5,NFI,5,0),1,0)*Data_NFI_t[[#This Row],[Sewing Kit]],0)</f>
        <v>0</v>
      </c>
      <c r="AK94" s="131" t="str">
        <f ca="1">IFERROR(OFFSET(Camp_List[P_Code],MATCH(Data_NFI_t[[#This Row],[Camp Name]],Camp_List[Camp Name],0)-1,0,1,1),"")</f>
        <v>MMR012CMP048</v>
      </c>
      <c r="AL94" s="513" t="str">
        <f ca="1">IFERROR(OFFSET(Camp_List[Status],MATCH(Data_NFI_t[[#This Row],[Camp Name]],Camp_List[Camp Name],0)-1,0,1,1),"")</f>
        <v>Open</v>
      </c>
      <c r="AM94" s="131"/>
    </row>
    <row r="95" spans="1:39" s="90" customFormat="1" ht="19.5" customHeight="1" x14ac:dyDescent="0.25">
      <c r="A95" s="242">
        <f>IF(ISBLANK(C95),"",(Report_Date-C95)/30)</f>
        <v>24.233333333333334</v>
      </c>
      <c r="B95" s="242">
        <v>2015</v>
      </c>
      <c r="C95" s="927">
        <v>42068</v>
      </c>
      <c r="D95" s="489" t="s">
        <v>285</v>
      </c>
      <c r="E95" s="488" t="s">
        <v>285</v>
      </c>
      <c r="F95" s="489" t="s">
        <v>7</v>
      </c>
      <c r="G95" s="794" t="s">
        <v>20</v>
      </c>
      <c r="H95" s="794" t="s">
        <v>105</v>
      </c>
      <c r="I95" s="794">
        <v>0</v>
      </c>
      <c r="J95" s="51">
        <v>43</v>
      </c>
      <c r="K95" s="51">
        <v>43</v>
      </c>
      <c r="L95" s="51">
        <v>86</v>
      </c>
      <c r="M95" s="51">
        <v>0</v>
      </c>
      <c r="N95" s="51">
        <v>86</v>
      </c>
      <c r="O95" s="51">
        <v>33</v>
      </c>
      <c r="P95" s="51">
        <v>0</v>
      </c>
      <c r="Q95" s="51">
        <v>43</v>
      </c>
      <c r="R95" s="511">
        <v>43</v>
      </c>
      <c r="S95" s="51">
        <v>165</v>
      </c>
      <c r="T95" s="51"/>
      <c r="U95" s="51"/>
      <c r="V95" s="51"/>
      <c r="W95" s="131">
        <f>IF(NFI_Expiration=1,IF($A95&lt;VLOOKUP(I$5,NFI,5,0),1,0)*Data_NFI_t[[#This Row],[Hygiene Kit]],0)</f>
        <v>0</v>
      </c>
      <c r="X95" s="131">
        <f>IF(NFI_Expiration=1,IF($A95&lt;VLOOKUP(J$5,NFI,5,0),1,0)*Data_NFI_t[[#This Row],[NFI Core Kit]],0)</f>
        <v>0</v>
      </c>
      <c r="Y95" s="112">
        <f>IF(NFI_Expiration=1,IF($A95&lt;VLOOKUP(K$5,NFI,5,0),1,0)*Data_NFI_t[[#This Row],[Sanitary Kit]],0)</f>
        <v>0</v>
      </c>
      <c r="Z95" s="112">
        <f>IF(NFI_Expiration=1,IF($A95&lt;VLOOKUP(L$5,NFI,5,0),1,0)*Data_NFI_t[[#This Row],[Mosquito net]],0)</f>
        <v>0</v>
      </c>
      <c r="AA95" s="112">
        <f>IF(NFI_Expiration=1,IF($A95&lt;VLOOKUP(M$5,NFI,5,0),1,0)*Data_NFI_t[[#This Row],[Tarpaulin]],0)</f>
        <v>0</v>
      </c>
      <c r="AB95" s="112">
        <f>IF(NFI_Expiration=1,IF($A95&lt;VLOOKUP(N$5,NFI,5,0),1,0)*Data_NFI_t[[#This Row],[Blanket]],0)</f>
        <v>0</v>
      </c>
      <c r="AC95" s="112">
        <f>IF(NFI_Expiration=1,IF($A95&lt;VLOOKUP(O$5,NFI,5,0),1,0)*Data_NFI_t[[#This Row],[Kitchen Set]],0)</f>
        <v>0</v>
      </c>
      <c r="AD95" s="112">
        <f>IF(NFI_Expiration=1,IF($A95&lt;VLOOKUP(P$5,NFI,5,0),1,0)*Data_NFI_t[[#This Row],[Complementary Kit]],0)</f>
        <v>0</v>
      </c>
      <c r="AE95" s="112">
        <f>IF(NFI_Expiration=1,IF($A95&lt;VLOOKUP(Q$5,NFI,5,0),1,0)*Data_NFI_t[[#This Row],[Plastic Bucket]],0)</f>
        <v>0</v>
      </c>
      <c r="AF95" s="112">
        <f>IF(NFI_Expiration=1,IF($A95&lt;VLOOKUP(R$5,NFI,5,0),1,0)*Data_NFI_t[[#This Row],[Jerry Can]],0)</f>
        <v>0</v>
      </c>
      <c r="AG95" s="131">
        <f>IF(NFI_Expiration=1,IF($A95&lt;VLOOKUP(S$5,NFI,5,0),1,0)*Data_NFI_t[[#This Row],[Plastic Mat]],0)*IF(Data_NFI_t[[#This Row],[Distribution Date]]&gt;"01-06-2015",1,2.5)</f>
        <v>0</v>
      </c>
      <c r="AH95" s="915">
        <f>IF(NFI_Expiration=1,IF($A95&lt;VLOOKUP(T$5,NFI,5,0),1,0)*Data_NFI_t[[#This Row],[Adult Clothes]],0)</f>
        <v>0</v>
      </c>
      <c r="AI95" s="131">
        <f>IF(NFI_Expiration=1,IF($A95&lt;VLOOKUP(U$5,NFI,5,0),1,0)*Data_NFI_t[[#This Row],[Children Clothes]],0)</f>
        <v>0</v>
      </c>
      <c r="AJ95" s="131">
        <f>IF(NFI_Expiration=1,IF($A95&lt;VLOOKUP(V$5,NFI,5,0),1,0)*Data_NFI_t[[#This Row],[Sewing Kit]],0)</f>
        <v>0</v>
      </c>
      <c r="AK95" s="131" t="str">
        <f ca="1">IFERROR(OFFSET(Camp_List[P_Code],MATCH(Data_NFI_t[[#This Row],[Camp Name]],Camp_List[Camp Name],0)-1,0,1,1),"")</f>
        <v>MMR012CMP084</v>
      </c>
      <c r="AL95" s="513" t="str">
        <f ca="1">IFERROR(OFFSET(Camp_List[Status],MATCH(Data_NFI_t[[#This Row],[Camp Name]],Camp_List[Camp Name],0)-1,0,1,1),"")</f>
        <v>Open</v>
      </c>
      <c r="AM95" s="131"/>
    </row>
    <row r="96" spans="1:39" s="90" customFormat="1" ht="19.5" customHeight="1" x14ac:dyDescent="0.25">
      <c r="A96" s="242">
        <f>IF(ISBLANK(C96),"",(Report_Date-C96)/30)</f>
        <v>24.366666666666667</v>
      </c>
      <c r="B96" s="242">
        <f>YEAR(Data_NFI_t[[#This Row],[Distribution Date]])</f>
        <v>2015</v>
      </c>
      <c r="C96" s="927">
        <v>42064</v>
      </c>
      <c r="D96" s="489" t="s">
        <v>707</v>
      </c>
      <c r="E96" s="488" t="s">
        <v>707</v>
      </c>
      <c r="F96" s="489" t="s">
        <v>7</v>
      </c>
      <c r="G96" s="794" t="s">
        <v>867</v>
      </c>
      <c r="H96" s="794" t="s">
        <v>37</v>
      </c>
      <c r="I96" s="794">
        <v>42</v>
      </c>
      <c r="J96" s="51"/>
      <c r="K96" s="51"/>
      <c r="L96" s="51"/>
      <c r="M96" s="51"/>
      <c r="N96" s="51"/>
      <c r="O96" s="51"/>
      <c r="P96" s="51"/>
      <c r="Q96" s="51"/>
      <c r="R96" s="511"/>
      <c r="S96" s="51"/>
      <c r="T96" s="51"/>
      <c r="U96" s="51"/>
      <c r="V96" s="51"/>
      <c r="W96" s="131">
        <f>IF(NFI_Expiration=1,IF($A96&lt;VLOOKUP(I$5,NFI,5,0),1,0)*Data_NFI_t[[#This Row],[Hygiene Kit]],0)</f>
        <v>0</v>
      </c>
      <c r="X96" s="131">
        <f>IF(NFI_Expiration=1,IF($A96&lt;VLOOKUP(J$5,NFI,5,0),1,0)*Data_NFI_t[[#This Row],[NFI Core Kit]],0)</f>
        <v>0</v>
      </c>
      <c r="Y96" s="112">
        <f>IF(NFI_Expiration=1,IF($A96&lt;VLOOKUP(K$5,NFI,5,0),1,0)*Data_NFI_t[[#This Row],[Sanitary Kit]],0)</f>
        <v>0</v>
      </c>
      <c r="Z96" s="112">
        <f>IF(NFI_Expiration=1,IF($A96&lt;VLOOKUP(L$5,NFI,5,0),1,0)*Data_NFI_t[[#This Row],[Mosquito net]],0)</f>
        <v>0</v>
      </c>
      <c r="AA96" s="112">
        <f>IF(NFI_Expiration=1,IF($A96&lt;VLOOKUP(M$5,NFI,5,0),1,0)*Data_NFI_t[[#This Row],[Tarpaulin]],0)</f>
        <v>0</v>
      </c>
      <c r="AB96" s="112">
        <f>IF(NFI_Expiration=1,IF($A96&lt;VLOOKUP(N$5,NFI,5,0),1,0)*Data_NFI_t[[#This Row],[Blanket]],0)</f>
        <v>0</v>
      </c>
      <c r="AC96" s="112">
        <f>IF(NFI_Expiration=1,IF($A96&lt;VLOOKUP(O$5,NFI,5,0),1,0)*Data_NFI_t[[#This Row],[Kitchen Set]],0)</f>
        <v>0</v>
      </c>
      <c r="AD96" s="112">
        <f>IF(NFI_Expiration=1,IF($A96&lt;VLOOKUP(P$5,NFI,5,0),1,0)*Data_NFI_t[[#This Row],[Complementary Kit]],0)</f>
        <v>0</v>
      </c>
      <c r="AE96" s="112">
        <f>IF(NFI_Expiration=1,IF($A96&lt;VLOOKUP(Q$5,NFI,5,0),1,0)*Data_NFI_t[[#This Row],[Plastic Bucket]],0)</f>
        <v>0</v>
      </c>
      <c r="AF96" s="112">
        <f>IF(NFI_Expiration=1,IF($A96&lt;VLOOKUP(R$5,NFI,5,0),1,0)*Data_NFI_t[[#This Row],[Jerry Can]],0)</f>
        <v>0</v>
      </c>
      <c r="AG96" s="131">
        <f>IF(NFI_Expiration=1,IF($A96&lt;VLOOKUP(S$5,NFI,5,0),1,0)*Data_NFI_t[[#This Row],[Plastic Mat]],0)*IF(Data_NFI_t[[#This Row],[Distribution Date]]&gt;"01-06-2015",1,2.5)</f>
        <v>0</v>
      </c>
      <c r="AH96" s="915">
        <f>IF(NFI_Expiration=1,IF($A96&lt;VLOOKUP(T$5,NFI,5,0),1,0)*Data_NFI_t[[#This Row],[Adult Clothes]],0)</f>
        <v>0</v>
      </c>
      <c r="AI96" s="131">
        <f>IF(NFI_Expiration=1,IF($A96&lt;VLOOKUP(U$5,NFI,5,0),1,0)*Data_NFI_t[[#This Row],[Children Clothes]],0)</f>
        <v>0</v>
      </c>
      <c r="AJ96" s="131">
        <f>IF(NFI_Expiration=1,IF($A96&lt;VLOOKUP(V$5,NFI,5,0),1,0)*Data_NFI_t[[#This Row],[Sewing Kit]],0)</f>
        <v>0</v>
      </c>
      <c r="AK96" s="131" t="str">
        <f ca="1">IFERROR(OFFSET(Camp_List[P_Code],MATCH(Data_NFI_t[[#This Row],[Camp Name]],Camp_List[Camp Name],0)-1,0,1,1),"")</f>
        <v>MMR012CMP013</v>
      </c>
      <c r="AL96" s="513" t="str">
        <f ca="1">IFERROR(OFFSET(Camp_List[Status],MATCH(Data_NFI_t[[#This Row],[Camp Name]],Camp_List[Camp Name],0)-1,0,1,1),"")</f>
        <v>Relocated</v>
      </c>
      <c r="AM96" s="131"/>
    </row>
    <row r="97" spans="1:39" s="90" customFormat="1" ht="19.5" customHeight="1" x14ac:dyDescent="0.25">
      <c r="A97" s="242">
        <f>IF(ISBLANK(C97),"",(Report_Date-C97)/30)</f>
        <v>24.366666666666667</v>
      </c>
      <c r="B97" s="242">
        <f>YEAR(Data_NFI_t[[#This Row],[Distribution Date]])</f>
        <v>2015</v>
      </c>
      <c r="C97" s="927">
        <v>42064</v>
      </c>
      <c r="D97" s="489" t="s">
        <v>707</v>
      </c>
      <c r="E97" s="488" t="s">
        <v>707</v>
      </c>
      <c r="F97" s="489" t="s">
        <v>7</v>
      </c>
      <c r="G97" s="794" t="s">
        <v>867</v>
      </c>
      <c r="H97" s="794" t="s">
        <v>38</v>
      </c>
      <c r="I97" s="794">
        <v>682</v>
      </c>
      <c r="J97" s="51"/>
      <c r="K97" s="51"/>
      <c r="L97" s="51"/>
      <c r="M97" s="51"/>
      <c r="N97" s="51"/>
      <c r="O97" s="51"/>
      <c r="P97" s="51"/>
      <c r="Q97" s="51"/>
      <c r="R97" s="511"/>
      <c r="S97" s="51"/>
      <c r="T97" s="51"/>
      <c r="U97" s="51"/>
      <c r="V97" s="51"/>
      <c r="W97" s="131">
        <f>IF(NFI_Expiration=1,IF($A97&lt;VLOOKUP(I$5,NFI,5,0),1,0)*Data_NFI_t[[#This Row],[Hygiene Kit]],0)</f>
        <v>0</v>
      </c>
      <c r="X97" s="131">
        <f>IF(NFI_Expiration=1,IF($A97&lt;VLOOKUP(J$5,NFI,5,0),1,0)*Data_NFI_t[[#This Row],[NFI Core Kit]],0)</f>
        <v>0</v>
      </c>
      <c r="Y97" s="112">
        <f>IF(NFI_Expiration=1,IF($A97&lt;VLOOKUP(K$5,NFI,5,0),1,0)*Data_NFI_t[[#This Row],[Sanitary Kit]],0)</f>
        <v>0</v>
      </c>
      <c r="Z97" s="112">
        <f>IF(NFI_Expiration=1,IF($A97&lt;VLOOKUP(L$5,NFI,5,0),1,0)*Data_NFI_t[[#This Row],[Mosquito net]],0)</f>
        <v>0</v>
      </c>
      <c r="AA97" s="112">
        <f>IF(NFI_Expiration=1,IF($A97&lt;VLOOKUP(M$5,NFI,5,0),1,0)*Data_NFI_t[[#This Row],[Tarpaulin]],0)</f>
        <v>0</v>
      </c>
      <c r="AB97" s="112">
        <f>IF(NFI_Expiration=1,IF($A97&lt;VLOOKUP(N$5,NFI,5,0),1,0)*Data_NFI_t[[#This Row],[Blanket]],0)</f>
        <v>0</v>
      </c>
      <c r="AC97" s="112">
        <f>IF(NFI_Expiration=1,IF($A97&lt;VLOOKUP(O$5,NFI,5,0),1,0)*Data_NFI_t[[#This Row],[Kitchen Set]],0)</f>
        <v>0</v>
      </c>
      <c r="AD97" s="112">
        <f>IF(NFI_Expiration=1,IF($A97&lt;VLOOKUP(P$5,NFI,5,0),1,0)*Data_NFI_t[[#This Row],[Complementary Kit]],0)</f>
        <v>0</v>
      </c>
      <c r="AE97" s="112">
        <f>IF(NFI_Expiration=1,IF($A97&lt;VLOOKUP(Q$5,NFI,5,0),1,0)*Data_NFI_t[[#This Row],[Plastic Bucket]],0)</f>
        <v>0</v>
      </c>
      <c r="AF97" s="112">
        <f>IF(NFI_Expiration=1,IF($A97&lt;VLOOKUP(R$5,NFI,5,0),1,0)*Data_NFI_t[[#This Row],[Jerry Can]],0)</f>
        <v>0</v>
      </c>
      <c r="AG97" s="131">
        <f>IF(NFI_Expiration=1,IF($A97&lt;VLOOKUP(S$5,NFI,5,0),1,0)*Data_NFI_t[[#This Row],[Plastic Mat]],0)*IF(Data_NFI_t[[#This Row],[Distribution Date]]&gt;"01-06-2015",1,2.5)</f>
        <v>0</v>
      </c>
      <c r="AH97" s="915">
        <f>IF(NFI_Expiration=1,IF($A97&lt;VLOOKUP(T$5,NFI,5,0),1,0)*Data_NFI_t[[#This Row],[Adult Clothes]],0)</f>
        <v>0</v>
      </c>
      <c r="AI97" s="131">
        <f>IF(NFI_Expiration=1,IF($A97&lt;VLOOKUP(U$5,NFI,5,0),1,0)*Data_NFI_t[[#This Row],[Children Clothes]],0)</f>
        <v>0</v>
      </c>
      <c r="AJ97" s="131">
        <f>IF(NFI_Expiration=1,IF($A97&lt;VLOOKUP(V$5,NFI,5,0),1,0)*Data_NFI_t[[#This Row],[Sewing Kit]],0)</f>
        <v>0</v>
      </c>
      <c r="AK97" s="131" t="str">
        <f ca="1">IFERROR(OFFSET(Camp_List[P_Code],MATCH(Data_NFI_t[[#This Row],[Camp Name]],Camp_List[Camp Name],0)-1,0,1,1),"")</f>
        <v>MMR012CMP014</v>
      </c>
      <c r="AL97" s="513" t="str">
        <f ca="1">IFERROR(OFFSET(Camp_List[Status],MATCH(Data_NFI_t[[#This Row],[Camp Name]],Camp_List[Camp Name],0)-1,0,1,1),"")</f>
        <v>Open</v>
      </c>
      <c r="AM97" s="131"/>
    </row>
    <row r="98" spans="1:39" s="90" customFormat="1" ht="19.5" customHeight="1" x14ac:dyDescent="0.25">
      <c r="A98" s="242">
        <f>IF(ISBLANK(C98),"",(Report_Date-C98)/30)</f>
        <v>24.666666666666668</v>
      </c>
      <c r="B98" s="242">
        <f>YEAR(Data_NFI_t[[#This Row],[Distribution Date]])</f>
        <v>2015</v>
      </c>
      <c r="C98" s="927">
        <v>42055</v>
      </c>
      <c r="D98" s="489" t="s">
        <v>519</v>
      </c>
      <c r="E98" s="488" t="s">
        <v>519</v>
      </c>
      <c r="F98" s="489" t="s">
        <v>7</v>
      </c>
      <c r="G98" s="794" t="s">
        <v>19</v>
      </c>
      <c r="H98" s="794" t="s">
        <v>639</v>
      </c>
      <c r="I98" s="794">
        <v>249</v>
      </c>
      <c r="J98" s="51"/>
      <c r="K98" s="51"/>
      <c r="L98" s="51"/>
      <c r="M98" s="51"/>
      <c r="N98" s="51"/>
      <c r="O98" s="51"/>
      <c r="P98" s="51"/>
      <c r="Q98" s="51"/>
      <c r="R98" s="511"/>
      <c r="S98" s="51"/>
      <c r="T98" s="51"/>
      <c r="U98" s="51"/>
      <c r="V98" s="51"/>
      <c r="W98" s="131">
        <f>IF(NFI_Expiration=1,IF($A98&lt;VLOOKUP(I$5,NFI,5,0),1,0)*Data_NFI_t[[#This Row],[Hygiene Kit]],0)</f>
        <v>0</v>
      </c>
      <c r="X98" s="131">
        <f>IF(NFI_Expiration=1,IF($A98&lt;VLOOKUP(J$5,NFI,5,0),1,0)*Data_NFI_t[[#This Row],[NFI Core Kit]],0)</f>
        <v>0</v>
      </c>
      <c r="Y98" s="112">
        <f>IF(NFI_Expiration=1,IF($A98&lt;VLOOKUP(K$5,NFI,5,0),1,0)*Data_NFI_t[[#This Row],[Sanitary Kit]],0)</f>
        <v>0</v>
      </c>
      <c r="Z98" s="112">
        <f>IF(NFI_Expiration=1,IF($A98&lt;VLOOKUP(L$5,NFI,5,0),1,0)*Data_NFI_t[[#This Row],[Mosquito net]],0)</f>
        <v>0</v>
      </c>
      <c r="AA98" s="112">
        <f>IF(NFI_Expiration=1,IF($A98&lt;VLOOKUP(M$5,NFI,5,0),1,0)*Data_NFI_t[[#This Row],[Tarpaulin]],0)</f>
        <v>0</v>
      </c>
      <c r="AB98" s="112">
        <f>IF(NFI_Expiration=1,IF($A98&lt;VLOOKUP(N$5,NFI,5,0),1,0)*Data_NFI_t[[#This Row],[Blanket]],0)</f>
        <v>0</v>
      </c>
      <c r="AC98" s="112">
        <f>IF(NFI_Expiration=1,IF($A98&lt;VLOOKUP(O$5,NFI,5,0),1,0)*Data_NFI_t[[#This Row],[Kitchen Set]],0)</f>
        <v>0</v>
      </c>
      <c r="AD98" s="112">
        <f>IF(NFI_Expiration=1,IF($A98&lt;VLOOKUP(P$5,NFI,5,0),1,0)*Data_NFI_t[[#This Row],[Complementary Kit]],0)</f>
        <v>0</v>
      </c>
      <c r="AE98" s="112">
        <f>IF(NFI_Expiration=1,IF($A98&lt;VLOOKUP(Q$5,NFI,5,0),1,0)*Data_NFI_t[[#This Row],[Plastic Bucket]],0)</f>
        <v>0</v>
      </c>
      <c r="AF98" s="112">
        <f>IF(NFI_Expiration=1,IF($A98&lt;VLOOKUP(R$5,NFI,5,0),1,0)*Data_NFI_t[[#This Row],[Jerry Can]],0)</f>
        <v>0</v>
      </c>
      <c r="AG98" s="131">
        <f>IF(NFI_Expiration=1,IF($A98&lt;VLOOKUP(S$5,NFI,5,0),1,0)*Data_NFI_t[[#This Row],[Plastic Mat]],0)*IF(Data_NFI_t[[#This Row],[Distribution Date]]&gt;"01-06-2015",1,2.5)</f>
        <v>0</v>
      </c>
      <c r="AH98" s="915">
        <f>IF(NFI_Expiration=1,IF($A98&lt;VLOOKUP(T$5,NFI,5,0),1,0)*Data_NFI_t[[#This Row],[Adult Clothes]],0)</f>
        <v>0</v>
      </c>
      <c r="AI98" s="131">
        <f>IF(NFI_Expiration=1,IF($A98&lt;VLOOKUP(U$5,NFI,5,0),1,0)*Data_NFI_t[[#This Row],[Children Clothes]],0)</f>
        <v>0</v>
      </c>
      <c r="AJ98" s="131">
        <f>IF(NFI_Expiration=1,IF($A98&lt;VLOOKUP(V$5,NFI,5,0),1,0)*Data_NFI_t[[#This Row],[Sewing Kit]],0)</f>
        <v>0</v>
      </c>
      <c r="AK98" s="131" t="str">
        <f ca="1">IFERROR(OFFSET(Camp_List[P_Code],MATCH(Data_NFI_t[[#This Row],[Camp Name]],Camp_List[Camp Name],0)-1,0,1,1),"")</f>
        <v>MMR012CMP111</v>
      </c>
      <c r="AL98" s="513" t="str">
        <f ca="1">IFERROR(OFFSET(Camp_List[Status],MATCH(Data_NFI_t[[#This Row],[Camp Name]],Camp_List[Camp Name],0)-1,0,1,1),"")</f>
        <v>Relocated</v>
      </c>
      <c r="AM98" s="131"/>
    </row>
    <row r="99" spans="1:39" s="90" customFormat="1" ht="19.5" customHeight="1" x14ac:dyDescent="0.25">
      <c r="A99" s="242">
        <f>IF(ISBLANK(C99),"",(Report_Date-C99)/30)</f>
        <v>25.3</v>
      </c>
      <c r="B99" s="242">
        <f>YEAR(Data_NFI_t[[#This Row],[Distribution Date]])</f>
        <v>2015</v>
      </c>
      <c r="C99" s="927">
        <v>42036</v>
      </c>
      <c r="D99" s="489" t="s">
        <v>707</v>
      </c>
      <c r="E99" s="488" t="s">
        <v>707</v>
      </c>
      <c r="F99" s="489" t="s">
        <v>7</v>
      </c>
      <c r="G99" s="794" t="s">
        <v>867</v>
      </c>
      <c r="H99" s="794" t="s">
        <v>37</v>
      </c>
      <c r="I99" s="794">
        <v>42</v>
      </c>
      <c r="J99" s="51"/>
      <c r="K99" s="51"/>
      <c r="L99" s="51"/>
      <c r="M99" s="51"/>
      <c r="N99" s="51"/>
      <c r="O99" s="51"/>
      <c r="P99" s="51"/>
      <c r="Q99" s="51"/>
      <c r="R99" s="511"/>
      <c r="S99" s="51"/>
      <c r="T99" s="51"/>
      <c r="U99" s="51"/>
      <c r="V99" s="51"/>
      <c r="W99" s="131">
        <f>IF(NFI_Expiration=1,IF($A99&lt;VLOOKUP(I$5,NFI,5,0),1,0)*Data_NFI_t[[#This Row],[Hygiene Kit]],0)</f>
        <v>0</v>
      </c>
      <c r="X99" s="131">
        <f>IF(NFI_Expiration=1,IF($A99&lt;VLOOKUP(J$5,NFI,5,0),1,0)*Data_NFI_t[[#This Row],[NFI Core Kit]],0)</f>
        <v>0</v>
      </c>
      <c r="Y99" s="112">
        <f>IF(NFI_Expiration=1,IF($A99&lt;VLOOKUP(K$5,NFI,5,0),1,0)*Data_NFI_t[[#This Row],[Sanitary Kit]],0)</f>
        <v>0</v>
      </c>
      <c r="Z99" s="112">
        <f>IF(NFI_Expiration=1,IF($A99&lt;VLOOKUP(L$5,NFI,5,0),1,0)*Data_NFI_t[[#This Row],[Mosquito net]],0)</f>
        <v>0</v>
      </c>
      <c r="AA99" s="112">
        <f>IF(NFI_Expiration=1,IF($A99&lt;VLOOKUP(M$5,NFI,5,0),1,0)*Data_NFI_t[[#This Row],[Tarpaulin]],0)</f>
        <v>0</v>
      </c>
      <c r="AB99" s="112">
        <f>IF(NFI_Expiration=1,IF($A99&lt;VLOOKUP(N$5,NFI,5,0),1,0)*Data_NFI_t[[#This Row],[Blanket]],0)</f>
        <v>0</v>
      </c>
      <c r="AC99" s="112">
        <f>IF(NFI_Expiration=1,IF($A99&lt;VLOOKUP(O$5,NFI,5,0),1,0)*Data_NFI_t[[#This Row],[Kitchen Set]],0)</f>
        <v>0</v>
      </c>
      <c r="AD99" s="112">
        <f>IF(NFI_Expiration=1,IF($A99&lt;VLOOKUP(P$5,NFI,5,0),1,0)*Data_NFI_t[[#This Row],[Complementary Kit]],0)</f>
        <v>0</v>
      </c>
      <c r="AE99" s="112">
        <f>IF(NFI_Expiration=1,IF($A99&lt;VLOOKUP(Q$5,NFI,5,0),1,0)*Data_NFI_t[[#This Row],[Plastic Bucket]],0)</f>
        <v>0</v>
      </c>
      <c r="AF99" s="112">
        <f>IF(NFI_Expiration=1,IF($A99&lt;VLOOKUP(R$5,NFI,5,0),1,0)*Data_NFI_t[[#This Row],[Jerry Can]],0)</f>
        <v>0</v>
      </c>
      <c r="AG99" s="131">
        <f>IF(NFI_Expiration=1,IF($A99&lt;VLOOKUP(S$5,NFI,5,0),1,0)*Data_NFI_t[[#This Row],[Plastic Mat]],0)*IF(Data_NFI_t[[#This Row],[Distribution Date]]&gt;"01-06-2015",1,2.5)</f>
        <v>0</v>
      </c>
      <c r="AH99" s="915">
        <f>IF(NFI_Expiration=1,IF($A99&lt;VLOOKUP(T$5,NFI,5,0),1,0)*Data_NFI_t[[#This Row],[Adult Clothes]],0)</f>
        <v>0</v>
      </c>
      <c r="AI99" s="131">
        <f>IF(NFI_Expiration=1,IF($A99&lt;VLOOKUP(U$5,NFI,5,0),1,0)*Data_NFI_t[[#This Row],[Children Clothes]],0)</f>
        <v>0</v>
      </c>
      <c r="AJ99" s="131">
        <f>IF(NFI_Expiration=1,IF($A99&lt;VLOOKUP(V$5,NFI,5,0),1,0)*Data_NFI_t[[#This Row],[Sewing Kit]],0)</f>
        <v>0</v>
      </c>
      <c r="AK99" s="131" t="str">
        <f ca="1">IFERROR(OFFSET(Camp_List[P_Code],MATCH(Data_NFI_t[[#This Row],[Camp Name]],Camp_List[Camp Name],0)-1,0,1,1),"")</f>
        <v>MMR012CMP013</v>
      </c>
      <c r="AL99" s="513" t="str">
        <f ca="1">IFERROR(OFFSET(Camp_List[Status],MATCH(Data_NFI_t[[#This Row],[Camp Name]],Camp_List[Camp Name],0)-1,0,1,1),"")</f>
        <v>Relocated</v>
      </c>
      <c r="AM99" s="131"/>
    </row>
    <row r="100" spans="1:39" s="90" customFormat="1" ht="19.5" customHeight="1" x14ac:dyDescent="0.25">
      <c r="A100" s="242">
        <f>IF(ISBLANK(C100),"",(Report_Date-C100)/30)</f>
        <v>25.3</v>
      </c>
      <c r="B100" s="242">
        <f>YEAR(Data_NFI_t[[#This Row],[Distribution Date]])</f>
        <v>2015</v>
      </c>
      <c r="C100" s="927">
        <v>42036</v>
      </c>
      <c r="D100" s="489" t="s">
        <v>707</v>
      </c>
      <c r="E100" s="488" t="s">
        <v>707</v>
      </c>
      <c r="F100" s="489" t="s">
        <v>7</v>
      </c>
      <c r="G100" s="794" t="s">
        <v>867</v>
      </c>
      <c r="H100" s="794" t="s">
        <v>38</v>
      </c>
      <c r="I100" s="794">
        <v>682</v>
      </c>
      <c r="J100" s="51"/>
      <c r="K100" s="51"/>
      <c r="L100" s="51"/>
      <c r="M100" s="51"/>
      <c r="N100" s="51"/>
      <c r="O100" s="51"/>
      <c r="P100" s="51"/>
      <c r="Q100" s="51"/>
      <c r="R100" s="511"/>
      <c r="S100" s="51"/>
      <c r="T100" s="51"/>
      <c r="U100" s="51"/>
      <c r="V100" s="51"/>
      <c r="W100" s="131">
        <f>IF(NFI_Expiration=1,IF($A100&lt;VLOOKUP(I$5,NFI,5,0),1,0)*Data_NFI_t[[#This Row],[Hygiene Kit]],0)</f>
        <v>0</v>
      </c>
      <c r="X100" s="131">
        <f>IF(NFI_Expiration=1,IF($A100&lt;VLOOKUP(J$5,NFI,5,0),1,0)*Data_NFI_t[[#This Row],[NFI Core Kit]],0)</f>
        <v>0</v>
      </c>
      <c r="Y100" s="112">
        <f>IF(NFI_Expiration=1,IF($A100&lt;VLOOKUP(K$5,NFI,5,0),1,0)*Data_NFI_t[[#This Row],[Sanitary Kit]],0)</f>
        <v>0</v>
      </c>
      <c r="Z100" s="112">
        <f>IF(NFI_Expiration=1,IF($A100&lt;VLOOKUP(L$5,NFI,5,0),1,0)*Data_NFI_t[[#This Row],[Mosquito net]],0)</f>
        <v>0</v>
      </c>
      <c r="AA100" s="112">
        <f>IF(NFI_Expiration=1,IF($A100&lt;VLOOKUP(M$5,NFI,5,0),1,0)*Data_NFI_t[[#This Row],[Tarpaulin]],0)</f>
        <v>0</v>
      </c>
      <c r="AB100" s="112">
        <f>IF(NFI_Expiration=1,IF($A100&lt;VLOOKUP(N$5,NFI,5,0),1,0)*Data_NFI_t[[#This Row],[Blanket]],0)</f>
        <v>0</v>
      </c>
      <c r="AC100" s="112">
        <f>IF(NFI_Expiration=1,IF($A100&lt;VLOOKUP(O$5,NFI,5,0),1,0)*Data_NFI_t[[#This Row],[Kitchen Set]],0)</f>
        <v>0</v>
      </c>
      <c r="AD100" s="112">
        <f>IF(NFI_Expiration=1,IF($A100&lt;VLOOKUP(P$5,NFI,5,0),1,0)*Data_NFI_t[[#This Row],[Complementary Kit]],0)</f>
        <v>0</v>
      </c>
      <c r="AE100" s="112">
        <f>IF(NFI_Expiration=1,IF($A100&lt;VLOOKUP(Q$5,NFI,5,0),1,0)*Data_NFI_t[[#This Row],[Plastic Bucket]],0)</f>
        <v>0</v>
      </c>
      <c r="AF100" s="112">
        <f>IF(NFI_Expiration=1,IF($A100&lt;VLOOKUP(R$5,NFI,5,0),1,0)*Data_NFI_t[[#This Row],[Jerry Can]],0)</f>
        <v>0</v>
      </c>
      <c r="AG100" s="131">
        <f>IF(NFI_Expiration=1,IF($A100&lt;VLOOKUP(S$5,NFI,5,0),1,0)*Data_NFI_t[[#This Row],[Plastic Mat]],0)*IF(Data_NFI_t[[#This Row],[Distribution Date]]&gt;"01-06-2015",1,2.5)</f>
        <v>0</v>
      </c>
      <c r="AH100" s="915">
        <f>IF(NFI_Expiration=1,IF($A100&lt;VLOOKUP(T$5,NFI,5,0),1,0)*Data_NFI_t[[#This Row],[Adult Clothes]],0)</f>
        <v>0</v>
      </c>
      <c r="AI100" s="131">
        <f>IF(NFI_Expiration=1,IF($A100&lt;VLOOKUP(U$5,NFI,5,0),1,0)*Data_NFI_t[[#This Row],[Children Clothes]],0)</f>
        <v>0</v>
      </c>
      <c r="AJ100" s="131">
        <f>IF(NFI_Expiration=1,IF($A100&lt;VLOOKUP(V$5,NFI,5,0),1,0)*Data_NFI_t[[#This Row],[Sewing Kit]],0)</f>
        <v>0</v>
      </c>
      <c r="AK100" s="131" t="str">
        <f ca="1">IFERROR(OFFSET(Camp_List[P_Code],MATCH(Data_NFI_t[[#This Row],[Camp Name]],Camp_List[Camp Name],0)-1,0,1,1),"")</f>
        <v>MMR012CMP014</v>
      </c>
      <c r="AL100" s="513" t="str">
        <f ca="1">IFERROR(OFFSET(Camp_List[Status],MATCH(Data_NFI_t[[#This Row],[Camp Name]],Camp_List[Camp Name],0)-1,0,1,1),"")</f>
        <v>Open</v>
      </c>
      <c r="AM100" s="131"/>
    </row>
    <row r="101" spans="1:39" s="90" customFormat="1" ht="19.5" customHeight="1" x14ac:dyDescent="0.25">
      <c r="A101" s="242">
        <f>IF(ISBLANK(C101),"",(Report_Date-C101)/30)</f>
        <v>25.4</v>
      </c>
      <c r="B101" s="242">
        <f>YEAR(Data_NFI_t[[#This Row],[Distribution Date]])</f>
        <v>2015</v>
      </c>
      <c r="C101" s="927">
        <v>42033</v>
      </c>
      <c r="D101" s="489" t="s">
        <v>285</v>
      </c>
      <c r="E101" s="488" t="s">
        <v>285</v>
      </c>
      <c r="F101" s="489" t="s">
        <v>7</v>
      </c>
      <c r="G101" s="794" t="s">
        <v>14</v>
      </c>
      <c r="H101" s="794" t="s">
        <v>42</v>
      </c>
      <c r="I101" s="794"/>
      <c r="J101" s="51">
        <v>101</v>
      </c>
      <c r="K101" s="51"/>
      <c r="L101" s="51">
        <v>1888</v>
      </c>
      <c r="M101" s="51">
        <v>944</v>
      </c>
      <c r="N101" s="51">
        <v>1888</v>
      </c>
      <c r="O101" s="51">
        <v>944</v>
      </c>
      <c r="P101" s="51"/>
      <c r="Q101" s="51">
        <v>944</v>
      </c>
      <c r="R101" s="511">
        <v>944</v>
      </c>
      <c r="S101" s="51">
        <v>4720</v>
      </c>
      <c r="T101" s="51"/>
      <c r="U101" s="51"/>
      <c r="V101" s="51"/>
      <c r="W101" s="131">
        <f>IF(NFI_Expiration=1,IF($A101&lt;VLOOKUP(I$5,NFI,5,0),1,0)*Data_NFI_t[[#This Row],[Hygiene Kit]],0)</f>
        <v>0</v>
      </c>
      <c r="X101" s="131">
        <f>IF(NFI_Expiration=1,IF($A101&lt;VLOOKUP(J$5,NFI,5,0),1,0)*Data_NFI_t[[#This Row],[NFI Core Kit]],0)</f>
        <v>0</v>
      </c>
      <c r="Y101" s="112">
        <f>IF(NFI_Expiration=1,IF($A101&lt;VLOOKUP(K$5,NFI,5,0),1,0)*Data_NFI_t[[#This Row],[Sanitary Kit]],0)</f>
        <v>0</v>
      </c>
      <c r="Z101" s="112">
        <f>IF(NFI_Expiration=1,IF($A101&lt;VLOOKUP(L$5,NFI,5,0),1,0)*Data_NFI_t[[#This Row],[Mosquito net]],0)</f>
        <v>0</v>
      </c>
      <c r="AA101" s="112">
        <f>IF(NFI_Expiration=1,IF($A101&lt;VLOOKUP(M$5,NFI,5,0),1,0)*Data_NFI_t[[#This Row],[Tarpaulin]],0)</f>
        <v>0</v>
      </c>
      <c r="AB101" s="112">
        <f>IF(NFI_Expiration=1,IF($A101&lt;VLOOKUP(N$5,NFI,5,0),1,0)*Data_NFI_t[[#This Row],[Blanket]],0)</f>
        <v>0</v>
      </c>
      <c r="AC101" s="112">
        <f>IF(NFI_Expiration=1,IF($A101&lt;VLOOKUP(O$5,NFI,5,0),1,0)*Data_NFI_t[[#This Row],[Kitchen Set]],0)</f>
        <v>0</v>
      </c>
      <c r="AD101" s="112">
        <f>IF(NFI_Expiration=1,IF($A101&lt;VLOOKUP(P$5,NFI,5,0),1,0)*Data_NFI_t[[#This Row],[Complementary Kit]],0)</f>
        <v>0</v>
      </c>
      <c r="AE101" s="112">
        <f>IF(NFI_Expiration=1,IF($A101&lt;VLOOKUP(Q$5,NFI,5,0),1,0)*Data_NFI_t[[#This Row],[Plastic Bucket]],0)</f>
        <v>0</v>
      </c>
      <c r="AF101" s="112">
        <f>IF(NFI_Expiration=1,IF($A101&lt;VLOOKUP(R$5,NFI,5,0),1,0)*Data_NFI_t[[#This Row],[Jerry Can]],0)</f>
        <v>0</v>
      </c>
      <c r="AG101" s="131">
        <f>IF(NFI_Expiration=1,IF($A101&lt;VLOOKUP(S$5,NFI,5,0),1,0)*Data_NFI_t[[#This Row],[Plastic Mat]],0)*IF(Data_NFI_t[[#This Row],[Distribution Date]]&gt;"01-06-2015",1,2.5)</f>
        <v>0</v>
      </c>
      <c r="AH101" s="915">
        <f>IF(NFI_Expiration=1,IF($A101&lt;VLOOKUP(T$5,NFI,5,0),1,0)*Data_NFI_t[[#This Row],[Adult Clothes]],0)</f>
        <v>0</v>
      </c>
      <c r="AI101" s="131">
        <f>IF(NFI_Expiration=1,IF($A101&lt;VLOOKUP(U$5,NFI,5,0),1,0)*Data_NFI_t[[#This Row],[Children Clothes]],0)</f>
        <v>0</v>
      </c>
      <c r="AJ101" s="131">
        <f>IF(NFI_Expiration=1,IF($A101&lt;VLOOKUP(V$5,NFI,5,0),1,0)*Data_NFI_t[[#This Row],[Sewing Kit]],0)</f>
        <v>0</v>
      </c>
      <c r="AK101" s="131" t="str">
        <f ca="1">IFERROR(OFFSET(Camp_List[P_Code],MATCH(Data_NFI_t[[#This Row],[Camp Name]],Camp_List[Camp Name],0)-1,0,1,1),"")</f>
        <v>MMR012CMP018</v>
      </c>
      <c r="AL101" s="513" t="str">
        <f ca="1">IFERROR(OFFSET(Camp_List[Status],MATCH(Data_NFI_t[[#This Row],[Camp Name]],Camp_List[Camp Name],0)-1,0,1,1),"")</f>
        <v>Open</v>
      </c>
      <c r="AM101" s="131"/>
    </row>
    <row r="102" spans="1:39" s="90" customFormat="1" ht="19.5" customHeight="1" x14ac:dyDescent="0.25">
      <c r="A102" s="242">
        <f>IF(ISBLANK(C102),"",(Report_Date-C102)/30)</f>
        <v>25.666666666666668</v>
      </c>
      <c r="B102" s="242">
        <v>2015</v>
      </c>
      <c r="C102" s="927">
        <v>42025</v>
      </c>
      <c r="D102" s="489" t="s">
        <v>285</v>
      </c>
      <c r="E102" s="488" t="s">
        <v>285</v>
      </c>
      <c r="F102" s="489" t="s">
        <v>7</v>
      </c>
      <c r="G102" s="794" t="s">
        <v>16</v>
      </c>
      <c r="H102" s="794" t="s">
        <v>605</v>
      </c>
      <c r="I102" s="794">
        <v>0</v>
      </c>
      <c r="J102" s="51">
        <v>0</v>
      </c>
      <c r="K102" s="51">
        <v>0</v>
      </c>
      <c r="L102" s="51">
        <v>0</v>
      </c>
      <c r="M102" s="51">
        <v>0</v>
      </c>
      <c r="N102" s="51">
        <v>700</v>
      </c>
      <c r="O102" s="51">
        <v>0</v>
      </c>
      <c r="P102" s="51">
        <v>0</v>
      </c>
      <c r="Q102" s="51">
        <v>350</v>
      </c>
      <c r="R102" s="511">
        <v>0</v>
      </c>
      <c r="S102" s="51">
        <v>1120</v>
      </c>
      <c r="T102" s="51"/>
      <c r="U102" s="51"/>
      <c r="V102" s="51"/>
      <c r="W102" s="131">
        <f>IF(NFI_Expiration=1,IF($A102&lt;VLOOKUP(I$5,NFI,5,0),1,0)*Data_NFI_t[[#This Row],[Hygiene Kit]],0)</f>
        <v>0</v>
      </c>
      <c r="X102" s="131">
        <f>IF(NFI_Expiration=1,IF($A102&lt;VLOOKUP(J$5,NFI,5,0),1,0)*Data_NFI_t[[#This Row],[NFI Core Kit]],0)</f>
        <v>0</v>
      </c>
      <c r="Y102" s="112">
        <f>IF(NFI_Expiration=1,IF($A102&lt;VLOOKUP(K$5,NFI,5,0),1,0)*Data_NFI_t[[#This Row],[Sanitary Kit]],0)</f>
        <v>0</v>
      </c>
      <c r="Z102" s="112">
        <f>IF(NFI_Expiration=1,IF($A102&lt;VLOOKUP(L$5,NFI,5,0),1,0)*Data_NFI_t[[#This Row],[Mosquito net]],0)</f>
        <v>0</v>
      </c>
      <c r="AA102" s="112">
        <f>IF(NFI_Expiration=1,IF($A102&lt;VLOOKUP(M$5,NFI,5,0),1,0)*Data_NFI_t[[#This Row],[Tarpaulin]],0)</f>
        <v>0</v>
      </c>
      <c r="AB102" s="112">
        <f>IF(NFI_Expiration=1,IF($A102&lt;VLOOKUP(N$5,NFI,5,0),1,0)*Data_NFI_t[[#This Row],[Blanket]],0)</f>
        <v>0</v>
      </c>
      <c r="AC102" s="112">
        <f>IF(NFI_Expiration=1,IF($A102&lt;VLOOKUP(O$5,NFI,5,0),1,0)*Data_NFI_t[[#This Row],[Kitchen Set]],0)</f>
        <v>0</v>
      </c>
      <c r="AD102" s="112">
        <f>IF(NFI_Expiration=1,IF($A102&lt;VLOOKUP(P$5,NFI,5,0),1,0)*Data_NFI_t[[#This Row],[Complementary Kit]],0)</f>
        <v>0</v>
      </c>
      <c r="AE102" s="112">
        <f>IF(NFI_Expiration=1,IF($A102&lt;VLOOKUP(Q$5,NFI,5,0),1,0)*Data_NFI_t[[#This Row],[Plastic Bucket]],0)</f>
        <v>0</v>
      </c>
      <c r="AF102" s="112">
        <f>IF(NFI_Expiration=1,IF($A102&lt;VLOOKUP(R$5,NFI,5,0),1,0)*Data_NFI_t[[#This Row],[Jerry Can]],0)</f>
        <v>0</v>
      </c>
      <c r="AG102" s="131">
        <f>IF(NFI_Expiration=1,IF($A102&lt;VLOOKUP(S$5,NFI,5,0),1,0)*Data_NFI_t[[#This Row],[Plastic Mat]],0)*IF(Data_NFI_t[[#This Row],[Distribution Date]]&gt;"01-06-2015",1,2.5)</f>
        <v>0</v>
      </c>
      <c r="AH102" s="915">
        <f>IF(NFI_Expiration=1,IF($A102&lt;VLOOKUP(T$5,NFI,5,0),1,0)*Data_NFI_t[[#This Row],[Adult Clothes]],0)</f>
        <v>0</v>
      </c>
      <c r="AI102" s="131">
        <f>IF(NFI_Expiration=1,IF($A102&lt;VLOOKUP(U$5,NFI,5,0),1,0)*Data_NFI_t[[#This Row],[Children Clothes]],0)</f>
        <v>0</v>
      </c>
      <c r="AJ102" s="131">
        <f>IF(NFI_Expiration=1,IF($A102&lt;VLOOKUP(V$5,NFI,5,0),1,0)*Data_NFI_t[[#This Row],[Sewing Kit]],0)</f>
        <v>0</v>
      </c>
      <c r="AK102" s="131" t="str">
        <f ca="1">IFERROR(OFFSET(Camp_List[P_Code],MATCH(Data_NFI_t[[#This Row],[Camp Name]],Camp_List[Camp Name],0)-1,0,1,1),"")</f>
        <v>MMR012CMP033</v>
      </c>
      <c r="AL102" s="513" t="str">
        <f ca="1">IFERROR(OFFSET(Camp_List[Status],MATCH(Data_NFI_t[[#This Row],[Camp Name]],Camp_List[Camp Name],0)-1,0,1,1),"")</f>
        <v>Open</v>
      </c>
      <c r="AM102" s="131"/>
    </row>
    <row r="103" spans="1:39" s="90" customFormat="1" ht="19.5" customHeight="1" x14ac:dyDescent="0.25">
      <c r="A103" s="242">
        <f>IF(ISBLANK(C103),"",(Report_Date-C103)/30)</f>
        <v>25.666666666666668</v>
      </c>
      <c r="B103" s="242">
        <v>2015</v>
      </c>
      <c r="C103" s="927">
        <v>42025</v>
      </c>
      <c r="D103" s="489" t="s">
        <v>285</v>
      </c>
      <c r="E103" s="488" t="s">
        <v>285</v>
      </c>
      <c r="F103" s="489" t="s">
        <v>7</v>
      </c>
      <c r="G103" s="794" t="s">
        <v>16</v>
      </c>
      <c r="H103" s="794" t="s">
        <v>400</v>
      </c>
      <c r="I103" s="794">
        <v>0</v>
      </c>
      <c r="J103" s="51">
        <v>0</v>
      </c>
      <c r="K103" s="51">
        <v>0</v>
      </c>
      <c r="L103" s="51">
        <v>0</v>
      </c>
      <c r="M103" s="51">
        <v>0</v>
      </c>
      <c r="N103" s="51">
        <v>534</v>
      </c>
      <c r="O103" s="51">
        <v>0</v>
      </c>
      <c r="P103" s="51">
        <v>0</v>
      </c>
      <c r="Q103" s="51">
        <v>267</v>
      </c>
      <c r="R103" s="511"/>
      <c r="S103" s="51">
        <v>1010</v>
      </c>
      <c r="T103" s="51"/>
      <c r="U103" s="51"/>
      <c r="V103" s="51"/>
      <c r="W103" s="131">
        <f>IF(NFI_Expiration=1,IF($A103&lt;VLOOKUP(I$5,NFI,5,0),1,0)*Data_NFI_t[[#This Row],[Hygiene Kit]],0)</f>
        <v>0</v>
      </c>
      <c r="X103" s="131">
        <f>IF(NFI_Expiration=1,IF($A103&lt;VLOOKUP(J$5,NFI,5,0),1,0)*Data_NFI_t[[#This Row],[NFI Core Kit]],0)</f>
        <v>0</v>
      </c>
      <c r="Y103" s="112">
        <f>IF(NFI_Expiration=1,IF($A103&lt;VLOOKUP(K$5,NFI,5,0),1,0)*Data_NFI_t[[#This Row],[Sanitary Kit]],0)</f>
        <v>0</v>
      </c>
      <c r="Z103" s="112">
        <f>IF(NFI_Expiration=1,IF($A103&lt;VLOOKUP(L$5,NFI,5,0),1,0)*Data_NFI_t[[#This Row],[Mosquito net]],0)</f>
        <v>0</v>
      </c>
      <c r="AA103" s="112">
        <f>IF(NFI_Expiration=1,IF($A103&lt;VLOOKUP(M$5,NFI,5,0),1,0)*Data_NFI_t[[#This Row],[Tarpaulin]],0)</f>
        <v>0</v>
      </c>
      <c r="AB103" s="112">
        <f>IF(NFI_Expiration=1,IF($A103&lt;VLOOKUP(N$5,NFI,5,0),1,0)*Data_NFI_t[[#This Row],[Blanket]],0)</f>
        <v>0</v>
      </c>
      <c r="AC103" s="112">
        <f>IF(NFI_Expiration=1,IF($A103&lt;VLOOKUP(O$5,NFI,5,0),1,0)*Data_NFI_t[[#This Row],[Kitchen Set]],0)</f>
        <v>0</v>
      </c>
      <c r="AD103" s="112">
        <f>IF(NFI_Expiration=1,IF($A103&lt;VLOOKUP(P$5,NFI,5,0),1,0)*Data_NFI_t[[#This Row],[Complementary Kit]],0)</f>
        <v>0</v>
      </c>
      <c r="AE103" s="112">
        <f>IF(NFI_Expiration=1,IF($A103&lt;VLOOKUP(Q$5,NFI,5,0),1,0)*Data_NFI_t[[#This Row],[Plastic Bucket]],0)</f>
        <v>0</v>
      </c>
      <c r="AF103" s="112">
        <f>IF(NFI_Expiration=1,IF($A103&lt;VLOOKUP(R$5,NFI,5,0),1,0)*Data_NFI_t[[#This Row],[Jerry Can]],0)</f>
        <v>0</v>
      </c>
      <c r="AG103" s="131">
        <f>IF(NFI_Expiration=1,IF($A103&lt;VLOOKUP(S$5,NFI,5,0),1,0)*Data_NFI_t[[#This Row],[Plastic Mat]],0)*IF(Data_NFI_t[[#This Row],[Distribution Date]]&gt;"01-06-2015",1,2.5)</f>
        <v>0</v>
      </c>
      <c r="AH103" s="915">
        <f>IF(NFI_Expiration=1,IF($A103&lt;VLOOKUP(T$5,NFI,5,0),1,0)*Data_NFI_t[[#This Row],[Adult Clothes]],0)</f>
        <v>0</v>
      </c>
      <c r="AI103" s="131">
        <f>IF(NFI_Expiration=1,IF($A103&lt;VLOOKUP(U$5,NFI,5,0),1,0)*Data_NFI_t[[#This Row],[Children Clothes]],0)</f>
        <v>0</v>
      </c>
      <c r="AJ103" s="131">
        <f>IF(NFI_Expiration=1,IF($A103&lt;VLOOKUP(V$5,NFI,5,0),1,0)*Data_NFI_t[[#This Row],[Sewing Kit]],0)</f>
        <v>0</v>
      </c>
      <c r="AK103" s="131" t="str">
        <f ca="1">IFERROR(OFFSET(Camp_List[P_Code],MATCH(Data_NFI_t[[#This Row],[Camp Name]],Camp_List[Camp Name],0)-1,0,1,1),"")</f>
        <v>MMR012CMP110</v>
      </c>
      <c r="AL103" s="513" t="str">
        <f ca="1">IFERROR(OFFSET(Camp_List[Status],MATCH(Data_NFI_t[[#This Row],[Camp Name]],Camp_List[Camp Name],0)-1,0,1,1),"")</f>
        <v>Open</v>
      </c>
      <c r="AM103" s="131"/>
    </row>
    <row r="104" spans="1:39" s="90" customFormat="1" ht="19.5" customHeight="1" x14ac:dyDescent="0.25">
      <c r="A104" s="242">
        <f>IF(ISBLANK(C104),"",(Report_Date-C104)/30)</f>
        <v>26.166666666666668</v>
      </c>
      <c r="B104" s="242">
        <v>2015</v>
      </c>
      <c r="C104" s="927">
        <v>42010</v>
      </c>
      <c r="D104" s="489" t="s">
        <v>285</v>
      </c>
      <c r="E104" s="488" t="s">
        <v>285</v>
      </c>
      <c r="F104" s="489" t="s">
        <v>7</v>
      </c>
      <c r="G104" s="794" t="s">
        <v>20</v>
      </c>
      <c r="H104" s="794" t="s">
        <v>873</v>
      </c>
      <c r="I104" s="794">
        <v>16</v>
      </c>
      <c r="J104" s="51">
        <v>16</v>
      </c>
      <c r="K104" s="51">
        <v>16</v>
      </c>
      <c r="L104" s="51">
        <v>32</v>
      </c>
      <c r="M104" s="51">
        <v>0</v>
      </c>
      <c r="N104" s="51">
        <v>32</v>
      </c>
      <c r="O104" s="51">
        <v>8</v>
      </c>
      <c r="P104" s="51">
        <v>0</v>
      </c>
      <c r="Q104" s="51">
        <v>16</v>
      </c>
      <c r="R104" s="511">
        <v>16</v>
      </c>
      <c r="S104" s="51">
        <v>40</v>
      </c>
      <c r="T104" s="51"/>
      <c r="U104" s="51"/>
      <c r="V104" s="51"/>
      <c r="W104" s="131">
        <f>IF(NFI_Expiration=1,IF($A104&lt;VLOOKUP(I$5,NFI,5,0),1,0)*Data_NFI_t[[#This Row],[Hygiene Kit]],0)</f>
        <v>0</v>
      </c>
      <c r="X104" s="131">
        <f>IF(NFI_Expiration=1,IF($A104&lt;VLOOKUP(J$5,NFI,5,0),1,0)*Data_NFI_t[[#This Row],[NFI Core Kit]],0)</f>
        <v>0</v>
      </c>
      <c r="Y104" s="112">
        <f>IF(NFI_Expiration=1,IF($A104&lt;VLOOKUP(K$5,NFI,5,0),1,0)*Data_NFI_t[[#This Row],[Sanitary Kit]],0)</f>
        <v>0</v>
      </c>
      <c r="Z104" s="112">
        <f>IF(NFI_Expiration=1,IF($A104&lt;VLOOKUP(L$5,NFI,5,0),1,0)*Data_NFI_t[[#This Row],[Mosquito net]],0)</f>
        <v>0</v>
      </c>
      <c r="AA104" s="112">
        <f>IF(NFI_Expiration=1,IF($A104&lt;VLOOKUP(M$5,NFI,5,0),1,0)*Data_NFI_t[[#This Row],[Tarpaulin]],0)</f>
        <v>0</v>
      </c>
      <c r="AB104" s="112">
        <f>IF(NFI_Expiration=1,IF($A104&lt;VLOOKUP(N$5,NFI,5,0),1,0)*Data_NFI_t[[#This Row],[Blanket]],0)</f>
        <v>0</v>
      </c>
      <c r="AC104" s="112">
        <f>IF(NFI_Expiration=1,IF($A104&lt;VLOOKUP(O$5,NFI,5,0),1,0)*Data_NFI_t[[#This Row],[Kitchen Set]],0)</f>
        <v>0</v>
      </c>
      <c r="AD104" s="112">
        <f>IF(NFI_Expiration=1,IF($A104&lt;VLOOKUP(P$5,NFI,5,0),1,0)*Data_NFI_t[[#This Row],[Complementary Kit]],0)</f>
        <v>0</v>
      </c>
      <c r="AE104" s="112">
        <f>IF(NFI_Expiration=1,IF($A104&lt;VLOOKUP(Q$5,NFI,5,0),1,0)*Data_NFI_t[[#This Row],[Plastic Bucket]],0)</f>
        <v>0</v>
      </c>
      <c r="AF104" s="112">
        <f>IF(NFI_Expiration=1,IF($A104&lt;VLOOKUP(R$5,NFI,5,0),1,0)*Data_NFI_t[[#This Row],[Jerry Can]],0)</f>
        <v>0</v>
      </c>
      <c r="AG104" s="131">
        <f>IF(NFI_Expiration=1,IF($A104&lt;VLOOKUP(S$5,NFI,5,0),1,0)*Data_NFI_t[[#This Row],[Plastic Mat]],0)*IF(Data_NFI_t[[#This Row],[Distribution Date]]&gt;"01-06-2015",1,2.5)</f>
        <v>0</v>
      </c>
      <c r="AH104" s="915">
        <f>IF(NFI_Expiration=1,IF($A104&lt;VLOOKUP(T$5,NFI,5,0),1,0)*Data_NFI_t[[#This Row],[Adult Clothes]],0)</f>
        <v>0</v>
      </c>
      <c r="AI104" s="131">
        <f>IF(NFI_Expiration=1,IF($A104&lt;VLOOKUP(U$5,NFI,5,0),1,0)*Data_NFI_t[[#This Row],[Children Clothes]],0)</f>
        <v>0</v>
      </c>
      <c r="AJ104" s="131">
        <f>IF(NFI_Expiration=1,IF($A104&lt;VLOOKUP(V$5,NFI,5,0),1,0)*Data_NFI_t[[#This Row],[Sewing Kit]],0)</f>
        <v>0</v>
      </c>
      <c r="AK104" s="131" t="str">
        <f ca="1">IFERROR(OFFSET(Camp_List[P_Code],MATCH(Data_NFI_t[[#This Row],[Camp Name]],Camp_List[Camp Name],0)-1,0,1,1),"")</f>
        <v>MMR012CMP094</v>
      </c>
      <c r="AL104" s="513" t="str">
        <f ca="1">IFERROR(OFFSET(Camp_List[Status],MATCH(Data_NFI_t[[#This Row],[Camp Name]],Camp_List[Camp Name],0)-1,0,1,1),"")</f>
        <v>Open</v>
      </c>
      <c r="AM104" s="131"/>
    </row>
    <row r="105" spans="1:39" s="90" customFormat="1" ht="19.5" customHeight="1" x14ac:dyDescent="0.25">
      <c r="A105" s="242">
        <f>IF(ISBLANK(C105),"",(Report_Date-C105)/30)</f>
        <v>26.166666666666668</v>
      </c>
      <c r="B105" s="242">
        <v>2015</v>
      </c>
      <c r="C105" s="927">
        <v>42010</v>
      </c>
      <c r="D105" s="489" t="s">
        <v>285</v>
      </c>
      <c r="E105" s="488" t="s">
        <v>285</v>
      </c>
      <c r="F105" s="489" t="s">
        <v>7</v>
      </c>
      <c r="G105" s="794" t="s">
        <v>20</v>
      </c>
      <c r="H105" s="794" t="s">
        <v>106</v>
      </c>
      <c r="I105" s="794">
        <v>36</v>
      </c>
      <c r="J105" s="51">
        <v>36</v>
      </c>
      <c r="K105" s="51">
        <v>36</v>
      </c>
      <c r="L105" s="51">
        <v>72</v>
      </c>
      <c r="M105" s="51">
        <v>0</v>
      </c>
      <c r="N105" s="51">
        <v>72</v>
      </c>
      <c r="O105" s="51">
        <v>19</v>
      </c>
      <c r="P105" s="51">
        <v>0</v>
      </c>
      <c r="Q105" s="51">
        <v>36</v>
      </c>
      <c r="R105" s="511">
        <v>36</v>
      </c>
      <c r="S105" s="51">
        <v>95</v>
      </c>
      <c r="T105" s="51"/>
      <c r="U105" s="51"/>
      <c r="V105" s="51"/>
      <c r="W105" s="131">
        <f>IF(NFI_Expiration=1,IF($A105&lt;VLOOKUP(I$5,NFI,5,0),1,0)*Data_NFI_t[[#This Row],[Hygiene Kit]],0)</f>
        <v>0</v>
      </c>
      <c r="X105" s="131">
        <f>IF(NFI_Expiration=1,IF($A105&lt;VLOOKUP(J$5,NFI,5,0),1,0)*Data_NFI_t[[#This Row],[NFI Core Kit]],0)</f>
        <v>0</v>
      </c>
      <c r="Y105" s="112">
        <f>IF(NFI_Expiration=1,IF($A105&lt;VLOOKUP(K$5,NFI,5,0),1,0)*Data_NFI_t[[#This Row],[Sanitary Kit]],0)</f>
        <v>0</v>
      </c>
      <c r="Z105" s="112">
        <f>IF(NFI_Expiration=1,IF($A105&lt;VLOOKUP(L$5,NFI,5,0),1,0)*Data_NFI_t[[#This Row],[Mosquito net]],0)</f>
        <v>0</v>
      </c>
      <c r="AA105" s="112">
        <f>IF(NFI_Expiration=1,IF($A105&lt;VLOOKUP(M$5,NFI,5,0),1,0)*Data_NFI_t[[#This Row],[Tarpaulin]],0)</f>
        <v>0</v>
      </c>
      <c r="AB105" s="112">
        <f>IF(NFI_Expiration=1,IF($A105&lt;VLOOKUP(N$5,NFI,5,0),1,0)*Data_NFI_t[[#This Row],[Blanket]],0)</f>
        <v>0</v>
      </c>
      <c r="AC105" s="112">
        <f>IF(NFI_Expiration=1,IF($A105&lt;VLOOKUP(O$5,NFI,5,0),1,0)*Data_NFI_t[[#This Row],[Kitchen Set]],0)</f>
        <v>0</v>
      </c>
      <c r="AD105" s="112">
        <f>IF(NFI_Expiration=1,IF($A105&lt;VLOOKUP(P$5,NFI,5,0),1,0)*Data_NFI_t[[#This Row],[Complementary Kit]],0)</f>
        <v>0</v>
      </c>
      <c r="AE105" s="112">
        <f>IF(NFI_Expiration=1,IF($A105&lt;VLOOKUP(Q$5,NFI,5,0),1,0)*Data_NFI_t[[#This Row],[Plastic Bucket]],0)</f>
        <v>0</v>
      </c>
      <c r="AF105" s="112">
        <f>IF(NFI_Expiration=1,IF($A105&lt;VLOOKUP(R$5,NFI,5,0),1,0)*Data_NFI_t[[#This Row],[Jerry Can]],0)</f>
        <v>0</v>
      </c>
      <c r="AG105" s="131">
        <f>IF(NFI_Expiration=1,IF($A105&lt;VLOOKUP(S$5,NFI,5,0),1,0)*Data_NFI_t[[#This Row],[Plastic Mat]],0)*IF(Data_NFI_t[[#This Row],[Distribution Date]]&gt;"01-06-2015",1,2.5)</f>
        <v>0</v>
      </c>
      <c r="AH105" s="915">
        <f>IF(NFI_Expiration=1,IF($A105&lt;VLOOKUP(T$5,NFI,5,0),1,0)*Data_NFI_t[[#This Row],[Adult Clothes]],0)</f>
        <v>0</v>
      </c>
      <c r="AI105" s="131">
        <f>IF(NFI_Expiration=1,IF($A105&lt;VLOOKUP(U$5,NFI,5,0),1,0)*Data_NFI_t[[#This Row],[Children Clothes]],0)</f>
        <v>0</v>
      </c>
      <c r="AJ105" s="131">
        <f>IF(NFI_Expiration=1,IF($A105&lt;VLOOKUP(V$5,NFI,5,0),1,0)*Data_NFI_t[[#This Row],[Sewing Kit]],0)</f>
        <v>0</v>
      </c>
      <c r="AK105" s="131" t="str">
        <f ca="1">IFERROR(OFFSET(Camp_List[P_Code],MATCH(Data_NFI_t[[#This Row],[Camp Name]],Camp_List[Camp Name],0)-1,0,1,1),"")</f>
        <v>MMR012CMP085</v>
      </c>
      <c r="AL105" s="513" t="str">
        <f ca="1">IFERROR(OFFSET(Camp_List[Status],MATCH(Data_NFI_t[[#This Row],[Camp Name]],Camp_List[Camp Name],0)-1,0,1,1),"")</f>
        <v>Open</v>
      </c>
      <c r="AM105" s="131"/>
    </row>
    <row r="106" spans="1:39" s="90" customFormat="1" ht="19.5" customHeight="1" x14ac:dyDescent="0.25">
      <c r="A106" s="242">
        <f>IF(ISBLANK(C106),"",(Report_Date-C106)/30)</f>
        <v>26.166666666666668</v>
      </c>
      <c r="B106" s="242">
        <v>2015</v>
      </c>
      <c r="C106" s="927">
        <v>42010</v>
      </c>
      <c r="D106" s="489" t="s">
        <v>285</v>
      </c>
      <c r="E106" s="488" t="s">
        <v>285</v>
      </c>
      <c r="F106" s="489" t="s">
        <v>7</v>
      </c>
      <c r="G106" s="794" t="s">
        <v>20</v>
      </c>
      <c r="H106" s="794" t="s">
        <v>939</v>
      </c>
      <c r="I106" s="794">
        <v>39</v>
      </c>
      <c r="J106" s="51">
        <v>39</v>
      </c>
      <c r="K106" s="51">
        <v>39</v>
      </c>
      <c r="L106" s="51">
        <v>78</v>
      </c>
      <c r="M106" s="51">
        <v>0</v>
      </c>
      <c r="N106" s="51">
        <v>78</v>
      </c>
      <c r="O106" s="51">
        <v>28</v>
      </c>
      <c r="P106" s="51">
        <v>0</v>
      </c>
      <c r="Q106" s="51">
        <v>39</v>
      </c>
      <c r="R106" s="511">
        <v>39</v>
      </c>
      <c r="S106" s="51">
        <v>40</v>
      </c>
      <c r="T106" s="51"/>
      <c r="U106" s="51"/>
      <c r="V106" s="51"/>
      <c r="W106" s="131">
        <f>IF(NFI_Expiration=1,IF($A106&lt;VLOOKUP(I$5,NFI,5,0),1,0)*Data_NFI_t[[#This Row],[Hygiene Kit]],0)</f>
        <v>0</v>
      </c>
      <c r="X106" s="131">
        <f>IF(NFI_Expiration=1,IF($A106&lt;VLOOKUP(J$5,NFI,5,0),1,0)*Data_NFI_t[[#This Row],[NFI Core Kit]],0)</f>
        <v>0</v>
      </c>
      <c r="Y106" s="112">
        <f>IF(NFI_Expiration=1,IF($A106&lt;VLOOKUP(K$5,NFI,5,0),1,0)*Data_NFI_t[[#This Row],[Sanitary Kit]],0)</f>
        <v>0</v>
      </c>
      <c r="Z106" s="112">
        <f>IF(NFI_Expiration=1,IF($A106&lt;VLOOKUP(L$5,NFI,5,0),1,0)*Data_NFI_t[[#This Row],[Mosquito net]],0)</f>
        <v>0</v>
      </c>
      <c r="AA106" s="112">
        <f>IF(NFI_Expiration=1,IF($A106&lt;VLOOKUP(M$5,NFI,5,0),1,0)*Data_NFI_t[[#This Row],[Tarpaulin]],0)</f>
        <v>0</v>
      </c>
      <c r="AB106" s="112">
        <f>IF(NFI_Expiration=1,IF($A106&lt;VLOOKUP(N$5,NFI,5,0),1,0)*Data_NFI_t[[#This Row],[Blanket]],0)</f>
        <v>0</v>
      </c>
      <c r="AC106" s="112">
        <f>IF(NFI_Expiration=1,IF($A106&lt;VLOOKUP(O$5,NFI,5,0),1,0)*Data_NFI_t[[#This Row],[Kitchen Set]],0)</f>
        <v>0</v>
      </c>
      <c r="AD106" s="112">
        <f>IF(NFI_Expiration=1,IF($A106&lt;VLOOKUP(P$5,NFI,5,0),1,0)*Data_NFI_t[[#This Row],[Complementary Kit]],0)</f>
        <v>0</v>
      </c>
      <c r="AE106" s="112">
        <f>IF(NFI_Expiration=1,IF($A106&lt;VLOOKUP(Q$5,NFI,5,0),1,0)*Data_NFI_t[[#This Row],[Plastic Bucket]],0)</f>
        <v>0</v>
      </c>
      <c r="AF106" s="112">
        <f>IF(NFI_Expiration=1,IF($A106&lt;VLOOKUP(R$5,NFI,5,0),1,0)*Data_NFI_t[[#This Row],[Jerry Can]],0)</f>
        <v>0</v>
      </c>
      <c r="AG106" s="131">
        <f>IF(NFI_Expiration=1,IF($A106&lt;VLOOKUP(S$5,NFI,5,0),1,0)*Data_NFI_t[[#This Row],[Plastic Mat]],0)*IF(Data_NFI_t[[#This Row],[Distribution Date]]&gt;"01-06-2015",1,2.5)</f>
        <v>0</v>
      </c>
      <c r="AH106" s="915">
        <f>IF(NFI_Expiration=1,IF($A106&lt;VLOOKUP(T$5,NFI,5,0),1,0)*Data_NFI_t[[#This Row],[Adult Clothes]],0)</f>
        <v>0</v>
      </c>
      <c r="AI106" s="131">
        <f>IF(NFI_Expiration=1,IF($A106&lt;VLOOKUP(U$5,NFI,5,0),1,0)*Data_NFI_t[[#This Row],[Children Clothes]],0)</f>
        <v>0</v>
      </c>
      <c r="AJ106" s="131">
        <f>IF(NFI_Expiration=1,IF($A106&lt;VLOOKUP(V$5,NFI,5,0),1,0)*Data_NFI_t[[#This Row],[Sewing Kit]],0)</f>
        <v>0</v>
      </c>
      <c r="AK106" s="131" t="str">
        <f ca="1">IFERROR(OFFSET(Camp_List[P_Code],MATCH(Data_NFI_t[[#This Row],[Camp Name]],Camp_List[Camp Name],0)-1,0,1,1),"")</f>
        <v/>
      </c>
      <c r="AL106" s="513" t="str">
        <f ca="1">IFERROR(OFFSET(Camp_List[Status],MATCH(Data_NFI_t[[#This Row],[Camp Name]],Camp_List[Camp Name],0)-1,0,1,1),"")</f>
        <v/>
      </c>
      <c r="AM106" s="131"/>
    </row>
    <row r="107" spans="1:39" s="90" customFormat="1" ht="19.5" customHeight="1" x14ac:dyDescent="0.25">
      <c r="A107" s="242">
        <f>IF(ISBLANK(C107),"",(Report_Date-C107)/30)</f>
        <v>26.333333333333332</v>
      </c>
      <c r="B107" s="242">
        <f>YEAR(Data_NFI_t[[#This Row],[Distribution Date]])</f>
        <v>2015</v>
      </c>
      <c r="C107" s="927">
        <v>42005</v>
      </c>
      <c r="D107" s="489" t="s">
        <v>707</v>
      </c>
      <c r="E107" s="488" t="s">
        <v>707</v>
      </c>
      <c r="F107" s="489" t="s">
        <v>7</v>
      </c>
      <c r="G107" s="794" t="s">
        <v>867</v>
      </c>
      <c r="H107" s="794" t="s">
        <v>37</v>
      </c>
      <c r="I107" s="794">
        <v>42</v>
      </c>
      <c r="J107" s="51"/>
      <c r="K107" s="51"/>
      <c r="L107" s="51"/>
      <c r="M107" s="51"/>
      <c r="N107" s="51"/>
      <c r="O107" s="51"/>
      <c r="P107" s="51"/>
      <c r="Q107" s="51"/>
      <c r="R107" s="511"/>
      <c r="S107" s="51"/>
      <c r="T107" s="51"/>
      <c r="U107" s="51"/>
      <c r="V107" s="51"/>
      <c r="W107" s="131">
        <f>IF(NFI_Expiration=1,IF($A107&lt;VLOOKUP(I$5,NFI,5,0),1,0)*Data_NFI_t[[#This Row],[Hygiene Kit]],0)</f>
        <v>0</v>
      </c>
      <c r="X107" s="131">
        <f>IF(NFI_Expiration=1,IF($A107&lt;VLOOKUP(J$5,NFI,5,0),1,0)*Data_NFI_t[[#This Row],[NFI Core Kit]],0)</f>
        <v>0</v>
      </c>
      <c r="Y107" s="112">
        <f>IF(NFI_Expiration=1,IF($A107&lt;VLOOKUP(K$5,NFI,5,0),1,0)*Data_NFI_t[[#This Row],[Sanitary Kit]],0)</f>
        <v>0</v>
      </c>
      <c r="Z107" s="112">
        <f>IF(NFI_Expiration=1,IF($A107&lt;VLOOKUP(L$5,NFI,5,0),1,0)*Data_NFI_t[[#This Row],[Mosquito net]],0)</f>
        <v>0</v>
      </c>
      <c r="AA107" s="112">
        <f>IF(NFI_Expiration=1,IF($A107&lt;VLOOKUP(M$5,NFI,5,0),1,0)*Data_NFI_t[[#This Row],[Tarpaulin]],0)</f>
        <v>0</v>
      </c>
      <c r="AB107" s="112">
        <f>IF(NFI_Expiration=1,IF($A107&lt;VLOOKUP(N$5,NFI,5,0),1,0)*Data_NFI_t[[#This Row],[Blanket]],0)</f>
        <v>0</v>
      </c>
      <c r="AC107" s="112">
        <f>IF(NFI_Expiration=1,IF($A107&lt;VLOOKUP(O$5,NFI,5,0),1,0)*Data_NFI_t[[#This Row],[Kitchen Set]],0)</f>
        <v>0</v>
      </c>
      <c r="AD107" s="112">
        <f>IF(NFI_Expiration=1,IF($A107&lt;VLOOKUP(P$5,NFI,5,0),1,0)*Data_NFI_t[[#This Row],[Complementary Kit]],0)</f>
        <v>0</v>
      </c>
      <c r="AE107" s="112">
        <f>IF(NFI_Expiration=1,IF($A107&lt;VLOOKUP(Q$5,NFI,5,0),1,0)*Data_NFI_t[[#This Row],[Plastic Bucket]],0)</f>
        <v>0</v>
      </c>
      <c r="AF107" s="112">
        <f>IF(NFI_Expiration=1,IF($A107&lt;VLOOKUP(R$5,NFI,5,0),1,0)*Data_NFI_t[[#This Row],[Jerry Can]],0)</f>
        <v>0</v>
      </c>
      <c r="AG107" s="131">
        <f>IF(NFI_Expiration=1,IF($A107&lt;VLOOKUP(S$5,NFI,5,0),1,0)*Data_NFI_t[[#This Row],[Plastic Mat]],0)*IF(Data_NFI_t[[#This Row],[Distribution Date]]&gt;"01-06-2015",1,2.5)</f>
        <v>0</v>
      </c>
      <c r="AH107" s="915">
        <f>IF(NFI_Expiration=1,IF($A107&lt;VLOOKUP(T$5,NFI,5,0),1,0)*Data_NFI_t[[#This Row],[Adult Clothes]],0)</f>
        <v>0</v>
      </c>
      <c r="AI107" s="131">
        <f>IF(NFI_Expiration=1,IF($A107&lt;VLOOKUP(U$5,NFI,5,0),1,0)*Data_NFI_t[[#This Row],[Children Clothes]],0)</f>
        <v>0</v>
      </c>
      <c r="AJ107" s="131">
        <f>IF(NFI_Expiration=1,IF($A107&lt;VLOOKUP(V$5,NFI,5,0),1,0)*Data_NFI_t[[#This Row],[Sewing Kit]],0)</f>
        <v>0</v>
      </c>
      <c r="AK107" s="131" t="str">
        <f ca="1">IFERROR(OFFSET(Camp_List[P_Code],MATCH(Data_NFI_t[[#This Row],[Camp Name]],Camp_List[Camp Name],0)-1,0,1,1),"")</f>
        <v>MMR012CMP013</v>
      </c>
      <c r="AL107" s="513" t="str">
        <f ca="1">IFERROR(OFFSET(Camp_List[Status],MATCH(Data_NFI_t[[#This Row],[Camp Name]],Camp_List[Camp Name],0)-1,0,1,1),"")</f>
        <v>Relocated</v>
      </c>
      <c r="AM107" s="131"/>
    </row>
    <row r="108" spans="1:39" s="90" customFormat="1" ht="19.5" customHeight="1" x14ac:dyDescent="0.25">
      <c r="A108" s="242">
        <f>IF(ISBLANK(C108),"",(Report_Date-C108)/30)</f>
        <v>26.333333333333332</v>
      </c>
      <c r="B108" s="242">
        <f>YEAR(Data_NFI_t[[#This Row],[Distribution Date]])</f>
        <v>2015</v>
      </c>
      <c r="C108" s="927">
        <v>42005</v>
      </c>
      <c r="D108" s="489" t="s">
        <v>707</v>
      </c>
      <c r="E108" s="488" t="s">
        <v>707</v>
      </c>
      <c r="F108" s="489" t="s">
        <v>7</v>
      </c>
      <c r="G108" s="794" t="s">
        <v>867</v>
      </c>
      <c r="H108" s="794" t="s">
        <v>38</v>
      </c>
      <c r="I108" s="794">
        <v>682</v>
      </c>
      <c r="J108" s="51"/>
      <c r="K108" s="51"/>
      <c r="L108" s="51"/>
      <c r="M108" s="51"/>
      <c r="N108" s="51"/>
      <c r="O108" s="51"/>
      <c r="P108" s="51"/>
      <c r="Q108" s="51"/>
      <c r="R108" s="511"/>
      <c r="S108" s="51"/>
      <c r="T108" s="51"/>
      <c r="U108" s="51"/>
      <c r="V108" s="51"/>
      <c r="W108" s="131">
        <f>IF(NFI_Expiration=1,IF($A108&lt;VLOOKUP(I$5,NFI,5,0),1,0)*Data_NFI_t[[#This Row],[Hygiene Kit]],0)</f>
        <v>0</v>
      </c>
      <c r="X108" s="131">
        <f>IF(NFI_Expiration=1,IF($A108&lt;VLOOKUP(J$5,NFI,5,0),1,0)*Data_NFI_t[[#This Row],[NFI Core Kit]],0)</f>
        <v>0</v>
      </c>
      <c r="Y108" s="112">
        <f>IF(NFI_Expiration=1,IF($A108&lt;VLOOKUP(K$5,NFI,5,0),1,0)*Data_NFI_t[[#This Row],[Sanitary Kit]],0)</f>
        <v>0</v>
      </c>
      <c r="Z108" s="112">
        <f>IF(NFI_Expiration=1,IF($A108&lt;VLOOKUP(L$5,NFI,5,0),1,0)*Data_NFI_t[[#This Row],[Mosquito net]],0)</f>
        <v>0</v>
      </c>
      <c r="AA108" s="112">
        <f>IF(NFI_Expiration=1,IF($A108&lt;VLOOKUP(M$5,NFI,5,0),1,0)*Data_NFI_t[[#This Row],[Tarpaulin]],0)</f>
        <v>0</v>
      </c>
      <c r="AB108" s="112">
        <f>IF(NFI_Expiration=1,IF($A108&lt;VLOOKUP(N$5,NFI,5,0),1,0)*Data_NFI_t[[#This Row],[Blanket]],0)</f>
        <v>0</v>
      </c>
      <c r="AC108" s="112">
        <f>IF(NFI_Expiration=1,IF($A108&lt;VLOOKUP(O$5,NFI,5,0),1,0)*Data_NFI_t[[#This Row],[Kitchen Set]],0)</f>
        <v>0</v>
      </c>
      <c r="AD108" s="112">
        <f>IF(NFI_Expiration=1,IF($A108&lt;VLOOKUP(P$5,NFI,5,0),1,0)*Data_NFI_t[[#This Row],[Complementary Kit]],0)</f>
        <v>0</v>
      </c>
      <c r="AE108" s="112">
        <f>IF(NFI_Expiration=1,IF($A108&lt;VLOOKUP(Q$5,NFI,5,0),1,0)*Data_NFI_t[[#This Row],[Plastic Bucket]],0)</f>
        <v>0</v>
      </c>
      <c r="AF108" s="112">
        <f>IF(NFI_Expiration=1,IF($A108&lt;VLOOKUP(R$5,NFI,5,0),1,0)*Data_NFI_t[[#This Row],[Jerry Can]],0)</f>
        <v>0</v>
      </c>
      <c r="AG108" s="131">
        <f>IF(NFI_Expiration=1,IF($A108&lt;VLOOKUP(S$5,NFI,5,0),1,0)*Data_NFI_t[[#This Row],[Plastic Mat]],0)*IF(Data_NFI_t[[#This Row],[Distribution Date]]&gt;"01-06-2015",1,2.5)</f>
        <v>0</v>
      </c>
      <c r="AH108" s="915">
        <f>IF(NFI_Expiration=1,IF($A108&lt;VLOOKUP(T$5,NFI,5,0),1,0)*Data_NFI_t[[#This Row],[Adult Clothes]],0)</f>
        <v>0</v>
      </c>
      <c r="AI108" s="131">
        <f>IF(NFI_Expiration=1,IF($A108&lt;VLOOKUP(U$5,NFI,5,0),1,0)*Data_NFI_t[[#This Row],[Children Clothes]],0)</f>
        <v>0</v>
      </c>
      <c r="AJ108" s="131">
        <f>IF(NFI_Expiration=1,IF($A108&lt;VLOOKUP(V$5,NFI,5,0),1,0)*Data_NFI_t[[#This Row],[Sewing Kit]],0)</f>
        <v>0</v>
      </c>
      <c r="AK108" s="131" t="str">
        <f ca="1">IFERROR(OFFSET(Camp_List[P_Code],MATCH(Data_NFI_t[[#This Row],[Camp Name]],Camp_List[Camp Name],0)-1,0,1,1),"")</f>
        <v>MMR012CMP014</v>
      </c>
      <c r="AL108" s="513" t="str">
        <f ca="1">IFERROR(OFFSET(Camp_List[Status],MATCH(Data_NFI_t[[#This Row],[Camp Name]],Camp_List[Camp Name],0)-1,0,1,1),"")</f>
        <v>Open</v>
      </c>
      <c r="AM108" s="131"/>
    </row>
    <row r="109" spans="1:39" s="90" customFormat="1" ht="19.5" customHeight="1" x14ac:dyDescent="0.25">
      <c r="A109" s="242">
        <f>IF(ISBLANK(C109),"",(Report_Date-C109)/30)</f>
        <v>26.633333333333333</v>
      </c>
      <c r="B109" s="242">
        <f>YEAR(Data_NFI_t[[#This Row],[Distribution Date]])</f>
        <v>2014</v>
      </c>
      <c r="C109" s="927">
        <v>41996</v>
      </c>
      <c r="D109" s="489" t="s">
        <v>285</v>
      </c>
      <c r="E109" s="488" t="s">
        <v>285</v>
      </c>
      <c r="F109" s="489" t="s">
        <v>7</v>
      </c>
      <c r="G109" s="794" t="s">
        <v>20</v>
      </c>
      <c r="H109" s="794" t="s">
        <v>103</v>
      </c>
      <c r="I109" s="794">
        <v>27</v>
      </c>
      <c r="J109" s="51">
        <v>27</v>
      </c>
      <c r="K109" s="51">
        <v>27</v>
      </c>
      <c r="L109" s="51">
        <v>54</v>
      </c>
      <c r="M109" s="51">
        <v>0</v>
      </c>
      <c r="N109" s="51">
        <v>54</v>
      </c>
      <c r="O109" s="51">
        <v>17</v>
      </c>
      <c r="P109" s="51">
        <v>0</v>
      </c>
      <c r="Q109" s="51">
        <v>27</v>
      </c>
      <c r="R109" s="511"/>
      <c r="S109" s="51">
        <v>85</v>
      </c>
      <c r="T109" s="51"/>
      <c r="U109" s="51"/>
      <c r="V109" s="51"/>
      <c r="W109" s="131">
        <f>IF(NFI_Expiration=1,IF($A109&lt;VLOOKUP(I$5,NFI,5,0),1,0)*Data_NFI_t[[#This Row],[Hygiene Kit]],0)</f>
        <v>0</v>
      </c>
      <c r="X109" s="131">
        <f>IF(NFI_Expiration=1,IF($A109&lt;VLOOKUP(J$5,NFI,5,0),1,0)*Data_NFI_t[[#This Row],[NFI Core Kit]],0)</f>
        <v>0</v>
      </c>
      <c r="Y109" s="112">
        <f>IF(NFI_Expiration=1,IF($A109&lt;VLOOKUP(K$5,NFI,5,0),1,0)*Data_NFI_t[[#This Row],[Sanitary Kit]],0)</f>
        <v>0</v>
      </c>
      <c r="Z109" s="112">
        <f>IF(NFI_Expiration=1,IF($A109&lt;VLOOKUP(L$5,NFI,5,0),1,0)*Data_NFI_t[[#This Row],[Mosquito net]],0)</f>
        <v>0</v>
      </c>
      <c r="AA109" s="112">
        <f>IF(NFI_Expiration=1,IF($A109&lt;VLOOKUP(M$5,NFI,5,0),1,0)*Data_NFI_t[[#This Row],[Tarpaulin]],0)</f>
        <v>0</v>
      </c>
      <c r="AB109" s="112">
        <f>IF(NFI_Expiration=1,IF($A109&lt;VLOOKUP(N$5,NFI,5,0),1,0)*Data_NFI_t[[#This Row],[Blanket]],0)</f>
        <v>0</v>
      </c>
      <c r="AC109" s="112">
        <f>IF(NFI_Expiration=1,IF($A109&lt;VLOOKUP(O$5,NFI,5,0),1,0)*Data_NFI_t[[#This Row],[Kitchen Set]],0)</f>
        <v>0</v>
      </c>
      <c r="AD109" s="112">
        <f>IF(NFI_Expiration=1,IF($A109&lt;VLOOKUP(P$5,NFI,5,0),1,0)*Data_NFI_t[[#This Row],[Complementary Kit]],0)</f>
        <v>0</v>
      </c>
      <c r="AE109" s="112">
        <f>IF(NFI_Expiration=1,IF($A109&lt;VLOOKUP(Q$5,NFI,5,0),1,0)*Data_NFI_t[[#This Row],[Plastic Bucket]],0)</f>
        <v>0</v>
      </c>
      <c r="AF109" s="112">
        <f>IF(NFI_Expiration=1,IF($A109&lt;VLOOKUP(R$5,NFI,5,0),1,0)*Data_NFI_t[[#This Row],[Jerry Can]],0)</f>
        <v>0</v>
      </c>
      <c r="AG109" s="131">
        <f>IF(NFI_Expiration=1,IF($A109&lt;VLOOKUP(S$5,NFI,5,0),1,0)*Data_NFI_t[[#This Row],[Plastic Mat]],0)*IF(Data_NFI_t[[#This Row],[Distribution Date]]&gt;"01-06-2015",1,2.5)</f>
        <v>0</v>
      </c>
      <c r="AH109" s="915">
        <f>IF(NFI_Expiration=1,IF($A109&lt;VLOOKUP(T$5,NFI,5,0),1,0)*Data_NFI_t[[#This Row],[Adult Clothes]],0)</f>
        <v>0</v>
      </c>
      <c r="AI109" s="131">
        <f>IF(NFI_Expiration=1,IF($A109&lt;VLOOKUP(U$5,NFI,5,0),1,0)*Data_NFI_t[[#This Row],[Children Clothes]],0)</f>
        <v>0</v>
      </c>
      <c r="AJ109" s="131">
        <f>IF(NFI_Expiration=1,IF($A109&lt;VLOOKUP(V$5,NFI,5,0),1,0)*Data_NFI_t[[#This Row],[Sewing Kit]],0)</f>
        <v>0</v>
      </c>
      <c r="AK109" s="131" t="str">
        <f ca="1">IFERROR(OFFSET(Camp_List[P_Code],MATCH(Data_NFI_t[[#This Row],[Camp Name]],Camp_List[Camp Name],0)-1,0,1,1),"")</f>
        <v>MMR012CMP082</v>
      </c>
      <c r="AL109" s="513" t="str">
        <f ca="1">IFERROR(OFFSET(Camp_List[Status],MATCH(Data_NFI_t[[#This Row],[Camp Name]],Camp_List[Camp Name],0)-1,0,1,1),"")</f>
        <v>Returned</v>
      </c>
      <c r="AM109" s="131"/>
    </row>
    <row r="110" spans="1:39" s="90" customFormat="1" ht="19.5" customHeight="1" x14ac:dyDescent="0.25">
      <c r="A110" s="242">
        <f>IF(ISBLANK(C110),"",(Report_Date-C110)/30)</f>
        <v>26.8</v>
      </c>
      <c r="B110" s="242">
        <f>YEAR(Data_NFI_t[[#This Row],[Distribution Date]])</f>
        <v>2014</v>
      </c>
      <c r="C110" s="927">
        <v>41991</v>
      </c>
      <c r="D110" s="489" t="s">
        <v>285</v>
      </c>
      <c r="E110" s="488" t="s">
        <v>285</v>
      </c>
      <c r="F110" s="489" t="s">
        <v>7</v>
      </c>
      <c r="G110" s="794" t="s">
        <v>20</v>
      </c>
      <c r="H110" s="794" t="s">
        <v>107</v>
      </c>
      <c r="I110" s="794">
        <v>108</v>
      </c>
      <c r="J110" s="51">
        <v>108</v>
      </c>
      <c r="K110" s="51">
        <v>108</v>
      </c>
      <c r="L110" s="51">
        <v>216</v>
      </c>
      <c r="M110" s="51">
        <v>0</v>
      </c>
      <c r="N110" s="51">
        <v>216</v>
      </c>
      <c r="O110" s="51">
        <v>68</v>
      </c>
      <c r="P110" s="51">
        <v>0</v>
      </c>
      <c r="Q110" s="51">
        <v>108</v>
      </c>
      <c r="R110" s="511"/>
      <c r="S110" s="51">
        <v>340</v>
      </c>
      <c r="T110" s="51"/>
      <c r="U110" s="51"/>
      <c r="V110" s="51"/>
      <c r="W110" s="131">
        <f>IF(NFI_Expiration=1,IF($A110&lt;VLOOKUP(I$5,NFI,5,0),1,0)*Data_NFI_t[[#This Row],[Hygiene Kit]],0)</f>
        <v>0</v>
      </c>
      <c r="X110" s="131">
        <f>IF(NFI_Expiration=1,IF($A110&lt;VLOOKUP(J$5,NFI,5,0),1,0)*Data_NFI_t[[#This Row],[NFI Core Kit]],0)</f>
        <v>0</v>
      </c>
      <c r="Y110" s="112">
        <f>IF(NFI_Expiration=1,IF($A110&lt;VLOOKUP(K$5,NFI,5,0),1,0)*Data_NFI_t[[#This Row],[Sanitary Kit]],0)</f>
        <v>0</v>
      </c>
      <c r="Z110" s="112">
        <f>IF(NFI_Expiration=1,IF($A110&lt;VLOOKUP(L$5,NFI,5,0),1,0)*Data_NFI_t[[#This Row],[Mosquito net]],0)</f>
        <v>0</v>
      </c>
      <c r="AA110" s="112">
        <f>IF(NFI_Expiration=1,IF($A110&lt;VLOOKUP(M$5,NFI,5,0),1,0)*Data_NFI_t[[#This Row],[Tarpaulin]],0)</f>
        <v>0</v>
      </c>
      <c r="AB110" s="112">
        <f>IF(NFI_Expiration=1,IF($A110&lt;VLOOKUP(N$5,NFI,5,0),1,0)*Data_NFI_t[[#This Row],[Blanket]],0)</f>
        <v>0</v>
      </c>
      <c r="AC110" s="112">
        <f>IF(NFI_Expiration=1,IF($A110&lt;VLOOKUP(O$5,NFI,5,0),1,0)*Data_NFI_t[[#This Row],[Kitchen Set]],0)</f>
        <v>0</v>
      </c>
      <c r="AD110" s="112">
        <f>IF(NFI_Expiration=1,IF($A110&lt;VLOOKUP(P$5,NFI,5,0),1,0)*Data_NFI_t[[#This Row],[Complementary Kit]],0)</f>
        <v>0</v>
      </c>
      <c r="AE110" s="112">
        <f>IF(NFI_Expiration=1,IF($A110&lt;VLOOKUP(Q$5,NFI,5,0),1,0)*Data_NFI_t[[#This Row],[Plastic Bucket]],0)</f>
        <v>0</v>
      </c>
      <c r="AF110" s="112">
        <f>IF(NFI_Expiration=1,IF($A110&lt;VLOOKUP(R$5,NFI,5,0),1,0)*Data_NFI_t[[#This Row],[Jerry Can]],0)</f>
        <v>0</v>
      </c>
      <c r="AG110" s="131">
        <f>IF(NFI_Expiration=1,IF($A110&lt;VLOOKUP(S$5,NFI,5,0),1,0)*Data_NFI_t[[#This Row],[Plastic Mat]],0)*IF(Data_NFI_t[[#This Row],[Distribution Date]]&gt;"01-06-2015",1,2.5)</f>
        <v>0</v>
      </c>
      <c r="AH110" s="915">
        <f>IF(NFI_Expiration=1,IF($A110&lt;VLOOKUP(T$5,NFI,5,0),1,0)*Data_NFI_t[[#This Row],[Adult Clothes]],0)</f>
        <v>0</v>
      </c>
      <c r="AI110" s="131">
        <f>IF(NFI_Expiration=1,IF($A110&lt;VLOOKUP(U$5,NFI,5,0),1,0)*Data_NFI_t[[#This Row],[Children Clothes]],0)</f>
        <v>0</v>
      </c>
      <c r="AJ110" s="131">
        <f>IF(NFI_Expiration=1,IF($A110&lt;VLOOKUP(V$5,NFI,5,0),1,0)*Data_NFI_t[[#This Row],[Sewing Kit]],0)</f>
        <v>0</v>
      </c>
      <c r="AK110" s="131" t="str">
        <f ca="1">IFERROR(OFFSET(Camp_List[P_Code],MATCH(Data_NFI_t[[#This Row],[Camp Name]],Camp_List[Camp Name],0)-1,0,1,1),"")</f>
        <v>MMR012CMP086</v>
      </c>
      <c r="AL110" s="513" t="str">
        <f ca="1">IFERROR(OFFSET(Camp_List[Status],MATCH(Data_NFI_t[[#This Row],[Camp Name]],Camp_List[Camp Name],0)-1,0,1,1),"")</f>
        <v>Open</v>
      </c>
      <c r="AM110" s="131"/>
    </row>
    <row r="111" spans="1:39" s="90" customFormat="1" ht="19.5" customHeight="1" x14ac:dyDescent="0.25">
      <c r="A111" s="242">
        <f>IF(ISBLANK(C111),"",(Report_Date-C111)/30)</f>
        <v>26.8</v>
      </c>
      <c r="B111" s="242">
        <f>YEAR(Data_NFI_t[[#This Row],[Distribution Date]])</f>
        <v>2014</v>
      </c>
      <c r="C111" s="927">
        <v>41991</v>
      </c>
      <c r="D111" s="489" t="s">
        <v>285</v>
      </c>
      <c r="E111" s="488" t="s">
        <v>285</v>
      </c>
      <c r="F111" s="489" t="s">
        <v>7</v>
      </c>
      <c r="G111" s="794" t="s">
        <v>20</v>
      </c>
      <c r="H111" s="794" t="s">
        <v>874</v>
      </c>
      <c r="I111" s="794">
        <v>164</v>
      </c>
      <c r="J111" s="51">
        <v>164</v>
      </c>
      <c r="K111" s="51">
        <v>164</v>
      </c>
      <c r="L111" s="51">
        <v>328</v>
      </c>
      <c r="M111" s="51">
        <v>0</v>
      </c>
      <c r="N111" s="51">
        <v>328</v>
      </c>
      <c r="O111" s="51">
        <v>92</v>
      </c>
      <c r="P111" s="51">
        <v>0</v>
      </c>
      <c r="Q111" s="51">
        <v>164</v>
      </c>
      <c r="R111" s="511"/>
      <c r="S111" s="51">
        <v>460</v>
      </c>
      <c r="T111" s="51"/>
      <c r="U111" s="51"/>
      <c r="V111" s="51"/>
      <c r="W111" s="131">
        <f>IF(NFI_Expiration=1,IF($A111&lt;VLOOKUP(I$5,NFI,5,0),1,0)*Data_NFI_t[[#This Row],[Hygiene Kit]],0)</f>
        <v>0</v>
      </c>
      <c r="X111" s="131">
        <f>IF(NFI_Expiration=1,IF($A111&lt;VLOOKUP(J$5,NFI,5,0),1,0)*Data_NFI_t[[#This Row],[NFI Core Kit]],0)</f>
        <v>0</v>
      </c>
      <c r="Y111" s="112">
        <f>IF(NFI_Expiration=1,IF($A111&lt;VLOOKUP(K$5,NFI,5,0),1,0)*Data_NFI_t[[#This Row],[Sanitary Kit]],0)</f>
        <v>0</v>
      </c>
      <c r="Z111" s="112">
        <f>IF(NFI_Expiration=1,IF($A111&lt;VLOOKUP(L$5,NFI,5,0),1,0)*Data_NFI_t[[#This Row],[Mosquito net]],0)</f>
        <v>0</v>
      </c>
      <c r="AA111" s="112">
        <f>IF(NFI_Expiration=1,IF($A111&lt;VLOOKUP(M$5,NFI,5,0),1,0)*Data_NFI_t[[#This Row],[Tarpaulin]],0)</f>
        <v>0</v>
      </c>
      <c r="AB111" s="112">
        <f>IF(NFI_Expiration=1,IF($A111&lt;VLOOKUP(N$5,NFI,5,0),1,0)*Data_NFI_t[[#This Row],[Blanket]],0)</f>
        <v>0</v>
      </c>
      <c r="AC111" s="112">
        <f>IF(NFI_Expiration=1,IF($A111&lt;VLOOKUP(O$5,NFI,5,0),1,0)*Data_NFI_t[[#This Row],[Kitchen Set]],0)</f>
        <v>0</v>
      </c>
      <c r="AD111" s="112">
        <f>IF(NFI_Expiration=1,IF($A111&lt;VLOOKUP(P$5,NFI,5,0),1,0)*Data_NFI_t[[#This Row],[Complementary Kit]],0)</f>
        <v>0</v>
      </c>
      <c r="AE111" s="112">
        <f>IF(NFI_Expiration=1,IF($A111&lt;VLOOKUP(Q$5,NFI,5,0),1,0)*Data_NFI_t[[#This Row],[Plastic Bucket]],0)</f>
        <v>0</v>
      </c>
      <c r="AF111" s="112">
        <f>IF(NFI_Expiration=1,IF($A111&lt;VLOOKUP(R$5,NFI,5,0),1,0)*Data_NFI_t[[#This Row],[Jerry Can]],0)</f>
        <v>0</v>
      </c>
      <c r="AG111" s="131">
        <f>IF(NFI_Expiration=1,IF($A111&lt;VLOOKUP(S$5,NFI,5,0),1,0)*Data_NFI_t[[#This Row],[Plastic Mat]],0)*IF(Data_NFI_t[[#This Row],[Distribution Date]]&gt;"01-06-2015",1,2.5)</f>
        <v>0</v>
      </c>
      <c r="AH111" s="915">
        <f>IF(NFI_Expiration=1,IF($A111&lt;VLOOKUP(T$5,NFI,5,0),1,0)*Data_NFI_t[[#This Row],[Adult Clothes]],0)</f>
        <v>0</v>
      </c>
      <c r="AI111" s="131">
        <f>IF(NFI_Expiration=1,IF($A111&lt;VLOOKUP(U$5,NFI,5,0),1,0)*Data_NFI_t[[#This Row],[Children Clothes]],0)</f>
        <v>0</v>
      </c>
      <c r="AJ111" s="131">
        <f>IF(NFI_Expiration=1,IF($A111&lt;VLOOKUP(V$5,NFI,5,0),1,0)*Data_NFI_t[[#This Row],[Sewing Kit]],0)</f>
        <v>0</v>
      </c>
      <c r="AK111" s="131" t="str">
        <f ca="1">IFERROR(OFFSET(Camp_List[P_Code],MATCH(Data_NFI_t[[#This Row],[Camp Name]],Camp_List[Camp Name],0)-1,0,1,1),"")</f>
        <v>MMR012CMP095</v>
      </c>
      <c r="AL111" s="513" t="str">
        <f ca="1">IFERROR(OFFSET(Camp_List[Status],MATCH(Data_NFI_t[[#This Row],[Camp Name]],Camp_List[Camp Name],0)-1,0,1,1),"")</f>
        <v>Open</v>
      </c>
      <c r="AM111" s="131"/>
    </row>
    <row r="112" spans="1:39" s="90" customFormat="1" ht="19.5" customHeight="1" x14ac:dyDescent="0.25">
      <c r="A112" s="242">
        <f>IF(ISBLANK(C112),"",(Report_Date-C112)/30)</f>
        <v>26.833333333333332</v>
      </c>
      <c r="B112" s="242">
        <f>YEAR(Data_NFI_t[[#This Row],[Distribution Date]])</f>
        <v>2014</v>
      </c>
      <c r="C112" s="927">
        <v>41990</v>
      </c>
      <c r="D112" s="489" t="s">
        <v>285</v>
      </c>
      <c r="E112" s="488" t="s">
        <v>285</v>
      </c>
      <c r="F112" s="489" t="s">
        <v>7</v>
      </c>
      <c r="G112" s="794" t="s">
        <v>20</v>
      </c>
      <c r="H112" s="794" t="s">
        <v>872</v>
      </c>
      <c r="I112" s="794">
        <v>315</v>
      </c>
      <c r="J112" s="51">
        <v>315</v>
      </c>
      <c r="K112" s="51">
        <v>315</v>
      </c>
      <c r="L112" s="51">
        <v>630</v>
      </c>
      <c r="M112" s="51">
        <v>0</v>
      </c>
      <c r="N112" s="51">
        <v>630</v>
      </c>
      <c r="O112" s="51">
        <v>186</v>
      </c>
      <c r="P112" s="51">
        <v>0</v>
      </c>
      <c r="Q112" s="51">
        <v>315</v>
      </c>
      <c r="R112" s="511"/>
      <c r="S112" s="51">
        <v>930</v>
      </c>
      <c r="T112" s="51"/>
      <c r="U112" s="51"/>
      <c r="V112" s="51"/>
      <c r="W112" s="131">
        <f>IF(NFI_Expiration=1,IF($A112&lt;VLOOKUP(I$5,NFI,5,0),1,0)*Data_NFI_t[[#This Row],[Hygiene Kit]],0)</f>
        <v>0</v>
      </c>
      <c r="X112" s="131">
        <f>IF(NFI_Expiration=1,IF($A112&lt;VLOOKUP(J$5,NFI,5,0),1,0)*Data_NFI_t[[#This Row],[NFI Core Kit]],0)</f>
        <v>0</v>
      </c>
      <c r="Y112" s="112">
        <f>IF(NFI_Expiration=1,IF($A112&lt;VLOOKUP(K$5,NFI,5,0),1,0)*Data_NFI_t[[#This Row],[Sanitary Kit]],0)</f>
        <v>0</v>
      </c>
      <c r="Z112" s="112">
        <f>IF(NFI_Expiration=1,IF($A112&lt;VLOOKUP(L$5,NFI,5,0),1,0)*Data_NFI_t[[#This Row],[Mosquito net]],0)</f>
        <v>0</v>
      </c>
      <c r="AA112" s="112">
        <f>IF(NFI_Expiration=1,IF($A112&lt;VLOOKUP(M$5,NFI,5,0),1,0)*Data_NFI_t[[#This Row],[Tarpaulin]],0)</f>
        <v>0</v>
      </c>
      <c r="AB112" s="112">
        <f>IF(NFI_Expiration=1,IF($A112&lt;VLOOKUP(N$5,NFI,5,0),1,0)*Data_NFI_t[[#This Row],[Blanket]],0)</f>
        <v>0</v>
      </c>
      <c r="AC112" s="112">
        <f>IF(NFI_Expiration=1,IF($A112&lt;VLOOKUP(O$5,NFI,5,0),1,0)*Data_NFI_t[[#This Row],[Kitchen Set]],0)</f>
        <v>0</v>
      </c>
      <c r="AD112" s="112">
        <f>IF(NFI_Expiration=1,IF($A112&lt;VLOOKUP(P$5,NFI,5,0),1,0)*Data_NFI_t[[#This Row],[Complementary Kit]],0)</f>
        <v>0</v>
      </c>
      <c r="AE112" s="112">
        <f>IF(NFI_Expiration=1,IF($A112&lt;VLOOKUP(Q$5,NFI,5,0),1,0)*Data_NFI_t[[#This Row],[Plastic Bucket]],0)</f>
        <v>0</v>
      </c>
      <c r="AF112" s="112">
        <f>IF(NFI_Expiration=1,IF($A112&lt;VLOOKUP(R$5,NFI,5,0),1,0)*Data_NFI_t[[#This Row],[Jerry Can]],0)</f>
        <v>0</v>
      </c>
      <c r="AG112" s="131">
        <f>IF(NFI_Expiration=1,IF($A112&lt;VLOOKUP(S$5,NFI,5,0),1,0)*Data_NFI_t[[#This Row],[Plastic Mat]],0)*IF(Data_NFI_t[[#This Row],[Distribution Date]]&gt;"01-06-2015",1,2.5)</f>
        <v>0</v>
      </c>
      <c r="AH112" s="915">
        <f>IF(NFI_Expiration=1,IF($A112&lt;VLOOKUP(T$5,NFI,5,0),1,0)*Data_NFI_t[[#This Row],[Adult Clothes]],0)</f>
        <v>0</v>
      </c>
      <c r="AI112" s="131">
        <f>IF(NFI_Expiration=1,IF($A112&lt;VLOOKUP(U$5,NFI,5,0),1,0)*Data_NFI_t[[#This Row],[Children Clothes]],0)</f>
        <v>0</v>
      </c>
      <c r="AJ112" s="131">
        <f>IF(NFI_Expiration=1,IF($A112&lt;VLOOKUP(V$5,NFI,5,0),1,0)*Data_NFI_t[[#This Row],[Sewing Kit]],0)</f>
        <v>0</v>
      </c>
      <c r="AK112" s="131" t="str">
        <f ca="1">IFERROR(OFFSET(Camp_List[P_Code],MATCH(Data_NFI_t[[#This Row],[Camp Name]],Camp_List[Camp Name],0)-1,0,1,1),"")</f>
        <v>MMR012CMP083</v>
      </c>
      <c r="AL112" s="513" t="str">
        <f ca="1">IFERROR(OFFSET(Camp_List[Status],MATCH(Data_NFI_t[[#This Row],[Camp Name]],Camp_List[Camp Name],0)-1,0,1,1),"")</f>
        <v>Open</v>
      </c>
      <c r="AM112" s="131"/>
    </row>
    <row r="113" spans="1:39" s="90" customFormat="1" ht="19.5" customHeight="1" x14ac:dyDescent="0.25">
      <c r="A113" s="242">
        <f>IF(ISBLANK(C113),"",(Report_Date-C113)/30)</f>
        <v>26.933333333333334</v>
      </c>
      <c r="B113" s="242">
        <f>YEAR(Data_NFI_t[[#This Row],[Distribution Date]])</f>
        <v>2014</v>
      </c>
      <c r="C113" s="927">
        <v>41987</v>
      </c>
      <c r="D113" s="489" t="s">
        <v>285</v>
      </c>
      <c r="E113" s="488" t="s">
        <v>285</v>
      </c>
      <c r="F113" s="489" t="s">
        <v>7</v>
      </c>
      <c r="G113" s="794" t="s">
        <v>20</v>
      </c>
      <c r="H113" s="794" t="s">
        <v>617</v>
      </c>
      <c r="I113" s="794">
        <v>170</v>
      </c>
      <c r="J113" s="51">
        <v>170</v>
      </c>
      <c r="K113" s="51">
        <v>170</v>
      </c>
      <c r="L113" s="51">
        <v>338</v>
      </c>
      <c r="M113" s="51">
        <v>0</v>
      </c>
      <c r="N113" s="51">
        <v>338</v>
      </c>
      <c r="O113" s="51">
        <v>110</v>
      </c>
      <c r="P113" s="51">
        <v>0</v>
      </c>
      <c r="Q113" s="51">
        <v>170</v>
      </c>
      <c r="R113" s="511"/>
      <c r="S113" s="51">
        <v>550</v>
      </c>
      <c r="T113" s="51"/>
      <c r="U113" s="51"/>
      <c r="V113" s="51"/>
      <c r="W113" s="131">
        <f>IF(NFI_Expiration=1,IF($A113&lt;VLOOKUP(I$5,NFI,5,0),1,0)*Data_NFI_t[[#This Row],[Hygiene Kit]],0)</f>
        <v>0</v>
      </c>
      <c r="X113" s="131">
        <f>IF(NFI_Expiration=1,IF($A113&lt;VLOOKUP(J$5,NFI,5,0),1,0)*Data_NFI_t[[#This Row],[NFI Core Kit]],0)</f>
        <v>0</v>
      </c>
      <c r="Y113" s="112">
        <f>IF(NFI_Expiration=1,IF($A113&lt;VLOOKUP(K$5,NFI,5,0),1,0)*Data_NFI_t[[#This Row],[Sanitary Kit]],0)</f>
        <v>0</v>
      </c>
      <c r="Z113" s="112">
        <f>IF(NFI_Expiration=1,IF($A113&lt;VLOOKUP(L$5,NFI,5,0),1,0)*Data_NFI_t[[#This Row],[Mosquito net]],0)</f>
        <v>0</v>
      </c>
      <c r="AA113" s="112">
        <f>IF(NFI_Expiration=1,IF($A113&lt;VLOOKUP(M$5,NFI,5,0),1,0)*Data_NFI_t[[#This Row],[Tarpaulin]],0)</f>
        <v>0</v>
      </c>
      <c r="AB113" s="112">
        <f>IF(NFI_Expiration=1,IF($A113&lt;VLOOKUP(N$5,NFI,5,0),1,0)*Data_NFI_t[[#This Row],[Blanket]],0)</f>
        <v>0</v>
      </c>
      <c r="AC113" s="112">
        <f>IF(NFI_Expiration=1,IF($A113&lt;VLOOKUP(O$5,NFI,5,0),1,0)*Data_NFI_t[[#This Row],[Kitchen Set]],0)</f>
        <v>0</v>
      </c>
      <c r="AD113" s="112">
        <f>IF(NFI_Expiration=1,IF($A113&lt;VLOOKUP(P$5,NFI,5,0),1,0)*Data_NFI_t[[#This Row],[Complementary Kit]],0)</f>
        <v>0</v>
      </c>
      <c r="AE113" s="112">
        <f>IF(NFI_Expiration=1,IF($A113&lt;VLOOKUP(Q$5,NFI,5,0),1,0)*Data_NFI_t[[#This Row],[Plastic Bucket]],0)</f>
        <v>0</v>
      </c>
      <c r="AF113" s="112">
        <f>IF(NFI_Expiration=1,IF($A113&lt;VLOOKUP(R$5,NFI,5,0),1,0)*Data_NFI_t[[#This Row],[Jerry Can]],0)</f>
        <v>0</v>
      </c>
      <c r="AG113" s="131">
        <f>IF(NFI_Expiration=1,IF($A113&lt;VLOOKUP(S$5,NFI,5,0),1,0)*Data_NFI_t[[#This Row],[Plastic Mat]],0)*IF(Data_NFI_t[[#This Row],[Distribution Date]]&gt;"01-06-2015",1,2.5)</f>
        <v>0</v>
      </c>
      <c r="AH113" s="915">
        <f>IF(NFI_Expiration=1,IF($A113&lt;VLOOKUP(T$5,NFI,5,0),1,0)*Data_NFI_t[[#This Row],[Adult Clothes]],0)</f>
        <v>0</v>
      </c>
      <c r="AI113" s="131">
        <f>IF(NFI_Expiration=1,IF($A113&lt;VLOOKUP(U$5,NFI,5,0),1,0)*Data_NFI_t[[#This Row],[Children Clothes]],0)</f>
        <v>0</v>
      </c>
      <c r="AJ113" s="131">
        <f>IF(NFI_Expiration=1,IF($A113&lt;VLOOKUP(V$5,NFI,5,0),1,0)*Data_NFI_t[[#This Row],[Sewing Kit]],0)</f>
        <v>0</v>
      </c>
      <c r="AK113" s="131" t="str">
        <f ca="1">IFERROR(OFFSET(Camp_List[P_Code],MATCH(Data_NFI_t[[#This Row],[Camp Name]],Camp_List[Camp Name],0)-1,0,1,1),"")</f>
        <v>MMR012CMP109</v>
      </c>
      <c r="AL113" s="513" t="str">
        <f ca="1">IFERROR(OFFSET(Camp_List[Status],MATCH(Data_NFI_t[[#This Row],[Camp Name]],Camp_List[Camp Name],0)-1,0,1,1),"")</f>
        <v>Open</v>
      </c>
      <c r="AM113" s="131"/>
    </row>
    <row r="114" spans="1:39" s="90" customFormat="1" ht="19.5" customHeight="1" x14ac:dyDescent="0.25">
      <c r="A114" s="242">
        <f>IF(ISBLANK(C114),"",(Report_Date-C114)/30)</f>
        <v>29.833333333333332</v>
      </c>
      <c r="B114" s="242">
        <f>YEAR(Data_NFI_t[[#This Row],[Distribution Date]])</f>
        <v>2014</v>
      </c>
      <c r="C114" s="927">
        <v>41900</v>
      </c>
      <c r="D114" s="489" t="s">
        <v>285</v>
      </c>
      <c r="E114" s="488" t="s">
        <v>285</v>
      </c>
      <c r="F114" s="489" t="s">
        <v>7</v>
      </c>
      <c r="G114" s="794" t="s">
        <v>16</v>
      </c>
      <c r="H114" s="794" t="s">
        <v>57</v>
      </c>
      <c r="I114" s="794">
        <v>349</v>
      </c>
      <c r="J114" s="51">
        <v>349</v>
      </c>
      <c r="K114" s="51">
        <v>349</v>
      </c>
      <c r="L114" s="51">
        <v>698</v>
      </c>
      <c r="M114" s="51">
        <v>250</v>
      </c>
      <c r="N114" s="51">
        <v>698</v>
      </c>
      <c r="O114" s="51">
        <v>250</v>
      </c>
      <c r="P114" s="51">
        <v>0</v>
      </c>
      <c r="Q114" s="51">
        <v>349</v>
      </c>
      <c r="R114" s="511"/>
      <c r="S114" s="51">
        <v>1250</v>
      </c>
      <c r="T114" s="51"/>
      <c r="U114" s="51"/>
      <c r="V114" s="51"/>
      <c r="W114" s="131">
        <f>IF(NFI_Expiration=1,IF($A114&lt;VLOOKUP(I$5,NFI,5,0),1,0)*Data_NFI_t[[#This Row],[Hygiene Kit]],0)</f>
        <v>0</v>
      </c>
      <c r="X114" s="131">
        <f>IF(NFI_Expiration=1,IF($A114&lt;VLOOKUP(J$5,NFI,5,0),1,0)*Data_NFI_t[[#This Row],[NFI Core Kit]],0)</f>
        <v>0</v>
      </c>
      <c r="Y114" s="112">
        <f>IF(NFI_Expiration=1,IF($A114&lt;VLOOKUP(K$5,NFI,5,0),1,0)*Data_NFI_t[[#This Row],[Sanitary Kit]],0)</f>
        <v>0</v>
      </c>
      <c r="Z114" s="112">
        <f>IF(NFI_Expiration=1,IF($A114&lt;VLOOKUP(L$5,NFI,5,0),1,0)*Data_NFI_t[[#This Row],[Mosquito net]],0)</f>
        <v>0</v>
      </c>
      <c r="AA114" s="112">
        <f>IF(NFI_Expiration=1,IF($A114&lt;VLOOKUP(M$5,NFI,5,0),1,0)*Data_NFI_t[[#This Row],[Tarpaulin]],0)</f>
        <v>0</v>
      </c>
      <c r="AB114" s="112">
        <f>IF(NFI_Expiration=1,IF($A114&lt;VLOOKUP(N$5,NFI,5,0),1,0)*Data_NFI_t[[#This Row],[Blanket]],0)</f>
        <v>0</v>
      </c>
      <c r="AC114" s="112">
        <f>IF(NFI_Expiration=1,IF($A114&lt;VLOOKUP(O$5,NFI,5,0),1,0)*Data_NFI_t[[#This Row],[Kitchen Set]],0)</f>
        <v>0</v>
      </c>
      <c r="AD114" s="112">
        <f>IF(NFI_Expiration=1,IF($A114&lt;VLOOKUP(P$5,NFI,5,0),1,0)*Data_NFI_t[[#This Row],[Complementary Kit]],0)</f>
        <v>0</v>
      </c>
      <c r="AE114" s="112">
        <f>IF(NFI_Expiration=1,IF($A114&lt;VLOOKUP(Q$5,NFI,5,0),1,0)*Data_NFI_t[[#This Row],[Plastic Bucket]],0)</f>
        <v>0</v>
      </c>
      <c r="AF114" s="112">
        <f>IF(NFI_Expiration=1,IF($A114&lt;VLOOKUP(R$5,NFI,5,0),1,0)*Data_NFI_t[[#This Row],[Jerry Can]],0)</f>
        <v>0</v>
      </c>
      <c r="AG114" s="131">
        <f>IF(NFI_Expiration=1,IF($A114&lt;VLOOKUP(S$5,NFI,5,0),1,0)*Data_NFI_t[[#This Row],[Plastic Mat]],0)*IF(Data_NFI_t[[#This Row],[Distribution Date]]&gt;"01-06-2015",1,2.5)</f>
        <v>0</v>
      </c>
      <c r="AH114" s="915">
        <f>IF(NFI_Expiration=1,IF($A114&lt;VLOOKUP(T$5,NFI,5,0),1,0)*Data_NFI_t[[#This Row],[Adult Clothes]],0)</f>
        <v>0</v>
      </c>
      <c r="AI114" s="131">
        <f>IF(NFI_Expiration=1,IF($A114&lt;VLOOKUP(U$5,NFI,5,0),1,0)*Data_NFI_t[[#This Row],[Children Clothes]],0)</f>
        <v>0</v>
      </c>
      <c r="AJ114" s="131">
        <f>IF(NFI_Expiration=1,IF($A114&lt;VLOOKUP(V$5,NFI,5,0),1,0)*Data_NFI_t[[#This Row],[Sewing Kit]],0)</f>
        <v>0</v>
      </c>
      <c r="AK114" s="131" t="str">
        <f ca="1">IFERROR(OFFSET(Camp_List[P_Code],MATCH(Data_NFI_t[[#This Row],[Camp Name]],Camp_List[Camp Name],0)-1,0,1,1),"")</f>
        <v>MMR012CMP034</v>
      </c>
      <c r="AL114" s="513" t="str">
        <f ca="1">IFERROR(OFFSET(Camp_List[Status],MATCH(Data_NFI_t[[#This Row],[Camp Name]],Camp_List[Camp Name],0)-1,0,1,1),"")</f>
        <v>Open</v>
      </c>
      <c r="AM114" s="131"/>
    </row>
    <row r="115" spans="1:39" s="90" customFormat="1" ht="19.5" customHeight="1" x14ac:dyDescent="0.25">
      <c r="A115" s="242">
        <f>IF(ISBLANK(C115),"",(Report_Date-C115)/30)</f>
        <v>29.866666666666667</v>
      </c>
      <c r="B115" s="242">
        <f>YEAR(Data_NFI_t[[#This Row],[Distribution Date]])</f>
        <v>2014</v>
      </c>
      <c r="C115" s="927">
        <v>41899</v>
      </c>
      <c r="D115" s="489" t="s">
        <v>285</v>
      </c>
      <c r="E115" s="488" t="s">
        <v>285</v>
      </c>
      <c r="F115" s="489" t="s">
        <v>7</v>
      </c>
      <c r="G115" s="794" t="s">
        <v>16</v>
      </c>
      <c r="H115" s="794" t="s">
        <v>56</v>
      </c>
      <c r="I115" s="794">
        <v>86</v>
      </c>
      <c r="J115" s="51">
        <v>86</v>
      </c>
      <c r="K115" s="51">
        <v>86</v>
      </c>
      <c r="L115" s="51">
        <v>170</v>
      </c>
      <c r="M115" s="51">
        <v>66</v>
      </c>
      <c r="N115" s="51">
        <v>170</v>
      </c>
      <c r="O115" s="51">
        <v>66</v>
      </c>
      <c r="P115" s="51">
        <v>0</v>
      </c>
      <c r="Q115" s="51">
        <v>86</v>
      </c>
      <c r="R115" s="511"/>
      <c r="S115" s="51">
        <v>330</v>
      </c>
      <c r="T115" s="51"/>
      <c r="U115" s="51"/>
      <c r="V115" s="51"/>
      <c r="W115" s="131">
        <f>IF(NFI_Expiration=1,IF($A115&lt;VLOOKUP(I$5,NFI,5,0),1,0)*Data_NFI_t[[#This Row],[Hygiene Kit]],0)</f>
        <v>0</v>
      </c>
      <c r="X115" s="131">
        <f>IF(NFI_Expiration=1,IF($A115&lt;VLOOKUP(J$5,NFI,5,0),1,0)*Data_NFI_t[[#This Row],[NFI Core Kit]],0)</f>
        <v>0</v>
      </c>
      <c r="Y115" s="112">
        <f>IF(NFI_Expiration=1,IF($A115&lt;VLOOKUP(K$5,NFI,5,0),1,0)*Data_NFI_t[[#This Row],[Sanitary Kit]],0)</f>
        <v>0</v>
      </c>
      <c r="Z115" s="112">
        <f>IF(NFI_Expiration=1,IF($A115&lt;VLOOKUP(L$5,NFI,5,0),1,0)*Data_NFI_t[[#This Row],[Mosquito net]],0)</f>
        <v>0</v>
      </c>
      <c r="AA115" s="112">
        <f>IF(NFI_Expiration=1,IF($A115&lt;VLOOKUP(M$5,NFI,5,0),1,0)*Data_NFI_t[[#This Row],[Tarpaulin]],0)</f>
        <v>0</v>
      </c>
      <c r="AB115" s="112">
        <f>IF(NFI_Expiration=1,IF($A115&lt;VLOOKUP(N$5,NFI,5,0),1,0)*Data_NFI_t[[#This Row],[Blanket]],0)</f>
        <v>0</v>
      </c>
      <c r="AC115" s="112">
        <f>IF(NFI_Expiration=1,IF($A115&lt;VLOOKUP(O$5,NFI,5,0),1,0)*Data_NFI_t[[#This Row],[Kitchen Set]],0)</f>
        <v>0</v>
      </c>
      <c r="AD115" s="112">
        <f>IF(NFI_Expiration=1,IF($A115&lt;VLOOKUP(P$5,NFI,5,0),1,0)*Data_NFI_t[[#This Row],[Complementary Kit]],0)</f>
        <v>0</v>
      </c>
      <c r="AE115" s="112">
        <f>IF(NFI_Expiration=1,IF($A115&lt;VLOOKUP(Q$5,NFI,5,0),1,0)*Data_NFI_t[[#This Row],[Plastic Bucket]],0)</f>
        <v>0</v>
      </c>
      <c r="AF115" s="112">
        <f>IF(NFI_Expiration=1,IF($A115&lt;VLOOKUP(R$5,NFI,5,0),1,0)*Data_NFI_t[[#This Row],[Jerry Can]],0)</f>
        <v>0</v>
      </c>
      <c r="AG115" s="131">
        <f>IF(NFI_Expiration=1,IF($A115&lt;VLOOKUP(S$5,NFI,5,0),1,0)*Data_NFI_t[[#This Row],[Plastic Mat]],0)*IF(Data_NFI_t[[#This Row],[Distribution Date]]&gt;"01-06-2015",1,2.5)</f>
        <v>0</v>
      </c>
      <c r="AH115" s="915">
        <f>IF(NFI_Expiration=1,IF($A115&lt;VLOOKUP(T$5,NFI,5,0),1,0)*Data_NFI_t[[#This Row],[Adult Clothes]],0)</f>
        <v>0</v>
      </c>
      <c r="AI115" s="131">
        <f>IF(NFI_Expiration=1,IF($A115&lt;VLOOKUP(U$5,NFI,5,0),1,0)*Data_NFI_t[[#This Row],[Children Clothes]],0)</f>
        <v>0</v>
      </c>
      <c r="AJ115" s="131">
        <f>IF(NFI_Expiration=1,IF($A115&lt;VLOOKUP(V$5,NFI,5,0),1,0)*Data_NFI_t[[#This Row],[Sewing Kit]],0)</f>
        <v>0</v>
      </c>
      <c r="AK115" s="131" t="str">
        <f ca="1">IFERROR(OFFSET(Camp_List[P_Code],MATCH(Data_NFI_t[[#This Row],[Camp Name]],Camp_List[Camp Name],0)-1,0,1,1),"")</f>
        <v>MMR012CMP032</v>
      </c>
      <c r="AL115" s="513" t="str">
        <f ca="1">IFERROR(OFFSET(Camp_List[Status],MATCH(Data_NFI_t[[#This Row],[Camp Name]],Camp_List[Camp Name],0)-1,0,1,1),"")</f>
        <v>Returned</v>
      </c>
      <c r="AM115" s="131"/>
    </row>
    <row r="116" spans="1:39" s="90" customFormat="1" ht="19.5" customHeight="1" x14ac:dyDescent="0.25">
      <c r="A116" s="242">
        <f>IF(ISBLANK(C116),"",(Report_Date-C116)/30)</f>
        <v>29.9</v>
      </c>
      <c r="B116" s="242">
        <f>YEAR(Data_NFI_t[[#This Row],[Distribution Date]])</f>
        <v>2014</v>
      </c>
      <c r="C116" s="927">
        <v>41898</v>
      </c>
      <c r="D116" s="489" t="s">
        <v>285</v>
      </c>
      <c r="E116" s="488" t="s">
        <v>285</v>
      </c>
      <c r="F116" s="489" t="s">
        <v>7</v>
      </c>
      <c r="G116" s="794" t="s">
        <v>16</v>
      </c>
      <c r="H116" s="794" t="s">
        <v>55</v>
      </c>
      <c r="I116" s="794">
        <v>102</v>
      </c>
      <c r="J116" s="51">
        <v>102</v>
      </c>
      <c r="K116" s="51">
        <v>102</v>
      </c>
      <c r="L116" s="51">
        <v>206</v>
      </c>
      <c r="M116" s="51">
        <v>66</v>
      </c>
      <c r="N116" s="51">
        <v>206</v>
      </c>
      <c r="O116" s="51">
        <v>66</v>
      </c>
      <c r="P116" s="51">
        <v>0</v>
      </c>
      <c r="Q116" s="51">
        <v>102</v>
      </c>
      <c r="R116" s="511"/>
      <c r="S116" s="51">
        <v>330</v>
      </c>
      <c r="T116" s="51"/>
      <c r="U116" s="51"/>
      <c r="V116" s="51"/>
      <c r="W116" s="131">
        <f>IF(NFI_Expiration=1,IF($A116&lt;VLOOKUP(I$5,NFI,5,0),1,0)*Data_NFI_t[[#This Row],[Hygiene Kit]],0)</f>
        <v>0</v>
      </c>
      <c r="X116" s="131">
        <f>IF(NFI_Expiration=1,IF($A116&lt;VLOOKUP(J$5,NFI,5,0),1,0)*Data_NFI_t[[#This Row],[NFI Core Kit]],0)</f>
        <v>0</v>
      </c>
      <c r="Y116" s="112">
        <f>IF(NFI_Expiration=1,IF($A116&lt;VLOOKUP(K$5,NFI,5,0),1,0)*Data_NFI_t[[#This Row],[Sanitary Kit]],0)</f>
        <v>0</v>
      </c>
      <c r="Z116" s="112">
        <f>IF(NFI_Expiration=1,IF($A116&lt;VLOOKUP(L$5,NFI,5,0),1,0)*Data_NFI_t[[#This Row],[Mosquito net]],0)</f>
        <v>0</v>
      </c>
      <c r="AA116" s="112">
        <f>IF(NFI_Expiration=1,IF($A116&lt;VLOOKUP(M$5,NFI,5,0),1,0)*Data_NFI_t[[#This Row],[Tarpaulin]],0)</f>
        <v>0</v>
      </c>
      <c r="AB116" s="112">
        <f>IF(NFI_Expiration=1,IF($A116&lt;VLOOKUP(N$5,NFI,5,0),1,0)*Data_NFI_t[[#This Row],[Blanket]],0)</f>
        <v>0</v>
      </c>
      <c r="AC116" s="112">
        <f>IF(NFI_Expiration=1,IF($A116&lt;VLOOKUP(O$5,NFI,5,0),1,0)*Data_NFI_t[[#This Row],[Kitchen Set]],0)</f>
        <v>0</v>
      </c>
      <c r="AD116" s="112">
        <f>IF(NFI_Expiration=1,IF($A116&lt;VLOOKUP(P$5,NFI,5,0),1,0)*Data_NFI_t[[#This Row],[Complementary Kit]],0)</f>
        <v>0</v>
      </c>
      <c r="AE116" s="112">
        <f>IF(NFI_Expiration=1,IF($A116&lt;VLOOKUP(Q$5,NFI,5,0),1,0)*Data_NFI_t[[#This Row],[Plastic Bucket]],0)</f>
        <v>0</v>
      </c>
      <c r="AF116" s="112">
        <f>IF(NFI_Expiration=1,IF($A116&lt;VLOOKUP(R$5,NFI,5,0),1,0)*Data_NFI_t[[#This Row],[Jerry Can]],0)</f>
        <v>0</v>
      </c>
      <c r="AG116" s="131">
        <f>IF(NFI_Expiration=1,IF($A116&lt;VLOOKUP(S$5,NFI,5,0),1,0)*Data_NFI_t[[#This Row],[Plastic Mat]],0)*IF(Data_NFI_t[[#This Row],[Distribution Date]]&gt;"01-06-2015",1,2.5)</f>
        <v>0</v>
      </c>
      <c r="AH116" s="915">
        <f>IF(NFI_Expiration=1,IF($A116&lt;VLOOKUP(T$5,NFI,5,0),1,0)*Data_NFI_t[[#This Row],[Adult Clothes]],0)</f>
        <v>0</v>
      </c>
      <c r="AI116" s="131">
        <f>IF(NFI_Expiration=1,IF($A116&lt;VLOOKUP(U$5,NFI,5,0),1,0)*Data_NFI_t[[#This Row],[Children Clothes]],0)</f>
        <v>0</v>
      </c>
      <c r="AJ116" s="131">
        <f>IF(NFI_Expiration=1,IF($A116&lt;VLOOKUP(V$5,NFI,5,0),1,0)*Data_NFI_t[[#This Row],[Sewing Kit]],0)</f>
        <v>0</v>
      </c>
      <c r="AK116" s="131" t="str">
        <f ca="1">IFERROR(OFFSET(Camp_List[P_Code],MATCH(Data_NFI_t[[#This Row],[Camp Name]],Camp_List[Camp Name],0)-1,0,1,1),"")</f>
        <v>MMR012CMP031</v>
      </c>
      <c r="AL116" s="513" t="str">
        <f ca="1">IFERROR(OFFSET(Camp_List[Status],MATCH(Data_NFI_t[[#This Row],[Camp Name]],Camp_List[Camp Name],0)-1,0,1,1),"")</f>
        <v>Returned</v>
      </c>
      <c r="AM116" s="131"/>
    </row>
    <row r="117" spans="1:39" s="90" customFormat="1" ht="19.5" customHeight="1" x14ac:dyDescent="0.25">
      <c r="A117" s="242">
        <f>IF(ISBLANK(C117),"",(Report_Date-C117)/30)</f>
        <v>30.533333333333335</v>
      </c>
      <c r="B117" s="242">
        <f>YEAR(Data_NFI_t[[#This Row],[Distribution Date]])</f>
        <v>2014</v>
      </c>
      <c r="C117" s="927">
        <v>41879</v>
      </c>
      <c r="D117" s="489" t="s">
        <v>288</v>
      </c>
      <c r="E117" s="488" t="s">
        <v>288</v>
      </c>
      <c r="F117" s="489" t="s">
        <v>7</v>
      </c>
      <c r="G117" s="794" t="s">
        <v>19</v>
      </c>
      <c r="H117" s="794" t="s">
        <v>631</v>
      </c>
      <c r="I117" s="794"/>
      <c r="J117" s="51"/>
      <c r="K117" s="51"/>
      <c r="L117" s="51">
        <v>2624</v>
      </c>
      <c r="M117" s="51">
        <v>1312</v>
      </c>
      <c r="N117" s="51">
        <v>2624</v>
      </c>
      <c r="O117" s="51">
        <v>1312</v>
      </c>
      <c r="P117" s="51"/>
      <c r="Q117" s="51">
        <v>1312</v>
      </c>
      <c r="R117" s="511"/>
      <c r="S117" s="51">
        <v>3936</v>
      </c>
      <c r="T117" s="51"/>
      <c r="U117" s="51"/>
      <c r="V117" s="51"/>
      <c r="W117" s="131">
        <f>IF(NFI_Expiration=1,IF($A117&lt;VLOOKUP(I$5,NFI,5,0),1,0)*Data_NFI_t[[#This Row],[Hygiene Kit]],0)</f>
        <v>0</v>
      </c>
      <c r="X117" s="131">
        <f>IF(NFI_Expiration=1,IF($A117&lt;VLOOKUP(J$5,NFI,5,0),1,0)*Data_NFI_t[[#This Row],[NFI Core Kit]],0)</f>
        <v>0</v>
      </c>
      <c r="Y117" s="112">
        <f>IF(NFI_Expiration=1,IF($A117&lt;VLOOKUP(K$5,NFI,5,0),1,0)*Data_NFI_t[[#This Row],[Sanitary Kit]],0)</f>
        <v>0</v>
      </c>
      <c r="Z117" s="112">
        <f>IF(NFI_Expiration=1,IF($A117&lt;VLOOKUP(L$5,NFI,5,0),1,0)*Data_NFI_t[[#This Row],[Mosquito net]],0)</f>
        <v>0</v>
      </c>
      <c r="AA117" s="112">
        <f>IF(NFI_Expiration=1,IF($A117&lt;VLOOKUP(M$5,NFI,5,0),1,0)*Data_NFI_t[[#This Row],[Tarpaulin]],0)</f>
        <v>0</v>
      </c>
      <c r="AB117" s="112">
        <f>IF(NFI_Expiration=1,IF($A117&lt;VLOOKUP(N$5,NFI,5,0),1,0)*Data_NFI_t[[#This Row],[Blanket]],0)</f>
        <v>0</v>
      </c>
      <c r="AC117" s="112">
        <f>IF(NFI_Expiration=1,IF($A117&lt;VLOOKUP(O$5,NFI,5,0),1,0)*Data_NFI_t[[#This Row],[Kitchen Set]],0)</f>
        <v>0</v>
      </c>
      <c r="AD117" s="112">
        <f>IF(NFI_Expiration=1,IF($A117&lt;VLOOKUP(P$5,NFI,5,0),1,0)*Data_NFI_t[[#This Row],[Complementary Kit]],0)</f>
        <v>0</v>
      </c>
      <c r="AE117" s="112">
        <f>IF(NFI_Expiration=1,IF($A117&lt;VLOOKUP(Q$5,NFI,5,0),1,0)*Data_NFI_t[[#This Row],[Plastic Bucket]],0)</f>
        <v>0</v>
      </c>
      <c r="AF117" s="112">
        <f>IF(NFI_Expiration=1,IF($A117&lt;VLOOKUP(R$5,NFI,5,0),1,0)*Data_NFI_t[[#This Row],[Jerry Can]],0)</f>
        <v>0</v>
      </c>
      <c r="AG117" s="131">
        <f>IF(NFI_Expiration=1,IF($A117&lt;VLOOKUP(S$5,NFI,5,0),1,0)*Data_NFI_t[[#This Row],[Plastic Mat]],0)*IF(Data_NFI_t[[#This Row],[Distribution Date]]&gt;"01-06-2015",1,2.5)</f>
        <v>0</v>
      </c>
      <c r="AH117" s="915">
        <f>IF(NFI_Expiration=1,IF($A117&lt;VLOOKUP(T$5,NFI,5,0),1,0)*Data_NFI_t[[#This Row],[Adult Clothes]],0)</f>
        <v>0</v>
      </c>
      <c r="AI117" s="131">
        <f>IF(NFI_Expiration=1,IF($A117&lt;VLOOKUP(U$5,NFI,5,0),1,0)*Data_NFI_t[[#This Row],[Children Clothes]],0)</f>
        <v>0</v>
      </c>
      <c r="AJ117" s="131">
        <f>IF(NFI_Expiration=1,IF($A117&lt;VLOOKUP(V$5,NFI,5,0),1,0)*Data_NFI_t[[#This Row],[Sewing Kit]],0)</f>
        <v>0</v>
      </c>
      <c r="AK117" s="131" t="str">
        <f ca="1">IFERROR(OFFSET(Camp_List[P_Code],MATCH(Data_NFI_t[[#This Row],[Camp Name]],Camp_List[Camp Name],0)-1,0,1,1),"")</f>
        <v>MMR012CMP114</v>
      </c>
      <c r="AL117" s="513" t="str">
        <f ca="1">IFERROR(OFFSET(Camp_List[Status],MATCH(Data_NFI_t[[#This Row],[Camp Name]],Camp_List[Camp Name],0)-1,0,1,1),"")</f>
        <v>Open</v>
      </c>
      <c r="AM117" s="131"/>
    </row>
    <row r="118" spans="1:39" s="90" customFormat="1" ht="19.5" customHeight="1" x14ac:dyDescent="0.25">
      <c r="A118" s="242">
        <f>IF(ISBLANK(C118),"",(Report_Date-C118)/30)</f>
        <v>30.6</v>
      </c>
      <c r="B118" s="242">
        <f>YEAR(Data_NFI_t[[#This Row],[Distribution Date]])</f>
        <v>2014</v>
      </c>
      <c r="C118" s="927">
        <v>41877</v>
      </c>
      <c r="D118" s="489" t="s">
        <v>288</v>
      </c>
      <c r="E118" s="488" t="s">
        <v>288</v>
      </c>
      <c r="F118" s="489" t="s">
        <v>7</v>
      </c>
      <c r="G118" s="794" t="s">
        <v>19</v>
      </c>
      <c r="H118" s="794" t="s">
        <v>630</v>
      </c>
      <c r="I118" s="794"/>
      <c r="J118" s="51"/>
      <c r="K118" s="51"/>
      <c r="L118" s="51">
        <v>2020</v>
      </c>
      <c r="M118" s="51">
        <v>1010</v>
      </c>
      <c r="N118" s="51">
        <v>2020</v>
      </c>
      <c r="O118" s="51">
        <v>1010</v>
      </c>
      <c r="P118" s="51"/>
      <c r="Q118" s="51">
        <v>1010</v>
      </c>
      <c r="R118" s="511"/>
      <c r="S118" s="51">
        <v>3030</v>
      </c>
      <c r="T118" s="51"/>
      <c r="U118" s="51"/>
      <c r="V118" s="51"/>
      <c r="W118" s="131">
        <f>IF(NFI_Expiration=1,IF($A118&lt;VLOOKUP(I$5,NFI,5,0),1,0)*Data_NFI_t[[#This Row],[Hygiene Kit]],0)</f>
        <v>0</v>
      </c>
      <c r="X118" s="131">
        <f>IF(NFI_Expiration=1,IF($A118&lt;VLOOKUP(J$5,NFI,5,0),1,0)*Data_NFI_t[[#This Row],[NFI Core Kit]],0)</f>
        <v>0</v>
      </c>
      <c r="Y118" s="112">
        <f>IF(NFI_Expiration=1,IF($A118&lt;VLOOKUP(K$5,NFI,5,0),1,0)*Data_NFI_t[[#This Row],[Sanitary Kit]],0)</f>
        <v>0</v>
      </c>
      <c r="Z118" s="112">
        <f>IF(NFI_Expiration=1,IF($A118&lt;VLOOKUP(L$5,NFI,5,0),1,0)*Data_NFI_t[[#This Row],[Mosquito net]],0)</f>
        <v>0</v>
      </c>
      <c r="AA118" s="112">
        <f>IF(NFI_Expiration=1,IF($A118&lt;VLOOKUP(M$5,NFI,5,0),1,0)*Data_NFI_t[[#This Row],[Tarpaulin]],0)</f>
        <v>0</v>
      </c>
      <c r="AB118" s="112">
        <f>IF(NFI_Expiration=1,IF($A118&lt;VLOOKUP(N$5,NFI,5,0),1,0)*Data_NFI_t[[#This Row],[Blanket]],0)</f>
        <v>0</v>
      </c>
      <c r="AC118" s="112">
        <f>IF(NFI_Expiration=1,IF($A118&lt;VLOOKUP(O$5,NFI,5,0),1,0)*Data_NFI_t[[#This Row],[Kitchen Set]],0)</f>
        <v>0</v>
      </c>
      <c r="AD118" s="112">
        <f>IF(NFI_Expiration=1,IF($A118&lt;VLOOKUP(P$5,NFI,5,0),1,0)*Data_NFI_t[[#This Row],[Complementary Kit]],0)</f>
        <v>0</v>
      </c>
      <c r="AE118" s="112">
        <f>IF(NFI_Expiration=1,IF($A118&lt;VLOOKUP(Q$5,NFI,5,0),1,0)*Data_NFI_t[[#This Row],[Plastic Bucket]],0)</f>
        <v>0</v>
      </c>
      <c r="AF118" s="112">
        <f>IF(NFI_Expiration=1,IF($A118&lt;VLOOKUP(R$5,NFI,5,0),1,0)*Data_NFI_t[[#This Row],[Jerry Can]],0)</f>
        <v>0</v>
      </c>
      <c r="AG118" s="131">
        <f>IF(NFI_Expiration=1,IF($A118&lt;VLOOKUP(S$5,NFI,5,0),1,0)*Data_NFI_t[[#This Row],[Plastic Mat]],0)*IF(Data_NFI_t[[#This Row],[Distribution Date]]&gt;"01-06-2015",1,2.5)</f>
        <v>0</v>
      </c>
      <c r="AH118" s="915">
        <f>IF(NFI_Expiration=1,IF($A118&lt;VLOOKUP(T$5,NFI,5,0),1,0)*Data_NFI_t[[#This Row],[Adult Clothes]],0)</f>
        <v>0</v>
      </c>
      <c r="AI118" s="131">
        <f>IF(NFI_Expiration=1,IF($A118&lt;VLOOKUP(U$5,NFI,5,0),1,0)*Data_NFI_t[[#This Row],[Children Clothes]],0)</f>
        <v>0</v>
      </c>
      <c r="AJ118" s="131">
        <f>IF(NFI_Expiration=1,IF($A118&lt;VLOOKUP(V$5,NFI,5,0),1,0)*Data_NFI_t[[#This Row],[Sewing Kit]],0)</f>
        <v>0</v>
      </c>
      <c r="AK118" s="131" t="str">
        <f ca="1">IFERROR(OFFSET(Camp_List[P_Code],MATCH(Data_NFI_t[[#This Row],[Camp Name]],Camp_List[Camp Name],0)-1,0,1,1),"")</f>
        <v>MMR012CMP113</v>
      </c>
      <c r="AL118" s="513" t="str">
        <f ca="1">IFERROR(OFFSET(Camp_List[Status],MATCH(Data_NFI_t[[#This Row],[Camp Name]],Camp_List[Camp Name],0)-1,0,1,1),"")</f>
        <v>Open</v>
      </c>
      <c r="AM118" s="131"/>
    </row>
    <row r="119" spans="1:39" s="90" customFormat="1" ht="19.5" customHeight="1" x14ac:dyDescent="0.25">
      <c r="A119" s="242">
        <f>IF(ISBLANK(C119),"",(Report_Date-C119)/30)</f>
        <v>31</v>
      </c>
      <c r="B119" s="242">
        <f>YEAR(Data_NFI_t[[#This Row],[Distribution Date]])</f>
        <v>2014</v>
      </c>
      <c r="C119" s="927">
        <v>41865</v>
      </c>
      <c r="D119" s="489" t="s">
        <v>624</v>
      </c>
      <c r="E119" s="488" t="s">
        <v>624</v>
      </c>
      <c r="F119" s="489" t="s">
        <v>7</v>
      </c>
      <c r="G119" s="794" t="s">
        <v>19</v>
      </c>
      <c r="H119" s="794" t="s">
        <v>78</v>
      </c>
      <c r="I119" s="794"/>
      <c r="J119" s="51"/>
      <c r="K119" s="51"/>
      <c r="L119" s="51">
        <v>2</v>
      </c>
      <c r="M119" s="51">
        <v>1</v>
      </c>
      <c r="N119" s="51">
        <v>2</v>
      </c>
      <c r="O119" s="51">
        <v>1</v>
      </c>
      <c r="P119" s="51"/>
      <c r="Q119" s="51">
        <v>1</v>
      </c>
      <c r="R119" s="511"/>
      <c r="S119" s="51">
        <v>5</v>
      </c>
      <c r="T119" s="51"/>
      <c r="U119" s="51"/>
      <c r="V119" s="51"/>
      <c r="W119" s="131">
        <f>IF(NFI_Expiration=1,IF($A119&lt;VLOOKUP(I$5,NFI,5,0),1,0)*Data_NFI_t[[#This Row],[Hygiene Kit]],0)</f>
        <v>0</v>
      </c>
      <c r="X119" s="131">
        <f>IF(NFI_Expiration=1,IF($A119&lt;VLOOKUP(J$5,NFI,5,0),1,0)*Data_NFI_t[[#This Row],[NFI Core Kit]],0)</f>
        <v>0</v>
      </c>
      <c r="Y119" s="112">
        <f>IF(NFI_Expiration=1,IF($A119&lt;VLOOKUP(K$5,NFI,5,0),1,0)*Data_NFI_t[[#This Row],[Sanitary Kit]],0)</f>
        <v>0</v>
      </c>
      <c r="Z119" s="112">
        <f>IF(NFI_Expiration=1,IF($A119&lt;VLOOKUP(L$5,NFI,5,0),1,0)*Data_NFI_t[[#This Row],[Mosquito net]],0)</f>
        <v>0</v>
      </c>
      <c r="AA119" s="112">
        <f>IF(NFI_Expiration=1,IF($A119&lt;VLOOKUP(M$5,NFI,5,0),1,0)*Data_NFI_t[[#This Row],[Tarpaulin]],0)</f>
        <v>0</v>
      </c>
      <c r="AB119" s="112">
        <f>IF(NFI_Expiration=1,IF($A119&lt;VLOOKUP(N$5,NFI,5,0),1,0)*Data_NFI_t[[#This Row],[Blanket]],0)</f>
        <v>0</v>
      </c>
      <c r="AC119" s="112">
        <f>IF(NFI_Expiration=1,IF($A119&lt;VLOOKUP(O$5,NFI,5,0),1,0)*Data_NFI_t[[#This Row],[Kitchen Set]],0)</f>
        <v>0</v>
      </c>
      <c r="AD119" s="112">
        <f>IF(NFI_Expiration=1,IF($A119&lt;VLOOKUP(P$5,NFI,5,0),1,0)*Data_NFI_t[[#This Row],[Complementary Kit]],0)</f>
        <v>0</v>
      </c>
      <c r="AE119" s="112">
        <f>IF(NFI_Expiration=1,IF($A119&lt;VLOOKUP(Q$5,NFI,5,0),1,0)*Data_NFI_t[[#This Row],[Plastic Bucket]],0)</f>
        <v>0</v>
      </c>
      <c r="AF119" s="112">
        <f>IF(NFI_Expiration=1,IF($A119&lt;VLOOKUP(R$5,NFI,5,0),1,0)*Data_NFI_t[[#This Row],[Jerry Can]],0)</f>
        <v>0</v>
      </c>
      <c r="AG119" s="131">
        <f>IF(NFI_Expiration=1,IF($A119&lt;VLOOKUP(S$5,NFI,5,0),1,0)*Data_NFI_t[[#This Row],[Plastic Mat]],0)*IF(Data_NFI_t[[#This Row],[Distribution Date]]&gt;"01-06-2015",1,2.5)</f>
        <v>0</v>
      </c>
      <c r="AH119" s="915">
        <f>IF(NFI_Expiration=1,IF($A119&lt;VLOOKUP(T$5,NFI,5,0),1,0)*Data_NFI_t[[#This Row],[Adult Clothes]],0)</f>
        <v>0</v>
      </c>
      <c r="AI119" s="131">
        <f>IF(NFI_Expiration=1,IF($A119&lt;VLOOKUP(U$5,NFI,5,0),1,0)*Data_NFI_t[[#This Row],[Children Clothes]],0)</f>
        <v>0</v>
      </c>
      <c r="AJ119" s="131">
        <f>IF(NFI_Expiration=1,IF($A119&lt;VLOOKUP(V$5,NFI,5,0),1,0)*Data_NFI_t[[#This Row],[Sewing Kit]],0)</f>
        <v>0</v>
      </c>
      <c r="AK119" s="131" t="str">
        <f ca="1">IFERROR(OFFSET(Camp_List[P_Code],MATCH(Data_NFI_t[[#This Row],[Camp Name]],Camp_List[Camp Name],0)-1,0,1,1),"")</f>
        <v>MMR012CMP056</v>
      </c>
      <c r="AL119" s="513" t="str">
        <f ca="1">IFERROR(OFFSET(Camp_List[Status],MATCH(Data_NFI_t[[#This Row],[Camp Name]],Camp_List[Camp Name],0)-1,0,1,1),"")</f>
        <v>Relocated</v>
      </c>
      <c r="AM119" s="131"/>
    </row>
    <row r="120" spans="1:39" s="90" customFormat="1" ht="19.5" customHeight="1" x14ac:dyDescent="0.25">
      <c r="A120" s="242">
        <f>IF(ISBLANK(C120),"",(Report_Date-C120)/30)</f>
        <v>31</v>
      </c>
      <c r="B120" s="242">
        <f>YEAR(Data_NFI_t[[#This Row],[Distribution Date]])</f>
        <v>2014</v>
      </c>
      <c r="C120" s="927">
        <v>41865</v>
      </c>
      <c r="D120" s="489" t="s">
        <v>624</v>
      </c>
      <c r="E120" s="488" t="s">
        <v>624</v>
      </c>
      <c r="F120" s="489" t="s">
        <v>7</v>
      </c>
      <c r="G120" s="794" t="s">
        <v>19</v>
      </c>
      <c r="H120" s="794" t="s">
        <v>245</v>
      </c>
      <c r="I120" s="794"/>
      <c r="J120" s="51"/>
      <c r="K120" s="51"/>
      <c r="L120" s="51">
        <v>2</v>
      </c>
      <c r="M120" s="51">
        <v>1</v>
      </c>
      <c r="N120" s="51">
        <v>2</v>
      </c>
      <c r="O120" s="51">
        <v>1</v>
      </c>
      <c r="P120" s="51"/>
      <c r="Q120" s="51">
        <v>1</v>
      </c>
      <c r="R120" s="511"/>
      <c r="S120" s="51">
        <v>5</v>
      </c>
      <c r="T120" s="51"/>
      <c r="U120" s="51"/>
      <c r="V120" s="51"/>
      <c r="W120" s="131">
        <f>IF(NFI_Expiration=1,IF($A120&lt;VLOOKUP(I$5,NFI,5,0),1,0)*Data_NFI_t[[#This Row],[Hygiene Kit]],0)</f>
        <v>0</v>
      </c>
      <c r="X120" s="131">
        <f>IF(NFI_Expiration=1,IF($A120&lt;VLOOKUP(J$5,NFI,5,0),1,0)*Data_NFI_t[[#This Row],[NFI Core Kit]],0)</f>
        <v>0</v>
      </c>
      <c r="Y120" s="112">
        <f>IF(NFI_Expiration=1,IF($A120&lt;VLOOKUP(K$5,NFI,5,0),1,0)*Data_NFI_t[[#This Row],[Sanitary Kit]],0)</f>
        <v>0</v>
      </c>
      <c r="Z120" s="112">
        <f>IF(NFI_Expiration=1,IF($A120&lt;VLOOKUP(L$5,NFI,5,0),1,0)*Data_NFI_t[[#This Row],[Mosquito net]],0)</f>
        <v>0</v>
      </c>
      <c r="AA120" s="112">
        <f>IF(NFI_Expiration=1,IF($A120&lt;VLOOKUP(M$5,NFI,5,0),1,0)*Data_NFI_t[[#This Row],[Tarpaulin]],0)</f>
        <v>0</v>
      </c>
      <c r="AB120" s="112">
        <f>IF(NFI_Expiration=1,IF($A120&lt;VLOOKUP(N$5,NFI,5,0),1,0)*Data_NFI_t[[#This Row],[Blanket]],0)</f>
        <v>0</v>
      </c>
      <c r="AC120" s="112">
        <f>IF(NFI_Expiration=1,IF($A120&lt;VLOOKUP(O$5,NFI,5,0),1,0)*Data_NFI_t[[#This Row],[Kitchen Set]],0)</f>
        <v>0</v>
      </c>
      <c r="AD120" s="112">
        <f>IF(NFI_Expiration=1,IF($A120&lt;VLOOKUP(P$5,NFI,5,0),1,0)*Data_NFI_t[[#This Row],[Complementary Kit]],0)</f>
        <v>0</v>
      </c>
      <c r="AE120" s="112">
        <f>IF(NFI_Expiration=1,IF($A120&lt;VLOOKUP(Q$5,NFI,5,0),1,0)*Data_NFI_t[[#This Row],[Plastic Bucket]],0)</f>
        <v>0</v>
      </c>
      <c r="AF120" s="112">
        <f>IF(NFI_Expiration=1,IF($A120&lt;VLOOKUP(R$5,NFI,5,0),1,0)*Data_NFI_t[[#This Row],[Jerry Can]],0)</f>
        <v>0</v>
      </c>
      <c r="AG120" s="131">
        <f>IF(NFI_Expiration=1,IF($A120&lt;VLOOKUP(S$5,NFI,5,0),1,0)*Data_NFI_t[[#This Row],[Plastic Mat]],0)*IF(Data_NFI_t[[#This Row],[Distribution Date]]&gt;"01-06-2015",1,2.5)</f>
        <v>0</v>
      </c>
      <c r="AH120" s="915">
        <f>IF(NFI_Expiration=1,IF($A120&lt;VLOOKUP(T$5,NFI,5,0),1,0)*Data_NFI_t[[#This Row],[Adult Clothes]],0)</f>
        <v>0</v>
      </c>
      <c r="AI120" s="131">
        <f>IF(NFI_Expiration=1,IF($A120&lt;VLOOKUP(U$5,NFI,5,0),1,0)*Data_NFI_t[[#This Row],[Children Clothes]],0)</f>
        <v>0</v>
      </c>
      <c r="AJ120" s="131">
        <f>IF(NFI_Expiration=1,IF($A120&lt;VLOOKUP(V$5,NFI,5,0),1,0)*Data_NFI_t[[#This Row],[Sewing Kit]],0)</f>
        <v>0</v>
      </c>
      <c r="AK120" s="131" t="str">
        <f ca="1">IFERROR(OFFSET(Camp_List[P_Code],MATCH(Data_NFI_t[[#This Row],[Camp Name]],Camp_List[Camp Name],0)-1,0,1,1),"")</f>
        <v>MMR012CMP093</v>
      </c>
      <c r="AL120" s="513" t="str">
        <f ca="1">IFERROR(OFFSET(Camp_List[Status],MATCH(Data_NFI_t[[#This Row],[Camp Name]],Camp_List[Camp Name],0)-1,0,1,1),"")</f>
        <v>Relocated</v>
      </c>
      <c r="AM120" s="131"/>
    </row>
    <row r="121" spans="1:39" s="90" customFormat="1" ht="19.5" customHeight="1" x14ac:dyDescent="0.25">
      <c r="A121" s="242">
        <f>IF(ISBLANK(C121),"",(Report_Date-C121)/30)</f>
        <v>31.433333333333334</v>
      </c>
      <c r="B121" s="242">
        <f>YEAR(Data_NFI_t[[#This Row],[Distribution Date]])</f>
        <v>2014</v>
      </c>
      <c r="C121" s="927">
        <v>41852</v>
      </c>
      <c r="D121" s="489" t="s">
        <v>878</v>
      </c>
      <c r="E121" s="488" t="s">
        <v>878</v>
      </c>
      <c r="F121" s="489" t="s">
        <v>7</v>
      </c>
      <c r="G121" s="794" t="s">
        <v>14</v>
      </c>
      <c r="H121" s="794" t="s">
        <v>40</v>
      </c>
      <c r="I121" s="794"/>
      <c r="J121" s="51"/>
      <c r="K121" s="51"/>
      <c r="L121" s="51"/>
      <c r="M121" s="51"/>
      <c r="N121" s="51"/>
      <c r="O121" s="51"/>
      <c r="P121" s="51">
        <v>1128</v>
      </c>
      <c r="Q121" s="51"/>
      <c r="R121" s="511"/>
      <c r="S121" s="51"/>
      <c r="T121" s="51"/>
      <c r="U121" s="51"/>
      <c r="V121" s="51"/>
      <c r="W121" s="131">
        <f>IF(NFI_Expiration=1,IF($A121&lt;VLOOKUP(I$5,NFI,5,0),1,0)*Data_NFI_t[[#This Row],[Hygiene Kit]],0)</f>
        <v>0</v>
      </c>
      <c r="X121" s="131">
        <f>IF(NFI_Expiration=1,IF($A121&lt;VLOOKUP(J$5,NFI,5,0),1,0)*Data_NFI_t[[#This Row],[NFI Core Kit]],0)</f>
        <v>0</v>
      </c>
      <c r="Y121" s="112">
        <f>IF(NFI_Expiration=1,IF($A121&lt;VLOOKUP(K$5,NFI,5,0),1,0)*Data_NFI_t[[#This Row],[Sanitary Kit]],0)</f>
        <v>0</v>
      </c>
      <c r="Z121" s="112">
        <f>IF(NFI_Expiration=1,IF($A121&lt;VLOOKUP(L$5,NFI,5,0),1,0)*Data_NFI_t[[#This Row],[Mosquito net]],0)</f>
        <v>0</v>
      </c>
      <c r="AA121" s="112">
        <f>IF(NFI_Expiration=1,IF($A121&lt;VLOOKUP(M$5,NFI,5,0),1,0)*Data_NFI_t[[#This Row],[Tarpaulin]],0)</f>
        <v>0</v>
      </c>
      <c r="AB121" s="112">
        <f>IF(NFI_Expiration=1,IF($A121&lt;VLOOKUP(N$5,NFI,5,0),1,0)*Data_NFI_t[[#This Row],[Blanket]],0)</f>
        <v>0</v>
      </c>
      <c r="AC121" s="112">
        <f>IF(NFI_Expiration=1,IF($A121&lt;VLOOKUP(O$5,NFI,5,0),1,0)*Data_NFI_t[[#This Row],[Kitchen Set]],0)</f>
        <v>0</v>
      </c>
      <c r="AD121" s="112">
        <f>IF(NFI_Expiration=1,IF($A121&lt;VLOOKUP(P$5,NFI,5,0),1,0)*Data_NFI_t[[#This Row],[Complementary Kit]],0)</f>
        <v>0</v>
      </c>
      <c r="AE121" s="112">
        <f>IF(NFI_Expiration=1,IF($A121&lt;VLOOKUP(Q$5,NFI,5,0),1,0)*Data_NFI_t[[#This Row],[Plastic Bucket]],0)</f>
        <v>0</v>
      </c>
      <c r="AF121" s="112">
        <f>IF(NFI_Expiration=1,IF($A121&lt;VLOOKUP(R$5,NFI,5,0),1,0)*Data_NFI_t[[#This Row],[Jerry Can]],0)</f>
        <v>0</v>
      </c>
      <c r="AG121" s="131">
        <f>IF(NFI_Expiration=1,IF($A121&lt;VLOOKUP(S$5,NFI,5,0),1,0)*Data_NFI_t[[#This Row],[Plastic Mat]],0)*IF(Data_NFI_t[[#This Row],[Distribution Date]]&gt;"01-06-2015",1,2.5)</f>
        <v>0</v>
      </c>
      <c r="AH121" s="915">
        <f>IF(NFI_Expiration=1,IF($A121&lt;VLOOKUP(T$5,NFI,5,0),1,0)*Data_NFI_t[[#This Row],[Adult Clothes]],0)</f>
        <v>0</v>
      </c>
      <c r="AI121" s="131">
        <f>IF(NFI_Expiration=1,IF($A121&lt;VLOOKUP(U$5,NFI,5,0),1,0)*Data_NFI_t[[#This Row],[Children Clothes]],0)</f>
        <v>0</v>
      </c>
      <c r="AJ121" s="131">
        <f>IF(NFI_Expiration=1,IF($A121&lt;VLOOKUP(V$5,NFI,5,0),1,0)*Data_NFI_t[[#This Row],[Sewing Kit]],0)</f>
        <v>0</v>
      </c>
      <c r="AK121" s="131" t="str">
        <f ca="1">IFERROR(OFFSET(Camp_List[P_Code],MATCH(Data_NFI_t[[#This Row],[Camp Name]],Camp_List[Camp Name],0)-1,0,1,1),"")</f>
        <v>MMR012CMP016</v>
      </c>
      <c r="AL121" s="513" t="str">
        <f ca="1">IFERROR(OFFSET(Camp_List[Status],MATCH(Data_NFI_t[[#This Row],[Camp Name]],Camp_List[Camp Name],0)-1,0,1,1),"")</f>
        <v>Open</v>
      </c>
      <c r="AM121" s="131"/>
    </row>
    <row r="122" spans="1:39" s="90" customFormat="1" ht="19.5" customHeight="1" x14ac:dyDescent="0.25">
      <c r="A122" s="242">
        <f>IF(ISBLANK(C122),"",(Report_Date-C122)/30)</f>
        <v>31.433333333333334</v>
      </c>
      <c r="B122" s="242">
        <f>YEAR(Data_NFI_t[[#This Row],[Distribution Date]])</f>
        <v>2014</v>
      </c>
      <c r="C122" s="927">
        <v>41852</v>
      </c>
      <c r="D122" s="489" t="s">
        <v>878</v>
      </c>
      <c r="E122" s="488" t="s">
        <v>878</v>
      </c>
      <c r="F122" s="489" t="s">
        <v>7</v>
      </c>
      <c r="G122" s="794" t="s">
        <v>14</v>
      </c>
      <c r="H122" s="794" t="s">
        <v>42</v>
      </c>
      <c r="I122" s="794"/>
      <c r="J122" s="51"/>
      <c r="K122" s="51"/>
      <c r="L122" s="51"/>
      <c r="M122" s="51"/>
      <c r="N122" s="51"/>
      <c r="O122" s="51"/>
      <c r="P122" s="51">
        <v>959</v>
      </c>
      <c r="Q122" s="51"/>
      <c r="R122" s="511"/>
      <c r="S122" s="51"/>
      <c r="T122" s="51"/>
      <c r="U122" s="51"/>
      <c r="V122" s="51"/>
      <c r="W122" s="131">
        <f>IF(NFI_Expiration=1,IF($A122&lt;VLOOKUP(I$5,NFI,5,0),1,0)*Data_NFI_t[[#This Row],[Hygiene Kit]],0)</f>
        <v>0</v>
      </c>
      <c r="X122" s="131">
        <f>IF(NFI_Expiration=1,IF($A122&lt;VLOOKUP(J$5,NFI,5,0),1,0)*Data_NFI_t[[#This Row],[NFI Core Kit]],0)</f>
        <v>0</v>
      </c>
      <c r="Y122" s="112">
        <f>IF(NFI_Expiration=1,IF($A122&lt;VLOOKUP(K$5,NFI,5,0),1,0)*Data_NFI_t[[#This Row],[Sanitary Kit]],0)</f>
        <v>0</v>
      </c>
      <c r="Z122" s="112">
        <f>IF(NFI_Expiration=1,IF($A122&lt;VLOOKUP(L$5,NFI,5,0),1,0)*Data_NFI_t[[#This Row],[Mosquito net]],0)</f>
        <v>0</v>
      </c>
      <c r="AA122" s="112">
        <f>IF(NFI_Expiration=1,IF($A122&lt;VLOOKUP(M$5,NFI,5,0),1,0)*Data_NFI_t[[#This Row],[Tarpaulin]],0)</f>
        <v>0</v>
      </c>
      <c r="AB122" s="112">
        <f>IF(NFI_Expiration=1,IF($A122&lt;VLOOKUP(N$5,NFI,5,0),1,0)*Data_NFI_t[[#This Row],[Blanket]],0)</f>
        <v>0</v>
      </c>
      <c r="AC122" s="112">
        <f>IF(NFI_Expiration=1,IF($A122&lt;VLOOKUP(O$5,NFI,5,0),1,0)*Data_NFI_t[[#This Row],[Kitchen Set]],0)</f>
        <v>0</v>
      </c>
      <c r="AD122" s="112">
        <f>IF(NFI_Expiration=1,IF($A122&lt;VLOOKUP(P$5,NFI,5,0),1,0)*Data_NFI_t[[#This Row],[Complementary Kit]],0)</f>
        <v>0</v>
      </c>
      <c r="AE122" s="112">
        <f>IF(NFI_Expiration=1,IF($A122&lt;VLOOKUP(Q$5,NFI,5,0),1,0)*Data_NFI_t[[#This Row],[Plastic Bucket]],0)</f>
        <v>0</v>
      </c>
      <c r="AF122" s="112">
        <f>IF(NFI_Expiration=1,IF($A122&lt;VLOOKUP(R$5,NFI,5,0),1,0)*Data_NFI_t[[#This Row],[Jerry Can]],0)</f>
        <v>0</v>
      </c>
      <c r="AG122" s="131">
        <f>IF(NFI_Expiration=1,IF($A122&lt;VLOOKUP(S$5,NFI,5,0),1,0)*Data_NFI_t[[#This Row],[Plastic Mat]],0)*IF(Data_NFI_t[[#This Row],[Distribution Date]]&gt;"01-06-2015",1,2.5)</f>
        <v>0</v>
      </c>
      <c r="AH122" s="915">
        <f>IF(NFI_Expiration=1,IF($A122&lt;VLOOKUP(T$5,NFI,5,0),1,0)*Data_NFI_t[[#This Row],[Adult Clothes]],0)</f>
        <v>0</v>
      </c>
      <c r="AI122" s="131">
        <f>IF(NFI_Expiration=1,IF($A122&lt;VLOOKUP(U$5,NFI,5,0),1,0)*Data_NFI_t[[#This Row],[Children Clothes]],0)</f>
        <v>0</v>
      </c>
      <c r="AJ122" s="131">
        <f>IF(NFI_Expiration=1,IF($A122&lt;VLOOKUP(V$5,NFI,5,0),1,0)*Data_NFI_t[[#This Row],[Sewing Kit]],0)</f>
        <v>0</v>
      </c>
      <c r="AK122" s="131" t="str">
        <f ca="1">IFERROR(OFFSET(Camp_List[P_Code],MATCH(Data_NFI_t[[#This Row],[Camp Name]],Camp_List[Camp Name],0)-1,0,1,1),"")</f>
        <v>MMR012CMP018</v>
      </c>
      <c r="AL122" s="513" t="str">
        <f ca="1">IFERROR(OFFSET(Camp_List[Status],MATCH(Data_NFI_t[[#This Row],[Camp Name]],Camp_List[Camp Name],0)-1,0,1,1),"")</f>
        <v>Open</v>
      </c>
      <c r="AM122" s="131"/>
    </row>
    <row r="123" spans="1:39" s="90" customFormat="1" ht="19.5" customHeight="1" x14ac:dyDescent="0.25">
      <c r="A123" s="242">
        <f>IF(ISBLANK(C123),"",(Report_Date-C123)/30)</f>
        <v>31.433333333333334</v>
      </c>
      <c r="B123" s="242">
        <f>YEAR(Data_NFI_t[[#This Row],[Distribution Date]])</f>
        <v>2014</v>
      </c>
      <c r="C123" s="927">
        <v>41852</v>
      </c>
      <c r="D123" s="489" t="s">
        <v>878</v>
      </c>
      <c r="E123" s="488" t="s">
        <v>878</v>
      </c>
      <c r="F123" s="489" t="s">
        <v>7</v>
      </c>
      <c r="G123" s="794" t="s">
        <v>14</v>
      </c>
      <c r="H123" s="794" t="s">
        <v>41</v>
      </c>
      <c r="I123" s="794"/>
      <c r="J123" s="51"/>
      <c r="K123" s="51"/>
      <c r="L123" s="51"/>
      <c r="M123" s="51"/>
      <c r="N123" s="51"/>
      <c r="O123" s="51"/>
      <c r="P123" s="51">
        <v>1130</v>
      </c>
      <c r="Q123" s="51"/>
      <c r="R123" s="511"/>
      <c r="S123" s="51"/>
      <c r="T123" s="51"/>
      <c r="U123" s="51"/>
      <c r="V123" s="51"/>
      <c r="W123" s="131">
        <f>IF(NFI_Expiration=1,IF($A123&lt;VLOOKUP(I$5,NFI,5,0),1,0)*Data_NFI_t[[#This Row],[Hygiene Kit]],0)</f>
        <v>0</v>
      </c>
      <c r="X123" s="131">
        <f>IF(NFI_Expiration=1,IF($A123&lt;VLOOKUP(J$5,NFI,5,0),1,0)*Data_NFI_t[[#This Row],[NFI Core Kit]],0)</f>
        <v>0</v>
      </c>
      <c r="Y123" s="112">
        <f>IF(NFI_Expiration=1,IF($A123&lt;VLOOKUP(K$5,NFI,5,0),1,0)*Data_NFI_t[[#This Row],[Sanitary Kit]],0)</f>
        <v>0</v>
      </c>
      <c r="Z123" s="112">
        <f>IF(NFI_Expiration=1,IF($A123&lt;VLOOKUP(L$5,NFI,5,0),1,0)*Data_NFI_t[[#This Row],[Mosquito net]],0)</f>
        <v>0</v>
      </c>
      <c r="AA123" s="112">
        <f>IF(NFI_Expiration=1,IF($A123&lt;VLOOKUP(M$5,NFI,5,0),1,0)*Data_NFI_t[[#This Row],[Tarpaulin]],0)</f>
        <v>0</v>
      </c>
      <c r="AB123" s="112">
        <f>IF(NFI_Expiration=1,IF($A123&lt;VLOOKUP(N$5,NFI,5,0),1,0)*Data_NFI_t[[#This Row],[Blanket]],0)</f>
        <v>0</v>
      </c>
      <c r="AC123" s="112">
        <f>IF(NFI_Expiration=1,IF($A123&lt;VLOOKUP(O$5,NFI,5,0),1,0)*Data_NFI_t[[#This Row],[Kitchen Set]],0)</f>
        <v>0</v>
      </c>
      <c r="AD123" s="112">
        <f>IF(NFI_Expiration=1,IF($A123&lt;VLOOKUP(P$5,NFI,5,0),1,0)*Data_NFI_t[[#This Row],[Complementary Kit]],0)</f>
        <v>0</v>
      </c>
      <c r="AE123" s="112">
        <f>IF(NFI_Expiration=1,IF($A123&lt;VLOOKUP(Q$5,NFI,5,0),1,0)*Data_NFI_t[[#This Row],[Plastic Bucket]],0)</f>
        <v>0</v>
      </c>
      <c r="AF123" s="112">
        <f>IF(NFI_Expiration=1,IF($A123&lt;VLOOKUP(R$5,NFI,5,0),1,0)*Data_NFI_t[[#This Row],[Jerry Can]],0)</f>
        <v>0</v>
      </c>
      <c r="AG123" s="131">
        <f>IF(NFI_Expiration=1,IF($A123&lt;VLOOKUP(S$5,NFI,5,0),1,0)*Data_NFI_t[[#This Row],[Plastic Mat]],0)*IF(Data_NFI_t[[#This Row],[Distribution Date]]&gt;"01-06-2015",1,2.5)</f>
        <v>0</v>
      </c>
      <c r="AH123" s="915">
        <f>IF(NFI_Expiration=1,IF($A123&lt;VLOOKUP(T$5,NFI,5,0),1,0)*Data_NFI_t[[#This Row],[Adult Clothes]],0)</f>
        <v>0</v>
      </c>
      <c r="AI123" s="131">
        <f>IF(NFI_Expiration=1,IF($A123&lt;VLOOKUP(U$5,NFI,5,0),1,0)*Data_NFI_t[[#This Row],[Children Clothes]],0)</f>
        <v>0</v>
      </c>
      <c r="AJ123" s="131">
        <f>IF(NFI_Expiration=1,IF($A123&lt;VLOOKUP(V$5,NFI,5,0),1,0)*Data_NFI_t[[#This Row],[Sewing Kit]],0)</f>
        <v>0</v>
      </c>
      <c r="AK123" s="131" t="str">
        <f ca="1">IFERROR(OFFSET(Camp_List[P_Code],MATCH(Data_NFI_t[[#This Row],[Camp Name]],Camp_List[Camp Name],0)-1,0,1,1),"")</f>
        <v/>
      </c>
      <c r="AL123" s="513" t="str">
        <f ca="1">IFERROR(OFFSET(Camp_List[Status],MATCH(Data_NFI_t[[#This Row],[Camp Name]],Camp_List[Camp Name],0)-1,0,1,1),"")</f>
        <v/>
      </c>
      <c r="AM123" s="131"/>
    </row>
    <row r="124" spans="1:39" s="90" customFormat="1" ht="19.5" customHeight="1" x14ac:dyDescent="0.25">
      <c r="A124" s="242">
        <f>IF(ISBLANK(C124),"",(Report_Date-C124)/30)</f>
        <v>31.433333333333334</v>
      </c>
      <c r="B124" s="242">
        <f>YEAR(Data_NFI_t[[#This Row],[Distribution Date]])</f>
        <v>2014</v>
      </c>
      <c r="C124" s="927">
        <v>41852</v>
      </c>
      <c r="D124" s="489" t="s">
        <v>878</v>
      </c>
      <c r="E124" s="488" t="s">
        <v>878</v>
      </c>
      <c r="F124" s="489" t="s">
        <v>7</v>
      </c>
      <c r="G124" s="794" t="s">
        <v>14</v>
      </c>
      <c r="H124" s="794" t="s">
        <v>43</v>
      </c>
      <c r="I124" s="794"/>
      <c r="J124" s="51"/>
      <c r="K124" s="51"/>
      <c r="L124" s="51"/>
      <c r="M124" s="51"/>
      <c r="N124" s="51"/>
      <c r="O124" s="51"/>
      <c r="P124" s="51">
        <v>681</v>
      </c>
      <c r="Q124" s="51"/>
      <c r="R124" s="511"/>
      <c r="S124" s="51"/>
      <c r="T124" s="51"/>
      <c r="U124" s="51"/>
      <c r="V124" s="51"/>
      <c r="W124" s="131">
        <f>IF(NFI_Expiration=1,IF($A124&lt;VLOOKUP(I$5,NFI,5,0),1,0)*Data_NFI_t[[#This Row],[Hygiene Kit]],0)</f>
        <v>0</v>
      </c>
      <c r="X124" s="131">
        <f>IF(NFI_Expiration=1,IF($A124&lt;VLOOKUP(J$5,NFI,5,0),1,0)*Data_NFI_t[[#This Row],[NFI Core Kit]],0)</f>
        <v>0</v>
      </c>
      <c r="Y124" s="112">
        <f>IF(NFI_Expiration=1,IF($A124&lt;VLOOKUP(K$5,NFI,5,0),1,0)*Data_NFI_t[[#This Row],[Sanitary Kit]],0)</f>
        <v>0</v>
      </c>
      <c r="Z124" s="112">
        <f>IF(NFI_Expiration=1,IF($A124&lt;VLOOKUP(L$5,NFI,5,0),1,0)*Data_NFI_t[[#This Row],[Mosquito net]],0)</f>
        <v>0</v>
      </c>
      <c r="AA124" s="112">
        <f>IF(NFI_Expiration=1,IF($A124&lt;VLOOKUP(M$5,NFI,5,0),1,0)*Data_NFI_t[[#This Row],[Tarpaulin]],0)</f>
        <v>0</v>
      </c>
      <c r="AB124" s="112">
        <f>IF(NFI_Expiration=1,IF($A124&lt;VLOOKUP(N$5,NFI,5,0),1,0)*Data_NFI_t[[#This Row],[Blanket]],0)</f>
        <v>0</v>
      </c>
      <c r="AC124" s="112">
        <f>IF(NFI_Expiration=1,IF($A124&lt;VLOOKUP(O$5,NFI,5,0),1,0)*Data_NFI_t[[#This Row],[Kitchen Set]],0)</f>
        <v>0</v>
      </c>
      <c r="AD124" s="112">
        <f>IF(NFI_Expiration=1,IF($A124&lt;VLOOKUP(P$5,NFI,5,0),1,0)*Data_NFI_t[[#This Row],[Complementary Kit]],0)</f>
        <v>0</v>
      </c>
      <c r="AE124" s="112">
        <f>IF(NFI_Expiration=1,IF($A124&lt;VLOOKUP(Q$5,NFI,5,0),1,0)*Data_NFI_t[[#This Row],[Plastic Bucket]],0)</f>
        <v>0</v>
      </c>
      <c r="AF124" s="112">
        <f>IF(NFI_Expiration=1,IF($A124&lt;VLOOKUP(R$5,NFI,5,0),1,0)*Data_NFI_t[[#This Row],[Jerry Can]],0)</f>
        <v>0</v>
      </c>
      <c r="AG124" s="131">
        <f>IF(NFI_Expiration=1,IF($A124&lt;VLOOKUP(S$5,NFI,5,0),1,0)*Data_NFI_t[[#This Row],[Plastic Mat]],0)*IF(Data_NFI_t[[#This Row],[Distribution Date]]&gt;"01-06-2015",1,2.5)</f>
        <v>0</v>
      </c>
      <c r="AH124" s="915">
        <f>IF(NFI_Expiration=1,IF($A124&lt;VLOOKUP(T$5,NFI,5,0),1,0)*Data_NFI_t[[#This Row],[Adult Clothes]],0)</f>
        <v>0</v>
      </c>
      <c r="AI124" s="131">
        <f>IF(NFI_Expiration=1,IF($A124&lt;VLOOKUP(U$5,NFI,5,0),1,0)*Data_NFI_t[[#This Row],[Children Clothes]],0)</f>
        <v>0</v>
      </c>
      <c r="AJ124" s="131">
        <f>IF(NFI_Expiration=1,IF($A124&lt;VLOOKUP(V$5,NFI,5,0),1,0)*Data_NFI_t[[#This Row],[Sewing Kit]],0)</f>
        <v>0</v>
      </c>
      <c r="AK124" s="131" t="str">
        <f ca="1">IFERROR(OFFSET(Camp_List[P_Code],MATCH(Data_NFI_t[[#This Row],[Camp Name]],Camp_List[Camp Name],0)-1,0,1,1),"")</f>
        <v>MMR012CMP019</v>
      </c>
      <c r="AL124" s="513" t="str">
        <f ca="1">IFERROR(OFFSET(Camp_List[Status],MATCH(Data_NFI_t[[#This Row],[Camp Name]],Camp_List[Camp Name],0)-1,0,1,1),"")</f>
        <v>Open</v>
      </c>
      <c r="AM124" s="131"/>
    </row>
    <row r="125" spans="1:39" s="90" customFormat="1" ht="19.5" customHeight="1" x14ac:dyDescent="0.25">
      <c r="A125" s="242">
        <f>IF(ISBLANK(C125),"",(Report_Date-C125)/30)</f>
        <v>31.433333333333334</v>
      </c>
      <c r="B125" s="242">
        <f>YEAR(Data_NFI_t[[#This Row],[Distribution Date]])</f>
        <v>2014</v>
      </c>
      <c r="C125" s="927">
        <v>41852</v>
      </c>
      <c r="D125" s="489" t="s">
        <v>878</v>
      </c>
      <c r="E125" s="488" t="s">
        <v>878</v>
      </c>
      <c r="F125" s="489" t="s">
        <v>7</v>
      </c>
      <c r="G125" s="794" t="s">
        <v>14</v>
      </c>
      <c r="H125" s="794" t="s">
        <v>39</v>
      </c>
      <c r="I125" s="794"/>
      <c r="J125" s="51"/>
      <c r="K125" s="51"/>
      <c r="L125" s="51"/>
      <c r="M125" s="51"/>
      <c r="N125" s="51"/>
      <c r="O125" s="51"/>
      <c r="P125" s="51">
        <v>24</v>
      </c>
      <c r="Q125" s="51"/>
      <c r="R125" s="511"/>
      <c r="S125" s="51"/>
      <c r="T125" s="51"/>
      <c r="U125" s="51"/>
      <c r="V125" s="51"/>
      <c r="W125" s="131">
        <f>IF(NFI_Expiration=1,IF($A125&lt;VLOOKUP(I$5,NFI,5,0),1,0)*Data_NFI_t[[#This Row],[Hygiene Kit]],0)</f>
        <v>0</v>
      </c>
      <c r="X125" s="131">
        <f>IF(NFI_Expiration=1,IF($A125&lt;VLOOKUP(J$5,NFI,5,0),1,0)*Data_NFI_t[[#This Row],[NFI Core Kit]],0)</f>
        <v>0</v>
      </c>
      <c r="Y125" s="112">
        <f>IF(NFI_Expiration=1,IF($A125&lt;VLOOKUP(K$5,NFI,5,0),1,0)*Data_NFI_t[[#This Row],[Sanitary Kit]],0)</f>
        <v>0</v>
      </c>
      <c r="Z125" s="112">
        <f>IF(NFI_Expiration=1,IF($A125&lt;VLOOKUP(L$5,NFI,5,0),1,0)*Data_NFI_t[[#This Row],[Mosquito net]],0)</f>
        <v>0</v>
      </c>
      <c r="AA125" s="112">
        <f>IF(NFI_Expiration=1,IF($A125&lt;VLOOKUP(M$5,NFI,5,0),1,0)*Data_NFI_t[[#This Row],[Tarpaulin]],0)</f>
        <v>0</v>
      </c>
      <c r="AB125" s="112">
        <f>IF(NFI_Expiration=1,IF($A125&lt;VLOOKUP(N$5,NFI,5,0),1,0)*Data_NFI_t[[#This Row],[Blanket]],0)</f>
        <v>0</v>
      </c>
      <c r="AC125" s="112">
        <f>IF(NFI_Expiration=1,IF($A125&lt;VLOOKUP(O$5,NFI,5,0),1,0)*Data_NFI_t[[#This Row],[Kitchen Set]],0)</f>
        <v>0</v>
      </c>
      <c r="AD125" s="112">
        <f>IF(NFI_Expiration=1,IF($A125&lt;VLOOKUP(P$5,NFI,5,0),1,0)*Data_NFI_t[[#This Row],[Complementary Kit]],0)</f>
        <v>0</v>
      </c>
      <c r="AE125" s="112">
        <f>IF(NFI_Expiration=1,IF($A125&lt;VLOOKUP(Q$5,NFI,5,0),1,0)*Data_NFI_t[[#This Row],[Plastic Bucket]],0)</f>
        <v>0</v>
      </c>
      <c r="AF125" s="112">
        <f>IF(NFI_Expiration=1,IF($A125&lt;VLOOKUP(R$5,NFI,5,0),1,0)*Data_NFI_t[[#This Row],[Jerry Can]],0)</f>
        <v>0</v>
      </c>
      <c r="AG125" s="131">
        <f>IF(NFI_Expiration=1,IF($A125&lt;VLOOKUP(S$5,NFI,5,0),1,0)*Data_NFI_t[[#This Row],[Plastic Mat]],0)*IF(Data_NFI_t[[#This Row],[Distribution Date]]&gt;"01-06-2015",1,2.5)</f>
        <v>0</v>
      </c>
      <c r="AH125" s="915">
        <f>IF(NFI_Expiration=1,IF($A125&lt;VLOOKUP(T$5,NFI,5,0),1,0)*Data_NFI_t[[#This Row],[Adult Clothes]],0)</f>
        <v>0</v>
      </c>
      <c r="AI125" s="131">
        <f>IF(NFI_Expiration=1,IF($A125&lt;VLOOKUP(U$5,NFI,5,0),1,0)*Data_NFI_t[[#This Row],[Children Clothes]],0)</f>
        <v>0</v>
      </c>
      <c r="AJ125" s="131">
        <f>IF(NFI_Expiration=1,IF($A125&lt;VLOOKUP(V$5,NFI,5,0),1,0)*Data_NFI_t[[#This Row],[Sewing Kit]],0)</f>
        <v>0</v>
      </c>
      <c r="AK125" s="131" t="str">
        <f ca="1">IFERROR(OFFSET(Camp_List[P_Code],MATCH(Data_NFI_t[[#This Row],[Camp Name]],Camp_List[Camp Name],0)-1,0,1,1),"")</f>
        <v>MMR012CMP015</v>
      </c>
      <c r="AL125" s="513" t="str">
        <f ca="1">IFERROR(OFFSET(Camp_List[Status],MATCH(Data_NFI_t[[#This Row],[Camp Name]],Camp_List[Camp Name],0)-1,0,1,1),"")</f>
        <v>Relocated</v>
      </c>
      <c r="AM125" s="131"/>
    </row>
    <row r="126" spans="1:39" s="90" customFormat="1" ht="19.5" customHeight="1" x14ac:dyDescent="0.25">
      <c r="A126" s="242">
        <f>IF(ISBLANK(C126),"",(Report_Date-C126)/30)</f>
        <v>31.433333333333334</v>
      </c>
      <c r="B126" s="242">
        <f>YEAR(Data_NFI_t[[#This Row],[Distribution Date]])</f>
        <v>2014</v>
      </c>
      <c r="C126" s="927">
        <v>41852</v>
      </c>
      <c r="D126" s="489" t="s">
        <v>878</v>
      </c>
      <c r="E126" s="488" t="s">
        <v>878</v>
      </c>
      <c r="F126" s="489" t="s">
        <v>7</v>
      </c>
      <c r="G126" s="794" t="s">
        <v>20</v>
      </c>
      <c r="H126" s="794" t="s">
        <v>97</v>
      </c>
      <c r="I126" s="794"/>
      <c r="J126" s="51"/>
      <c r="K126" s="51"/>
      <c r="L126" s="51"/>
      <c r="M126" s="51"/>
      <c r="N126" s="51"/>
      <c r="O126" s="51"/>
      <c r="P126" s="51">
        <v>183</v>
      </c>
      <c r="Q126" s="51"/>
      <c r="R126" s="511"/>
      <c r="S126" s="51"/>
      <c r="T126" s="51"/>
      <c r="U126" s="51"/>
      <c r="V126" s="51"/>
      <c r="W126" s="131">
        <f>IF(NFI_Expiration=1,IF($A126&lt;VLOOKUP(I$5,NFI,5,0),1,0)*Data_NFI_t[[#This Row],[Hygiene Kit]],0)</f>
        <v>0</v>
      </c>
      <c r="X126" s="131">
        <f>IF(NFI_Expiration=1,IF($A126&lt;VLOOKUP(J$5,NFI,5,0),1,0)*Data_NFI_t[[#This Row],[NFI Core Kit]],0)</f>
        <v>0</v>
      </c>
      <c r="Y126" s="112">
        <f>IF(NFI_Expiration=1,IF($A126&lt;VLOOKUP(K$5,NFI,5,0),1,0)*Data_NFI_t[[#This Row],[Sanitary Kit]],0)</f>
        <v>0</v>
      </c>
      <c r="Z126" s="112">
        <f>IF(NFI_Expiration=1,IF($A126&lt;VLOOKUP(L$5,NFI,5,0),1,0)*Data_NFI_t[[#This Row],[Mosquito net]],0)</f>
        <v>0</v>
      </c>
      <c r="AA126" s="112">
        <f>IF(NFI_Expiration=1,IF($A126&lt;VLOOKUP(M$5,NFI,5,0),1,0)*Data_NFI_t[[#This Row],[Tarpaulin]],0)</f>
        <v>0</v>
      </c>
      <c r="AB126" s="112">
        <f>IF(NFI_Expiration=1,IF($A126&lt;VLOOKUP(N$5,NFI,5,0),1,0)*Data_NFI_t[[#This Row],[Blanket]],0)</f>
        <v>0</v>
      </c>
      <c r="AC126" s="112">
        <f>IF(NFI_Expiration=1,IF($A126&lt;VLOOKUP(O$5,NFI,5,0),1,0)*Data_NFI_t[[#This Row],[Kitchen Set]],0)</f>
        <v>0</v>
      </c>
      <c r="AD126" s="112">
        <f>IF(NFI_Expiration=1,IF($A126&lt;VLOOKUP(P$5,NFI,5,0),1,0)*Data_NFI_t[[#This Row],[Complementary Kit]],0)</f>
        <v>0</v>
      </c>
      <c r="AE126" s="112">
        <f>IF(NFI_Expiration=1,IF($A126&lt;VLOOKUP(Q$5,NFI,5,0),1,0)*Data_NFI_t[[#This Row],[Plastic Bucket]],0)</f>
        <v>0</v>
      </c>
      <c r="AF126" s="112">
        <f>IF(NFI_Expiration=1,IF($A126&lt;VLOOKUP(R$5,NFI,5,0),1,0)*Data_NFI_t[[#This Row],[Jerry Can]],0)</f>
        <v>0</v>
      </c>
      <c r="AG126" s="131">
        <f>IF(NFI_Expiration=1,IF($A126&lt;VLOOKUP(S$5,NFI,5,0),1,0)*Data_NFI_t[[#This Row],[Plastic Mat]],0)*IF(Data_NFI_t[[#This Row],[Distribution Date]]&gt;"01-06-2015",1,2.5)</f>
        <v>0</v>
      </c>
      <c r="AH126" s="915">
        <f>IF(NFI_Expiration=1,IF($A126&lt;VLOOKUP(T$5,NFI,5,0),1,0)*Data_NFI_t[[#This Row],[Adult Clothes]],0)</f>
        <v>0</v>
      </c>
      <c r="AI126" s="131">
        <f>IF(NFI_Expiration=1,IF($A126&lt;VLOOKUP(U$5,NFI,5,0),1,0)*Data_NFI_t[[#This Row],[Children Clothes]],0)</f>
        <v>0</v>
      </c>
      <c r="AJ126" s="131">
        <f>IF(NFI_Expiration=1,IF($A126&lt;VLOOKUP(V$5,NFI,5,0),1,0)*Data_NFI_t[[#This Row],[Sewing Kit]],0)</f>
        <v>0</v>
      </c>
      <c r="AK126" s="131" t="str">
        <f ca="1">IFERROR(OFFSET(Camp_List[P_Code],MATCH(Data_NFI_t[[#This Row],[Camp Name]],Camp_List[Camp Name],0)-1,0,1,1),"")</f>
        <v>MMR012CMP076</v>
      </c>
      <c r="AL126" s="513" t="str">
        <f ca="1">IFERROR(OFFSET(Camp_List[Status],MATCH(Data_NFI_t[[#This Row],[Camp Name]],Camp_List[Camp Name],0)-1,0,1,1),"")</f>
        <v>Close</v>
      </c>
      <c r="AM126" s="131"/>
    </row>
    <row r="127" spans="1:39" s="90" customFormat="1" ht="19.5" customHeight="1" x14ac:dyDescent="0.25">
      <c r="A127" s="242">
        <f>IF(ISBLANK(C127),"",(Report_Date-C127)/30)</f>
        <v>31.433333333333334</v>
      </c>
      <c r="B127" s="242">
        <f>YEAR(Data_NFI_t[[#This Row],[Distribution Date]])</f>
        <v>2014</v>
      </c>
      <c r="C127" s="927">
        <v>41852</v>
      </c>
      <c r="D127" s="489" t="s">
        <v>878</v>
      </c>
      <c r="E127" s="488" t="s">
        <v>878</v>
      </c>
      <c r="F127" s="489" t="s">
        <v>7</v>
      </c>
      <c r="G127" s="794" t="s">
        <v>20</v>
      </c>
      <c r="H127" s="794" t="s">
        <v>99</v>
      </c>
      <c r="I127" s="794"/>
      <c r="J127" s="51"/>
      <c r="K127" s="51"/>
      <c r="L127" s="51"/>
      <c r="M127" s="51"/>
      <c r="N127" s="51"/>
      <c r="O127" s="51"/>
      <c r="P127" s="51">
        <v>162</v>
      </c>
      <c r="Q127" s="51"/>
      <c r="R127" s="511"/>
      <c r="S127" s="51"/>
      <c r="T127" s="51"/>
      <c r="U127" s="51"/>
      <c r="V127" s="51"/>
      <c r="W127" s="131">
        <f>IF(NFI_Expiration=1,IF($A127&lt;VLOOKUP(I$5,NFI,5,0),1,0)*Data_NFI_t[[#This Row],[Hygiene Kit]],0)</f>
        <v>0</v>
      </c>
      <c r="X127" s="131">
        <f>IF(NFI_Expiration=1,IF($A127&lt;VLOOKUP(J$5,NFI,5,0),1,0)*Data_NFI_t[[#This Row],[NFI Core Kit]],0)</f>
        <v>0</v>
      </c>
      <c r="Y127" s="112">
        <f>IF(NFI_Expiration=1,IF($A127&lt;VLOOKUP(K$5,NFI,5,0),1,0)*Data_NFI_t[[#This Row],[Sanitary Kit]],0)</f>
        <v>0</v>
      </c>
      <c r="Z127" s="112">
        <f>IF(NFI_Expiration=1,IF($A127&lt;VLOOKUP(L$5,NFI,5,0),1,0)*Data_NFI_t[[#This Row],[Mosquito net]],0)</f>
        <v>0</v>
      </c>
      <c r="AA127" s="112">
        <f>IF(NFI_Expiration=1,IF($A127&lt;VLOOKUP(M$5,NFI,5,0),1,0)*Data_NFI_t[[#This Row],[Tarpaulin]],0)</f>
        <v>0</v>
      </c>
      <c r="AB127" s="112">
        <f>IF(NFI_Expiration=1,IF($A127&lt;VLOOKUP(N$5,NFI,5,0),1,0)*Data_NFI_t[[#This Row],[Blanket]],0)</f>
        <v>0</v>
      </c>
      <c r="AC127" s="112">
        <f>IF(NFI_Expiration=1,IF($A127&lt;VLOOKUP(O$5,NFI,5,0),1,0)*Data_NFI_t[[#This Row],[Kitchen Set]],0)</f>
        <v>0</v>
      </c>
      <c r="AD127" s="112">
        <f>IF(NFI_Expiration=1,IF($A127&lt;VLOOKUP(P$5,NFI,5,0),1,0)*Data_NFI_t[[#This Row],[Complementary Kit]],0)</f>
        <v>0</v>
      </c>
      <c r="AE127" s="112">
        <f>IF(NFI_Expiration=1,IF($A127&lt;VLOOKUP(Q$5,NFI,5,0),1,0)*Data_NFI_t[[#This Row],[Plastic Bucket]],0)</f>
        <v>0</v>
      </c>
      <c r="AF127" s="112">
        <f>IF(NFI_Expiration=1,IF($A127&lt;VLOOKUP(R$5,NFI,5,0),1,0)*Data_NFI_t[[#This Row],[Jerry Can]],0)</f>
        <v>0</v>
      </c>
      <c r="AG127" s="131">
        <f>IF(NFI_Expiration=1,IF($A127&lt;VLOOKUP(S$5,NFI,5,0),1,0)*Data_NFI_t[[#This Row],[Plastic Mat]],0)*IF(Data_NFI_t[[#This Row],[Distribution Date]]&gt;"01-06-2015",1,2.5)</f>
        <v>0</v>
      </c>
      <c r="AH127" s="915">
        <f>IF(NFI_Expiration=1,IF($A127&lt;VLOOKUP(T$5,NFI,5,0),1,0)*Data_NFI_t[[#This Row],[Adult Clothes]],0)</f>
        <v>0</v>
      </c>
      <c r="AI127" s="131">
        <f>IF(NFI_Expiration=1,IF($A127&lt;VLOOKUP(U$5,NFI,5,0),1,0)*Data_NFI_t[[#This Row],[Children Clothes]],0)</f>
        <v>0</v>
      </c>
      <c r="AJ127" s="131">
        <f>IF(NFI_Expiration=1,IF($A127&lt;VLOOKUP(V$5,NFI,5,0),1,0)*Data_NFI_t[[#This Row],[Sewing Kit]],0)</f>
        <v>0</v>
      </c>
      <c r="AK127" s="131" t="str">
        <f ca="1">IFERROR(OFFSET(Camp_List[P_Code],MATCH(Data_NFI_t[[#This Row],[Camp Name]],Camp_List[Camp Name],0)-1,0,1,1),"")</f>
        <v>MMR012CMP078</v>
      </c>
      <c r="AL127" s="513" t="str">
        <f ca="1">IFERROR(OFFSET(Camp_List[Status],MATCH(Data_NFI_t[[#This Row],[Camp Name]],Camp_List[Camp Name],0)-1,0,1,1),"")</f>
        <v>Close</v>
      </c>
      <c r="AM127" s="131"/>
    </row>
    <row r="128" spans="1:39" s="90" customFormat="1" ht="19.5" customHeight="1" x14ac:dyDescent="0.25">
      <c r="A128" s="242">
        <f>IF(ISBLANK(C128),"",(Report_Date-C128)/30)</f>
        <v>31.433333333333334</v>
      </c>
      <c r="B128" s="242">
        <f>YEAR(Data_NFI_t[[#This Row],[Distribution Date]])</f>
        <v>2014</v>
      </c>
      <c r="C128" s="927">
        <v>41852</v>
      </c>
      <c r="D128" s="489" t="s">
        <v>878</v>
      </c>
      <c r="E128" s="488" t="s">
        <v>878</v>
      </c>
      <c r="F128" s="489" t="s">
        <v>7</v>
      </c>
      <c r="G128" s="794" t="s">
        <v>20</v>
      </c>
      <c r="H128" s="794" t="s">
        <v>98</v>
      </c>
      <c r="I128" s="794"/>
      <c r="J128" s="51"/>
      <c r="K128" s="51"/>
      <c r="L128" s="51"/>
      <c r="M128" s="51"/>
      <c r="N128" s="51"/>
      <c r="O128" s="51"/>
      <c r="P128" s="51">
        <v>192</v>
      </c>
      <c r="Q128" s="51"/>
      <c r="R128" s="511"/>
      <c r="S128" s="51"/>
      <c r="T128" s="51"/>
      <c r="U128" s="51"/>
      <c r="V128" s="51"/>
      <c r="W128" s="131">
        <f>IF(NFI_Expiration=1,IF($A128&lt;VLOOKUP(I$5,NFI,5,0),1,0)*Data_NFI_t[[#This Row],[Hygiene Kit]],0)</f>
        <v>0</v>
      </c>
      <c r="X128" s="131">
        <f>IF(NFI_Expiration=1,IF($A128&lt;VLOOKUP(J$5,NFI,5,0),1,0)*Data_NFI_t[[#This Row],[NFI Core Kit]],0)</f>
        <v>0</v>
      </c>
      <c r="Y128" s="112">
        <f>IF(NFI_Expiration=1,IF($A128&lt;VLOOKUP(K$5,NFI,5,0),1,0)*Data_NFI_t[[#This Row],[Sanitary Kit]],0)</f>
        <v>0</v>
      </c>
      <c r="Z128" s="112">
        <f>IF(NFI_Expiration=1,IF($A128&lt;VLOOKUP(L$5,NFI,5,0),1,0)*Data_NFI_t[[#This Row],[Mosquito net]],0)</f>
        <v>0</v>
      </c>
      <c r="AA128" s="112">
        <f>IF(NFI_Expiration=1,IF($A128&lt;VLOOKUP(M$5,NFI,5,0),1,0)*Data_NFI_t[[#This Row],[Tarpaulin]],0)</f>
        <v>0</v>
      </c>
      <c r="AB128" s="112">
        <f>IF(NFI_Expiration=1,IF($A128&lt;VLOOKUP(N$5,NFI,5,0),1,0)*Data_NFI_t[[#This Row],[Blanket]],0)</f>
        <v>0</v>
      </c>
      <c r="AC128" s="112">
        <f>IF(NFI_Expiration=1,IF($A128&lt;VLOOKUP(O$5,NFI,5,0),1,0)*Data_NFI_t[[#This Row],[Kitchen Set]],0)</f>
        <v>0</v>
      </c>
      <c r="AD128" s="112">
        <f>IF(NFI_Expiration=1,IF($A128&lt;VLOOKUP(P$5,NFI,5,0),1,0)*Data_NFI_t[[#This Row],[Complementary Kit]],0)</f>
        <v>0</v>
      </c>
      <c r="AE128" s="112">
        <f>IF(NFI_Expiration=1,IF($A128&lt;VLOOKUP(Q$5,NFI,5,0),1,0)*Data_NFI_t[[#This Row],[Plastic Bucket]],0)</f>
        <v>0</v>
      </c>
      <c r="AF128" s="112">
        <f>IF(NFI_Expiration=1,IF($A128&lt;VLOOKUP(R$5,NFI,5,0),1,0)*Data_NFI_t[[#This Row],[Jerry Can]],0)</f>
        <v>0</v>
      </c>
      <c r="AG128" s="131">
        <f>IF(NFI_Expiration=1,IF($A128&lt;VLOOKUP(S$5,NFI,5,0),1,0)*Data_NFI_t[[#This Row],[Plastic Mat]],0)*IF(Data_NFI_t[[#This Row],[Distribution Date]]&gt;"01-06-2015",1,2.5)</f>
        <v>0</v>
      </c>
      <c r="AH128" s="915">
        <f>IF(NFI_Expiration=1,IF($A128&lt;VLOOKUP(T$5,NFI,5,0),1,0)*Data_NFI_t[[#This Row],[Adult Clothes]],0)</f>
        <v>0</v>
      </c>
      <c r="AI128" s="131">
        <f>IF(NFI_Expiration=1,IF($A128&lt;VLOOKUP(U$5,NFI,5,0),1,0)*Data_NFI_t[[#This Row],[Children Clothes]],0)</f>
        <v>0</v>
      </c>
      <c r="AJ128" s="131">
        <f>IF(NFI_Expiration=1,IF($A128&lt;VLOOKUP(V$5,NFI,5,0),1,0)*Data_NFI_t[[#This Row],[Sewing Kit]],0)</f>
        <v>0</v>
      </c>
      <c r="AK128" s="131" t="str">
        <f ca="1">IFERROR(OFFSET(Camp_List[P_Code],MATCH(Data_NFI_t[[#This Row],[Camp Name]],Camp_List[Camp Name],0)-1,0,1,1),"")</f>
        <v>MMR012CMP077</v>
      </c>
      <c r="AL128" s="513" t="str">
        <f ca="1">IFERROR(OFFSET(Camp_List[Status],MATCH(Data_NFI_t[[#This Row],[Camp Name]],Camp_List[Camp Name],0)-1,0,1,1),"")</f>
        <v>Close</v>
      </c>
      <c r="AM128" s="131"/>
    </row>
    <row r="129" spans="1:39" s="90" customFormat="1" ht="19.5" customHeight="1" x14ac:dyDescent="0.25">
      <c r="A129" s="242">
        <f>IF(ISBLANK(C129),"",(Report_Date-C129)/30)</f>
        <v>31.433333333333334</v>
      </c>
      <c r="B129" s="242">
        <f>YEAR(Data_NFI_t[[#This Row],[Distribution Date]])</f>
        <v>2014</v>
      </c>
      <c r="C129" s="927">
        <v>41852</v>
      </c>
      <c r="D129" s="489" t="s">
        <v>878</v>
      </c>
      <c r="E129" s="488" t="s">
        <v>878</v>
      </c>
      <c r="F129" s="489" t="s">
        <v>7</v>
      </c>
      <c r="G129" s="794" t="s">
        <v>20</v>
      </c>
      <c r="H129" s="794" t="s">
        <v>101</v>
      </c>
      <c r="I129" s="794"/>
      <c r="J129" s="51"/>
      <c r="K129" s="51"/>
      <c r="L129" s="51"/>
      <c r="M129" s="51"/>
      <c r="N129" s="51"/>
      <c r="O129" s="51"/>
      <c r="P129" s="51">
        <v>102</v>
      </c>
      <c r="Q129" s="51"/>
      <c r="R129" s="511"/>
      <c r="S129" s="51"/>
      <c r="T129" s="51"/>
      <c r="U129" s="51"/>
      <c r="V129" s="51"/>
      <c r="W129" s="131">
        <f>IF(NFI_Expiration=1,IF($A129&lt;VLOOKUP(I$5,NFI,5,0),1,0)*Data_NFI_t[[#This Row],[Hygiene Kit]],0)</f>
        <v>0</v>
      </c>
      <c r="X129" s="131">
        <f>IF(NFI_Expiration=1,IF($A129&lt;VLOOKUP(J$5,NFI,5,0),1,0)*Data_NFI_t[[#This Row],[NFI Core Kit]],0)</f>
        <v>0</v>
      </c>
      <c r="Y129" s="112">
        <f>IF(NFI_Expiration=1,IF($A129&lt;VLOOKUP(K$5,NFI,5,0),1,0)*Data_NFI_t[[#This Row],[Sanitary Kit]],0)</f>
        <v>0</v>
      </c>
      <c r="Z129" s="112">
        <f>IF(NFI_Expiration=1,IF($A129&lt;VLOOKUP(L$5,NFI,5,0),1,0)*Data_NFI_t[[#This Row],[Mosquito net]],0)</f>
        <v>0</v>
      </c>
      <c r="AA129" s="112">
        <f>IF(NFI_Expiration=1,IF($A129&lt;VLOOKUP(M$5,NFI,5,0),1,0)*Data_NFI_t[[#This Row],[Tarpaulin]],0)</f>
        <v>0</v>
      </c>
      <c r="AB129" s="112">
        <f>IF(NFI_Expiration=1,IF($A129&lt;VLOOKUP(N$5,NFI,5,0),1,0)*Data_NFI_t[[#This Row],[Blanket]],0)</f>
        <v>0</v>
      </c>
      <c r="AC129" s="112">
        <f>IF(NFI_Expiration=1,IF($A129&lt;VLOOKUP(O$5,NFI,5,0),1,0)*Data_NFI_t[[#This Row],[Kitchen Set]],0)</f>
        <v>0</v>
      </c>
      <c r="AD129" s="112">
        <f>IF(NFI_Expiration=1,IF($A129&lt;VLOOKUP(P$5,NFI,5,0),1,0)*Data_NFI_t[[#This Row],[Complementary Kit]],0)</f>
        <v>0</v>
      </c>
      <c r="AE129" s="112">
        <f>IF(NFI_Expiration=1,IF($A129&lt;VLOOKUP(Q$5,NFI,5,0),1,0)*Data_NFI_t[[#This Row],[Plastic Bucket]],0)</f>
        <v>0</v>
      </c>
      <c r="AF129" s="112">
        <f>IF(NFI_Expiration=1,IF($A129&lt;VLOOKUP(R$5,NFI,5,0),1,0)*Data_NFI_t[[#This Row],[Jerry Can]],0)</f>
        <v>0</v>
      </c>
      <c r="AG129" s="131">
        <f>IF(NFI_Expiration=1,IF($A129&lt;VLOOKUP(S$5,NFI,5,0),1,0)*Data_NFI_t[[#This Row],[Plastic Mat]],0)*IF(Data_NFI_t[[#This Row],[Distribution Date]]&gt;"01-06-2015",1,2.5)</f>
        <v>0</v>
      </c>
      <c r="AH129" s="915">
        <f>IF(NFI_Expiration=1,IF($A129&lt;VLOOKUP(T$5,NFI,5,0),1,0)*Data_NFI_t[[#This Row],[Adult Clothes]],0)</f>
        <v>0</v>
      </c>
      <c r="AI129" s="131">
        <f>IF(NFI_Expiration=1,IF($A129&lt;VLOOKUP(U$5,NFI,5,0),1,0)*Data_NFI_t[[#This Row],[Children Clothes]],0)</f>
        <v>0</v>
      </c>
      <c r="AJ129" s="131">
        <f>IF(NFI_Expiration=1,IF($A129&lt;VLOOKUP(V$5,NFI,5,0),1,0)*Data_NFI_t[[#This Row],[Sewing Kit]],0)</f>
        <v>0</v>
      </c>
      <c r="AK129" s="131" t="str">
        <f ca="1">IFERROR(OFFSET(Camp_List[P_Code],MATCH(Data_NFI_t[[#This Row],[Camp Name]],Camp_List[Camp Name],0)-1,0,1,1),"")</f>
        <v>MMR012CMP080</v>
      </c>
      <c r="AL129" s="513" t="str">
        <f ca="1">IFERROR(OFFSET(Camp_List[Status],MATCH(Data_NFI_t[[#This Row],[Camp Name]],Camp_List[Camp Name],0)-1,0,1,1),"")</f>
        <v>Close</v>
      </c>
      <c r="AM129" s="131"/>
    </row>
    <row r="130" spans="1:39" s="90" customFormat="1" ht="19.5" customHeight="1" x14ac:dyDescent="0.25">
      <c r="A130" s="242">
        <f>IF(ISBLANK(C130),"",(Report_Date-C130)/30)</f>
        <v>31.433333333333334</v>
      </c>
      <c r="B130" s="242">
        <f>YEAR(Data_NFI_t[[#This Row],[Distribution Date]])</f>
        <v>2014</v>
      </c>
      <c r="C130" s="927">
        <v>41852</v>
      </c>
      <c r="D130" s="489" t="s">
        <v>878</v>
      </c>
      <c r="E130" s="488" t="s">
        <v>878</v>
      </c>
      <c r="F130" s="489" t="s">
        <v>7</v>
      </c>
      <c r="G130" s="794" t="s">
        <v>20</v>
      </c>
      <c r="H130" s="794" t="s">
        <v>100</v>
      </c>
      <c r="I130" s="794"/>
      <c r="J130" s="51"/>
      <c r="K130" s="51"/>
      <c r="L130" s="51"/>
      <c r="M130" s="51"/>
      <c r="N130" s="51"/>
      <c r="O130" s="51"/>
      <c r="P130" s="51">
        <v>103</v>
      </c>
      <c r="Q130" s="51"/>
      <c r="R130" s="511"/>
      <c r="S130" s="51"/>
      <c r="T130" s="51"/>
      <c r="U130" s="51"/>
      <c r="V130" s="51"/>
      <c r="W130" s="131">
        <f>IF(NFI_Expiration=1,IF($A130&lt;VLOOKUP(I$5,NFI,5,0),1,0)*Data_NFI_t[[#This Row],[Hygiene Kit]],0)</f>
        <v>0</v>
      </c>
      <c r="X130" s="131">
        <f>IF(NFI_Expiration=1,IF($A130&lt;VLOOKUP(J$5,NFI,5,0),1,0)*Data_NFI_t[[#This Row],[NFI Core Kit]],0)</f>
        <v>0</v>
      </c>
      <c r="Y130" s="112">
        <f>IF(NFI_Expiration=1,IF($A130&lt;VLOOKUP(K$5,NFI,5,0),1,0)*Data_NFI_t[[#This Row],[Sanitary Kit]],0)</f>
        <v>0</v>
      </c>
      <c r="Z130" s="112">
        <f>IF(NFI_Expiration=1,IF($A130&lt;VLOOKUP(L$5,NFI,5,0),1,0)*Data_NFI_t[[#This Row],[Mosquito net]],0)</f>
        <v>0</v>
      </c>
      <c r="AA130" s="112">
        <f>IF(NFI_Expiration=1,IF($A130&lt;VLOOKUP(M$5,NFI,5,0),1,0)*Data_NFI_t[[#This Row],[Tarpaulin]],0)</f>
        <v>0</v>
      </c>
      <c r="AB130" s="112">
        <f>IF(NFI_Expiration=1,IF($A130&lt;VLOOKUP(N$5,NFI,5,0),1,0)*Data_NFI_t[[#This Row],[Blanket]],0)</f>
        <v>0</v>
      </c>
      <c r="AC130" s="112">
        <f>IF(NFI_Expiration=1,IF($A130&lt;VLOOKUP(O$5,NFI,5,0),1,0)*Data_NFI_t[[#This Row],[Kitchen Set]],0)</f>
        <v>0</v>
      </c>
      <c r="AD130" s="112">
        <f>IF(NFI_Expiration=1,IF($A130&lt;VLOOKUP(P$5,NFI,5,0),1,0)*Data_NFI_t[[#This Row],[Complementary Kit]],0)</f>
        <v>0</v>
      </c>
      <c r="AE130" s="112">
        <f>IF(NFI_Expiration=1,IF($A130&lt;VLOOKUP(Q$5,NFI,5,0),1,0)*Data_NFI_t[[#This Row],[Plastic Bucket]],0)</f>
        <v>0</v>
      </c>
      <c r="AF130" s="112">
        <f>IF(NFI_Expiration=1,IF($A130&lt;VLOOKUP(R$5,NFI,5,0),1,0)*Data_NFI_t[[#This Row],[Jerry Can]],0)</f>
        <v>0</v>
      </c>
      <c r="AG130" s="131">
        <f>IF(NFI_Expiration=1,IF($A130&lt;VLOOKUP(S$5,NFI,5,0),1,0)*Data_NFI_t[[#This Row],[Plastic Mat]],0)*IF(Data_NFI_t[[#This Row],[Distribution Date]]&gt;"01-06-2015",1,2.5)</f>
        <v>0</v>
      </c>
      <c r="AH130" s="915">
        <f>IF(NFI_Expiration=1,IF($A130&lt;VLOOKUP(T$5,NFI,5,0),1,0)*Data_NFI_t[[#This Row],[Adult Clothes]],0)</f>
        <v>0</v>
      </c>
      <c r="AI130" s="131">
        <f>IF(NFI_Expiration=1,IF($A130&lt;VLOOKUP(U$5,NFI,5,0),1,0)*Data_NFI_t[[#This Row],[Children Clothes]],0)</f>
        <v>0</v>
      </c>
      <c r="AJ130" s="131">
        <f>IF(NFI_Expiration=1,IF($A130&lt;VLOOKUP(V$5,NFI,5,0),1,0)*Data_NFI_t[[#This Row],[Sewing Kit]],0)</f>
        <v>0</v>
      </c>
      <c r="AK130" s="131" t="str">
        <f ca="1">IFERROR(OFFSET(Camp_List[P_Code],MATCH(Data_NFI_t[[#This Row],[Camp Name]],Camp_List[Camp Name],0)-1,0,1,1),"")</f>
        <v>MMR012CMP079</v>
      </c>
      <c r="AL130" s="513" t="str">
        <f ca="1">IFERROR(OFFSET(Camp_List[Status],MATCH(Data_NFI_t[[#This Row],[Camp Name]],Camp_List[Camp Name],0)-1,0,1,1),"")</f>
        <v>Close</v>
      </c>
      <c r="AM130" s="131"/>
    </row>
    <row r="131" spans="1:39" s="90" customFormat="1" ht="19.5" customHeight="1" x14ac:dyDescent="0.25">
      <c r="A131" s="242">
        <f>IF(ISBLANK(C131),"",(Report_Date-C131)/30)</f>
        <v>31.433333333333334</v>
      </c>
      <c r="B131" s="242">
        <f>YEAR(Data_NFI_t[[#This Row],[Distribution Date]])</f>
        <v>2014</v>
      </c>
      <c r="C131" s="927">
        <v>41852</v>
      </c>
      <c r="D131" s="489" t="s">
        <v>878</v>
      </c>
      <c r="E131" s="488" t="s">
        <v>878</v>
      </c>
      <c r="F131" s="489" t="s">
        <v>7</v>
      </c>
      <c r="G131" s="794" t="s">
        <v>20</v>
      </c>
      <c r="H131" s="794" t="s">
        <v>102</v>
      </c>
      <c r="I131" s="794"/>
      <c r="J131" s="51"/>
      <c r="K131" s="51"/>
      <c r="L131" s="51"/>
      <c r="M131" s="51"/>
      <c r="N131" s="51"/>
      <c r="O131" s="51"/>
      <c r="P131" s="51">
        <v>175</v>
      </c>
      <c r="Q131" s="51"/>
      <c r="R131" s="511"/>
      <c r="S131" s="51"/>
      <c r="T131" s="51"/>
      <c r="U131" s="51"/>
      <c r="V131" s="51"/>
      <c r="W131" s="131">
        <f>IF(NFI_Expiration=1,IF($A131&lt;VLOOKUP(I$5,NFI,5,0),1,0)*Data_NFI_t[[#This Row],[Hygiene Kit]],0)</f>
        <v>0</v>
      </c>
      <c r="X131" s="131">
        <f>IF(NFI_Expiration=1,IF($A131&lt;VLOOKUP(J$5,NFI,5,0),1,0)*Data_NFI_t[[#This Row],[NFI Core Kit]],0)</f>
        <v>0</v>
      </c>
      <c r="Y131" s="112">
        <f>IF(NFI_Expiration=1,IF($A131&lt;VLOOKUP(K$5,NFI,5,0),1,0)*Data_NFI_t[[#This Row],[Sanitary Kit]],0)</f>
        <v>0</v>
      </c>
      <c r="Z131" s="112">
        <f>IF(NFI_Expiration=1,IF($A131&lt;VLOOKUP(L$5,NFI,5,0),1,0)*Data_NFI_t[[#This Row],[Mosquito net]],0)</f>
        <v>0</v>
      </c>
      <c r="AA131" s="112">
        <f>IF(NFI_Expiration=1,IF($A131&lt;VLOOKUP(M$5,NFI,5,0),1,0)*Data_NFI_t[[#This Row],[Tarpaulin]],0)</f>
        <v>0</v>
      </c>
      <c r="AB131" s="112">
        <f>IF(NFI_Expiration=1,IF($A131&lt;VLOOKUP(N$5,NFI,5,0),1,0)*Data_NFI_t[[#This Row],[Blanket]],0)</f>
        <v>0</v>
      </c>
      <c r="AC131" s="112">
        <f>IF(NFI_Expiration=1,IF($A131&lt;VLOOKUP(O$5,NFI,5,0),1,0)*Data_NFI_t[[#This Row],[Kitchen Set]],0)</f>
        <v>0</v>
      </c>
      <c r="AD131" s="112">
        <f>IF(NFI_Expiration=1,IF($A131&lt;VLOOKUP(P$5,NFI,5,0),1,0)*Data_NFI_t[[#This Row],[Complementary Kit]],0)</f>
        <v>0</v>
      </c>
      <c r="AE131" s="112">
        <f>IF(NFI_Expiration=1,IF($A131&lt;VLOOKUP(Q$5,NFI,5,0),1,0)*Data_NFI_t[[#This Row],[Plastic Bucket]],0)</f>
        <v>0</v>
      </c>
      <c r="AF131" s="112">
        <f>IF(NFI_Expiration=1,IF($A131&lt;VLOOKUP(R$5,NFI,5,0),1,0)*Data_NFI_t[[#This Row],[Jerry Can]],0)</f>
        <v>0</v>
      </c>
      <c r="AG131" s="131">
        <f>IF(NFI_Expiration=1,IF($A131&lt;VLOOKUP(S$5,NFI,5,0),1,0)*Data_NFI_t[[#This Row],[Plastic Mat]],0)*IF(Data_NFI_t[[#This Row],[Distribution Date]]&gt;"01-06-2015",1,2.5)</f>
        <v>0</v>
      </c>
      <c r="AH131" s="915">
        <f>IF(NFI_Expiration=1,IF($A131&lt;VLOOKUP(T$5,NFI,5,0),1,0)*Data_NFI_t[[#This Row],[Adult Clothes]],0)</f>
        <v>0</v>
      </c>
      <c r="AI131" s="131">
        <f>IF(NFI_Expiration=1,IF($A131&lt;VLOOKUP(U$5,NFI,5,0),1,0)*Data_NFI_t[[#This Row],[Children Clothes]],0)</f>
        <v>0</v>
      </c>
      <c r="AJ131" s="131">
        <f>IF(NFI_Expiration=1,IF($A131&lt;VLOOKUP(V$5,NFI,5,0),1,0)*Data_NFI_t[[#This Row],[Sewing Kit]],0)</f>
        <v>0</v>
      </c>
      <c r="AK131" s="131" t="str">
        <f ca="1">IFERROR(OFFSET(Camp_List[P_Code],MATCH(Data_NFI_t[[#This Row],[Camp Name]],Camp_List[Camp Name],0)-1,0,1,1),"")</f>
        <v>MMR012CMP081</v>
      </c>
      <c r="AL131" s="513" t="str">
        <f ca="1">IFERROR(OFFSET(Camp_List[Status],MATCH(Data_NFI_t[[#This Row],[Camp Name]],Camp_List[Camp Name],0)-1,0,1,1),"")</f>
        <v>Close</v>
      </c>
      <c r="AM131" s="131"/>
    </row>
    <row r="132" spans="1:39" s="90" customFormat="1" ht="19.5" customHeight="1" x14ac:dyDescent="0.25">
      <c r="A132" s="242">
        <f>IF(ISBLANK(C132),"",(Report_Date-C132)/30)</f>
        <v>31.8</v>
      </c>
      <c r="B132" s="242">
        <f>YEAR(Data_NFI_t[[#This Row],[Distribution Date]])</f>
        <v>2014</v>
      </c>
      <c r="C132" s="927">
        <v>41841</v>
      </c>
      <c r="D132" s="489" t="s">
        <v>288</v>
      </c>
      <c r="E132" s="488" t="s">
        <v>288</v>
      </c>
      <c r="F132" s="489" t="s">
        <v>7</v>
      </c>
      <c r="G132" s="794" t="s">
        <v>19</v>
      </c>
      <c r="H132" s="794" t="s">
        <v>63</v>
      </c>
      <c r="I132" s="794"/>
      <c r="J132" s="51"/>
      <c r="K132" s="51"/>
      <c r="L132" s="51"/>
      <c r="M132" s="51">
        <v>304</v>
      </c>
      <c r="N132" s="51">
        <v>608</v>
      </c>
      <c r="O132" s="51"/>
      <c r="P132" s="51"/>
      <c r="Q132" s="51">
        <v>304</v>
      </c>
      <c r="R132" s="511"/>
      <c r="S132" s="51"/>
      <c r="T132" s="51"/>
      <c r="U132" s="51"/>
      <c r="V132" s="51"/>
      <c r="W132" s="131">
        <f>IF(NFI_Expiration=1,IF($A132&lt;VLOOKUP(I$5,NFI,5,0),1,0)*Data_NFI_t[[#This Row],[Hygiene Kit]],0)</f>
        <v>0</v>
      </c>
      <c r="X132" s="131">
        <f>IF(NFI_Expiration=1,IF($A132&lt;VLOOKUP(J$5,NFI,5,0),1,0)*Data_NFI_t[[#This Row],[NFI Core Kit]],0)</f>
        <v>0</v>
      </c>
      <c r="Y132" s="112">
        <f>IF(NFI_Expiration=1,IF($A132&lt;VLOOKUP(K$5,NFI,5,0),1,0)*Data_NFI_t[[#This Row],[Sanitary Kit]],0)</f>
        <v>0</v>
      </c>
      <c r="Z132" s="112">
        <f>IF(NFI_Expiration=1,IF($A132&lt;VLOOKUP(L$5,NFI,5,0),1,0)*Data_NFI_t[[#This Row],[Mosquito net]],0)</f>
        <v>0</v>
      </c>
      <c r="AA132" s="112">
        <f>IF(NFI_Expiration=1,IF($A132&lt;VLOOKUP(M$5,NFI,5,0),1,0)*Data_NFI_t[[#This Row],[Tarpaulin]],0)</f>
        <v>0</v>
      </c>
      <c r="AB132" s="112">
        <f>IF(NFI_Expiration=1,IF($A132&lt;VLOOKUP(N$5,NFI,5,0),1,0)*Data_NFI_t[[#This Row],[Blanket]],0)</f>
        <v>0</v>
      </c>
      <c r="AC132" s="112">
        <f>IF(NFI_Expiration=1,IF($A132&lt;VLOOKUP(O$5,NFI,5,0),1,0)*Data_NFI_t[[#This Row],[Kitchen Set]],0)</f>
        <v>0</v>
      </c>
      <c r="AD132" s="112">
        <f>IF(NFI_Expiration=1,IF($A132&lt;VLOOKUP(P$5,NFI,5,0),1,0)*Data_NFI_t[[#This Row],[Complementary Kit]],0)</f>
        <v>0</v>
      </c>
      <c r="AE132" s="112">
        <f>IF(NFI_Expiration=1,IF($A132&lt;VLOOKUP(Q$5,NFI,5,0),1,0)*Data_NFI_t[[#This Row],[Plastic Bucket]],0)</f>
        <v>0</v>
      </c>
      <c r="AF132" s="112">
        <f>IF(NFI_Expiration=1,IF($A132&lt;VLOOKUP(R$5,NFI,5,0),1,0)*Data_NFI_t[[#This Row],[Jerry Can]],0)</f>
        <v>0</v>
      </c>
      <c r="AG132" s="131">
        <f>IF(NFI_Expiration=1,IF($A132&lt;VLOOKUP(S$5,NFI,5,0),1,0)*Data_NFI_t[[#This Row],[Plastic Mat]],0)*IF(Data_NFI_t[[#This Row],[Distribution Date]]&gt;"01-06-2015",1,2.5)</f>
        <v>0</v>
      </c>
      <c r="AH132" s="915">
        <f>IF(NFI_Expiration=1,IF($A132&lt;VLOOKUP(T$5,NFI,5,0),1,0)*Data_NFI_t[[#This Row],[Adult Clothes]],0)</f>
        <v>0</v>
      </c>
      <c r="AI132" s="131">
        <f>IF(NFI_Expiration=1,IF($A132&lt;VLOOKUP(U$5,NFI,5,0),1,0)*Data_NFI_t[[#This Row],[Children Clothes]],0)</f>
        <v>0</v>
      </c>
      <c r="AJ132" s="131">
        <f>IF(NFI_Expiration=1,IF($A132&lt;VLOOKUP(V$5,NFI,5,0),1,0)*Data_NFI_t[[#This Row],[Sewing Kit]],0)</f>
        <v>0</v>
      </c>
      <c r="AK132" s="131" t="str">
        <f ca="1">IFERROR(OFFSET(Camp_List[P_Code],MATCH(Data_NFI_t[[#This Row],[Camp Name]],Camp_List[Camp Name],0)-1,0,1,1),"")</f>
        <v>MMR012CMP041</v>
      </c>
      <c r="AL132" s="513" t="str">
        <f ca="1">IFERROR(OFFSET(Camp_List[Status],MATCH(Data_NFI_t[[#This Row],[Camp Name]],Camp_List[Camp Name],0)-1,0,1,1),"")</f>
        <v>Open</v>
      </c>
      <c r="AM132" s="131"/>
    </row>
    <row r="133" spans="1:39" s="90" customFormat="1" ht="19.5" customHeight="1" x14ac:dyDescent="0.25">
      <c r="A133" s="242">
        <f>IF(ISBLANK(C133),"",(Report_Date-C133)/30)</f>
        <v>31.8</v>
      </c>
      <c r="B133" s="242">
        <f>YEAR(Data_NFI_t[[#This Row],[Distribution Date]])</f>
        <v>2014</v>
      </c>
      <c r="C133" s="927">
        <v>41841</v>
      </c>
      <c r="D133" s="489" t="s">
        <v>624</v>
      </c>
      <c r="E133" s="488" t="s">
        <v>624</v>
      </c>
      <c r="F133" s="489" t="s">
        <v>7</v>
      </c>
      <c r="G133" s="794" t="s">
        <v>19</v>
      </c>
      <c r="H133" s="794" t="s">
        <v>78</v>
      </c>
      <c r="I133" s="794"/>
      <c r="J133" s="51">
        <v>70</v>
      </c>
      <c r="K133" s="51"/>
      <c r="L133" s="51"/>
      <c r="M133" s="51"/>
      <c r="N133" s="51"/>
      <c r="O133" s="51"/>
      <c r="P133" s="51"/>
      <c r="Q133" s="51"/>
      <c r="R133" s="511"/>
      <c r="S133" s="51"/>
      <c r="T133" s="51"/>
      <c r="U133" s="51"/>
      <c r="V133" s="51"/>
      <c r="W133" s="131">
        <f>IF(NFI_Expiration=1,IF($A133&lt;VLOOKUP(I$5,NFI,5,0),1,0)*Data_NFI_t[[#This Row],[Hygiene Kit]],0)</f>
        <v>0</v>
      </c>
      <c r="X133" s="131">
        <f>IF(NFI_Expiration=1,IF($A133&lt;VLOOKUP(J$5,NFI,5,0),1,0)*Data_NFI_t[[#This Row],[NFI Core Kit]],0)</f>
        <v>0</v>
      </c>
      <c r="Y133" s="112">
        <f>IF(NFI_Expiration=1,IF($A133&lt;VLOOKUP(K$5,NFI,5,0),1,0)*Data_NFI_t[[#This Row],[Sanitary Kit]],0)</f>
        <v>0</v>
      </c>
      <c r="Z133" s="112">
        <f>IF(NFI_Expiration=1,IF($A133&lt;VLOOKUP(L$5,NFI,5,0),1,0)*Data_NFI_t[[#This Row],[Mosquito net]],0)</f>
        <v>0</v>
      </c>
      <c r="AA133" s="112">
        <f>IF(NFI_Expiration=1,IF($A133&lt;VLOOKUP(M$5,NFI,5,0),1,0)*Data_NFI_t[[#This Row],[Tarpaulin]],0)</f>
        <v>0</v>
      </c>
      <c r="AB133" s="112">
        <f>IF(NFI_Expiration=1,IF($A133&lt;VLOOKUP(N$5,NFI,5,0),1,0)*Data_NFI_t[[#This Row],[Blanket]],0)</f>
        <v>0</v>
      </c>
      <c r="AC133" s="112">
        <f>IF(NFI_Expiration=1,IF($A133&lt;VLOOKUP(O$5,NFI,5,0),1,0)*Data_NFI_t[[#This Row],[Kitchen Set]],0)</f>
        <v>0</v>
      </c>
      <c r="AD133" s="112">
        <f>IF(NFI_Expiration=1,IF($A133&lt;VLOOKUP(P$5,NFI,5,0),1,0)*Data_NFI_t[[#This Row],[Complementary Kit]],0)</f>
        <v>0</v>
      </c>
      <c r="AE133" s="112">
        <f>IF(NFI_Expiration=1,IF($A133&lt;VLOOKUP(Q$5,NFI,5,0),1,0)*Data_NFI_t[[#This Row],[Plastic Bucket]],0)</f>
        <v>0</v>
      </c>
      <c r="AF133" s="112">
        <f>IF(NFI_Expiration=1,IF($A133&lt;VLOOKUP(R$5,NFI,5,0),1,0)*Data_NFI_t[[#This Row],[Jerry Can]],0)</f>
        <v>0</v>
      </c>
      <c r="AG133" s="131">
        <f>IF(NFI_Expiration=1,IF($A133&lt;VLOOKUP(S$5,NFI,5,0),1,0)*Data_NFI_t[[#This Row],[Plastic Mat]],0)*IF(Data_NFI_t[[#This Row],[Distribution Date]]&gt;"01-06-2015",1,2.5)</f>
        <v>0</v>
      </c>
      <c r="AH133" s="915">
        <f>IF(NFI_Expiration=1,IF($A133&lt;VLOOKUP(T$5,NFI,5,0),1,0)*Data_NFI_t[[#This Row],[Adult Clothes]],0)</f>
        <v>0</v>
      </c>
      <c r="AI133" s="131">
        <f>IF(NFI_Expiration=1,IF($A133&lt;VLOOKUP(U$5,NFI,5,0),1,0)*Data_NFI_t[[#This Row],[Children Clothes]],0)</f>
        <v>0</v>
      </c>
      <c r="AJ133" s="131">
        <f>IF(NFI_Expiration=1,IF($A133&lt;VLOOKUP(V$5,NFI,5,0),1,0)*Data_NFI_t[[#This Row],[Sewing Kit]],0)</f>
        <v>0</v>
      </c>
      <c r="AK133" s="131" t="str">
        <f ca="1">IFERROR(OFFSET(Camp_List[P_Code],MATCH(Data_NFI_t[[#This Row],[Camp Name]],Camp_List[Camp Name],0)-1,0,1,1),"")</f>
        <v>MMR012CMP056</v>
      </c>
      <c r="AL133" s="513" t="str">
        <f ca="1">IFERROR(OFFSET(Camp_List[Status],MATCH(Data_NFI_t[[#This Row],[Camp Name]],Camp_List[Camp Name],0)-1,0,1,1),"")</f>
        <v>Relocated</v>
      </c>
      <c r="AM133" s="131"/>
    </row>
    <row r="134" spans="1:39" s="90" customFormat="1" ht="19.5" customHeight="1" x14ac:dyDescent="0.25">
      <c r="A134" s="242">
        <f>IF(ISBLANK(C134),"",(Report_Date-C134)/30)</f>
        <v>31.8</v>
      </c>
      <c r="B134" s="242">
        <f>YEAR(Data_NFI_t[[#This Row],[Distribution Date]])</f>
        <v>2014</v>
      </c>
      <c r="C134" s="927">
        <v>41841</v>
      </c>
      <c r="D134" s="489" t="s">
        <v>624</v>
      </c>
      <c r="E134" s="488" t="s">
        <v>624</v>
      </c>
      <c r="F134" s="489" t="s">
        <v>7</v>
      </c>
      <c r="G134" s="794" t="s">
        <v>19</v>
      </c>
      <c r="H134" s="794" t="s">
        <v>245</v>
      </c>
      <c r="I134" s="794"/>
      <c r="J134" s="51">
        <v>151</v>
      </c>
      <c r="K134" s="51"/>
      <c r="L134" s="51"/>
      <c r="M134" s="51"/>
      <c r="N134" s="51"/>
      <c r="O134" s="51"/>
      <c r="P134" s="51"/>
      <c r="Q134" s="51"/>
      <c r="R134" s="511"/>
      <c r="S134" s="51"/>
      <c r="T134" s="51"/>
      <c r="U134" s="51"/>
      <c r="V134" s="51"/>
      <c r="W134" s="131">
        <f>IF(NFI_Expiration=1,IF($A134&lt;VLOOKUP(I$5,NFI,5,0),1,0)*Data_NFI_t[[#This Row],[Hygiene Kit]],0)</f>
        <v>0</v>
      </c>
      <c r="X134" s="131">
        <f>IF(NFI_Expiration=1,IF($A134&lt;VLOOKUP(J$5,NFI,5,0),1,0)*Data_NFI_t[[#This Row],[NFI Core Kit]],0)</f>
        <v>0</v>
      </c>
      <c r="Y134" s="112">
        <f>IF(NFI_Expiration=1,IF($A134&lt;VLOOKUP(K$5,NFI,5,0),1,0)*Data_NFI_t[[#This Row],[Sanitary Kit]],0)</f>
        <v>0</v>
      </c>
      <c r="Z134" s="112">
        <f>IF(NFI_Expiration=1,IF($A134&lt;VLOOKUP(L$5,NFI,5,0),1,0)*Data_NFI_t[[#This Row],[Mosquito net]],0)</f>
        <v>0</v>
      </c>
      <c r="AA134" s="112">
        <f>IF(NFI_Expiration=1,IF($A134&lt;VLOOKUP(M$5,NFI,5,0),1,0)*Data_NFI_t[[#This Row],[Tarpaulin]],0)</f>
        <v>0</v>
      </c>
      <c r="AB134" s="112">
        <f>IF(NFI_Expiration=1,IF($A134&lt;VLOOKUP(N$5,NFI,5,0),1,0)*Data_NFI_t[[#This Row],[Blanket]],0)</f>
        <v>0</v>
      </c>
      <c r="AC134" s="112">
        <f>IF(NFI_Expiration=1,IF($A134&lt;VLOOKUP(O$5,NFI,5,0),1,0)*Data_NFI_t[[#This Row],[Kitchen Set]],0)</f>
        <v>0</v>
      </c>
      <c r="AD134" s="112">
        <f>IF(NFI_Expiration=1,IF($A134&lt;VLOOKUP(P$5,NFI,5,0),1,0)*Data_NFI_t[[#This Row],[Complementary Kit]],0)</f>
        <v>0</v>
      </c>
      <c r="AE134" s="112">
        <f>IF(NFI_Expiration=1,IF($A134&lt;VLOOKUP(Q$5,NFI,5,0),1,0)*Data_NFI_t[[#This Row],[Plastic Bucket]],0)</f>
        <v>0</v>
      </c>
      <c r="AF134" s="112">
        <f>IF(NFI_Expiration=1,IF($A134&lt;VLOOKUP(R$5,NFI,5,0),1,0)*Data_NFI_t[[#This Row],[Jerry Can]],0)</f>
        <v>0</v>
      </c>
      <c r="AG134" s="131">
        <f>IF(NFI_Expiration=1,IF($A134&lt;VLOOKUP(S$5,NFI,5,0),1,0)*Data_NFI_t[[#This Row],[Plastic Mat]],0)*IF(Data_NFI_t[[#This Row],[Distribution Date]]&gt;"01-06-2015",1,2.5)</f>
        <v>0</v>
      </c>
      <c r="AH134" s="915">
        <f>IF(NFI_Expiration=1,IF($A134&lt;VLOOKUP(T$5,NFI,5,0),1,0)*Data_NFI_t[[#This Row],[Adult Clothes]],0)</f>
        <v>0</v>
      </c>
      <c r="AI134" s="131">
        <f>IF(NFI_Expiration=1,IF($A134&lt;VLOOKUP(U$5,NFI,5,0),1,0)*Data_NFI_t[[#This Row],[Children Clothes]],0)</f>
        <v>0</v>
      </c>
      <c r="AJ134" s="131">
        <f>IF(NFI_Expiration=1,IF($A134&lt;VLOOKUP(V$5,NFI,5,0),1,0)*Data_NFI_t[[#This Row],[Sewing Kit]],0)</f>
        <v>0</v>
      </c>
      <c r="AK134" s="131" t="str">
        <f ca="1">IFERROR(OFFSET(Camp_List[P_Code],MATCH(Data_NFI_t[[#This Row],[Camp Name]],Camp_List[Camp Name],0)-1,0,1,1),"")</f>
        <v>MMR012CMP093</v>
      </c>
      <c r="AL134" s="513" t="str">
        <f ca="1">IFERROR(OFFSET(Camp_List[Status],MATCH(Data_NFI_t[[#This Row],[Camp Name]],Camp_List[Camp Name],0)-1,0,1,1),"")</f>
        <v>Relocated</v>
      </c>
      <c r="AM134" s="131"/>
    </row>
    <row r="135" spans="1:39" s="90" customFormat="1" ht="19.5" customHeight="1" x14ac:dyDescent="0.25">
      <c r="A135" s="242">
        <f>IF(ISBLANK(C135),"",(Report_Date-C135)/30)</f>
        <v>33.033333333333331</v>
      </c>
      <c r="B135" s="242">
        <f>YEAR(Data_NFI_t[[#This Row],[Distribution Date]])</f>
        <v>2014</v>
      </c>
      <c r="C135" s="927">
        <v>41804</v>
      </c>
      <c r="D135" s="489" t="s">
        <v>624</v>
      </c>
      <c r="E135" s="488" t="s">
        <v>624</v>
      </c>
      <c r="F135" s="489" t="s">
        <v>7</v>
      </c>
      <c r="G135" s="794" t="s">
        <v>19</v>
      </c>
      <c r="H135" s="794" t="s">
        <v>64</v>
      </c>
      <c r="I135" s="794"/>
      <c r="J135" s="51"/>
      <c r="K135" s="51"/>
      <c r="L135" s="51">
        <v>2</v>
      </c>
      <c r="M135" s="51">
        <v>1</v>
      </c>
      <c r="N135" s="51">
        <v>2</v>
      </c>
      <c r="O135" s="51">
        <v>1</v>
      </c>
      <c r="P135" s="51"/>
      <c r="Q135" s="51">
        <v>1</v>
      </c>
      <c r="R135" s="511"/>
      <c r="S135" s="51">
        <v>5</v>
      </c>
      <c r="T135" s="51"/>
      <c r="U135" s="51"/>
      <c r="V135" s="51"/>
      <c r="W135" s="131">
        <f>IF(NFI_Expiration=1,IF($A135&lt;VLOOKUP(I$5,NFI,5,0),1,0)*Data_NFI_t[[#This Row],[Hygiene Kit]],0)</f>
        <v>0</v>
      </c>
      <c r="X135" s="131">
        <f>IF(NFI_Expiration=1,IF($A135&lt;VLOOKUP(J$5,NFI,5,0),1,0)*Data_NFI_t[[#This Row],[NFI Core Kit]],0)</f>
        <v>0</v>
      </c>
      <c r="Y135" s="112">
        <f>IF(NFI_Expiration=1,IF($A135&lt;VLOOKUP(K$5,NFI,5,0),1,0)*Data_NFI_t[[#This Row],[Sanitary Kit]],0)</f>
        <v>0</v>
      </c>
      <c r="Z135" s="112">
        <f>IF(NFI_Expiration=1,IF($A135&lt;VLOOKUP(L$5,NFI,5,0),1,0)*Data_NFI_t[[#This Row],[Mosquito net]],0)</f>
        <v>0</v>
      </c>
      <c r="AA135" s="112">
        <f>IF(NFI_Expiration=1,IF($A135&lt;VLOOKUP(M$5,NFI,5,0),1,0)*Data_NFI_t[[#This Row],[Tarpaulin]],0)</f>
        <v>0</v>
      </c>
      <c r="AB135" s="112">
        <f>IF(NFI_Expiration=1,IF($A135&lt;VLOOKUP(N$5,NFI,5,0),1,0)*Data_NFI_t[[#This Row],[Blanket]],0)</f>
        <v>0</v>
      </c>
      <c r="AC135" s="112">
        <f>IF(NFI_Expiration=1,IF($A135&lt;VLOOKUP(O$5,NFI,5,0),1,0)*Data_NFI_t[[#This Row],[Kitchen Set]],0)</f>
        <v>0</v>
      </c>
      <c r="AD135" s="112">
        <f>IF(NFI_Expiration=1,IF($A135&lt;VLOOKUP(P$5,NFI,5,0),1,0)*Data_NFI_t[[#This Row],[Complementary Kit]],0)</f>
        <v>0</v>
      </c>
      <c r="AE135" s="112">
        <f>IF(NFI_Expiration=1,IF($A135&lt;VLOOKUP(Q$5,NFI,5,0),1,0)*Data_NFI_t[[#This Row],[Plastic Bucket]],0)</f>
        <v>0</v>
      </c>
      <c r="AF135" s="112">
        <f>IF(NFI_Expiration=1,IF($A135&lt;VLOOKUP(R$5,NFI,5,0),1,0)*Data_NFI_t[[#This Row],[Jerry Can]],0)</f>
        <v>0</v>
      </c>
      <c r="AG135" s="131">
        <f>IF(NFI_Expiration=1,IF($A135&lt;VLOOKUP(S$5,NFI,5,0),1,0)*Data_NFI_t[[#This Row],[Plastic Mat]],0)*IF(Data_NFI_t[[#This Row],[Distribution Date]]&gt;"01-06-2015",1,2.5)</f>
        <v>0</v>
      </c>
      <c r="AH135" s="915">
        <f>IF(NFI_Expiration=1,IF($A135&lt;VLOOKUP(T$5,NFI,5,0),1,0)*Data_NFI_t[[#This Row],[Adult Clothes]],0)</f>
        <v>0</v>
      </c>
      <c r="AI135" s="131">
        <f>IF(NFI_Expiration=1,IF($A135&lt;VLOOKUP(U$5,NFI,5,0),1,0)*Data_NFI_t[[#This Row],[Children Clothes]],0)</f>
        <v>0</v>
      </c>
      <c r="AJ135" s="131">
        <f>IF(NFI_Expiration=1,IF($A135&lt;VLOOKUP(V$5,NFI,5,0),1,0)*Data_NFI_t[[#This Row],[Sewing Kit]],0)</f>
        <v>0</v>
      </c>
      <c r="AK135" s="131" t="str">
        <f ca="1">IFERROR(OFFSET(Camp_List[P_Code],MATCH(Data_NFI_t[[#This Row],[Camp Name]],Camp_List[Camp Name],0)-1,0,1,1),"")</f>
        <v>MMR012CMP042</v>
      </c>
      <c r="AL135" s="513" t="str">
        <f ca="1">IFERROR(OFFSET(Camp_List[Status],MATCH(Data_NFI_t[[#This Row],[Camp Name]],Camp_List[Camp Name],0)-1,0,1,1),"")</f>
        <v>Open</v>
      </c>
      <c r="AM135" s="131"/>
    </row>
    <row r="136" spans="1:39" s="90" customFormat="1" ht="19.5" customHeight="1" x14ac:dyDescent="0.25">
      <c r="A136" s="242">
        <f>IF(ISBLANK(C136),"",(Report_Date-C136)/30)</f>
        <v>33.233333333333334</v>
      </c>
      <c r="B136" s="242">
        <f>YEAR(Data_NFI_t[[#This Row],[Distribution Date]])</f>
        <v>2014</v>
      </c>
      <c r="C136" s="927">
        <v>41798</v>
      </c>
      <c r="D136" s="489" t="s">
        <v>285</v>
      </c>
      <c r="E136" s="488" t="s">
        <v>285</v>
      </c>
      <c r="F136" s="489" t="s">
        <v>7</v>
      </c>
      <c r="G136" s="794" t="s">
        <v>19</v>
      </c>
      <c r="H136" s="794" t="s">
        <v>549</v>
      </c>
      <c r="I136" s="794"/>
      <c r="J136" s="51">
        <v>2404</v>
      </c>
      <c r="K136" s="51"/>
      <c r="L136" s="51">
        <v>4808</v>
      </c>
      <c r="M136" s="51">
        <v>2404</v>
      </c>
      <c r="N136" s="51">
        <v>4808</v>
      </c>
      <c r="O136" s="51">
        <v>2404</v>
      </c>
      <c r="P136" s="51"/>
      <c r="Q136" s="51">
        <v>2404</v>
      </c>
      <c r="R136" s="511"/>
      <c r="S136" s="51">
        <v>12020</v>
      </c>
      <c r="T136" s="51"/>
      <c r="U136" s="51"/>
      <c r="V136" s="51"/>
      <c r="W136" s="131">
        <f>IF(NFI_Expiration=1,IF($A136&lt;VLOOKUP(I$5,NFI,5,0),1,0)*Data_NFI_t[[#This Row],[Hygiene Kit]],0)</f>
        <v>0</v>
      </c>
      <c r="X136" s="131">
        <f>IF(NFI_Expiration=1,IF($A136&lt;VLOOKUP(J$5,NFI,5,0),1,0)*Data_NFI_t[[#This Row],[NFI Core Kit]],0)</f>
        <v>0</v>
      </c>
      <c r="Y136" s="112">
        <f>IF(NFI_Expiration=1,IF($A136&lt;VLOOKUP(K$5,NFI,5,0),1,0)*Data_NFI_t[[#This Row],[Sanitary Kit]],0)</f>
        <v>0</v>
      </c>
      <c r="Z136" s="112">
        <f>IF(NFI_Expiration=1,IF($A136&lt;VLOOKUP(L$5,NFI,5,0),1,0)*Data_NFI_t[[#This Row],[Mosquito net]],0)</f>
        <v>0</v>
      </c>
      <c r="AA136" s="112">
        <f>IF(NFI_Expiration=1,IF($A136&lt;VLOOKUP(M$5,NFI,5,0),1,0)*Data_NFI_t[[#This Row],[Tarpaulin]],0)</f>
        <v>0</v>
      </c>
      <c r="AB136" s="112">
        <f>IF(NFI_Expiration=1,IF($A136&lt;VLOOKUP(N$5,NFI,5,0),1,0)*Data_NFI_t[[#This Row],[Blanket]],0)</f>
        <v>0</v>
      </c>
      <c r="AC136" s="112">
        <f>IF(NFI_Expiration=1,IF($A136&lt;VLOOKUP(O$5,NFI,5,0),1,0)*Data_NFI_t[[#This Row],[Kitchen Set]],0)</f>
        <v>0</v>
      </c>
      <c r="AD136" s="112">
        <f>IF(NFI_Expiration=1,IF($A136&lt;VLOOKUP(P$5,NFI,5,0),1,0)*Data_NFI_t[[#This Row],[Complementary Kit]],0)</f>
        <v>0</v>
      </c>
      <c r="AE136" s="112">
        <f>IF(NFI_Expiration=1,IF($A136&lt;VLOOKUP(Q$5,NFI,5,0),1,0)*Data_NFI_t[[#This Row],[Plastic Bucket]],0)</f>
        <v>0</v>
      </c>
      <c r="AF136" s="112">
        <f>IF(NFI_Expiration=1,IF($A136&lt;VLOOKUP(R$5,NFI,5,0),1,0)*Data_NFI_t[[#This Row],[Jerry Can]],0)</f>
        <v>0</v>
      </c>
      <c r="AG136" s="131">
        <f>IF(NFI_Expiration=1,IF($A136&lt;VLOOKUP(S$5,NFI,5,0),1,0)*Data_NFI_t[[#This Row],[Plastic Mat]],0)*IF(Data_NFI_t[[#This Row],[Distribution Date]]&gt;"01-06-2015",1,2.5)</f>
        <v>0</v>
      </c>
      <c r="AH136" s="915">
        <f>IF(NFI_Expiration=1,IF($A136&lt;VLOOKUP(T$5,NFI,5,0),1,0)*Data_NFI_t[[#This Row],[Adult Clothes]],0)</f>
        <v>0</v>
      </c>
      <c r="AI136" s="131">
        <f>IF(NFI_Expiration=1,IF($A136&lt;VLOOKUP(U$5,NFI,5,0),1,0)*Data_NFI_t[[#This Row],[Children Clothes]],0)</f>
        <v>0</v>
      </c>
      <c r="AJ136" s="131">
        <f>IF(NFI_Expiration=1,IF($A136&lt;VLOOKUP(V$5,NFI,5,0),1,0)*Data_NFI_t[[#This Row],[Sewing Kit]],0)</f>
        <v>0</v>
      </c>
      <c r="AK136" s="131" t="str">
        <f ca="1">IFERROR(OFFSET(Camp_List[P_Code],MATCH(Data_NFI_t[[#This Row],[Camp Name]],Camp_List[Camp Name],0)-1,0,1,1),"")</f>
        <v>MMR012CMP101</v>
      </c>
      <c r="AL136" s="513" t="str">
        <f ca="1">IFERROR(OFFSET(Camp_List[Status],MATCH(Data_NFI_t[[#This Row],[Camp Name]],Camp_List[Camp Name],0)-1,0,1,1),"")</f>
        <v>Close</v>
      </c>
      <c r="AM136" s="131"/>
    </row>
    <row r="137" spans="1:39" s="90" customFormat="1" ht="19.5" customHeight="1" x14ac:dyDescent="0.25">
      <c r="A137" s="242">
        <f>IF(ISBLANK(C137),"",(Report_Date-C137)/30)</f>
        <v>35.5</v>
      </c>
      <c r="B137" s="242">
        <f>YEAR(Data_NFI_t[[#This Row],[Distribution Date]])</f>
        <v>2014</v>
      </c>
      <c r="C137" s="927">
        <v>41730</v>
      </c>
      <c r="D137" s="489" t="s">
        <v>288</v>
      </c>
      <c r="E137" s="488" t="s">
        <v>288</v>
      </c>
      <c r="F137" s="489" t="s">
        <v>7</v>
      </c>
      <c r="G137" s="794" t="s">
        <v>19</v>
      </c>
      <c r="H137" s="794" t="s">
        <v>67</v>
      </c>
      <c r="I137" s="794"/>
      <c r="J137" s="51"/>
      <c r="K137" s="51"/>
      <c r="L137" s="51"/>
      <c r="M137" s="51">
        <v>2573</v>
      </c>
      <c r="N137" s="51"/>
      <c r="O137" s="51"/>
      <c r="P137" s="51"/>
      <c r="Q137" s="51"/>
      <c r="R137" s="511"/>
      <c r="S137" s="51"/>
      <c r="T137" s="51"/>
      <c r="U137" s="51"/>
      <c r="V137" s="51"/>
      <c r="W137" s="131">
        <f>IF(NFI_Expiration=1,IF($A137&lt;VLOOKUP(I$5,NFI,5,0),1,0)*Data_NFI_t[[#This Row],[Hygiene Kit]],0)</f>
        <v>0</v>
      </c>
      <c r="X137" s="131">
        <f>IF(NFI_Expiration=1,IF($A137&lt;VLOOKUP(J$5,NFI,5,0),1,0)*Data_NFI_t[[#This Row],[NFI Core Kit]],0)</f>
        <v>0</v>
      </c>
      <c r="Y137" s="112">
        <f>IF(NFI_Expiration=1,IF($A137&lt;VLOOKUP(K$5,NFI,5,0),1,0)*Data_NFI_t[[#This Row],[Sanitary Kit]],0)</f>
        <v>0</v>
      </c>
      <c r="Z137" s="112">
        <f>IF(NFI_Expiration=1,IF($A137&lt;VLOOKUP(L$5,NFI,5,0),1,0)*Data_NFI_t[[#This Row],[Mosquito net]],0)</f>
        <v>0</v>
      </c>
      <c r="AA137" s="112">
        <f>IF(NFI_Expiration=1,IF($A137&lt;VLOOKUP(M$5,NFI,5,0),1,0)*Data_NFI_t[[#This Row],[Tarpaulin]],0)</f>
        <v>0</v>
      </c>
      <c r="AB137" s="112">
        <f>IF(NFI_Expiration=1,IF($A137&lt;VLOOKUP(N$5,NFI,5,0),1,0)*Data_NFI_t[[#This Row],[Blanket]],0)</f>
        <v>0</v>
      </c>
      <c r="AC137" s="112">
        <f>IF(NFI_Expiration=1,IF($A137&lt;VLOOKUP(O$5,NFI,5,0),1,0)*Data_NFI_t[[#This Row],[Kitchen Set]],0)</f>
        <v>0</v>
      </c>
      <c r="AD137" s="112">
        <f>IF(NFI_Expiration=1,IF($A137&lt;VLOOKUP(P$5,NFI,5,0),1,0)*Data_NFI_t[[#This Row],[Complementary Kit]],0)</f>
        <v>0</v>
      </c>
      <c r="AE137" s="112">
        <f>IF(NFI_Expiration=1,IF($A137&lt;VLOOKUP(Q$5,NFI,5,0),1,0)*Data_NFI_t[[#This Row],[Plastic Bucket]],0)</f>
        <v>0</v>
      </c>
      <c r="AF137" s="112">
        <f>IF(NFI_Expiration=1,IF($A137&lt;VLOOKUP(R$5,NFI,5,0),1,0)*Data_NFI_t[[#This Row],[Jerry Can]],0)</f>
        <v>0</v>
      </c>
      <c r="AG137" s="131">
        <f>IF(NFI_Expiration=1,IF($A137&lt;VLOOKUP(S$5,NFI,5,0),1,0)*Data_NFI_t[[#This Row],[Plastic Mat]],0)*IF(Data_NFI_t[[#This Row],[Distribution Date]]&gt;"01-06-2015",1,2.5)</f>
        <v>0</v>
      </c>
      <c r="AH137" s="915">
        <f>IF(NFI_Expiration=1,IF($A137&lt;VLOOKUP(T$5,NFI,5,0),1,0)*Data_NFI_t[[#This Row],[Adult Clothes]],0)</f>
        <v>0</v>
      </c>
      <c r="AI137" s="131">
        <f>IF(NFI_Expiration=1,IF($A137&lt;VLOOKUP(U$5,NFI,5,0),1,0)*Data_NFI_t[[#This Row],[Children Clothes]],0)</f>
        <v>0</v>
      </c>
      <c r="AJ137" s="131">
        <f>IF(NFI_Expiration=1,IF($A137&lt;VLOOKUP(V$5,NFI,5,0),1,0)*Data_NFI_t[[#This Row],[Sewing Kit]],0)</f>
        <v>0</v>
      </c>
      <c r="AK137" s="131" t="str">
        <f ca="1">IFERROR(OFFSET(Camp_List[P_Code],MATCH(Data_NFI_t[[#This Row],[Camp Name]],Camp_List[Camp Name],0)-1,0,1,1),"")</f>
        <v>MMR012CMP045</v>
      </c>
      <c r="AL137" s="513" t="str">
        <f ca="1">IFERROR(OFFSET(Camp_List[Status],MATCH(Data_NFI_t[[#This Row],[Camp Name]],Camp_List[Camp Name],0)-1,0,1,1),"")</f>
        <v>Open</v>
      </c>
      <c r="AM137" s="131"/>
    </row>
    <row r="138" spans="1:39" s="90" customFormat="1" ht="19.5" customHeight="1" x14ac:dyDescent="0.25">
      <c r="A138" s="242">
        <f>IF(ISBLANK(C138),"",(Report_Date-C138)/30)</f>
        <v>36.533333333333331</v>
      </c>
      <c r="B138" s="242">
        <f>YEAR(Data_NFI_t[[#This Row],[Distribution Date]])</f>
        <v>2014</v>
      </c>
      <c r="C138" s="927">
        <v>41699</v>
      </c>
      <c r="D138" s="489" t="s">
        <v>288</v>
      </c>
      <c r="E138" s="488" t="s">
        <v>288</v>
      </c>
      <c r="F138" s="489" t="s">
        <v>7</v>
      </c>
      <c r="G138" s="794" t="s">
        <v>19</v>
      </c>
      <c r="H138" s="794" t="s">
        <v>630</v>
      </c>
      <c r="I138" s="794"/>
      <c r="J138" s="51"/>
      <c r="K138" s="51"/>
      <c r="L138" s="51"/>
      <c r="M138" s="51">
        <v>1000</v>
      </c>
      <c r="N138" s="51"/>
      <c r="O138" s="51"/>
      <c r="P138" s="51"/>
      <c r="Q138" s="51"/>
      <c r="R138" s="511"/>
      <c r="S138" s="51"/>
      <c r="T138" s="51"/>
      <c r="U138" s="51"/>
      <c r="V138" s="51"/>
      <c r="W138" s="131">
        <f>IF(NFI_Expiration=1,IF($A138&lt;VLOOKUP(I$5,NFI,5,0),1,0)*Data_NFI_t[[#This Row],[Hygiene Kit]],0)</f>
        <v>0</v>
      </c>
      <c r="X138" s="131">
        <f>IF(NFI_Expiration=1,IF($A138&lt;VLOOKUP(J$5,NFI,5,0),1,0)*Data_NFI_t[[#This Row],[NFI Core Kit]],0)</f>
        <v>0</v>
      </c>
      <c r="Y138" s="112">
        <f>IF(NFI_Expiration=1,IF($A138&lt;VLOOKUP(K$5,NFI,5,0),1,0)*Data_NFI_t[[#This Row],[Sanitary Kit]],0)</f>
        <v>0</v>
      </c>
      <c r="Z138" s="112">
        <f>IF(NFI_Expiration=1,IF($A138&lt;VLOOKUP(L$5,NFI,5,0),1,0)*Data_NFI_t[[#This Row],[Mosquito net]],0)</f>
        <v>0</v>
      </c>
      <c r="AA138" s="112">
        <f>IF(NFI_Expiration=1,IF($A138&lt;VLOOKUP(M$5,NFI,5,0),1,0)*Data_NFI_t[[#This Row],[Tarpaulin]],0)</f>
        <v>0</v>
      </c>
      <c r="AB138" s="112">
        <f>IF(NFI_Expiration=1,IF($A138&lt;VLOOKUP(N$5,NFI,5,0),1,0)*Data_NFI_t[[#This Row],[Blanket]],0)</f>
        <v>0</v>
      </c>
      <c r="AC138" s="112">
        <f>IF(NFI_Expiration=1,IF($A138&lt;VLOOKUP(O$5,NFI,5,0),1,0)*Data_NFI_t[[#This Row],[Kitchen Set]],0)</f>
        <v>0</v>
      </c>
      <c r="AD138" s="112">
        <f>IF(NFI_Expiration=1,IF($A138&lt;VLOOKUP(P$5,NFI,5,0),1,0)*Data_NFI_t[[#This Row],[Complementary Kit]],0)</f>
        <v>0</v>
      </c>
      <c r="AE138" s="112">
        <f>IF(NFI_Expiration=1,IF($A138&lt;VLOOKUP(Q$5,NFI,5,0),1,0)*Data_NFI_t[[#This Row],[Plastic Bucket]],0)</f>
        <v>0</v>
      </c>
      <c r="AF138" s="112">
        <f>IF(NFI_Expiration=1,IF($A138&lt;VLOOKUP(R$5,NFI,5,0),1,0)*Data_NFI_t[[#This Row],[Jerry Can]],0)</f>
        <v>0</v>
      </c>
      <c r="AG138" s="131">
        <f>IF(NFI_Expiration=1,IF($A138&lt;VLOOKUP(S$5,NFI,5,0),1,0)*Data_NFI_t[[#This Row],[Plastic Mat]],0)*IF(Data_NFI_t[[#This Row],[Distribution Date]]&gt;"01-06-2015",1,2.5)</f>
        <v>0</v>
      </c>
      <c r="AH138" s="915">
        <f>IF(NFI_Expiration=1,IF($A138&lt;VLOOKUP(T$5,NFI,5,0),1,0)*Data_NFI_t[[#This Row],[Adult Clothes]],0)</f>
        <v>0</v>
      </c>
      <c r="AI138" s="131">
        <f>IF(NFI_Expiration=1,IF($A138&lt;VLOOKUP(U$5,NFI,5,0),1,0)*Data_NFI_t[[#This Row],[Children Clothes]],0)</f>
        <v>0</v>
      </c>
      <c r="AJ138" s="131">
        <f>IF(NFI_Expiration=1,IF($A138&lt;VLOOKUP(V$5,NFI,5,0),1,0)*Data_NFI_t[[#This Row],[Sewing Kit]],0)</f>
        <v>0</v>
      </c>
      <c r="AK138" s="131" t="str">
        <f ca="1">IFERROR(OFFSET(Camp_List[P_Code],MATCH(Data_NFI_t[[#This Row],[Camp Name]],Camp_List[Camp Name],0)-1,0,1,1),"")</f>
        <v>MMR012CMP113</v>
      </c>
      <c r="AL138" s="513" t="str">
        <f ca="1">IFERROR(OFFSET(Camp_List[Status],MATCH(Data_NFI_t[[#This Row],[Camp Name]],Camp_List[Camp Name],0)-1,0,1,1),"")</f>
        <v>Open</v>
      </c>
      <c r="AM138" s="131"/>
    </row>
    <row r="139" spans="1:39" s="90" customFormat="1" ht="19.5" customHeight="1" x14ac:dyDescent="0.25">
      <c r="A139" s="242">
        <f>IF(ISBLANK(C139),"",(Report_Date-C139)/30)</f>
        <v>36.533333333333331</v>
      </c>
      <c r="B139" s="242">
        <f>YEAR(Data_NFI_t[[#This Row],[Distribution Date]])</f>
        <v>2014</v>
      </c>
      <c r="C139" s="927">
        <v>41699</v>
      </c>
      <c r="D139" s="489" t="s">
        <v>288</v>
      </c>
      <c r="E139" s="488" t="s">
        <v>288</v>
      </c>
      <c r="F139" s="489" t="s">
        <v>7</v>
      </c>
      <c r="G139" s="794" t="s">
        <v>19</v>
      </c>
      <c r="H139" s="794" t="s">
        <v>631</v>
      </c>
      <c r="I139" s="794"/>
      <c r="J139" s="51"/>
      <c r="K139" s="51"/>
      <c r="L139" s="51"/>
      <c r="M139" s="51">
        <v>1320</v>
      </c>
      <c r="N139" s="51"/>
      <c r="O139" s="51"/>
      <c r="P139" s="51"/>
      <c r="Q139" s="51"/>
      <c r="R139" s="511"/>
      <c r="S139" s="51"/>
      <c r="T139" s="51"/>
      <c r="U139" s="51"/>
      <c r="V139" s="51"/>
      <c r="W139" s="131">
        <f>IF(NFI_Expiration=1,IF($A139&lt;VLOOKUP(I$5,NFI,5,0),1,0)*Data_NFI_t[[#This Row],[Hygiene Kit]],0)</f>
        <v>0</v>
      </c>
      <c r="X139" s="131">
        <f>IF(NFI_Expiration=1,IF($A139&lt;VLOOKUP(J$5,NFI,5,0),1,0)*Data_NFI_t[[#This Row],[NFI Core Kit]],0)</f>
        <v>0</v>
      </c>
      <c r="Y139" s="112">
        <f>IF(NFI_Expiration=1,IF($A139&lt;VLOOKUP(K$5,NFI,5,0),1,0)*Data_NFI_t[[#This Row],[Sanitary Kit]],0)</f>
        <v>0</v>
      </c>
      <c r="Z139" s="112">
        <f>IF(NFI_Expiration=1,IF($A139&lt;VLOOKUP(L$5,NFI,5,0),1,0)*Data_NFI_t[[#This Row],[Mosquito net]],0)</f>
        <v>0</v>
      </c>
      <c r="AA139" s="112">
        <f>IF(NFI_Expiration=1,IF($A139&lt;VLOOKUP(M$5,NFI,5,0),1,0)*Data_NFI_t[[#This Row],[Tarpaulin]],0)</f>
        <v>0</v>
      </c>
      <c r="AB139" s="112">
        <f>IF(NFI_Expiration=1,IF($A139&lt;VLOOKUP(N$5,NFI,5,0),1,0)*Data_NFI_t[[#This Row],[Blanket]],0)</f>
        <v>0</v>
      </c>
      <c r="AC139" s="112">
        <f>IF(NFI_Expiration=1,IF($A139&lt;VLOOKUP(O$5,NFI,5,0),1,0)*Data_NFI_t[[#This Row],[Kitchen Set]],0)</f>
        <v>0</v>
      </c>
      <c r="AD139" s="112">
        <f>IF(NFI_Expiration=1,IF($A139&lt;VLOOKUP(P$5,NFI,5,0),1,0)*Data_NFI_t[[#This Row],[Complementary Kit]],0)</f>
        <v>0</v>
      </c>
      <c r="AE139" s="112">
        <f>IF(NFI_Expiration=1,IF($A139&lt;VLOOKUP(Q$5,NFI,5,0),1,0)*Data_NFI_t[[#This Row],[Plastic Bucket]],0)</f>
        <v>0</v>
      </c>
      <c r="AF139" s="112">
        <f>IF(NFI_Expiration=1,IF($A139&lt;VLOOKUP(R$5,NFI,5,0),1,0)*Data_NFI_t[[#This Row],[Jerry Can]],0)</f>
        <v>0</v>
      </c>
      <c r="AG139" s="131">
        <f>IF(NFI_Expiration=1,IF($A139&lt;VLOOKUP(S$5,NFI,5,0),1,0)*Data_NFI_t[[#This Row],[Plastic Mat]],0)*IF(Data_NFI_t[[#This Row],[Distribution Date]]&gt;"01-06-2015",1,2.5)</f>
        <v>0</v>
      </c>
      <c r="AH139" s="915">
        <f>IF(NFI_Expiration=1,IF($A139&lt;VLOOKUP(T$5,NFI,5,0),1,0)*Data_NFI_t[[#This Row],[Adult Clothes]],0)</f>
        <v>0</v>
      </c>
      <c r="AI139" s="131">
        <f>IF(NFI_Expiration=1,IF($A139&lt;VLOOKUP(U$5,NFI,5,0),1,0)*Data_NFI_t[[#This Row],[Children Clothes]],0)</f>
        <v>0</v>
      </c>
      <c r="AJ139" s="131">
        <f>IF(NFI_Expiration=1,IF($A139&lt;VLOOKUP(V$5,NFI,5,0),1,0)*Data_NFI_t[[#This Row],[Sewing Kit]],0)</f>
        <v>0</v>
      </c>
      <c r="AK139" s="131" t="str">
        <f ca="1">IFERROR(OFFSET(Camp_List[P_Code],MATCH(Data_NFI_t[[#This Row],[Camp Name]],Camp_List[Camp Name],0)-1,0,1,1),"")</f>
        <v>MMR012CMP114</v>
      </c>
      <c r="AL139" s="513" t="str">
        <f ca="1">IFERROR(OFFSET(Camp_List[Status],MATCH(Data_NFI_t[[#This Row],[Camp Name]],Camp_List[Camp Name],0)-1,0,1,1),"")</f>
        <v>Open</v>
      </c>
      <c r="AM139" s="131"/>
    </row>
    <row r="140" spans="1:39" s="90" customFormat="1" ht="19.5" customHeight="1" x14ac:dyDescent="0.25">
      <c r="A140" s="242">
        <f>IF(ISBLANK(C140),"",(Report_Date-C140)/30)</f>
        <v>36.533333333333331</v>
      </c>
      <c r="B140" s="242">
        <f>YEAR(Data_NFI_t[[#This Row],[Distribution Date]])</f>
        <v>2014</v>
      </c>
      <c r="C140" s="927">
        <v>41699</v>
      </c>
      <c r="D140" s="489" t="s">
        <v>288</v>
      </c>
      <c r="E140" s="488" t="s">
        <v>288</v>
      </c>
      <c r="F140" s="489" t="s">
        <v>7</v>
      </c>
      <c r="G140" s="794" t="s">
        <v>19</v>
      </c>
      <c r="H140" s="794" t="s">
        <v>543</v>
      </c>
      <c r="I140" s="794"/>
      <c r="J140" s="51"/>
      <c r="K140" s="51"/>
      <c r="L140" s="51"/>
      <c r="M140" s="51">
        <v>1400</v>
      </c>
      <c r="N140" s="51"/>
      <c r="O140" s="51"/>
      <c r="P140" s="51"/>
      <c r="Q140" s="51"/>
      <c r="R140" s="511"/>
      <c r="S140" s="51"/>
      <c r="T140" s="51"/>
      <c r="U140" s="51"/>
      <c r="V140" s="51"/>
      <c r="W140" s="131">
        <f>IF(NFI_Expiration=1,IF($A140&lt;VLOOKUP(I$5,NFI,5,0),1,0)*Data_NFI_t[[#This Row],[Hygiene Kit]],0)</f>
        <v>0</v>
      </c>
      <c r="X140" s="131">
        <f>IF(NFI_Expiration=1,IF($A140&lt;VLOOKUP(J$5,NFI,5,0),1,0)*Data_NFI_t[[#This Row],[NFI Core Kit]],0)</f>
        <v>0</v>
      </c>
      <c r="Y140" s="112">
        <f>IF(NFI_Expiration=1,IF($A140&lt;VLOOKUP(K$5,NFI,5,0),1,0)*Data_NFI_t[[#This Row],[Sanitary Kit]],0)</f>
        <v>0</v>
      </c>
      <c r="Z140" s="112">
        <f>IF(NFI_Expiration=1,IF($A140&lt;VLOOKUP(L$5,NFI,5,0),1,0)*Data_NFI_t[[#This Row],[Mosquito net]],0)</f>
        <v>0</v>
      </c>
      <c r="AA140" s="112">
        <f>IF(NFI_Expiration=1,IF($A140&lt;VLOOKUP(M$5,NFI,5,0),1,0)*Data_NFI_t[[#This Row],[Tarpaulin]],0)</f>
        <v>0</v>
      </c>
      <c r="AB140" s="112">
        <f>IF(NFI_Expiration=1,IF($A140&lt;VLOOKUP(N$5,NFI,5,0),1,0)*Data_NFI_t[[#This Row],[Blanket]],0)</f>
        <v>0</v>
      </c>
      <c r="AC140" s="112">
        <f>IF(NFI_Expiration=1,IF($A140&lt;VLOOKUP(O$5,NFI,5,0),1,0)*Data_NFI_t[[#This Row],[Kitchen Set]],0)</f>
        <v>0</v>
      </c>
      <c r="AD140" s="112">
        <f>IF(NFI_Expiration=1,IF($A140&lt;VLOOKUP(P$5,NFI,5,0),1,0)*Data_NFI_t[[#This Row],[Complementary Kit]],0)</f>
        <v>0</v>
      </c>
      <c r="AE140" s="112">
        <f>IF(NFI_Expiration=1,IF($A140&lt;VLOOKUP(Q$5,NFI,5,0),1,0)*Data_NFI_t[[#This Row],[Plastic Bucket]],0)</f>
        <v>0</v>
      </c>
      <c r="AF140" s="112">
        <f>IF(NFI_Expiration=1,IF($A140&lt;VLOOKUP(R$5,NFI,5,0),1,0)*Data_NFI_t[[#This Row],[Jerry Can]],0)</f>
        <v>0</v>
      </c>
      <c r="AG140" s="131">
        <f>IF(NFI_Expiration=1,IF($A140&lt;VLOOKUP(S$5,NFI,5,0),1,0)*Data_NFI_t[[#This Row],[Plastic Mat]],0)*IF(Data_NFI_t[[#This Row],[Distribution Date]]&gt;"01-06-2015",1,2.5)</f>
        <v>0</v>
      </c>
      <c r="AH140" s="915">
        <f>IF(NFI_Expiration=1,IF($A140&lt;VLOOKUP(T$5,NFI,5,0),1,0)*Data_NFI_t[[#This Row],[Adult Clothes]],0)</f>
        <v>0</v>
      </c>
      <c r="AI140" s="131">
        <f>IF(NFI_Expiration=1,IF($A140&lt;VLOOKUP(U$5,NFI,5,0),1,0)*Data_NFI_t[[#This Row],[Children Clothes]],0)</f>
        <v>0</v>
      </c>
      <c r="AJ140" s="131">
        <f>IF(NFI_Expiration=1,IF($A140&lt;VLOOKUP(V$5,NFI,5,0),1,0)*Data_NFI_t[[#This Row],[Sewing Kit]],0)</f>
        <v>0</v>
      </c>
      <c r="AK140" s="131" t="str">
        <f ca="1">IFERROR(OFFSET(Camp_List[P_Code],MATCH(Data_NFI_t[[#This Row],[Camp Name]],Camp_List[Camp Name],0)-1,0,1,1),"")</f>
        <v>MMR012CMP097</v>
      </c>
      <c r="AL140" s="513" t="str">
        <f ca="1">IFERROR(OFFSET(Camp_List[Status],MATCH(Data_NFI_t[[#This Row],[Camp Name]],Camp_List[Camp Name],0)-1,0,1,1),"")</f>
        <v>Open</v>
      </c>
      <c r="AM140" s="131"/>
    </row>
    <row r="141" spans="1:39" s="90" customFormat="1" ht="19.5" customHeight="1" x14ac:dyDescent="0.25">
      <c r="A141" s="242">
        <f>IF(ISBLANK(C141),"",(Report_Date-C141)/30)</f>
        <v>36.533333333333331</v>
      </c>
      <c r="B141" s="242">
        <f>YEAR(Data_NFI_t[[#This Row],[Distribution Date]])</f>
        <v>2014</v>
      </c>
      <c r="C141" s="927">
        <v>41699</v>
      </c>
      <c r="D141" s="489" t="s">
        <v>288</v>
      </c>
      <c r="E141" s="488" t="s">
        <v>288</v>
      </c>
      <c r="F141" s="489" t="s">
        <v>7</v>
      </c>
      <c r="G141" s="794" t="s">
        <v>19</v>
      </c>
      <c r="H141" s="794" t="s">
        <v>635</v>
      </c>
      <c r="I141" s="794"/>
      <c r="J141" s="51"/>
      <c r="K141" s="51"/>
      <c r="L141" s="51"/>
      <c r="M141" s="51">
        <v>2549</v>
      </c>
      <c r="N141" s="51"/>
      <c r="O141" s="51"/>
      <c r="P141" s="51"/>
      <c r="Q141" s="51"/>
      <c r="R141" s="511"/>
      <c r="S141" s="51"/>
      <c r="T141" s="51"/>
      <c r="U141" s="51"/>
      <c r="V141" s="51"/>
      <c r="W141" s="131">
        <f>IF(NFI_Expiration=1,IF($A141&lt;VLOOKUP(I$5,NFI,5,0),1,0)*Data_NFI_t[[#This Row],[Hygiene Kit]],0)</f>
        <v>0</v>
      </c>
      <c r="X141" s="131">
        <f>IF(NFI_Expiration=1,IF($A141&lt;VLOOKUP(J$5,NFI,5,0),1,0)*Data_NFI_t[[#This Row],[NFI Core Kit]],0)</f>
        <v>0</v>
      </c>
      <c r="Y141" s="112">
        <f>IF(NFI_Expiration=1,IF($A141&lt;VLOOKUP(K$5,NFI,5,0),1,0)*Data_NFI_t[[#This Row],[Sanitary Kit]],0)</f>
        <v>0</v>
      </c>
      <c r="Z141" s="112">
        <f>IF(NFI_Expiration=1,IF($A141&lt;VLOOKUP(L$5,NFI,5,0),1,0)*Data_NFI_t[[#This Row],[Mosquito net]],0)</f>
        <v>0</v>
      </c>
      <c r="AA141" s="112">
        <f>IF(NFI_Expiration=1,IF($A141&lt;VLOOKUP(M$5,NFI,5,0),1,0)*Data_NFI_t[[#This Row],[Tarpaulin]],0)</f>
        <v>0</v>
      </c>
      <c r="AB141" s="112">
        <f>IF(NFI_Expiration=1,IF($A141&lt;VLOOKUP(N$5,NFI,5,0),1,0)*Data_NFI_t[[#This Row],[Blanket]],0)</f>
        <v>0</v>
      </c>
      <c r="AC141" s="112">
        <f>IF(NFI_Expiration=1,IF($A141&lt;VLOOKUP(O$5,NFI,5,0),1,0)*Data_NFI_t[[#This Row],[Kitchen Set]],0)</f>
        <v>0</v>
      </c>
      <c r="AD141" s="112">
        <f>IF(NFI_Expiration=1,IF($A141&lt;VLOOKUP(P$5,NFI,5,0),1,0)*Data_NFI_t[[#This Row],[Complementary Kit]],0)</f>
        <v>0</v>
      </c>
      <c r="AE141" s="112">
        <f>IF(NFI_Expiration=1,IF($A141&lt;VLOOKUP(Q$5,NFI,5,0),1,0)*Data_NFI_t[[#This Row],[Plastic Bucket]],0)</f>
        <v>0</v>
      </c>
      <c r="AF141" s="112">
        <f>IF(NFI_Expiration=1,IF($A141&lt;VLOOKUP(R$5,NFI,5,0),1,0)*Data_NFI_t[[#This Row],[Jerry Can]],0)</f>
        <v>0</v>
      </c>
      <c r="AG141" s="131">
        <f>IF(NFI_Expiration=1,IF($A141&lt;VLOOKUP(S$5,NFI,5,0),1,0)*Data_NFI_t[[#This Row],[Plastic Mat]],0)*IF(Data_NFI_t[[#This Row],[Distribution Date]]&gt;"01-06-2015",1,2.5)</f>
        <v>0</v>
      </c>
      <c r="AH141" s="915">
        <f>IF(NFI_Expiration=1,IF($A141&lt;VLOOKUP(T$5,NFI,5,0),1,0)*Data_NFI_t[[#This Row],[Adult Clothes]],0)</f>
        <v>0</v>
      </c>
      <c r="AI141" s="131">
        <f>IF(NFI_Expiration=1,IF($A141&lt;VLOOKUP(U$5,NFI,5,0),1,0)*Data_NFI_t[[#This Row],[Children Clothes]],0)</f>
        <v>0</v>
      </c>
      <c r="AJ141" s="131">
        <f>IF(NFI_Expiration=1,IF($A141&lt;VLOOKUP(V$5,NFI,5,0),1,0)*Data_NFI_t[[#This Row],[Sewing Kit]],0)</f>
        <v>0</v>
      </c>
      <c r="AK141" s="131" t="str">
        <f ca="1">IFERROR(OFFSET(Camp_List[P_Code],MATCH(Data_NFI_t[[#This Row],[Camp Name]],Camp_List[Camp Name],0)-1,0,1,1),"")</f>
        <v>MMR012CMP115</v>
      </c>
      <c r="AL141" s="513" t="str">
        <f ca="1">IFERROR(OFFSET(Camp_List[Status],MATCH(Data_NFI_t[[#This Row],[Camp Name]],Camp_List[Camp Name],0)-1,0,1,1),"")</f>
        <v>Open</v>
      </c>
      <c r="AM141" s="131"/>
    </row>
    <row r="142" spans="1:39" s="90" customFormat="1" ht="19.5" customHeight="1" x14ac:dyDescent="0.25">
      <c r="A142" s="242">
        <f>IF(ISBLANK(C142),"",(Report_Date-C142)/30)</f>
        <v>37.5</v>
      </c>
      <c r="B142" s="242">
        <f>YEAR(Data_NFI_t[[#This Row],[Distribution Date]])</f>
        <v>2014</v>
      </c>
      <c r="C142" s="927">
        <v>41670</v>
      </c>
      <c r="D142" s="489" t="s">
        <v>285</v>
      </c>
      <c r="E142" s="488" t="s">
        <v>285</v>
      </c>
      <c r="F142" s="489" t="s">
        <v>7</v>
      </c>
      <c r="G142" s="794" t="s">
        <v>15</v>
      </c>
      <c r="H142" s="794" t="s">
        <v>48</v>
      </c>
      <c r="I142" s="794"/>
      <c r="J142" s="51"/>
      <c r="K142" s="51"/>
      <c r="L142" s="51">
        <v>2</v>
      </c>
      <c r="M142" s="51"/>
      <c r="N142" s="51">
        <v>2</v>
      </c>
      <c r="O142" s="51">
        <v>1</v>
      </c>
      <c r="P142" s="51">
        <v>4</v>
      </c>
      <c r="Q142" s="51">
        <v>1</v>
      </c>
      <c r="R142" s="511"/>
      <c r="S142" s="51">
        <v>2</v>
      </c>
      <c r="T142" s="51"/>
      <c r="U142" s="51"/>
      <c r="V142" s="51"/>
      <c r="W142" s="131">
        <f>IF(NFI_Expiration=1,IF($A142&lt;VLOOKUP(I$5,NFI,5,0),1,0)*Data_NFI_t[[#This Row],[Hygiene Kit]],0)</f>
        <v>0</v>
      </c>
      <c r="X142" s="131">
        <f>IF(NFI_Expiration=1,IF($A142&lt;VLOOKUP(J$5,NFI,5,0),1,0)*Data_NFI_t[[#This Row],[NFI Core Kit]],0)</f>
        <v>0</v>
      </c>
      <c r="Y142" s="112">
        <f>IF(NFI_Expiration=1,IF($A142&lt;VLOOKUP(K$5,NFI,5,0),1,0)*Data_NFI_t[[#This Row],[Sanitary Kit]],0)</f>
        <v>0</v>
      </c>
      <c r="Z142" s="112">
        <f>IF(NFI_Expiration=1,IF($A142&lt;VLOOKUP(L$5,NFI,5,0),1,0)*Data_NFI_t[[#This Row],[Mosquito net]],0)</f>
        <v>0</v>
      </c>
      <c r="AA142" s="112">
        <f>IF(NFI_Expiration=1,IF($A142&lt;VLOOKUP(M$5,NFI,5,0),1,0)*Data_NFI_t[[#This Row],[Tarpaulin]],0)</f>
        <v>0</v>
      </c>
      <c r="AB142" s="112">
        <f>IF(NFI_Expiration=1,IF($A142&lt;VLOOKUP(N$5,NFI,5,0),1,0)*Data_NFI_t[[#This Row],[Blanket]],0)</f>
        <v>0</v>
      </c>
      <c r="AC142" s="112">
        <f>IF(NFI_Expiration=1,IF($A142&lt;VLOOKUP(O$5,NFI,5,0),1,0)*Data_NFI_t[[#This Row],[Kitchen Set]],0)</f>
        <v>0</v>
      </c>
      <c r="AD142" s="112">
        <f>IF(NFI_Expiration=1,IF($A142&lt;VLOOKUP(P$5,NFI,5,0),1,0)*Data_NFI_t[[#This Row],[Complementary Kit]],0)</f>
        <v>0</v>
      </c>
      <c r="AE142" s="112">
        <f>IF(NFI_Expiration=1,IF($A142&lt;VLOOKUP(Q$5,NFI,5,0),1,0)*Data_NFI_t[[#This Row],[Plastic Bucket]],0)</f>
        <v>0</v>
      </c>
      <c r="AF142" s="112">
        <f>IF(NFI_Expiration=1,IF($A142&lt;VLOOKUP(R$5,NFI,5,0),1,0)*Data_NFI_t[[#This Row],[Jerry Can]],0)</f>
        <v>0</v>
      </c>
      <c r="AG142" s="131">
        <f>IF(NFI_Expiration=1,IF($A142&lt;VLOOKUP(S$5,NFI,5,0),1,0)*Data_NFI_t[[#This Row],[Plastic Mat]],0)*IF(Data_NFI_t[[#This Row],[Distribution Date]]&gt;"01-06-2015",1,2.5)</f>
        <v>0</v>
      </c>
      <c r="AH142" s="915">
        <f>IF(NFI_Expiration=1,IF($A142&lt;VLOOKUP(T$5,NFI,5,0),1,0)*Data_NFI_t[[#This Row],[Adult Clothes]],0)</f>
        <v>0</v>
      </c>
      <c r="AI142" s="131">
        <f>IF(NFI_Expiration=1,IF($A142&lt;VLOOKUP(U$5,NFI,5,0),1,0)*Data_NFI_t[[#This Row],[Children Clothes]],0)</f>
        <v>0</v>
      </c>
      <c r="AJ142" s="131">
        <f>IF(NFI_Expiration=1,IF($A142&lt;VLOOKUP(V$5,NFI,5,0),1,0)*Data_NFI_t[[#This Row],[Sewing Kit]],0)</f>
        <v>0</v>
      </c>
      <c r="AK142" s="131" t="str">
        <f ca="1">IFERROR(OFFSET(Camp_List[P_Code],MATCH(Data_NFI_t[[#This Row],[Camp Name]],Camp_List[Camp Name],0)-1,0,1,1),"")</f>
        <v>MMR012CMP024</v>
      </c>
      <c r="AL142" s="513" t="str">
        <f ca="1">IFERROR(OFFSET(Camp_List[Status],MATCH(Data_NFI_t[[#This Row],[Camp Name]],Camp_List[Camp Name],0)-1,0,1,1),"")</f>
        <v>Returned</v>
      </c>
      <c r="AM142" s="131"/>
    </row>
    <row r="143" spans="1:39" s="90" customFormat="1" ht="19.5" customHeight="1" x14ac:dyDescent="0.25">
      <c r="A143" s="242">
        <f>IF(ISBLANK(C143),"",(Report_Date-C143)/30)</f>
        <v>38</v>
      </c>
      <c r="B143" s="242">
        <f>YEAR(Data_NFI_t[[#This Row],[Distribution Date]])</f>
        <v>2014</v>
      </c>
      <c r="C143" s="927">
        <v>41655</v>
      </c>
      <c r="D143" s="489" t="s">
        <v>285</v>
      </c>
      <c r="E143" s="488" t="s">
        <v>285</v>
      </c>
      <c r="F143" s="489" t="s">
        <v>7</v>
      </c>
      <c r="G143" s="794" t="s">
        <v>14</v>
      </c>
      <c r="H143" s="794" t="s">
        <v>43</v>
      </c>
      <c r="I143" s="794"/>
      <c r="J143" s="51"/>
      <c r="K143" s="51"/>
      <c r="L143" s="51"/>
      <c r="M143" s="51"/>
      <c r="N143" s="51">
        <v>20</v>
      </c>
      <c r="O143" s="51">
        <v>700</v>
      </c>
      <c r="P143" s="51"/>
      <c r="Q143" s="51"/>
      <c r="R143" s="511"/>
      <c r="S143" s="51">
        <v>120</v>
      </c>
      <c r="T143" s="51"/>
      <c r="U143" s="51"/>
      <c r="V143" s="51"/>
      <c r="W143" s="131">
        <f>IF(NFI_Expiration=1,IF($A143&lt;VLOOKUP(I$5,NFI,5,0),1,0)*Data_NFI_t[[#This Row],[Hygiene Kit]],0)</f>
        <v>0</v>
      </c>
      <c r="X143" s="131">
        <f>IF(NFI_Expiration=1,IF($A143&lt;VLOOKUP(J$5,NFI,5,0),1,0)*Data_NFI_t[[#This Row],[NFI Core Kit]],0)</f>
        <v>0</v>
      </c>
      <c r="Y143" s="112">
        <f>IF(NFI_Expiration=1,IF($A143&lt;VLOOKUP(K$5,NFI,5,0),1,0)*Data_NFI_t[[#This Row],[Sanitary Kit]],0)</f>
        <v>0</v>
      </c>
      <c r="Z143" s="112">
        <f>IF(NFI_Expiration=1,IF($A143&lt;VLOOKUP(L$5,NFI,5,0),1,0)*Data_NFI_t[[#This Row],[Mosquito net]],0)</f>
        <v>0</v>
      </c>
      <c r="AA143" s="112">
        <f>IF(NFI_Expiration=1,IF($A143&lt;VLOOKUP(M$5,NFI,5,0),1,0)*Data_NFI_t[[#This Row],[Tarpaulin]],0)</f>
        <v>0</v>
      </c>
      <c r="AB143" s="112">
        <f>IF(NFI_Expiration=1,IF($A143&lt;VLOOKUP(N$5,NFI,5,0),1,0)*Data_NFI_t[[#This Row],[Blanket]],0)</f>
        <v>0</v>
      </c>
      <c r="AC143" s="112">
        <f>IF(NFI_Expiration=1,IF($A143&lt;VLOOKUP(O$5,NFI,5,0),1,0)*Data_NFI_t[[#This Row],[Kitchen Set]],0)</f>
        <v>0</v>
      </c>
      <c r="AD143" s="112">
        <f>IF(NFI_Expiration=1,IF($A143&lt;VLOOKUP(P$5,NFI,5,0),1,0)*Data_NFI_t[[#This Row],[Complementary Kit]],0)</f>
        <v>0</v>
      </c>
      <c r="AE143" s="112">
        <f>IF(NFI_Expiration=1,IF($A143&lt;VLOOKUP(Q$5,NFI,5,0),1,0)*Data_NFI_t[[#This Row],[Plastic Bucket]],0)</f>
        <v>0</v>
      </c>
      <c r="AF143" s="112">
        <f>IF(NFI_Expiration=1,IF($A143&lt;VLOOKUP(R$5,NFI,5,0),1,0)*Data_NFI_t[[#This Row],[Jerry Can]],0)</f>
        <v>0</v>
      </c>
      <c r="AG143" s="131">
        <f>IF(NFI_Expiration=1,IF($A143&lt;VLOOKUP(S$5,NFI,5,0),1,0)*Data_NFI_t[[#This Row],[Plastic Mat]],0)*IF(Data_NFI_t[[#This Row],[Distribution Date]]&gt;"01-06-2015",1,2.5)</f>
        <v>0</v>
      </c>
      <c r="AH143" s="915">
        <f>IF(NFI_Expiration=1,IF($A143&lt;VLOOKUP(T$5,NFI,5,0),1,0)*Data_NFI_t[[#This Row],[Adult Clothes]],0)</f>
        <v>0</v>
      </c>
      <c r="AI143" s="131">
        <f>IF(NFI_Expiration=1,IF($A143&lt;VLOOKUP(U$5,NFI,5,0),1,0)*Data_NFI_t[[#This Row],[Children Clothes]],0)</f>
        <v>0</v>
      </c>
      <c r="AJ143" s="131">
        <f>IF(NFI_Expiration=1,IF($A143&lt;VLOOKUP(V$5,NFI,5,0),1,0)*Data_NFI_t[[#This Row],[Sewing Kit]],0)</f>
        <v>0</v>
      </c>
      <c r="AK143" s="131" t="str">
        <f ca="1">IFERROR(OFFSET(Camp_List[P_Code],MATCH(Data_NFI_t[[#This Row],[Camp Name]],Camp_List[Camp Name],0)-1,0,1,1),"")</f>
        <v>MMR012CMP019</v>
      </c>
      <c r="AL143" s="513" t="str">
        <f ca="1">IFERROR(OFFSET(Camp_List[Status],MATCH(Data_NFI_t[[#This Row],[Camp Name]],Camp_List[Camp Name],0)-1,0,1,1),"")</f>
        <v>Open</v>
      </c>
      <c r="AM143" s="131"/>
    </row>
    <row r="144" spans="1:39" s="90" customFormat="1" ht="19.5" customHeight="1" x14ac:dyDescent="0.25">
      <c r="A144" s="242">
        <f>IF(ISBLANK(C144),"",(Report_Date-C144)/30)</f>
        <v>38</v>
      </c>
      <c r="B144" s="242">
        <f>YEAR(Data_NFI_t[[#This Row],[Distribution Date]])</f>
        <v>2014</v>
      </c>
      <c r="C144" s="927">
        <v>41655</v>
      </c>
      <c r="D144" s="489" t="s">
        <v>285</v>
      </c>
      <c r="E144" s="488" t="s">
        <v>285</v>
      </c>
      <c r="F144" s="489" t="s">
        <v>7</v>
      </c>
      <c r="G144" s="794" t="s">
        <v>14</v>
      </c>
      <c r="H144" s="794" t="s">
        <v>43</v>
      </c>
      <c r="I144" s="794"/>
      <c r="J144" s="51"/>
      <c r="K144" s="51"/>
      <c r="L144" s="51">
        <v>807</v>
      </c>
      <c r="M144" s="51"/>
      <c r="N144" s="51"/>
      <c r="O144" s="51"/>
      <c r="P144" s="51">
        <v>807</v>
      </c>
      <c r="Q144" s="51"/>
      <c r="R144" s="511"/>
      <c r="S144" s="51"/>
      <c r="T144" s="51"/>
      <c r="U144" s="51"/>
      <c r="V144" s="51"/>
      <c r="W144" s="131">
        <f>IF(NFI_Expiration=1,IF($A144&lt;VLOOKUP(I$5,NFI,5,0),1,0)*Data_NFI_t[[#This Row],[Hygiene Kit]],0)</f>
        <v>0</v>
      </c>
      <c r="X144" s="131">
        <f>IF(NFI_Expiration=1,IF($A144&lt;VLOOKUP(J$5,NFI,5,0),1,0)*Data_NFI_t[[#This Row],[NFI Core Kit]],0)</f>
        <v>0</v>
      </c>
      <c r="Y144" s="112">
        <f>IF(NFI_Expiration=1,IF($A144&lt;VLOOKUP(K$5,NFI,5,0),1,0)*Data_NFI_t[[#This Row],[Sanitary Kit]],0)</f>
        <v>0</v>
      </c>
      <c r="Z144" s="112">
        <f>IF(NFI_Expiration=1,IF($A144&lt;VLOOKUP(L$5,NFI,5,0),1,0)*Data_NFI_t[[#This Row],[Mosquito net]],0)</f>
        <v>0</v>
      </c>
      <c r="AA144" s="112">
        <f>IF(NFI_Expiration=1,IF($A144&lt;VLOOKUP(M$5,NFI,5,0),1,0)*Data_NFI_t[[#This Row],[Tarpaulin]],0)</f>
        <v>0</v>
      </c>
      <c r="AB144" s="112">
        <f>IF(NFI_Expiration=1,IF($A144&lt;VLOOKUP(N$5,NFI,5,0),1,0)*Data_NFI_t[[#This Row],[Blanket]],0)</f>
        <v>0</v>
      </c>
      <c r="AC144" s="112">
        <f>IF(NFI_Expiration=1,IF($A144&lt;VLOOKUP(O$5,NFI,5,0),1,0)*Data_NFI_t[[#This Row],[Kitchen Set]],0)</f>
        <v>0</v>
      </c>
      <c r="AD144" s="112">
        <f>IF(NFI_Expiration=1,IF($A144&lt;VLOOKUP(P$5,NFI,5,0),1,0)*Data_NFI_t[[#This Row],[Complementary Kit]],0)</f>
        <v>0</v>
      </c>
      <c r="AE144" s="112">
        <f>IF(NFI_Expiration=1,IF($A144&lt;VLOOKUP(Q$5,NFI,5,0),1,0)*Data_NFI_t[[#This Row],[Plastic Bucket]],0)</f>
        <v>0</v>
      </c>
      <c r="AF144" s="112">
        <f>IF(NFI_Expiration=1,IF($A144&lt;VLOOKUP(R$5,NFI,5,0),1,0)*Data_NFI_t[[#This Row],[Jerry Can]],0)</f>
        <v>0</v>
      </c>
      <c r="AG144" s="131">
        <f>IF(NFI_Expiration=1,IF($A144&lt;VLOOKUP(S$5,NFI,5,0),1,0)*Data_NFI_t[[#This Row],[Plastic Mat]],0)*IF(Data_NFI_t[[#This Row],[Distribution Date]]&gt;"01-06-2015",1,2.5)</f>
        <v>0</v>
      </c>
      <c r="AH144" s="915">
        <f>IF(NFI_Expiration=1,IF($A144&lt;VLOOKUP(T$5,NFI,5,0),1,0)*Data_NFI_t[[#This Row],[Adult Clothes]],0)</f>
        <v>0</v>
      </c>
      <c r="AI144" s="131">
        <f>IF(NFI_Expiration=1,IF($A144&lt;VLOOKUP(U$5,NFI,5,0),1,0)*Data_NFI_t[[#This Row],[Children Clothes]],0)</f>
        <v>0</v>
      </c>
      <c r="AJ144" s="131">
        <f>IF(NFI_Expiration=1,IF($A144&lt;VLOOKUP(V$5,NFI,5,0),1,0)*Data_NFI_t[[#This Row],[Sewing Kit]],0)</f>
        <v>0</v>
      </c>
      <c r="AK144" s="131" t="str">
        <f ca="1">IFERROR(OFFSET(Camp_List[P_Code],MATCH(Data_NFI_t[[#This Row],[Camp Name]],Camp_List[Camp Name],0)-1,0,1,1),"")</f>
        <v>MMR012CMP019</v>
      </c>
      <c r="AL144" s="513" t="str">
        <f ca="1">IFERROR(OFFSET(Camp_List[Status],MATCH(Data_NFI_t[[#This Row],[Camp Name]],Camp_List[Camp Name],0)-1,0,1,1),"")</f>
        <v>Open</v>
      </c>
      <c r="AM144" s="131"/>
    </row>
    <row r="145" spans="1:39" s="90" customFormat="1" ht="19.5" customHeight="1" x14ac:dyDescent="0.25">
      <c r="A145" s="242">
        <f>IF(ISBLANK(C145),"",(Report_Date-C145)/30)</f>
        <v>38.033333333333331</v>
      </c>
      <c r="B145" s="242">
        <f>YEAR(Data_NFI_t[[#This Row],[Distribution Date]])</f>
        <v>2014</v>
      </c>
      <c r="C145" s="927">
        <v>41654</v>
      </c>
      <c r="D145" s="489" t="s">
        <v>285</v>
      </c>
      <c r="E145" s="488" t="s">
        <v>285</v>
      </c>
      <c r="F145" s="489" t="s">
        <v>7</v>
      </c>
      <c r="G145" s="794" t="s">
        <v>14</v>
      </c>
      <c r="H145" s="794" t="s">
        <v>41</v>
      </c>
      <c r="I145" s="794"/>
      <c r="J145" s="51"/>
      <c r="K145" s="51"/>
      <c r="L145" s="51">
        <v>588</v>
      </c>
      <c r="M145" s="51"/>
      <c r="N145" s="51">
        <v>588</v>
      </c>
      <c r="O145" s="51">
        <v>294</v>
      </c>
      <c r="P145" s="51">
        <v>1176</v>
      </c>
      <c r="Q145" s="51">
        <v>294</v>
      </c>
      <c r="R145" s="511"/>
      <c r="S145" s="51">
        <v>588</v>
      </c>
      <c r="T145" s="51"/>
      <c r="U145" s="51"/>
      <c r="V145" s="51"/>
      <c r="W145" s="131">
        <f>IF(NFI_Expiration=1,IF($A145&lt;VLOOKUP(I$5,NFI,5,0),1,0)*Data_NFI_t[[#This Row],[Hygiene Kit]],0)</f>
        <v>0</v>
      </c>
      <c r="X145" s="131">
        <f>IF(NFI_Expiration=1,IF($A145&lt;VLOOKUP(J$5,NFI,5,0),1,0)*Data_NFI_t[[#This Row],[NFI Core Kit]],0)</f>
        <v>0</v>
      </c>
      <c r="Y145" s="112">
        <f>IF(NFI_Expiration=1,IF($A145&lt;VLOOKUP(K$5,NFI,5,0),1,0)*Data_NFI_t[[#This Row],[Sanitary Kit]],0)</f>
        <v>0</v>
      </c>
      <c r="Z145" s="112">
        <f>IF(NFI_Expiration=1,IF($A145&lt;VLOOKUP(L$5,NFI,5,0),1,0)*Data_NFI_t[[#This Row],[Mosquito net]],0)</f>
        <v>0</v>
      </c>
      <c r="AA145" s="112">
        <f>IF(NFI_Expiration=1,IF($A145&lt;VLOOKUP(M$5,NFI,5,0),1,0)*Data_NFI_t[[#This Row],[Tarpaulin]],0)</f>
        <v>0</v>
      </c>
      <c r="AB145" s="112">
        <f>IF(NFI_Expiration=1,IF($A145&lt;VLOOKUP(N$5,NFI,5,0),1,0)*Data_NFI_t[[#This Row],[Blanket]],0)</f>
        <v>0</v>
      </c>
      <c r="AC145" s="112">
        <f>IF(NFI_Expiration=1,IF($A145&lt;VLOOKUP(O$5,NFI,5,0),1,0)*Data_NFI_t[[#This Row],[Kitchen Set]],0)</f>
        <v>0</v>
      </c>
      <c r="AD145" s="112">
        <f>IF(NFI_Expiration=1,IF($A145&lt;VLOOKUP(P$5,NFI,5,0),1,0)*Data_NFI_t[[#This Row],[Complementary Kit]],0)</f>
        <v>0</v>
      </c>
      <c r="AE145" s="112">
        <f>IF(NFI_Expiration=1,IF($A145&lt;VLOOKUP(Q$5,NFI,5,0),1,0)*Data_NFI_t[[#This Row],[Plastic Bucket]],0)</f>
        <v>0</v>
      </c>
      <c r="AF145" s="112">
        <f>IF(NFI_Expiration=1,IF($A145&lt;VLOOKUP(R$5,NFI,5,0),1,0)*Data_NFI_t[[#This Row],[Jerry Can]],0)</f>
        <v>0</v>
      </c>
      <c r="AG145" s="131">
        <f>IF(NFI_Expiration=1,IF($A145&lt;VLOOKUP(S$5,NFI,5,0),1,0)*Data_NFI_t[[#This Row],[Plastic Mat]],0)*IF(Data_NFI_t[[#This Row],[Distribution Date]]&gt;"01-06-2015",1,2.5)</f>
        <v>0</v>
      </c>
      <c r="AH145" s="915">
        <f>IF(NFI_Expiration=1,IF($A145&lt;VLOOKUP(T$5,NFI,5,0),1,0)*Data_NFI_t[[#This Row],[Adult Clothes]],0)</f>
        <v>0</v>
      </c>
      <c r="AI145" s="131">
        <f>IF(NFI_Expiration=1,IF($A145&lt;VLOOKUP(U$5,NFI,5,0),1,0)*Data_NFI_t[[#This Row],[Children Clothes]],0)</f>
        <v>0</v>
      </c>
      <c r="AJ145" s="131">
        <f>IF(NFI_Expiration=1,IF($A145&lt;VLOOKUP(V$5,NFI,5,0),1,0)*Data_NFI_t[[#This Row],[Sewing Kit]],0)</f>
        <v>0</v>
      </c>
      <c r="AK145" s="131" t="str">
        <f ca="1">IFERROR(OFFSET(Camp_List[P_Code],MATCH(Data_NFI_t[[#This Row],[Camp Name]],Camp_List[Camp Name],0)-1,0,1,1),"")</f>
        <v/>
      </c>
      <c r="AL145" s="513" t="str">
        <f ca="1">IFERROR(OFFSET(Camp_List[Status],MATCH(Data_NFI_t[[#This Row],[Camp Name]],Camp_List[Camp Name],0)-1,0,1,1),"")</f>
        <v/>
      </c>
      <c r="AM145" s="131"/>
    </row>
    <row r="146" spans="1:39" s="90" customFormat="1" ht="19.5" customHeight="1" x14ac:dyDescent="0.25">
      <c r="A146" s="242">
        <f>IF(ISBLANK(C146),"",(Report_Date-C146)/30)</f>
        <v>38.033333333333331</v>
      </c>
      <c r="B146" s="242">
        <f>YEAR(Data_NFI_t[[#This Row],[Distribution Date]])</f>
        <v>2014</v>
      </c>
      <c r="C146" s="927">
        <v>41654</v>
      </c>
      <c r="D146" s="489" t="s">
        <v>285</v>
      </c>
      <c r="E146" s="488" t="s">
        <v>285</v>
      </c>
      <c r="F146" s="489" t="s">
        <v>7</v>
      </c>
      <c r="G146" s="794" t="s">
        <v>14</v>
      </c>
      <c r="H146" s="794" t="s">
        <v>43</v>
      </c>
      <c r="I146" s="794"/>
      <c r="J146" s="51"/>
      <c r="K146" s="51"/>
      <c r="L146" s="51">
        <v>1420</v>
      </c>
      <c r="M146" s="51"/>
      <c r="N146" s="51">
        <v>1400</v>
      </c>
      <c r="O146" s="51"/>
      <c r="P146" s="51">
        <v>2800</v>
      </c>
      <c r="Q146" s="51">
        <v>700</v>
      </c>
      <c r="R146" s="511"/>
      <c r="S146" s="51">
        <v>1400</v>
      </c>
      <c r="T146" s="51"/>
      <c r="U146" s="51"/>
      <c r="V146" s="51"/>
      <c r="W146" s="131">
        <f>IF(NFI_Expiration=1,IF($A146&lt;VLOOKUP(I$5,NFI,5,0),1,0)*Data_NFI_t[[#This Row],[Hygiene Kit]],0)</f>
        <v>0</v>
      </c>
      <c r="X146" s="131">
        <f>IF(NFI_Expiration=1,IF($A146&lt;VLOOKUP(J$5,NFI,5,0),1,0)*Data_NFI_t[[#This Row],[NFI Core Kit]],0)</f>
        <v>0</v>
      </c>
      <c r="Y146" s="112">
        <f>IF(NFI_Expiration=1,IF($A146&lt;VLOOKUP(K$5,NFI,5,0),1,0)*Data_NFI_t[[#This Row],[Sanitary Kit]],0)</f>
        <v>0</v>
      </c>
      <c r="Z146" s="112">
        <f>IF(NFI_Expiration=1,IF($A146&lt;VLOOKUP(L$5,NFI,5,0),1,0)*Data_NFI_t[[#This Row],[Mosquito net]],0)</f>
        <v>0</v>
      </c>
      <c r="AA146" s="112">
        <f>IF(NFI_Expiration=1,IF($A146&lt;VLOOKUP(M$5,NFI,5,0),1,0)*Data_NFI_t[[#This Row],[Tarpaulin]],0)</f>
        <v>0</v>
      </c>
      <c r="AB146" s="112">
        <f>IF(NFI_Expiration=1,IF($A146&lt;VLOOKUP(N$5,NFI,5,0),1,0)*Data_NFI_t[[#This Row],[Blanket]],0)</f>
        <v>0</v>
      </c>
      <c r="AC146" s="112">
        <f>IF(NFI_Expiration=1,IF($A146&lt;VLOOKUP(O$5,NFI,5,0),1,0)*Data_NFI_t[[#This Row],[Kitchen Set]],0)</f>
        <v>0</v>
      </c>
      <c r="AD146" s="112">
        <f>IF(NFI_Expiration=1,IF($A146&lt;VLOOKUP(P$5,NFI,5,0),1,0)*Data_NFI_t[[#This Row],[Complementary Kit]],0)</f>
        <v>0</v>
      </c>
      <c r="AE146" s="112">
        <f>IF(NFI_Expiration=1,IF($A146&lt;VLOOKUP(Q$5,NFI,5,0),1,0)*Data_NFI_t[[#This Row],[Plastic Bucket]],0)</f>
        <v>0</v>
      </c>
      <c r="AF146" s="112">
        <f>IF(NFI_Expiration=1,IF($A146&lt;VLOOKUP(R$5,NFI,5,0),1,0)*Data_NFI_t[[#This Row],[Jerry Can]],0)</f>
        <v>0</v>
      </c>
      <c r="AG146" s="131">
        <f>IF(NFI_Expiration=1,IF($A146&lt;VLOOKUP(S$5,NFI,5,0),1,0)*Data_NFI_t[[#This Row],[Plastic Mat]],0)*IF(Data_NFI_t[[#This Row],[Distribution Date]]&gt;"01-06-2015",1,2.5)</f>
        <v>0</v>
      </c>
      <c r="AH146" s="915">
        <f>IF(NFI_Expiration=1,IF($A146&lt;VLOOKUP(T$5,NFI,5,0),1,0)*Data_NFI_t[[#This Row],[Adult Clothes]],0)</f>
        <v>0</v>
      </c>
      <c r="AI146" s="131">
        <f>IF(NFI_Expiration=1,IF($A146&lt;VLOOKUP(U$5,NFI,5,0),1,0)*Data_NFI_t[[#This Row],[Children Clothes]],0)</f>
        <v>0</v>
      </c>
      <c r="AJ146" s="131">
        <f>IF(NFI_Expiration=1,IF($A146&lt;VLOOKUP(V$5,NFI,5,0),1,0)*Data_NFI_t[[#This Row],[Sewing Kit]],0)</f>
        <v>0</v>
      </c>
      <c r="AK146" s="131" t="str">
        <f ca="1">IFERROR(OFFSET(Camp_List[P_Code],MATCH(Data_NFI_t[[#This Row],[Camp Name]],Camp_List[Camp Name],0)-1,0,1,1),"")</f>
        <v>MMR012CMP019</v>
      </c>
      <c r="AL146" s="513" t="str">
        <f ca="1">IFERROR(OFFSET(Camp_List[Status],MATCH(Data_NFI_t[[#This Row],[Camp Name]],Camp_List[Camp Name],0)-1,0,1,1),"")</f>
        <v>Open</v>
      </c>
      <c r="AM146" s="131"/>
    </row>
    <row r="147" spans="1:39" s="90" customFormat="1" ht="19.5" customHeight="1" x14ac:dyDescent="0.25">
      <c r="A147" s="242">
        <f>IF(ISBLANK(C147),"",(Report_Date-C147)/30)</f>
        <v>38.333333333333336</v>
      </c>
      <c r="B147" s="242">
        <f>YEAR(Data_NFI_t[[#This Row],[Distribution Date]])</f>
        <v>2014</v>
      </c>
      <c r="C147" s="927">
        <v>41645</v>
      </c>
      <c r="D147" s="489" t="s">
        <v>285</v>
      </c>
      <c r="E147" s="488" t="s">
        <v>285</v>
      </c>
      <c r="F147" s="489" t="s">
        <v>7</v>
      </c>
      <c r="G147" s="794" t="s">
        <v>19</v>
      </c>
      <c r="H147" s="794" t="s">
        <v>634</v>
      </c>
      <c r="I147" s="794"/>
      <c r="J147" s="51"/>
      <c r="K147" s="51"/>
      <c r="L147" s="51">
        <v>10</v>
      </c>
      <c r="M147" s="51">
        <v>5</v>
      </c>
      <c r="N147" s="51">
        <v>15</v>
      </c>
      <c r="O147" s="51">
        <v>5</v>
      </c>
      <c r="P147" s="51"/>
      <c r="Q147" s="51"/>
      <c r="R147" s="511"/>
      <c r="S147" s="51">
        <v>10</v>
      </c>
      <c r="T147" s="51"/>
      <c r="U147" s="51"/>
      <c r="V147" s="51"/>
      <c r="W147" s="131">
        <f>IF(NFI_Expiration=1,IF($A147&lt;VLOOKUP(I$5,NFI,5,0),1,0)*Data_NFI_t[[#This Row],[Hygiene Kit]],0)</f>
        <v>0</v>
      </c>
      <c r="X147" s="131">
        <f>IF(NFI_Expiration=1,IF($A147&lt;VLOOKUP(J$5,NFI,5,0),1,0)*Data_NFI_t[[#This Row],[NFI Core Kit]],0)</f>
        <v>0</v>
      </c>
      <c r="Y147" s="112">
        <f>IF(NFI_Expiration=1,IF($A147&lt;VLOOKUP(K$5,NFI,5,0),1,0)*Data_NFI_t[[#This Row],[Sanitary Kit]],0)</f>
        <v>0</v>
      </c>
      <c r="Z147" s="112">
        <f>IF(NFI_Expiration=1,IF($A147&lt;VLOOKUP(L$5,NFI,5,0),1,0)*Data_NFI_t[[#This Row],[Mosquito net]],0)</f>
        <v>0</v>
      </c>
      <c r="AA147" s="112">
        <f>IF(NFI_Expiration=1,IF($A147&lt;VLOOKUP(M$5,NFI,5,0),1,0)*Data_NFI_t[[#This Row],[Tarpaulin]],0)</f>
        <v>0</v>
      </c>
      <c r="AB147" s="112">
        <f>IF(NFI_Expiration=1,IF($A147&lt;VLOOKUP(N$5,NFI,5,0),1,0)*Data_NFI_t[[#This Row],[Blanket]],0)</f>
        <v>0</v>
      </c>
      <c r="AC147" s="112">
        <f>IF(NFI_Expiration=1,IF($A147&lt;VLOOKUP(O$5,NFI,5,0),1,0)*Data_NFI_t[[#This Row],[Kitchen Set]],0)</f>
        <v>0</v>
      </c>
      <c r="AD147" s="112">
        <f>IF(NFI_Expiration=1,IF($A147&lt;VLOOKUP(P$5,NFI,5,0),1,0)*Data_NFI_t[[#This Row],[Complementary Kit]],0)</f>
        <v>0</v>
      </c>
      <c r="AE147" s="112">
        <f>IF(NFI_Expiration=1,IF($A147&lt;VLOOKUP(Q$5,NFI,5,0),1,0)*Data_NFI_t[[#This Row],[Plastic Bucket]],0)</f>
        <v>0</v>
      </c>
      <c r="AF147" s="112">
        <f>IF(NFI_Expiration=1,IF($A147&lt;VLOOKUP(R$5,NFI,5,0),1,0)*Data_NFI_t[[#This Row],[Jerry Can]],0)</f>
        <v>0</v>
      </c>
      <c r="AG147" s="131">
        <f>IF(NFI_Expiration=1,IF($A147&lt;VLOOKUP(S$5,NFI,5,0),1,0)*Data_NFI_t[[#This Row],[Plastic Mat]],0)*IF(Data_NFI_t[[#This Row],[Distribution Date]]&gt;"01-06-2015",1,2.5)</f>
        <v>0</v>
      </c>
      <c r="AH147" s="915">
        <f>IF(NFI_Expiration=1,IF($A147&lt;VLOOKUP(T$5,NFI,5,0),1,0)*Data_NFI_t[[#This Row],[Adult Clothes]],0)</f>
        <v>0</v>
      </c>
      <c r="AI147" s="131">
        <f>IF(NFI_Expiration=1,IF($A147&lt;VLOOKUP(U$5,NFI,5,0),1,0)*Data_NFI_t[[#This Row],[Children Clothes]],0)</f>
        <v>0</v>
      </c>
      <c r="AJ147" s="131">
        <f>IF(NFI_Expiration=1,IF($A147&lt;VLOOKUP(V$5,NFI,5,0),1,0)*Data_NFI_t[[#This Row],[Sewing Kit]],0)</f>
        <v>0</v>
      </c>
      <c r="AK147" s="131" t="str">
        <f ca="1">IFERROR(OFFSET(Camp_List[P_Code],MATCH(Data_NFI_t[[#This Row],[Camp Name]],Camp_List[Camp Name],0)-1,0,1,1),"")</f>
        <v>MMR012CMP098</v>
      </c>
      <c r="AL147" s="513" t="str">
        <f ca="1">IFERROR(OFFSET(Camp_List[Status],MATCH(Data_NFI_t[[#This Row],[Camp Name]],Camp_List[Camp Name],0)-1,0,1,1),"")</f>
        <v>Open</v>
      </c>
      <c r="AM147" s="131"/>
    </row>
    <row r="148" spans="1:39" s="90" customFormat="1" ht="19.5" customHeight="1" x14ac:dyDescent="0.25">
      <c r="A148" s="242">
        <f>IF(ISBLANK(C148),"",(Report_Date-C148)/30)</f>
        <v>38.466666666666669</v>
      </c>
      <c r="B148" s="242">
        <f>YEAR(Data_NFI_t[[#This Row],[Distribution Date]])</f>
        <v>2014</v>
      </c>
      <c r="C148" s="927">
        <v>41641</v>
      </c>
      <c r="D148" s="489" t="s">
        <v>285</v>
      </c>
      <c r="E148" s="488" t="s">
        <v>285</v>
      </c>
      <c r="F148" s="489" t="s">
        <v>7</v>
      </c>
      <c r="G148" s="794" t="s">
        <v>15</v>
      </c>
      <c r="H148" s="794" t="s">
        <v>48</v>
      </c>
      <c r="I148" s="794"/>
      <c r="J148" s="51"/>
      <c r="K148" s="51">
        <v>1</v>
      </c>
      <c r="L148" s="51">
        <v>2</v>
      </c>
      <c r="M148" s="51"/>
      <c r="N148" s="51">
        <v>2</v>
      </c>
      <c r="O148" s="51">
        <v>1</v>
      </c>
      <c r="P148" s="51">
        <v>1</v>
      </c>
      <c r="Q148" s="51">
        <v>1</v>
      </c>
      <c r="R148" s="511"/>
      <c r="S148" s="51">
        <v>2</v>
      </c>
      <c r="T148" s="51"/>
      <c r="U148" s="51"/>
      <c r="V148" s="51"/>
      <c r="W148" s="131">
        <f>IF(NFI_Expiration=1,IF($A148&lt;VLOOKUP(I$5,NFI,5,0),1,0)*Data_NFI_t[[#This Row],[Hygiene Kit]],0)</f>
        <v>0</v>
      </c>
      <c r="X148" s="131">
        <f>IF(NFI_Expiration=1,IF($A148&lt;VLOOKUP(J$5,NFI,5,0),1,0)*Data_NFI_t[[#This Row],[NFI Core Kit]],0)</f>
        <v>0</v>
      </c>
      <c r="Y148" s="112">
        <f>IF(NFI_Expiration=1,IF($A148&lt;VLOOKUP(K$5,NFI,5,0),1,0)*Data_NFI_t[[#This Row],[Sanitary Kit]],0)</f>
        <v>0</v>
      </c>
      <c r="Z148" s="112">
        <f>IF(NFI_Expiration=1,IF($A148&lt;VLOOKUP(L$5,NFI,5,0),1,0)*Data_NFI_t[[#This Row],[Mosquito net]],0)</f>
        <v>0</v>
      </c>
      <c r="AA148" s="112">
        <f>IF(NFI_Expiration=1,IF($A148&lt;VLOOKUP(M$5,NFI,5,0),1,0)*Data_NFI_t[[#This Row],[Tarpaulin]],0)</f>
        <v>0</v>
      </c>
      <c r="AB148" s="112">
        <f>IF(NFI_Expiration=1,IF($A148&lt;VLOOKUP(N$5,NFI,5,0),1,0)*Data_NFI_t[[#This Row],[Blanket]],0)</f>
        <v>0</v>
      </c>
      <c r="AC148" s="112">
        <f>IF(NFI_Expiration=1,IF($A148&lt;VLOOKUP(O$5,NFI,5,0),1,0)*Data_NFI_t[[#This Row],[Kitchen Set]],0)</f>
        <v>0</v>
      </c>
      <c r="AD148" s="112">
        <f>IF(NFI_Expiration=1,IF($A148&lt;VLOOKUP(P$5,NFI,5,0),1,0)*Data_NFI_t[[#This Row],[Complementary Kit]],0)</f>
        <v>0</v>
      </c>
      <c r="AE148" s="112">
        <f>IF(NFI_Expiration=1,IF($A148&lt;VLOOKUP(Q$5,NFI,5,0),1,0)*Data_NFI_t[[#This Row],[Plastic Bucket]],0)</f>
        <v>0</v>
      </c>
      <c r="AF148" s="112">
        <f>IF(NFI_Expiration=1,IF($A148&lt;VLOOKUP(R$5,NFI,5,0),1,0)*Data_NFI_t[[#This Row],[Jerry Can]],0)</f>
        <v>0</v>
      </c>
      <c r="AG148" s="131">
        <f>IF(NFI_Expiration=1,IF($A148&lt;VLOOKUP(S$5,NFI,5,0),1,0)*Data_NFI_t[[#This Row],[Plastic Mat]],0)*IF(Data_NFI_t[[#This Row],[Distribution Date]]&gt;"01-06-2015",1,2.5)</f>
        <v>0</v>
      </c>
      <c r="AH148" s="915">
        <f>IF(NFI_Expiration=1,IF($A148&lt;VLOOKUP(T$5,NFI,5,0),1,0)*Data_NFI_t[[#This Row],[Adult Clothes]],0)</f>
        <v>0</v>
      </c>
      <c r="AI148" s="131">
        <f>IF(NFI_Expiration=1,IF($A148&lt;VLOOKUP(U$5,NFI,5,0),1,0)*Data_NFI_t[[#This Row],[Children Clothes]],0)</f>
        <v>0</v>
      </c>
      <c r="AJ148" s="131">
        <f>IF(NFI_Expiration=1,IF($A148&lt;VLOOKUP(V$5,NFI,5,0),1,0)*Data_NFI_t[[#This Row],[Sewing Kit]],0)</f>
        <v>0</v>
      </c>
      <c r="AK148" s="131" t="str">
        <f ca="1">IFERROR(OFFSET(Camp_List[P_Code],MATCH(Data_NFI_t[[#This Row],[Camp Name]],Camp_List[Camp Name],0)-1,0,1,1),"")</f>
        <v>MMR012CMP024</v>
      </c>
      <c r="AL148" s="513" t="str">
        <f ca="1">IFERROR(OFFSET(Camp_List[Status],MATCH(Data_NFI_t[[#This Row],[Camp Name]],Camp_List[Camp Name],0)-1,0,1,1),"")</f>
        <v>Returned</v>
      </c>
      <c r="AM148" s="131"/>
    </row>
    <row r="149" spans="1:39" s="90" customFormat="1" ht="19.5" customHeight="1" x14ac:dyDescent="0.25">
      <c r="A149" s="242">
        <f>IF(ISBLANK(C149),"",(Report_Date-C149)/30)</f>
        <v>38.466666666666669</v>
      </c>
      <c r="B149" s="242">
        <f>YEAR(Data_NFI_t[[#This Row],[Distribution Date]])</f>
        <v>2014</v>
      </c>
      <c r="C149" s="927">
        <v>41641</v>
      </c>
      <c r="D149" s="489" t="s">
        <v>285</v>
      </c>
      <c r="E149" s="488" t="s">
        <v>285</v>
      </c>
      <c r="F149" s="489" t="s">
        <v>7</v>
      </c>
      <c r="G149" s="794" t="s">
        <v>19</v>
      </c>
      <c r="H149" s="794" t="s">
        <v>634</v>
      </c>
      <c r="I149" s="794"/>
      <c r="J149" s="51">
        <v>30</v>
      </c>
      <c r="K149" s="51"/>
      <c r="L149" s="51">
        <v>50</v>
      </c>
      <c r="M149" s="51">
        <v>25</v>
      </c>
      <c r="N149" s="51">
        <v>75</v>
      </c>
      <c r="O149" s="51">
        <v>25</v>
      </c>
      <c r="P149" s="51"/>
      <c r="Q149" s="51"/>
      <c r="R149" s="511"/>
      <c r="S149" s="51">
        <v>50</v>
      </c>
      <c r="T149" s="51"/>
      <c r="U149" s="51"/>
      <c r="V149" s="51"/>
      <c r="W149" s="131">
        <f>IF(NFI_Expiration=1,IF($A149&lt;VLOOKUP(I$5,NFI,5,0),1,0)*Data_NFI_t[[#This Row],[Hygiene Kit]],0)</f>
        <v>0</v>
      </c>
      <c r="X149" s="131">
        <f>IF(NFI_Expiration=1,IF($A149&lt;VLOOKUP(J$5,NFI,5,0),1,0)*Data_NFI_t[[#This Row],[NFI Core Kit]],0)</f>
        <v>0</v>
      </c>
      <c r="Y149" s="112">
        <f>IF(NFI_Expiration=1,IF($A149&lt;VLOOKUP(K$5,NFI,5,0),1,0)*Data_NFI_t[[#This Row],[Sanitary Kit]],0)</f>
        <v>0</v>
      </c>
      <c r="Z149" s="112">
        <f>IF(NFI_Expiration=1,IF($A149&lt;VLOOKUP(L$5,NFI,5,0),1,0)*Data_NFI_t[[#This Row],[Mosquito net]],0)</f>
        <v>0</v>
      </c>
      <c r="AA149" s="112">
        <f>IF(NFI_Expiration=1,IF($A149&lt;VLOOKUP(M$5,NFI,5,0),1,0)*Data_NFI_t[[#This Row],[Tarpaulin]],0)</f>
        <v>0</v>
      </c>
      <c r="AB149" s="112">
        <f>IF(NFI_Expiration=1,IF($A149&lt;VLOOKUP(N$5,NFI,5,0),1,0)*Data_NFI_t[[#This Row],[Blanket]],0)</f>
        <v>0</v>
      </c>
      <c r="AC149" s="112">
        <f>IF(NFI_Expiration=1,IF($A149&lt;VLOOKUP(O$5,NFI,5,0),1,0)*Data_NFI_t[[#This Row],[Kitchen Set]],0)</f>
        <v>0</v>
      </c>
      <c r="AD149" s="112">
        <f>IF(NFI_Expiration=1,IF($A149&lt;VLOOKUP(P$5,NFI,5,0),1,0)*Data_NFI_t[[#This Row],[Complementary Kit]],0)</f>
        <v>0</v>
      </c>
      <c r="AE149" s="112">
        <f>IF(NFI_Expiration=1,IF($A149&lt;VLOOKUP(Q$5,NFI,5,0),1,0)*Data_NFI_t[[#This Row],[Plastic Bucket]],0)</f>
        <v>0</v>
      </c>
      <c r="AF149" s="112">
        <f>IF(NFI_Expiration=1,IF($A149&lt;VLOOKUP(R$5,NFI,5,0),1,0)*Data_NFI_t[[#This Row],[Jerry Can]],0)</f>
        <v>0</v>
      </c>
      <c r="AG149" s="131">
        <f>IF(NFI_Expiration=1,IF($A149&lt;VLOOKUP(S$5,NFI,5,0),1,0)*Data_NFI_t[[#This Row],[Plastic Mat]],0)*IF(Data_NFI_t[[#This Row],[Distribution Date]]&gt;"01-06-2015",1,2.5)</f>
        <v>0</v>
      </c>
      <c r="AH149" s="915">
        <f>IF(NFI_Expiration=1,IF($A149&lt;VLOOKUP(T$5,NFI,5,0),1,0)*Data_NFI_t[[#This Row],[Adult Clothes]],0)</f>
        <v>0</v>
      </c>
      <c r="AI149" s="131">
        <f>IF(NFI_Expiration=1,IF($A149&lt;VLOOKUP(U$5,NFI,5,0),1,0)*Data_NFI_t[[#This Row],[Children Clothes]],0)</f>
        <v>0</v>
      </c>
      <c r="AJ149" s="131">
        <f>IF(NFI_Expiration=1,IF($A149&lt;VLOOKUP(V$5,NFI,5,0),1,0)*Data_NFI_t[[#This Row],[Sewing Kit]],0)</f>
        <v>0</v>
      </c>
      <c r="AK149" s="131" t="str">
        <f ca="1">IFERROR(OFFSET(Camp_List[P_Code],MATCH(Data_NFI_t[[#This Row],[Camp Name]],Camp_List[Camp Name],0)-1,0,1,1),"")</f>
        <v>MMR012CMP098</v>
      </c>
      <c r="AL149" s="513" t="str">
        <f ca="1">IFERROR(OFFSET(Camp_List[Status],MATCH(Data_NFI_t[[#This Row],[Camp Name]],Camp_List[Camp Name],0)-1,0,1,1),"")</f>
        <v>Open</v>
      </c>
      <c r="AM149" s="131"/>
    </row>
    <row r="150" spans="1:39" s="90" customFormat="1" ht="19.5" customHeight="1" x14ac:dyDescent="0.25">
      <c r="A150" s="242">
        <f>IF(ISBLANK(C150),"",(Report_Date-C150)/30)</f>
        <v>38.533333333333331</v>
      </c>
      <c r="B150" s="242">
        <f>YEAR(Data_NFI_t[[#This Row],[Distribution Date]])</f>
        <v>2013</v>
      </c>
      <c r="C150" s="927">
        <v>41639</v>
      </c>
      <c r="D150" s="489" t="s">
        <v>285</v>
      </c>
      <c r="E150" s="488" t="s">
        <v>285</v>
      </c>
      <c r="F150" s="489" t="s">
        <v>7</v>
      </c>
      <c r="G150" s="794" t="s">
        <v>19</v>
      </c>
      <c r="H150" s="794" t="s">
        <v>634</v>
      </c>
      <c r="I150" s="794"/>
      <c r="J150" s="51"/>
      <c r="K150" s="51"/>
      <c r="L150" s="51">
        <v>800</v>
      </c>
      <c r="M150" s="51"/>
      <c r="N150" s="51"/>
      <c r="O150" s="51"/>
      <c r="P150" s="51"/>
      <c r="Q150" s="51"/>
      <c r="R150" s="511"/>
      <c r="S150" s="51"/>
      <c r="T150" s="51"/>
      <c r="U150" s="51"/>
      <c r="V150" s="51"/>
      <c r="W150" s="131">
        <f>IF(NFI_Expiration=1,IF($A150&lt;VLOOKUP(I$5,NFI,5,0),1,0)*Data_NFI_t[[#This Row],[Hygiene Kit]],0)</f>
        <v>0</v>
      </c>
      <c r="X150" s="131">
        <f>IF(NFI_Expiration=1,IF($A150&lt;VLOOKUP(J$5,NFI,5,0),1,0)*Data_NFI_t[[#This Row],[NFI Core Kit]],0)</f>
        <v>0</v>
      </c>
      <c r="Y150" s="112">
        <f>IF(NFI_Expiration=1,IF($A150&lt;VLOOKUP(K$5,NFI,5,0),1,0)*Data_NFI_t[[#This Row],[Sanitary Kit]],0)</f>
        <v>0</v>
      </c>
      <c r="Z150" s="112">
        <f>IF(NFI_Expiration=1,IF($A150&lt;VLOOKUP(L$5,NFI,5,0),1,0)*Data_NFI_t[[#This Row],[Mosquito net]],0)</f>
        <v>0</v>
      </c>
      <c r="AA150" s="112">
        <f>IF(NFI_Expiration=1,IF($A150&lt;VLOOKUP(M$5,NFI,5,0),1,0)*Data_NFI_t[[#This Row],[Tarpaulin]],0)</f>
        <v>0</v>
      </c>
      <c r="AB150" s="112">
        <f>IF(NFI_Expiration=1,IF($A150&lt;VLOOKUP(N$5,NFI,5,0),1,0)*Data_NFI_t[[#This Row],[Blanket]],0)</f>
        <v>0</v>
      </c>
      <c r="AC150" s="112">
        <f>IF(NFI_Expiration=1,IF($A150&lt;VLOOKUP(O$5,NFI,5,0),1,0)*Data_NFI_t[[#This Row],[Kitchen Set]],0)</f>
        <v>0</v>
      </c>
      <c r="AD150" s="112">
        <f>IF(NFI_Expiration=1,IF($A150&lt;VLOOKUP(P$5,NFI,5,0),1,0)*Data_NFI_t[[#This Row],[Complementary Kit]],0)</f>
        <v>0</v>
      </c>
      <c r="AE150" s="112">
        <f>IF(NFI_Expiration=1,IF($A150&lt;VLOOKUP(Q$5,NFI,5,0),1,0)*Data_NFI_t[[#This Row],[Plastic Bucket]],0)</f>
        <v>0</v>
      </c>
      <c r="AF150" s="112">
        <f>IF(NFI_Expiration=1,IF($A150&lt;VLOOKUP(R$5,NFI,5,0),1,0)*Data_NFI_t[[#This Row],[Jerry Can]],0)</f>
        <v>0</v>
      </c>
      <c r="AG150" s="131">
        <f>IF(NFI_Expiration=1,IF($A150&lt;VLOOKUP(S$5,NFI,5,0),1,0)*Data_NFI_t[[#This Row],[Plastic Mat]],0)*IF(Data_NFI_t[[#This Row],[Distribution Date]]&gt;"01-06-2015",1,2.5)</f>
        <v>0</v>
      </c>
      <c r="AH150" s="915">
        <f>IF(NFI_Expiration=1,IF($A150&lt;VLOOKUP(T$5,NFI,5,0),1,0)*Data_NFI_t[[#This Row],[Adult Clothes]],0)</f>
        <v>0</v>
      </c>
      <c r="AI150" s="131">
        <f>IF(NFI_Expiration=1,IF($A150&lt;VLOOKUP(U$5,NFI,5,0),1,0)*Data_NFI_t[[#This Row],[Children Clothes]],0)</f>
        <v>0</v>
      </c>
      <c r="AJ150" s="131">
        <f>IF(NFI_Expiration=1,IF($A150&lt;VLOOKUP(V$5,NFI,5,0),1,0)*Data_NFI_t[[#This Row],[Sewing Kit]],0)</f>
        <v>0</v>
      </c>
      <c r="AK150" s="131" t="str">
        <f ca="1">IFERROR(OFFSET(Camp_List[P_Code],MATCH(Data_NFI_t[[#This Row],[Camp Name]],Camp_List[Camp Name],0)-1,0,1,1),"")</f>
        <v>MMR012CMP098</v>
      </c>
      <c r="AL150" s="513" t="str">
        <f ca="1">IFERROR(OFFSET(Camp_List[Status],MATCH(Data_NFI_t[[#This Row],[Camp Name]],Camp_List[Camp Name],0)-1,0,1,1),"")</f>
        <v>Open</v>
      </c>
      <c r="AM150" s="131"/>
    </row>
    <row r="151" spans="1:39" s="90" customFormat="1" ht="19.5" customHeight="1" x14ac:dyDescent="0.25">
      <c r="A151" s="242">
        <f>IF(ISBLANK(C151),"",(Report_Date-C151)/30)</f>
        <v>38.533333333333331</v>
      </c>
      <c r="B151" s="242">
        <f>YEAR(Data_NFI_t[[#This Row],[Distribution Date]])</f>
        <v>2013</v>
      </c>
      <c r="C151" s="927">
        <v>41639</v>
      </c>
      <c r="D151" s="489" t="s">
        <v>285</v>
      </c>
      <c r="E151" s="488" t="s">
        <v>285</v>
      </c>
      <c r="F151" s="489" t="s">
        <v>7</v>
      </c>
      <c r="G151" s="794" t="s">
        <v>19</v>
      </c>
      <c r="H151" s="794" t="s">
        <v>634</v>
      </c>
      <c r="I151" s="794"/>
      <c r="J151" s="51"/>
      <c r="K151" s="51"/>
      <c r="L151" s="51"/>
      <c r="M151" s="51"/>
      <c r="N151" s="51">
        <v>800</v>
      </c>
      <c r="O151" s="51">
        <v>400</v>
      </c>
      <c r="P151" s="51"/>
      <c r="Q151" s="51">
        <v>400</v>
      </c>
      <c r="R151" s="511"/>
      <c r="S151" s="51">
        <v>800</v>
      </c>
      <c r="T151" s="51"/>
      <c r="U151" s="51"/>
      <c r="V151" s="51"/>
      <c r="W151" s="131">
        <f>IF(NFI_Expiration=1,IF($A151&lt;VLOOKUP(I$5,NFI,5,0),1,0)*Data_NFI_t[[#This Row],[Hygiene Kit]],0)</f>
        <v>0</v>
      </c>
      <c r="X151" s="131">
        <f>IF(NFI_Expiration=1,IF($A151&lt;VLOOKUP(J$5,NFI,5,0),1,0)*Data_NFI_t[[#This Row],[NFI Core Kit]],0)</f>
        <v>0</v>
      </c>
      <c r="Y151" s="112">
        <f>IF(NFI_Expiration=1,IF($A151&lt;VLOOKUP(K$5,NFI,5,0),1,0)*Data_NFI_t[[#This Row],[Sanitary Kit]],0)</f>
        <v>0</v>
      </c>
      <c r="Z151" s="112">
        <f>IF(NFI_Expiration=1,IF($A151&lt;VLOOKUP(L$5,NFI,5,0),1,0)*Data_NFI_t[[#This Row],[Mosquito net]],0)</f>
        <v>0</v>
      </c>
      <c r="AA151" s="112">
        <f>IF(NFI_Expiration=1,IF($A151&lt;VLOOKUP(M$5,NFI,5,0),1,0)*Data_NFI_t[[#This Row],[Tarpaulin]],0)</f>
        <v>0</v>
      </c>
      <c r="AB151" s="112">
        <f>IF(NFI_Expiration=1,IF($A151&lt;VLOOKUP(N$5,NFI,5,0),1,0)*Data_NFI_t[[#This Row],[Blanket]],0)</f>
        <v>0</v>
      </c>
      <c r="AC151" s="112">
        <f>IF(NFI_Expiration=1,IF($A151&lt;VLOOKUP(O$5,NFI,5,0),1,0)*Data_NFI_t[[#This Row],[Kitchen Set]],0)</f>
        <v>0</v>
      </c>
      <c r="AD151" s="112">
        <f>IF(NFI_Expiration=1,IF($A151&lt;VLOOKUP(P$5,NFI,5,0),1,0)*Data_NFI_t[[#This Row],[Complementary Kit]],0)</f>
        <v>0</v>
      </c>
      <c r="AE151" s="112">
        <f>IF(NFI_Expiration=1,IF($A151&lt;VLOOKUP(Q$5,NFI,5,0),1,0)*Data_NFI_t[[#This Row],[Plastic Bucket]],0)</f>
        <v>0</v>
      </c>
      <c r="AF151" s="112">
        <f>IF(NFI_Expiration=1,IF($A151&lt;VLOOKUP(R$5,NFI,5,0),1,0)*Data_NFI_t[[#This Row],[Jerry Can]],0)</f>
        <v>0</v>
      </c>
      <c r="AG151" s="131">
        <f>IF(NFI_Expiration=1,IF($A151&lt;VLOOKUP(S$5,NFI,5,0),1,0)*Data_NFI_t[[#This Row],[Plastic Mat]],0)*IF(Data_NFI_t[[#This Row],[Distribution Date]]&gt;"01-06-2015",1,2.5)</f>
        <v>0</v>
      </c>
      <c r="AH151" s="915">
        <f>IF(NFI_Expiration=1,IF($A151&lt;VLOOKUP(T$5,NFI,5,0),1,0)*Data_NFI_t[[#This Row],[Adult Clothes]],0)</f>
        <v>0</v>
      </c>
      <c r="AI151" s="131">
        <f>IF(NFI_Expiration=1,IF($A151&lt;VLOOKUP(U$5,NFI,5,0),1,0)*Data_NFI_t[[#This Row],[Children Clothes]],0)</f>
        <v>0</v>
      </c>
      <c r="AJ151" s="131">
        <f>IF(NFI_Expiration=1,IF($A151&lt;VLOOKUP(V$5,NFI,5,0),1,0)*Data_NFI_t[[#This Row],[Sewing Kit]],0)</f>
        <v>0</v>
      </c>
      <c r="AK151" s="131" t="str">
        <f ca="1">IFERROR(OFFSET(Camp_List[P_Code],MATCH(Data_NFI_t[[#This Row],[Camp Name]],Camp_List[Camp Name],0)-1,0,1,1),"")</f>
        <v>MMR012CMP098</v>
      </c>
      <c r="AL151" s="513" t="str">
        <f ca="1">IFERROR(OFFSET(Camp_List[Status],MATCH(Data_NFI_t[[#This Row],[Camp Name]],Camp_List[Camp Name],0)-1,0,1,1),"")</f>
        <v>Open</v>
      </c>
      <c r="AM151" s="131"/>
    </row>
    <row r="152" spans="1:39" s="90" customFormat="1" ht="19.5" customHeight="1" x14ac:dyDescent="0.25">
      <c r="A152" s="242">
        <f>IF(ISBLANK(C152),"",(Report_Date-C152)/30)</f>
        <v>38.533333333333331</v>
      </c>
      <c r="B152" s="242">
        <f>YEAR(Data_NFI_t[[#This Row],[Distribution Date]])</f>
        <v>2013</v>
      </c>
      <c r="C152" s="927">
        <v>41639</v>
      </c>
      <c r="D152" s="489" t="s">
        <v>285</v>
      </c>
      <c r="E152" s="488" t="s">
        <v>285</v>
      </c>
      <c r="F152" s="489" t="s">
        <v>7</v>
      </c>
      <c r="G152" s="794" t="s">
        <v>19</v>
      </c>
      <c r="H152" s="794" t="s">
        <v>634</v>
      </c>
      <c r="I152" s="794"/>
      <c r="J152" s="51"/>
      <c r="K152" s="51"/>
      <c r="L152" s="51"/>
      <c r="M152" s="51">
        <v>309</v>
      </c>
      <c r="N152" s="51"/>
      <c r="O152" s="51"/>
      <c r="P152" s="51"/>
      <c r="Q152" s="51"/>
      <c r="R152" s="511"/>
      <c r="S152" s="51"/>
      <c r="T152" s="51"/>
      <c r="U152" s="51"/>
      <c r="V152" s="51"/>
      <c r="W152" s="131">
        <f>IF(NFI_Expiration=1,IF($A152&lt;VLOOKUP(I$5,NFI,5,0),1,0)*Data_NFI_t[[#This Row],[Hygiene Kit]],0)</f>
        <v>0</v>
      </c>
      <c r="X152" s="131">
        <f>IF(NFI_Expiration=1,IF($A152&lt;VLOOKUP(J$5,NFI,5,0),1,0)*Data_NFI_t[[#This Row],[NFI Core Kit]],0)</f>
        <v>0</v>
      </c>
      <c r="Y152" s="112">
        <f>IF(NFI_Expiration=1,IF($A152&lt;VLOOKUP(K$5,NFI,5,0),1,0)*Data_NFI_t[[#This Row],[Sanitary Kit]],0)</f>
        <v>0</v>
      </c>
      <c r="Z152" s="112">
        <f>IF(NFI_Expiration=1,IF($A152&lt;VLOOKUP(L$5,NFI,5,0),1,0)*Data_NFI_t[[#This Row],[Mosquito net]],0)</f>
        <v>0</v>
      </c>
      <c r="AA152" s="112">
        <f>IF(NFI_Expiration=1,IF($A152&lt;VLOOKUP(M$5,NFI,5,0),1,0)*Data_NFI_t[[#This Row],[Tarpaulin]],0)</f>
        <v>0</v>
      </c>
      <c r="AB152" s="112">
        <f>IF(NFI_Expiration=1,IF($A152&lt;VLOOKUP(N$5,NFI,5,0),1,0)*Data_NFI_t[[#This Row],[Blanket]],0)</f>
        <v>0</v>
      </c>
      <c r="AC152" s="112">
        <f>IF(NFI_Expiration=1,IF($A152&lt;VLOOKUP(O$5,NFI,5,0),1,0)*Data_NFI_t[[#This Row],[Kitchen Set]],0)</f>
        <v>0</v>
      </c>
      <c r="AD152" s="112">
        <f>IF(NFI_Expiration=1,IF($A152&lt;VLOOKUP(P$5,NFI,5,0),1,0)*Data_NFI_t[[#This Row],[Complementary Kit]],0)</f>
        <v>0</v>
      </c>
      <c r="AE152" s="112">
        <f>IF(NFI_Expiration=1,IF($A152&lt;VLOOKUP(Q$5,NFI,5,0),1,0)*Data_NFI_t[[#This Row],[Plastic Bucket]],0)</f>
        <v>0</v>
      </c>
      <c r="AF152" s="112">
        <f>IF(NFI_Expiration=1,IF($A152&lt;VLOOKUP(R$5,NFI,5,0),1,0)*Data_NFI_t[[#This Row],[Jerry Can]],0)</f>
        <v>0</v>
      </c>
      <c r="AG152" s="131">
        <f>IF(NFI_Expiration=1,IF($A152&lt;VLOOKUP(S$5,NFI,5,0),1,0)*Data_NFI_t[[#This Row],[Plastic Mat]],0)*IF(Data_NFI_t[[#This Row],[Distribution Date]]&gt;"01-06-2015",1,2.5)</f>
        <v>0</v>
      </c>
      <c r="AH152" s="915">
        <f>IF(NFI_Expiration=1,IF($A152&lt;VLOOKUP(T$5,NFI,5,0),1,0)*Data_NFI_t[[#This Row],[Adult Clothes]],0)</f>
        <v>0</v>
      </c>
      <c r="AI152" s="131">
        <f>IF(NFI_Expiration=1,IF($A152&lt;VLOOKUP(U$5,NFI,5,0),1,0)*Data_NFI_t[[#This Row],[Children Clothes]],0)</f>
        <v>0</v>
      </c>
      <c r="AJ152" s="131">
        <f>IF(NFI_Expiration=1,IF($A152&lt;VLOOKUP(V$5,NFI,5,0),1,0)*Data_NFI_t[[#This Row],[Sewing Kit]],0)</f>
        <v>0</v>
      </c>
      <c r="AK152" s="131" t="str">
        <f ca="1">IFERROR(OFFSET(Camp_List[P_Code],MATCH(Data_NFI_t[[#This Row],[Camp Name]],Camp_List[Camp Name],0)-1,0,1,1),"")</f>
        <v>MMR012CMP098</v>
      </c>
      <c r="AL152" s="513" t="str">
        <f ca="1">IFERROR(OFFSET(Camp_List[Status],MATCH(Data_NFI_t[[#This Row],[Camp Name]],Camp_List[Camp Name],0)-1,0,1,1),"")</f>
        <v>Open</v>
      </c>
      <c r="AM152" s="131"/>
    </row>
    <row r="153" spans="1:39" s="90" customFormat="1" ht="19.5" customHeight="1" x14ac:dyDescent="0.25">
      <c r="A153" s="242">
        <f>IF(ISBLANK(C153),"",(Report_Date-C153)/30)</f>
        <v>39.133333333333333</v>
      </c>
      <c r="B153" s="242">
        <f>YEAR(Data_NFI_t[[#This Row],[Distribution Date]])</f>
        <v>2013</v>
      </c>
      <c r="C153" s="927">
        <v>41621</v>
      </c>
      <c r="D153" s="489" t="s">
        <v>285</v>
      </c>
      <c r="E153" s="488" t="s">
        <v>285</v>
      </c>
      <c r="F153" s="489" t="s">
        <v>7</v>
      </c>
      <c r="G153" s="794" t="s">
        <v>14</v>
      </c>
      <c r="H153" s="794" t="s">
        <v>41</v>
      </c>
      <c r="I153" s="794"/>
      <c r="J153" s="51"/>
      <c r="K153" s="51"/>
      <c r="L153" s="51">
        <v>1966</v>
      </c>
      <c r="M153" s="51"/>
      <c r="N153" s="51">
        <v>1966</v>
      </c>
      <c r="O153" s="51">
        <v>983</v>
      </c>
      <c r="P153" s="51">
        <v>983</v>
      </c>
      <c r="Q153" s="51">
        <v>983</v>
      </c>
      <c r="R153" s="511"/>
      <c r="S153" s="51">
        <v>1966</v>
      </c>
      <c r="T153" s="51"/>
      <c r="U153" s="51"/>
      <c r="V153" s="51"/>
      <c r="W153" s="131">
        <f>IF(NFI_Expiration=1,IF($A153&lt;VLOOKUP(I$5,NFI,5,0),1,0)*Data_NFI_t[[#This Row],[Hygiene Kit]],0)</f>
        <v>0</v>
      </c>
      <c r="X153" s="131">
        <f>IF(NFI_Expiration=1,IF($A153&lt;VLOOKUP(J$5,NFI,5,0),1,0)*Data_NFI_t[[#This Row],[NFI Core Kit]],0)</f>
        <v>0</v>
      </c>
      <c r="Y153" s="112">
        <f>IF(NFI_Expiration=1,IF($A153&lt;VLOOKUP(K$5,NFI,5,0),1,0)*Data_NFI_t[[#This Row],[Sanitary Kit]],0)</f>
        <v>0</v>
      </c>
      <c r="Z153" s="112">
        <f>IF(NFI_Expiration=1,IF($A153&lt;VLOOKUP(L$5,NFI,5,0),1,0)*Data_NFI_t[[#This Row],[Mosquito net]],0)</f>
        <v>0</v>
      </c>
      <c r="AA153" s="112">
        <f>IF(NFI_Expiration=1,IF($A153&lt;VLOOKUP(M$5,NFI,5,0),1,0)*Data_NFI_t[[#This Row],[Tarpaulin]],0)</f>
        <v>0</v>
      </c>
      <c r="AB153" s="112">
        <f>IF(NFI_Expiration=1,IF($A153&lt;VLOOKUP(N$5,NFI,5,0),1,0)*Data_NFI_t[[#This Row],[Blanket]],0)</f>
        <v>0</v>
      </c>
      <c r="AC153" s="112">
        <f>IF(NFI_Expiration=1,IF($A153&lt;VLOOKUP(O$5,NFI,5,0),1,0)*Data_NFI_t[[#This Row],[Kitchen Set]],0)</f>
        <v>0</v>
      </c>
      <c r="AD153" s="112">
        <f>IF(NFI_Expiration=1,IF($A153&lt;VLOOKUP(P$5,NFI,5,0),1,0)*Data_NFI_t[[#This Row],[Complementary Kit]],0)</f>
        <v>0</v>
      </c>
      <c r="AE153" s="112">
        <f>IF(NFI_Expiration=1,IF($A153&lt;VLOOKUP(Q$5,NFI,5,0),1,0)*Data_NFI_t[[#This Row],[Plastic Bucket]],0)</f>
        <v>0</v>
      </c>
      <c r="AF153" s="112">
        <f>IF(NFI_Expiration=1,IF($A153&lt;VLOOKUP(R$5,NFI,5,0),1,0)*Data_NFI_t[[#This Row],[Jerry Can]],0)</f>
        <v>0</v>
      </c>
      <c r="AG153" s="131">
        <f>IF(NFI_Expiration=1,IF($A153&lt;VLOOKUP(S$5,NFI,5,0),1,0)*Data_NFI_t[[#This Row],[Plastic Mat]],0)*IF(Data_NFI_t[[#This Row],[Distribution Date]]&gt;"01-06-2015",1,2.5)</f>
        <v>0</v>
      </c>
      <c r="AH153" s="915">
        <f>IF(NFI_Expiration=1,IF($A153&lt;VLOOKUP(T$5,NFI,5,0),1,0)*Data_NFI_t[[#This Row],[Adult Clothes]],0)</f>
        <v>0</v>
      </c>
      <c r="AI153" s="131">
        <f>IF(NFI_Expiration=1,IF($A153&lt;VLOOKUP(U$5,NFI,5,0),1,0)*Data_NFI_t[[#This Row],[Children Clothes]],0)</f>
        <v>0</v>
      </c>
      <c r="AJ153" s="131">
        <f>IF(NFI_Expiration=1,IF($A153&lt;VLOOKUP(V$5,NFI,5,0),1,0)*Data_NFI_t[[#This Row],[Sewing Kit]],0)</f>
        <v>0</v>
      </c>
      <c r="AK153" s="131" t="str">
        <f ca="1">IFERROR(OFFSET(Camp_List[P_Code],MATCH(Data_NFI_t[[#This Row],[Camp Name]],Camp_List[Camp Name],0)-1,0,1,1),"")</f>
        <v/>
      </c>
      <c r="AL153" s="513" t="str">
        <f ca="1">IFERROR(OFFSET(Camp_List[Status],MATCH(Data_NFI_t[[#This Row],[Camp Name]],Camp_List[Camp Name],0)-1,0,1,1),"")</f>
        <v/>
      </c>
      <c r="AM153" s="131"/>
    </row>
    <row r="154" spans="1:39" s="90" customFormat="1" ht="19.5" customHeight="1" x14ac:dyDescent="0.25">
      <c r="A154" s="242">
        <f>IF(ISBLANK(C154),"",(Report_Date-C154)/30)</f>
        <v>39.133333333333333</v>
      </c>
      <c r="B154" s="242">
        <f>YEAR(Data_NFI_t[[#This Row],[Distribution Date]])</f>
        <v>2013</v>
      </c>
      <c r="C154" s="927">
        <v>41621</v>
      </c>
      <c r="D154" s="489" t="s">
        <v>285</v>
      </c>
      <c r="E154" s="488" t="s">
        <v>285</v>
      </c>
      <c r="F154" s="489" t="s">
        <v>7</v>
      </c>
      <c r="G154" s="794" t="s">
        <v>14</v>
      </c>
      <c r="H154" s="794" t="s">
        <v>43</v>
      </c>
      <c r="I154" s="794"/>
      <c r="J154" s="51"/>
      <c r="K154" s="51"/>
      <c r="L154" s="51">
        <v>807</v>
      </c>
      <c r="M154" s="51">
        <v>203</v>
      </c>
      <c r="N154" s="51"/>
      <c r="O154" s="51"/>
      <c r="P154" s="51">
        <v>807</v>
      </c>
      <c r="Q154" s="51"/>
      <c r="R154" s="511"/>
      <c r="S154" s="51"/>
      <c r="T154" s="51"/>
      <c r="U154" s="51"/>
      <c r="V154" s="51"/>
      <c r="W154" s="131">
        <f>IF(NFI_Expiration=1,IF($A154&lt;VLOOKUP(I$5,NFI,5,0),1,0)*Data_NFI_t[[#This Row],[Hygiene Kit]],0)</f>
        <v>0</v>
      </c>
      <c r="X154" s="131">
        <f>IF(NFI_Expiration=1,IF($A154&lt;VLOOKUP(J$5,NFI,5,0),1,0)*Data_NFI_t[[#This Row],[NFI Core Kit]],0)</f>
        <v>0</v>
      </c>
      <c r="Y154" s="112">
        <f>IF(NFI_Expiration=1,IF($A154&lt;VLOOKUP(K$5,NFI,5,0),1,0)*Data_NFI_t[[#This Row],[Sanitary Kit]],0)</f>
        <v>0</v>
      </c>
      <c r="Z154" s="112">
        <f>IF(NFI_Expiration=1,IF($A154&lt;VLOOKUP(L$5,NFI,5,0),1,0)*Data_NFI_t[[#This Row],[Mosquito net]],0)</f>
        <v>0</v>
      </c>
      <c r="AA154" s="112">
        <f>IF(NFI_Expiration=1,IF($A154&lt;VLOOKUP(M$5,NFI,5,0),1,0)*Data_NFI_t[[#This Row],[Tarpaulin]],0)</f>
        <v>0</v>
      </c>
      <c r="AB154" s="112">
        <f>IF(NFI_Expiration=1,IF($A154&lt;VLOOKUP(N$5,NFI,5,0),1,0)*Data_NFI_t[[#This Row],[Blanket]],0)</f>
        <v>0</v>
      </c>
      <c r="AC154" s="112">
        <f>IF(NFI_Expiration=1,IF($A154&lt;VLOOKUP(O$5,NFI,5,0),1,0)*Data_NFI_t[[#This Row],[Kitchen Set]],0)</f>
        <v>0</v>
      </c>
      <c r="AD154" s="112">
        <f>IF(NFI_Expiration=1,IF($A154&lt;VLOOKUP(P$5,NFI,5,0),1,0)*Data_NFI_t[[#This Row],[Complementary Kit]],0)</f>
        <v>0</v>
      </c>
      <c r="AE154" s="112">
        <f>IF(NFI_Expiration=1,IF($A154&lt;VLOOKUP(Q$5,NFI,5,0),1,0)*Data_NFI_t[[#This Row],[Plastic Bucket]],0)</f>
        <v>0</v>
      </c>
      <c r="AF154" s="112">
        <f>IF(NFI_Expiration=1,IF($A154&lt;VLOOKUP(R$5,NFI,5,0),1,0)*Data_NFI_t[[#This Row],[Jerry Can]],0)</f>
        <v>0</v>
      </c>
      <c r="AG154" s="131">
        <f>IF(NFI_Expiration=1,IF($A154&lt;VLOOKUP(S$5,NFI,5,0),1,0)*Data_NFI_t[[#This Row],[Plastic Mat]],0)*IF(Data_NFI_t[[#This Row],[Distribution Date]]&gt;"01-06-2015",1,2.5)</f>
        <v>0</v>
      </c>
      <c r="AH154" s="915">
        <f>IF(NFI_Expiration=1,IF($A154&lt;VLOOKUP(T$5,NFI,5,0),1,0)*Data_NFI_t[[#This Row],[Adult Clothes]],0)</f>
        <v>0</v>
      </c>
      <c r="AI154" s="131">
        <f>IF(NFI_Expiration=1,IF($A154&lt;VLOOKUP(U$5,NFI,5,0),1,0)*Data_NFI_t[[#This Row],[Children Clothes]],0)</f>
        <v>0</v>
      </c>
      <c r="AJ154" s="131">
        <f>IF(NFI_Expiration=1,IF($A154&lt;VLOOKUP(V$5,NFI,5,0),1,0)*Data_NFI_t[[#This Row],[Sewing Kit]],0)</f>
        <v>0</v>
      </c>
      <c r="AK154" s="131" t="str">
        <f ca="1">IFERROR(OFFSET(Camp_List[P_Code],MATCH(Data_NFI_t[[#This Row],[Camp Name]],Camp_List[Camp Name],0)-1,0,1,1),"")</f>
        <v>MMR012CMP019</v>
      </c>
      <c r="AL154" s="513" t="str">
        <f ca="1">IFERROR(OFFSET(Camp_List[Status],MATCH(Data_NFI_t[[#This Row],[Camp Name]],Camp_List[Camp Name],0)-1,0,1,1),"")</f>
        <v>Open</v>
      </c>
      <c r="AM154" s="131"/>
    </row>
    <row r="155" spans="1:39" s="90" customFormat="1" ht="19.5" customHeight="1" x14ac:dyDescent="0.25">
      <c r="A155" s="242">
        <f>IF(ISBLANK(C155),"",(Report_Date-C155)/30)</f>
        <v>39.166666666666664</v>
      </c>
      <c r="B155" s="242">
        <f>YEAR(Data_NFI_t[[#This Row],[Distribution Date]])</f>
        <v>2013</v>
      </c>
      <c r="C155" s="927">
        <v>41620</v>
      </c>
      <c r="D155" s="489" t="s">
        <v>707</v>
      </c>
      <c r="E155" s="488" t="s">
        <v>707</v>
      </c>
      <c r="F155" s="489" t="s">
        <v>7</v>
      </c>
      <c r="G155" s="794" t="s">
        <v>867</v>
      </c>
      <c r="H155" s="794" t="s">
        <v>38</v>
      </c>
      <c r="I155" s="794">
        <v>743</v>
      </c>
      <c r="J155" s="51"/>
      <c r="K155" s="51"/>
      <c r="L155" s="51">
        <v>743</v>
      </c>
      <c r="M155" s="51"/>
      <c r="N155" s="51">
        <v>743</v>
      </c>
      <c r="O155" s="51"/>
      <c r="P155" s="51"/>
      <c r="Q155" s="51">
        <v>743</v>
      </c>
      <c r="R155" s="511"/>
      <c r="S155" s="51"/>
      <c r="T155" s="51"/>
      <c r="U155" s="51"/>
      <c r="V155" s="51"/>
      <c r="W155" s="131">
        <f>IF(NFI_Expiration=1,IF($A155&lt;VLOOKUP(I$5,NFI,5,0),1,0)*Data_NFI_t[[#This Row],[Hygiene Kit]],0)</f>
        <v>0</v>
      </c>
      <c r="X155" s="131">
        <f>IF(NFI_Expiration=1,IF($A155&lt;VLOOKUP(J$5,NFI,5,0),1,0)*Data_NFI_t[[#This Row],[NFI Core Kit]],0)</f>
        <v>0</v>
      </c>
      <c r="Y155" s="112">
        <f>IF(NFI_Expiration=1,IF($A155&lt;VLOOKUP(K$5,NFI,5,0),1,0)*Data_NFI_t[[#This Row],[Sanitary Kit]],0)</f>
        <v>0</v>
      </c>
      <c r="Z155" s="112">
        <f>IF(NFI_Expiration=1,IF($A155&lt;VLOOKUP(L$5,NFI,5,0),1,0)*Data_NFI_t[[#This Row],[Mosquito net]],0)</f>
        <v>0</v>
      </c>
      <c r="AA155" s="112">
        <f>IF(NFI_Expiration=1,IF($A155&lt;VLOOKUP(M$5,NFI,5,0),1,0)*Data_NFI_t[[#This Row],[Tarpaulin]],0)</f>
        <v>0</v>
      </c>
      <c r="AB155" s="112">
        <f>IF(NFI_Expiration=1,IF($A155&lt;VLOOKUP(N$5,NFI,5,0),1,0)*Data_NFI_t[[#This Row],[Blanket]],0)</f>
        <v>0</v>
      </c>
      <c r="AC155" s="112">
        <f>IF(NFI_Expiration=1,IF($A155&lt;VLOOKUP(O$5,NFI,5,0),1,0)*Data_NFI_t[[#This Row],[Kitchen Set]],0)</f>
        <v>0</v>
      </c>
      <c r="AD155" s="112">
        <f>IF(NFI_Expiration=1,IF($A155&lt;VLOOKUP(P$5,NFI,5,0),1,0)*Data_NFI_t[[#This Row],[Complementary Kit]],0)</f>
        <v>0</v>
      </c>
      <c r="AE155" s="112">
        <f>IF(NFI_Expiration=1,IF($A155&lt;VLOOKUP(Q$5,NFI,5,0),1,0)*Data_NFI_t[[#This Row],[Plastic Bucket]],0)</f>
        <v>0</v>
      </c>
      <c r="AF155" s="112">
        <f>IF(NFI_Expiration=1,IF($A155&lt;VLOOKUP(R$5,NFI,5,0),1,0)*Data_NFI_t[[#This Row],[Jerry Can]],0)</f>
        <v>0</v>
      </c>
      <c r="AG155" s="131">
        <f>IF(NFI_Expiration=1,IF($A155&lt;VLOOKUP(S$5,NFI,5,0),1,0)*Data_NFI_t[[#This Row],[Plastic Mat]],0)*IF(Data_NFI_t[[#This Row],[Distribution Date]]&gt;"01-06-2015",1,2.5)</f>
        <v>0</v>
      </c>
      <c r="AH155" s="915">
        <f>IF(NFI_Expiration=1,IF($A155&lt;VLOOKUP(T$5,NFI,5,0),1,0)*Data_NFI_t[[#This Row],[Adult Clothes]],0)</f>
        <v>0</v>
      </c>
      <c r="AI155" s="131">
        <f>IF(NFI_Expiration=1,IF($A155&lt;VLOOKUP(U$5,NFI,5,0),1,0)*Data_NFI_t[[#This Row],[Children Clothes]],0)</f>
        <v>0</v>
      </c>
      <c r="AJ155" s="131">
        <f>IF(NFI_Expiration=1,IF($A155&lt;VLOOKUP(V$5,NFI,5,0),1,0)*Data_NFI_t[[#This Row],[Sewing Kit]],0)</f>
        <v>0</v>
      </c>
      <c r="AK155" s="131" t="str">
        <f ca="1">IFERROR(OFFSET(Camp_List[P_Code],MATCH(Data_NFI_t[[#This Row],[Camp Name]],Camp_List[Camp Name],0)-1,0,1,1),"")</f>
        <v>MMR012CMP014</v>
      </c>
      <c r="AL155" s="513" t="str">
        <f ca="1">IFERROR(OFFSET(Camp_List[Status],MATCH(Data_NFI_t[[#This Row],[Camp Name]],Camp_List[Camp Name],0)-1,0,1,1),"")</f>
        <v>Open</v>
      </c>
      <c r="AM155" s="131"/>
    </row>
    <row r="156" spans="1:39" s="90" customFormat="1" ht="19.5" customHeight="1" x14ac:dyDescent="0.25">
      <c r="A156" s="242">
        <f>IF(ISBLANK(C156),"",(Report_Date-C156)/30)</f>
        <v>39.4</v>
      </c>
      <c r="B156" s="242">
        <f>YEAR(Data_NFI_t[[#This Row],[Distribution Date]])</f>
        <v>2013</v>
      </c>
      <c r="C156" s="927">
        <v>41613</v>
      </c>
      <c r="D156" s="489" t="s">
        <v>285</v>
      </c>
      <c r="E156" s="488" t="s">
        <v>285</v>
      </c>
      <c r="F156" s="489" t="s">
        <v>7</v>
      </c>
      <c r="G156" s="794" t="s">
        <v>19</v>
      </c>
      <c r="H156" s="794" t="s">
        <v>635</v>
      </c>
      <c r="I156" s="794"/>
      <c r="J156" s="51"/>
      <c r="K156" s="51"/>
      <c r="L156" s="51">
        <v>2400</v>
      </c>
      <c r="M156" s="51"/>
      <c r="N156" s="51">
        <v>2400</v>
      </c>
      <c r="O156" s="51">
        <v>1200</v>
      </c>
      <c r="P156" s="51"/>
      <c r="Q156" s="51">
        <v>1200</v>
      </c>
      <c r="R156" s="511"/>
      <c r="S156" s="51">
        <v>6000</v>
      </c>
      <c r="T156" s="51"/>
      <c r="U156" s="51"/>
      <c r="V156" s="51"/>
      <c r="W156" s="131">
        <f>IF(NFI_Expiration=1,IF($A156&lt;VLOOKUP(I$5,NFI,5,0),1,0)*Data_NFI_t[[#This Row],[Hygiene Kit]],0)</f>
        <v>0</v>
      </c>
      <c r="X156" s="131">
        <f>IF(NFI_Expiration=1,IF($A156&lt;VLOOKUP(J$5,NFI,5,0),1,0)*Data_NFI_t[[#This Row],[NFI Core Kit]],0)</f>
        <v>0</v>
      </c>
      <c r="Y156" s="112">
        <f>IF(NFI_Expiration=1,IF($A156&lt;VLOOKUP(K$5,NFI,5,0),1,0)*Data_NFI_t[[#This Row],[Sanitary Kit]],0)</f>
        <v>0</v>
      </c>
      <c r="Z156" s="112">
        <f>IF(NFI_Expiration=1,IF($A156&lt;VLOOKUP(L$5,NFI,5,0),1,0)*Data_NFI_t[[#This Row],[Mosquito net]],0)</f>
        <v>0</v>
      </c>
      <c r="AA156" s="112">
        <f>IF(NFI_Expiration=1,IF($A156&lt;VLOOKUP(M$5,NFI,5,0),1,0)*Data_NFI_t[[#This Row],[Tarpaulin]],0)</f>
        <v>0</v>
      </c>
      <c r="AB156" s="112">
        <f>IF(NFI_Expiration=1,IF($A156&lt;VLOOKUP(N$5,NFI,5,0),1,0)*Data_NFI_t[[#This Row],[Blanket]],0)</f>
        <v>0</v>
      </c>
      <c r="AC156" s="112">
        <f>IF(NFI_Expiration=1,IF($A156&lt;VLOOKUP(O$5,NFI,5,0),1,0)*Data_NFI_t[[#This Row],[Kitchen Set]],0)</f>
        <v>0</v>
      </c>
      <c r="AD156" s="112">
        <f>IF(NFI_Expiration=1,IF($A156&lt;VLOOKUP(P$5,NFI,5,0),1,0)*Data_NFI_t[[#This Row],[Complementary Kit]],0)</f>
        <v>0</v>
      </c>
      <c r="AE156" s="112">
        <f>IF(NFI_Expiration=1,IF($A156&lt;VLOOKUP(Q$5,NFI,5,0),1,0)*Data_NFI_t[[#This Row],[Plastic Bucket]],0)</f>
        <v>0</v>
      </c>
      <c r="AF156" s="112">
        <f>IF(NFI_Expiration=1,IF($A156&lt;VLOOKUP(R$5,NFI,5,0),1,0)*Data_NFI_t[[#This Row],[Jerry Can]],0)</f>
        <v>0</v>
      </c>
      <c r="AG156" s="131">
        <f>IF(NFI_Expiration=1,IF($A156&lt;VLOOKUP(S$5,NFI,5,0),1,0)*Data_NFI_t[[#This Row],[Plastic Mat]],0)*IF(Data_NFI_t[[#This Row],[Distribution Date]]&gt;"01-06-2015",1,2.5)</f>
        <v>0</v>
      </c>
      <c r="AH156" s="915">
        <f>IF(NFI_Expiration=1,IF($A156&lt;VLOOKUP(T$5,NFI,5,0),1,0)*Data_NFI_t[[#This Row],[Adult Clothes]],0)</f>
        <v>0</v>
      </c>
      <c r="AI156" s="131">
        <f>IF(NFI_Expiration=1,IF($A156&lt;VLOOKUP(U$5,NFI,5,0),1,0)*Data_NFI_t[[#This Row],[Children Clothes]],0)</f>
        <v>0</v>
      </c>
      <c r="AJ156" s="131">
        <f>IF(NFI_Expiration=1,IF($A156&lt;VLOOKUP(V$5,NFI,5,0),1,0)*Data_NFI_t[[#This Row],[Sewing Kit]],0)</f>
        <v>0</v>
      </c>
      <c r="AK156" s="131" t="str">
        <f ca="1">IFERROR(OFFSET(Camp_List[P_Code],MATCH(Data_NFI_t[[#This Row],[Camp Name]],Camp_List[Camp Name],0)-1,0,1,1),"")</f>
        <v>MMR012CMP115</v>
      </c>
      <c r="AL156" s="513" t="str">
        <f ca="1">IFERROR(OFFSET(Camp_List[Status],MATCH(Data_NFI_t[[#This Row],[Camp Name]],Camp_List[Camp Name],0)-1,0,1,1),"")</f>
        <v>Open</v>
      </c>
      <c r="AM156" s="131"/>
    </row>
    <row r="157" spans="1:39" s="90" customFormat="1" ht="19.5" customHeight="1" x14ac:dyDescent="0.25">
      <c r="A157" s="242">
        <f>IF(ISBLANK(C157),"",(Report_Date-C157)/30)</f>
        <v>39.4</v>
      </c>
      <c r="B157" s="242">
        <f>YEAR(Data_NFI_t[[#This Row],[Distribution Date]])</f>
        <v>2013</v>
      </c>
      <c r="C157" s="927">
        <v>41613</v>
      </c>
      <c r="D157" s="489" t="s">
        <v>285</v>
      </c>
      <c r="E157" s="488" t="s">
        <v>285</v>
      </c>
      <c r="F157" s="489" t="s">
        <v>7</v>
      </c>
      <c r="G157" s="794" t="s">
        <v>19</v>
      </c>
      <c r="H157" s="794" t="s">
        <v>635</v>
      </c>
      <c r="I157" s="794"/>
      <c r="J157" s="51"/>
      <c r="K157" s="51"/>
      <c r="L157" s="51"/>
      <c r="M157" s="51">
        <v>33</v>
      </c>
      <c r="N157" s="51"/>
      <c r="O157" s="51"/>
      <c r="P157" s="51"/>
      <c r="Q157" s="51"/>
      <c r="R157" s="511"/>
      <c r="S157" s="51"/>
      <c r="T157" s="51"/>
      <c r="U157" s="51"/>
      <c r="V157" s="51"/>
      <c r="W157" s="131">
        <f>IF(NFI_Expiration=1,IF($A157&lt;VLOOKUP(I$5,NFI,5,0),1,0)*Data_NFI_t[[#This Row],[Hygiene Kit]],0)</f>
        <v>0</v>
      </c>
      <c r="X157" s="131">
        <f>IF(NFI_Expiration=1,IF($A157&lt;VLOOKUP(J$5,NFI,5,0),1,0)*Data_NFI_t[[#This Row],[NFI Core Kit]],0)</f>
        <v>0</v>
      </c>
      <c r="Y157" s="112">
        <f>IF(NFI_Expiration=1,IF($A157&lt;VLOOKUP(K$5,NFI,5,0),1,0)*Data_NFI_t[[#This Row],[Sanitary Kit]],0)</f>
        <v>0</v>
      </c>
      <c r="Z157" s="112">
        <f>IF(NFI_Expiration=1,IF($A157&lt;VLOOKUP(L$5,NFI,5,0),1,0)*Data_NFI_t[[#This Row],[Mosquito net]],0)</f>
        <v>0</v>
      </c>
      <c r="AA157" s="112">
        <f>IF(NFI_Expiration=1,IF($A157&lt;VLOOKUP(M$5,NFI,5,0),1,0)*Data_NFI_t[[#This Row],[Tarpaulin]],0)</f>
        <v>0</v>
      </c>
      <c r="AB157" s="112">
        <f>IF(NFI_Expiration=1,IF($A157&lt;VLOOKUP(N$5,NFI,5,0),1,0)*Data_NFI_t[[#This Row],[Blanket]],0)</f>
        <v>0</v>
      </c>
      <c r="AC157" s="112">
        <f>IF(NFI_Expiration=1,IF($A157&lt;VLOOKUP(O$5,NFI,5,0),1,0)*Data_NFI_t[[#This Row],[Kitchen Set]],0)</f>
        <v>0</v>
      </c>
      <c r="AD157" s="112">
        <f>IF(NFI_Expiration=1,IF($A157&lt;VLOOKUP(P$5,NFI,5,0),1,0)*Data_NFI_t[[#This Row],[Complementary Kit]],0)</f>
        <v>0</v>
      </c>
      <c r="AE157" s="112">
        <f>IF(NFI_Expiration=1,IF($A157&lt;VLOOKUP(Q$5,NFI,5,0),1,0)*Data_NFI_t[[#This Row],[Plastic Bucket]],0)</f>
        <v>0</v>
      </c>
      <c r="AF157" s="112">
        <f>IF(NFI_Expiration=1,IF($A157&lt;VLOOKUP(R$5,NFI,5,0),1,0)*Data_NFI_t[[#This Row],[Jerry Can]],0)</f>
        <v>0</v>
      </c>
      <c r="AG157" s="131">
        <f>IF(NFI_Expiration=1,IF($A157&lt;VLOOKUP(S$5,NFI,5,0),1,0)*Data_NFI_t[[#This Row],[Plastic Mat]],0)*IF(Data_NFI_t[[#This Row],[Distribution Date]]&gt;"01-06-2015",1,2.5)</f>
        <v>0</v>
      </c>
      <c r="AH157" s="915">
        <f>IF(NFI_Expiration=1,IF($A157&lt;VLOOKUP(T$5,NFI,5,0),1,0)*Data_NFI_t[[#This Row],[Adult Clothes]],0)</f>
        <v>0</v>
      </c>
      <c r="AI157" s="131">
        <f>IF(NFI_Expiration=1,IF($A157&lt;VLOOKUP(U$5,NFI,5,0),1,0)*Data_NFI_t[[#This Row],[Children Clothes]],0)</f>
        <v>0</v>
      </c>
      <c r="AJ157" s="131">
        <f>IF(NFI_Expiration=1,IF($A157&lt;VLOOKUP(V$5,NFI,5,0),1,0)*Data_NFI_t[[#This Row],[Sewing Kit]],0)</f>
        <v>0</v>
      </c>
      <c r="AK157" s="131" t="str">
        <f ca="1">IFERROR(OFFSET(Camp_List[P_Code],MATCH(Data_NFI_t[[#This Row],[Camp Name]],Camp_List[Camp Name],0)-1,0,1,1),"")</f>
        <v>MMR012CMP115</v>
      </c>
      <c r="AL157" s="513" t="str">
        <f ca="1">IFERROR(OFFSET(Camp_List[Status],MATCH(Data_NFI_t[[#This Row],[Camp Name]],Camp_List[Camp Name],0)-1,0,1,1),"")</f>
        <v>Open</v>
      </c>
      <c r="AM157" s="131"/>
    </row>
    <row r="158" spans="1:39" s="90" customFormat="1" ht="19.5" customHeight="1" x14ac:dyDescent="0.25">
      <c r="A158" s="242">
        <f>IF(ISBLANK(C158),"",(Report_Date-C158)/30)</f>
        <v>39.93333333333333</v>
      </c>
      <c r="B158" s="242">
        <f>YEAR(Data_NFI_t[[#This Row],[Distribution Date]])</f>
        <v>2013</v>
      </c>
      <c r="C158" s="927">
        <v>41597</v>
      </c>
      <c r="D158" s="489" t="s">
        <v>624</v>
      </c>
      <c r="E158" s="488" t="s">
        <v>624</v>
      </c>
      <c r="F158" s="489" t="s">
        <v>7</v>
      </c>
      <c r="G158" s="794" t="s">
        <v>19</v>
      </c>
      <c r="H158" s="794" t="s">
        <v>636</v>
      </c>
      <c r="I158" s="794"/>
      <c r="J158" s="51">
        <v>731</v>
      </c>
      <c r="K158" s="51"/>
      <c r="L158" s="51"/>
      <c r="M158" s="51"/>
      <c r="N158" s="51"/>
      <c r="O158" s="51"/>
      <c r="P158" s="51"/>
      <c r="Q158" s="51"/>
      <c r="R158" s="511"/>
      <c r="S158" s="51"/>
      <c r="T158" s="51"/>
      <c r="U158" s="51"/>
      <c r="V158" s="51"/>
      <c r="W158" s="131">
        <f>IF(NFI_Expiration=1,IF($A158&lt;VLOOKUP(I$5,NFI,5,0),1,0)*Data_NFI_t[[#This Row],[Hygiene Kit]],0)</f>
        <v>0</v>
      </c>
      <c r="X158" s="131">
        <f>IF(NFI_Expiration=1,IF($A158&lt;VLOOKUP(J$5,NFI,5,0),1,0)*Data_NFI_t[[#This Row],[NFI Core Kit]],0)</f>
        <v>0</v>
      </c>
      <c r="Y158" s="112">
        <f>IF(NFI_Expiration=1,IF($A158&lt;VLOOKUP(K$5,NFI,5,0),1,0)*Data_NFI_t[[#This Row],[Sanitary Kit]],0)</f>
        <v>0</v>
      </c>
      <c r="Z158" s="112">
        <f>IF(NFI_Expiration=1,IF($A158&lt;VLOOKUP(L$5,NFI,5,0),1,0)*Data_NFI_t[[#This Row],[Mosquito net]],0)</f>
        <v>0</v>
      </c>
      <c r="AA158" s="112">
        <f>IF(NFI_Expiration=1,IF($A158&lt;VLOOKUP(M$5,NFI,5,0),1,0)*Data_NFI_t[[#This Row],[Tarpaulin]],0)</f>
        <v>0</v>
      </c>
      <c r="AB158" s="112">
        <f>IF(NFI_Expiration=1,IF($A158&lt;VLOOKUP(N$5,NFI,5,0),1,0)*Data_NFI_t[[#This Row],[Blanket]],0)</f>
        <v>0</v>
      </c>
      <c r="AC158" s="112">
        <f>IF(NFI_Expiration=1,IF($A158&lt;VLOOKUP(O$5,NFI,5,0),1,0)*Data_NFI_t[[#This Row],[Kitchen Set]],0)</f>
        <v>0</v>
      </c>
      <c r="AD158" s="112">
        <f>IF(NFI_Expiration=1,IF($A158&lt;VLOOKUP(P$5,NFI,5,0),1,0)*Data_NFI_t[[#This Row],[Complementary Kit]],0)</f>
        <v>0</v>
      </c>
      <c r="AE158" s="112">
        <f>IF(NFI_Expiration=1,IF($A158&lt;VLOOKUP(Q$5,NFI,5,0),1,0)*Data_NFI_t[[#This Row],[Plastic Bucket]],0)</f>
        <v>0</v>
      </c>
      <c r="AF158" s="112">
        <f>IF(NFI_Expiration=1,IF($A158&lt;VLOOKUP(R$5,NFI,5,0),1,0)*Data_NFI_t[[#This Row],[Jerry Can]],0)</f>
        <v>0</v>
      </c>
      <c r="AG158" s="131">
        <f>IF(NFI_Expiration=1,IF($A158&lt;VLOOKUP(S$5,NFI,5,0),1,0)*Data_NFI_t[[#This Row],[Plastic Mat]],0)*IF(Data_NFI_t[[#This Row],[Distribution Date]]&gt;"01-06-2015",1,2.5)</f>
        <v>0</v>
      </c>
      <c r="AH158" s="915">
        <f>IF(NFI_Expiration=1,IF($A158&lt;VLOOKUP(T$5,NFI,5,0),1,0)*Data_NFI_t[[#This Row],[Adult Clothes]],0)</f>
        <v>0</v>
      </c>
      <c r="AI158" s="131">
        <f>IF(NFI_Expiration=1,IF($A158&lt;VLOOKUP(U$5,NFI,5,0),1,0)*Data_NFI_t[[#This Row],[Children Clothes]],0)</f>
        <v>0</v>
      </c>
      <c r="AJ158" s="131">
        <f>IF(NFI_Expiration=1,IF($A158&lt;VLOOKUP(V$5,NFI,5,0),1,0)*Data_NFI_t[[#This Row],[Sewing Kit]],0)</f>
        <v>0</v>
      </c>
      <c r="AK158" s="131" t="str">
        <f ca="1">IFERROR(OFFSET(Camp_List[P_Code],MATCH(Data_NFI_t[[#This Row],[Camp Name]],Camp_List[Camp Name],0)-1,0,1,1),"")</f>
        <v>MMR012CMP116</v>
      </c>
      <c r="AL158" s="513" t="str">
        <f ca="1">IFERROR(OFFSET(Camp_List[Status],MATCH(Data_NFI_t[[#This Row],[Camp Name]],Camp_List[Camp Name],0)-1,0,1,1),"")</f>
        <v>Open</v>
      </c>
      <c r="AM158" s="131"/>
    </row>
    <row r="159" spans="1:39" s="90" customFormat="1" ht="19.5" customHeight="1" x14ac:dyDescent="0.25">
      <c r="A159" s="242">
        <f>IF(ISBLANK(C159),"",(Report_Date-C159)/30)</f>
        <v>40.1</v>
      </c>
      <c r="B159" s="242">
        <f>YEAR(Data_NFI_t[[#This Row],[Distribution Date]])</f>
        <v>2013</v>
      </c>
      <c r="C159" s="927">
        <v>41592</v>
      </c>
      <c r="D159" s="489" t="s">
        <v>624</v>
      </c>
      <c r="E159" s="488" t="s">
        <v>624</v>
      </c>
      <c r="F159" s="489" t="s">
        <v>7</v>
      </c>
      <c r="G159" s="794" t="s">
        <v>19</v>
      </c>
      <c r="H159" s="794" t="s">
        <v>636</v>
      </c>
      <c r="I159" s="794"/>
      <c r="J159" s="51">
        <v>264</v>
      </c>
      <c r="K159" s="51"/>
      <c r="L159" s="51"/>
      <c r="M159" s="51"/>
      <c r="N159" s="51"/>
      <c r="O159" s="51"/>
      <c r="P159" s="51"/>
      <c r="Q159" s="51"/>
      <c r="R159" s="511"/>
      <c r="S159" s="51"/>
      <c r="T159" s="51"/>
      <c r="U159" s="51"/>
      <c r="V159" s="51"/>
      <c r="W159" s="131">
        <f>IF(NFI_Expiration=1,IF($A159&lt;VLOOKUP(I$5,NFI,5,0),1,0)*Data_NFI_t[[#This Row],[Hygiene Kit]],0)</f>
        <v>0</v>
      </c>
      <c r="X159" s="131">
        <f>IF(NFI_Expiration=1,IF($A159&lt;VLOOKUP(J$5,NFI,5,0),1,0)*Data_NFI_t[[#This Row],[NFI Core Kit]],0)</f>
        <v>0</v>
      </c>
      <c r="Y159" s="112">
        <f>IF(NFI_Expiration=1,IF($A159&lt;VLOOKUP(K$5,NFI,5,0),1,0)*Data_NFI_t[[#This Row],[Sanitary Kit]],0)</f>
        <v>0</v>
      </c>
      <c r="Z159" s="112">
        <f>IF(NFI_Expiration=1,IF($A159&lt;VLOOKUP(L$5,NFI,5,0),1,0)*Data_NFI_t[[#This Row],[Mosquito net]],0)</f>
        <v>0</v>
      </c>
      <c r="AA159" s="112">
        <f>IF(NFI_Expiration=1,IF($A159&lt;VLOOKUP(M$5,NFI,5,0),1,0)*Data_NFI_t[[#This Row],[Tarpaulin]],0)</f>
        <v>0</v>
      </c>
      <c r="AB159" s="112">
        <f>IF(NFI_Expiration=1,IF($A159&lt;VLOOKUP(N$5,NFI,5,0),1,0)*Data_NFI_t[[#This Row],[Blanket]],0)</f>
        <v>0</v>
      </c>
      <c r="AC159" s="112">
        <f>IF(NFI_Expiration=1,IF($A159&lt;VLOOKUP(O$5,NFI,5,0),1,0)*Data_NFI_t[[#This Row],[Kitchen Set]],0)</f>
        <v>0</v>
      </c>
      <c r="AD159" s="112">
        <f>IF(NFI_Expiration=1,IF($A159&lt;VLOOKUP(P$5,NFI,5,0),1,0)*Data_NFI_t[[#This Row],[Complementary Kit]],0)</f>
        <v>0</v>
      </c>
      <c r="AE159" s="112">
        <f>IF(NFI_Expiration=1,IF($A159&lt;VLOOKUP(Q$5,NFI,5,0),1,0)*Data_NFI_t[[#This Row],[Plastic Bucket]],0)</f>
        <v>0</v>
      </c>
      <c r="AF159" s="112">
        <f>IF(NFI_Expiration=1,IF($A159&lt;VLOOKUP(R$5,NFI,5,0),1,0)*Data_NFI_t[[#This Row],[Jerry Can]],0)</f>
        <v>0</v>
      </c>
      <c r="AG159" s="131">
        <f>IF(NFI_Expiration=1,IF($A159&lt;VLOOKUP(S$5,NFI,5,0),1,0)*Data_NFI_t[[#This Row],[Plastic Mat]],0)*IF(Data_NFI_t[[#This Row],[Distribution Date]]&gt;"01-06-2015",1,2.5)</f>
        <v>0</v>
      </c>
      <c r="AH159" s="915">
        <f>IF(NFI_Expiration=1,IF($A159&lt;VLOOKUP(T$5,NFI,5,0),1,0)*Data_NFI_t[[#This Row],[Adult Clothes]],0)</f>
        <v>0</v>
      </c>
      <c r="AI159" s="131">
        <f>IF(NFI_Expiration=1,IF($A159&lt;VLOOKUP(U$5,NFI,5,0),1,0)*Data_NFI_t[[#This Row],[Children Clothes]],0)</f>
        <v>0</v>
      </c>
      <c r="AJ159" s="131">
        <f>IF(NFI_Expiration=1,IF($A159&lt;VLOOKUP(V$5,NFI,5,0),1,0)*Data_NFI_t[[#This Row],[Sewing Kit]],0)</f>
        <v>0</v>
      </c>
      <c r="AK159" s="131" t="str">
        <f ca="1">IFERROR(OFFSET(Camp_List[P_Code],MATCH(Data_NFI_t[[#This Row],[Camp Name]],Camp_List[Camp Name],0)-1,0,1,1),"")</f>
        <v>MMR012CMP116</v>
      </c>
      <c r="AL159" s="513" t="str">
        <f ca="1">IFERROR(OFFSET(Camp_List[Status],MATCH(Data_NFI_t[[#This Row],[Camp Name]],Camp_List[Camp Name],0)-1,0,1,1),"")</f>
        <v>Open</v>
      </c>
      <c r="AM159" s="131"/>
    </row>
    <row r="160" spans="1:39" s="90" customFormat="1" ht="19.5" customHeight="1" x14ac:dyDescent="0.25">
      <c r="A160" s="242">
        <f>IF(ISBLANK(C160),"",(Report_Date-C160)/30)</f>
        <v>40.133333333333333</v>
      </c>
      <c r="B160" s="242">
        <f>YEAR(Data_NFI_t[[#This Row],[Distribution Date]])</f>
        <v>2013</v>
      </c>
      <c r="C160" s="927">
        <v>41591</v>
      </c>
      <c r="D160" s="489" t="s">
        <v>285</v>
      </c>
      <c r="E160" s="488" t="s">
        <v>285</v>
      </c>
      <c r="F160" s="489" t="s">
        <v>7</v>
      </c>
      <c r="G160" s="794" t="s">
        <v>15</v>
      </c>
      <c r="H160" s="794" t="s">
        <v>44</v>
      </c>
      <c r="I160" s="794">
        <v>48</v>
      </c>
      <c r="J160" s="51"/>
      <c r="K160" s="51"/>
      <c r="L160" s="51"/>
      <c r="M160" s="51"/>
      <c r="N160" s="51"/>
      <c r="O160" s="51"/>
      <c r="P160" s="51"/>
      <c r="Q160" s="51"/>
      <c r="R160" s="511"/>
      <c r="S160" s="51"/>
      <c r="T160" s="51"/>
      <c r="U160" s="51"/>
      <c r="V160" s="51"/>
      <c r="W160" s="131">
        <f>IF(NFI_Expiration=1,IF($A160&lt;VLOOKUP(I$5,NFI,5,0),1,0)*Data_NFI_t[[#This Row],[Hygiene Kit]],0)</f>
        <v>0</v>
      </c>
      <c r="X160" s="131">
        <f>IF(NFI_Expiration=1,IF($A160&lt;VLOOKUP(J$5,NFI,5,0),1,0)*Data_NFI_t[[#This Row],[NFI Core Kit]],0)</f>
        <v>0</v>
      </c>
      <c r="Y160" s="112">
        <f>IF(NFI_Expiration=1,IF($A160&lt;VLOOKUP(K$5,NFI,5,0),1,0)*Data_NFI_t[[#This Row],[Sanitary Kit]],0)</f>
        <v>0</v>
      </c>
      <c r="Z160" s="112">
        <f>IF(NFI_Expiration=1,IF($A160&lt;VLOOKUP(L$5,NFI,5,0),1,0)*Data_NFI_t[[#This Row],[Mosquito net]],0)</f>
        <v>0</v>
      </c>
      <c r="AA160" s="112">
        <f>IF(NFI_Expiration=1,IF($A160&lt;VLOOKUP(M$5,NFI,5,0),1,0)*Data_NFI_t[[#This Row],[Tarpaulin]],0)</f>
        <v>0</v>
      </c>
      <c r="AB160" s="112">
        <f>IF(NFI_Expiration=1,IF($A160&lt;VLOOKUP(N$5,NFI,5,0),1,0)*Data_NFI_t[[#This Row],[Blanket]],0)</f>
        <v>0</v>
      </c>
      <c r="AC160" s="112">
        <f>IF(NFI_Expiration=1,IF($A160&lt;VLOOKUP(O$5,NFI,5,0),1,0)*Data_NFI_t[[#This Row],[Kitchen Set]],0)</f>
        <v>0</v>
      </c>
      <c r="AD160" s="112">
        <f>IF(NFI_Expiration=1,IF($A160&lt;VLOOKUP(P$5,NFI,5,0),1,0)*Data_NFI_t[[#This Row],[Complementary Kit]],0)</f>
        <v>0</v>
      </c>
      <c r="AE160" s="112">
        <f>IF(NFI_Expiration=1,IF($A160&lt;VLOOKUP(Q$5,NFI,5,0),1,0)*Data_NFI_t[[#This Row],[Plastic Bucket]],0)</f>
        <v>0</v>
      </c>
      <c r="AF160" s="112">
        <f>IF(NFI_Expiration=1,IF($A160&lt;VLOOKUP(R$5,NFI,5,0),1,0)*Data_NFI_t[[#This Row],[Jerry Can]],0)</f>
        <v>0</v>
      </c>
      <c r="AG160" s="131">
        <f>IF(NFI_Expiration=1,IF($A160&lt;VLOOKUP(S$5,NFI,5,0),1,0)*Data_NFI_t[[#This Row],[Plastic Mat]],0)*IF(Data_NFI_t[[#This Row],[Distribution Date]]&gt;"01-06-2015",1,2.5)</f>
        <v>0</v>
      </c>
      <c r="AH160" s="915">
        <f>IF(NFI_Expiration=1,IF($A160&lt;VLOOKUP(T$5,NFI,5,0),1,0)*Data_NFI_t[[#This Row],[Adult Clothes]],0)</f>
        <v>0</v>
      </c>
      <c r="AI160" s="131">
        <f>IF(NFI_Expiration=1,IF($A160&lt;VLOOKUP(U$5,NFI,5,0),1,0)*Data_NFI_t[[#This Row],[Children Clothes]],0)</f>
        <v>0</v>
      </c>
      <c r="AJ160" s="131">
        <f>IF(NFI_Expiration=1,IF($A160&lt;VLOOKUP(V$5,NFI,5,0),1,0)*Data_NFI_t[[#This Row],[Sewing Kit]],0)</f>
        <v>0</v>
      </c>
      <c r="AK160" s="131" t="str">
        <f ca="1">IFERROR(OFFSET(Camp_List[P_Code],MATCH(Data_NFI_t[[#This Row],[Camp Name]],Camp_List[Camp Name],0)-1,0,1,1),"")</f>
        <v>MMR012CMP020</v>
      </c>
      <c r="AL160" s="513" t="str">
        <f ca="1">IFERROR(OFFSET(Camp_List[Status],MATCH(Data_NFI_t[[#This Row],[Camp Name]],Camp_List[Camp Name],0)-1,0,1,1),"")</f>
        <v>Returned</v>
      </c>
      <c r="AM160" s="131"/>
    </row>
    <row r="161" spans="1:39" s="90" customFormat="1" ht="19.5" customHeight="1" x14ac:dyDescent="0.25">
      <c r="A161" s="242">
        <f>IF(ISBLANK(C161),"",(Report_Date-C161)/30)</f>
        <v>40.133333333333333</v>
      </c>
      <c r="B161" s="242">
        <f>YEAR(Data_NFI_t[[#This Row],[Distribution Date]])</f>
        <v>2013</v>
      </c>
      <c r="C161" s="927">
        <v>41591</v>
      </c>
      <c r="D161" s="489" t="s">
        <v>285</v>
      </c>
      <c r="E161" s="488" t="s">
        <v>285</v>
      </c>
      <c r="F161" s="489" t="s">
        <v>7</v>
      </c>
      <c r="G161" s="794" t="s">
        <v>15</v>
      </c>
      <c r="H161" s="794" t="s">
        <v>47</v>
      </c>
      <c r="I161" s="794">
        <v>187</v>
      </c>
      <c r="J161" s="51"/>
      <c r="K161" s="51"/>
      <c r="L161" s="51"/>
      <c r="M161" s="51"/>
      <c r="N161" s="51"/>
      <c r="O161" s="51"/>
      <c r="P161" s="51"/>
      <c r="Q161" s="51"/>
      <c r="R161" s="511"/>
      <c r="S161" s="51"/>
      <c r="T161" s="51"/>
      <c r="U161" s="51"/>
      <c r="V161" s="51"/>
      <c r="W161" s="131">
        <f>IF(NFI_Expiration=1,IF($A161&lt;VLOOKUP(I$5,NFI,5,0),1,0)*Data_NFI_t[[#This Row],[Hygiene Kit]],0)</f>
        <v>0</v>
      </c>
      <c r="X161" s="131">
        <f>IF(NFI_Expiration=1,IF($A161&lt;VLOOKUP(J$5,NFI,5,0),1,0)*Data_NFI_t[[#This Row],[NFI Core Kit]],0)</f>
        <v>0</v>
      </c>
      <c r="Y161" s="112">
        <f>IF(NFI_Expiration=1,IF($A161&lt;VLOOKUP(K$5,NFI,5,0),1,0)*Data_NFI_t[[#This Row],[Sanitary Kit]],0)</f>
        <v>0</v>
      </c>
      <c r="Z161" s="112">
        <f>IF(NFI_Expiration=1,IF($A161&lt;VLOOKUP(L$5,NFI,5,0),1,0)*Data_NFI_t[[#This Row],[Mosquito net]],0)</f>
        <v>0</v>
      </c>
      <c r="AA161" s="112">
        <f>IF(NFI_Expiration=1,IF($A161&lt;VLOOKUP(M$5,NFI,5,0),1,0)*Data_NFI_t[[#This Row],[Tarpaulin]],0)</f>
        <v>0</v>
      </c>
      <c r="AB161" s="112">
        <f>IF(NFI_Expiration=1,IF($A161&lt;VLOOKUP(N$5,NFI,5,0),1,0)*Data_NFI_t[[#This Row],[Blanket]],0)</f>
        <v>0</v>
      </c>
      <c r="AC161" s="112">
        <f>IF(NFI_Expiration=1,IF($A161&lt;VLOOKUP(O$5,NFI,5,0),1,0)*Data_NFI_t[[#This Row],[Kitchen Set]],0)</f>
        <v>0</v>
      </c>
      <c r="AD161" s="112">
        <f>IF(NFI_Expiration=1,IF($A161&lt;VLOOKUP(P$5,NFI,5,0),1,0)*Data_NFI_t[[#This Row],[Complementary Kit]],0)</f>
        <v>0</v>
      </c>
      <c r="AE161" s="112">
        <f>IF(NFI_Expiration=1,IF($A161&lt;VLOOKUP(Q$5,NFI,5,0),1,0)*Data_NFI_t[[#This Row],[Plastic Bucket]],0)</f>
        <v>0</v>
      </c>
      <c r="AF161" s="112">
        <f>IF(NFI_Expiration=1,IF($A161&lt;VLOOKUP(R$5,NFI,5,0),1,0)*Data_NFI_t[[#This Row],[Jerry Can]],0)</f>
        <v>0</v>
      </c>
      <c r="AG161" s="131">
        <f>IF(NFI_Expiration=1,IF($A161&lt;VLOOKUP(S$5,NFI,5,0),1,0)*Data_NFI_t[[#This Row],[Plastic Mat]],0)*IF(Data_NFI_t[[#This Row],[Distribution Date]]&gt;"01-06-2015",1,2.5)</f>
        <v>0</v>
      </c>
      <c r="AH161" s="915">
        <f>IF(NFI_Expiration=1,IF($A161&lt;VLOOKUP(T$5,NFI,5,0),1,0)*Data_NFI_t[[#This Row],[Adult Clothes]],0)</f>
        <v>0</v>
      </c>
      <c r="AI161" s="131">
        <f>IF(NFI_Expiration=1,IF($A161&lt;VLOOKUP(U$5,NFI,5,0),1,0)*Data_NFI_t[[#This Row],[Children Clothes]],0)</f>
        <v>0</v>
      </c>
      <c r="AJ161" s="131">
        <f>IF(NFI_Expiration=1,IF($A161&lt;VLOOKUP(V$5,NFI,5,0),1,0)*Data_NFI_t[[#This Row],[Sewing Kit]],0)</f>
        <v>0</v>
      </c>
      <c r="AK161" s="131" t="str">
        <f ca="1">IFERROR(OFFSET(Camp_List[P_Code],MATCH(Data_NFI_t[[#This Row],[Camp Name]],Camp_List[Camp Name],0)-1,0,1,1),"")</f>
        <v>MMR012CMP023</v>
      </c>
      <c r="AL161" s="513" t="str">
        <f ca="1">IFERROR(OFFSET(Camp_List[Status],MATCH(Data_NFI_t[[#This Row],[Camp Name]],Camp_List[Camp Name],0)-1,0,1,1),"")</f>
        <v>Open</v>
      </c>
      <c r="AM161" s="131"/>
    </row>
    <row r="162" spans="1:39" s="90" customFormat="1" ht="19.5" customHeight="1" x14ac:dyDescent="0.25">
      <c r="A162" s="242">
        <f>IF(ISBLANK(C162),"",(Report_Date-C162)/30)</f>
        <v>40.133333333333333</v>
      </c>
      <c r="B162" s="242">
        <f>YEAR(Data_NFI_t[[#This Row],[Distribution Date]])</f>
        <v>2013</v>
      </c>
      <c r="C162" s="927">
        <v>41591</v>
      </c>
      <c r="D162" s="489" t="s">
        <v>624</v>
      </c>
      <c r="E162" s="488" t="s">
        <v>624</v>
      </c>
      <c r="F162" s="489" t="s">
        <v>7</v>
      </c>
      <c r="G162" s="794" t="s">
        <v>19</v>
      </c>
      <c r="H162" s="794" t="s">
        <v>636</v>
      </c>
      <c r="I162" s="794"/>
      <c r="J162" s="51">
        <v>200</v>
      </c>
      <c r="K162" s="51"/>
      <c r="L162" s="51"/>
      <c r="M162" s="51"/>
      <c r="N162" s="51"/>
      <c r="O162" s="51"/>
      <c r="P162" s="51"/>
      <c r="Q162" s="51"/>
      <c r="R162" s="511"/>
      <c r="S162" s="51"/>
      <c r="T162" s="51"/>
      <c r="U162" s="51"/>
      <c r="V162" s="51"/>
      <c r="W162" s="131">
        <f>IF(NFI_Expiration=1,IF($A162&lt;VLOOKUP(I$5,NFI,5,0),1,0)*Data_NFI_t[[#This Row],[Hygiene Kit]],0)</f>
        <v>0</v>
      </c>
      <c r="X162" s="131">
        <f>IF(NFI_Expiration=1,IF($A162&lt;VLOOKUP(J$5,NFI,5,0),1,0)*Data_NFI_t[[#This Row],[NFI Core Kit]],0)</f>
        <v>0</v>
      </c>
      <c r="Y162" s="112">
        <f>IF(NFI_Expiration=1,IF($A162&lt;VLOOKUP(K$5,NFI,5,0),1,0)*Data_NFI_t[[#This Row],[Sanitary Kit]],0)</f>
        <v>0</v>
      </c>
      <c r="Z162" s="112">
        <f>IF(NFI_Expiration=1,IF($A162&lt;VLOOKUP(L$5,NFI,5,0),1,0)*Data_NFI_t[[#This Row],[Mosquito net]],0)</f>
        <v>0</v>
      </c>
      <c r="AA162" s="112">
        <f>IF(NFI_Expiration=1,IF($A162&lt;VLOOKUP(M$5,NFI,5,0),1,0)*Data_NFI_t[[#This Row],[Tarpaulin]],0)</f>
        <v>0</v>
      </c>
      <c r="AB162" s="112">
        <f>IF(NFI_Expiration=1,IF($A162&lt;VLOOKUP(N$5,NFI,5,0),1,0)*Data_NFI_t[[#This Row],[Blanket]],0)</f>
        <v>0</v>
      </c>
      <c r="AC162" s="112">
        <f>IF(NFI_Expiration=1,IF($A162&lt;VLOOKUP(O$5,NFI,5,0),1,0)*Data_NFI_t[[#This Row],[Kitchen Set]],0)</f>
        <v>0</v>
      </c>
      <c r="AD162" s="112">
        <f>IF(NFI_Expiration=1,IF($A162&lt;VLOOKUP(P$5,NFI,5,0),1,0)*Data_NFI_t[[#This Row],[Complementary Kit]],0)</f>
        <v>0</v>
      </c>
      <c r="AE162" s="112">
        <f>IF(NFI_Expiration=1,IF($A162&lt;VLOOKUP(Q$5,NFI,5,0),1,0)*Data_NFI_t[[#This Row],[Plastic Bucket]],0)</f>
        <v>0</v>
      </c>
      <c r="AF162" s="112">
        <f>IF(NFI_Expiration=1,IF($A162&lt;VLOOKUP(R$5,NFI,5,0),1,0)*Data_NFI_t[[#This Row],[Jerry Can]],0)</f>
        <v>0</v>
      </c>
      <c r="AG162" s="131">
        <f>IF(NFI_Expiration=1,IF($A162&lt;VLOOKUP(S$5,NFI,5,0),1,0)*Data_NFI_t[[#This Row],[Plastic Mat]],0)*IF(Data_NFI_t[[#This Row],[Distribution Date]]&gt;"01-06-2015",1,2.5)</f>
        <v>0</v>
      </c>
      <c r="AH162" s="915">
        <f>IF(NFI_Expiration=1,IF($A162&lt;VLOOKUP(T$5,NFI,5,0),1,0)*Data_NFI_t[[#This Row],[Adult Clothes]],0)</f>
        <v>0</v>
      </c>
      <c r="AI162" s="131">
        <f>IF(NFI_Expiration=1,IF($A162&lt;VLOOKUP(U$5,NFI,5,0),1,0)*Data_NFI_t[[#This Row],[Children Clothes]],0)</f>
        <v>0</v>
      </c>
      <c r="AJ162" s="131">
        <f>IF(NFI_Expiration=1,IF($A162&lt;VLOOKUP(V$5,NFI,5,0),1,0)*Data_NFI_t[[#This Row],[Sewing Kit]],0)</f>
        <v>0</v>
      </c>
      <c r="AK162" s="131" t="str">
        <f ca="1">IFERROR(OFFSET(Camp_List[P_Code],MATCH(Data_NFI_t[[#This Row],[Camp Name]],Camp_List[Camp Name],0)-1,0,1,1),"")</f>
        <v>MMR012CMP116</v>
      </c>
      <c r="AL162" s="513" t="str">
        <f ca="1">IFERROR(OFFSET(Camp_List[Status],MATCH(Data_NFI_t[[#This Row],[Camp Name]],Camp_List[Camp Name],0)-1,0,1,1),"")</f>
        <v>Open</v>
      </c>
      <c r="AM162" s="131"/>
    </row>
    <row r="163" spans="1:39" s="90" customFormat="1" ht="19.5" customHeight="1" x14ac:dyDescent="0.25">
      <c r="A163" s="242">
        <f>IF(ISBLANK(C163),"",(Report_Date-C163)/30)</f>
        <v>40.133333333333333</v>
      </c>
      <c r="B163" s="242">
        <f>YEAR(Data_NFI_t[[#This Row],[Distribution Date]])</f>
        <v>2013</v>
      </c>
      <c r="C163" s="927">
        <v>41591</v>
      </c>
      <c r="D163" s="489" t="s">
        <v>624</v>
      </c>
      <c r="E163" s="488" t="s">
        <v>624</v>
      </c>
      <c r="F163" s="489" t="s">
        <v>7</v>
      </c>
      <c r="G163" s="794" t="s">
        <v>19</v>
      </c>
      <c r="H163" s="794" t="s">
        <v>636</v>
      </c>
      <c r="I163" s="794"/>
      <c r="J163" s="51">
        <v>103</v>
      </c>
      <c r="K163" s="51"/>
      <c r="L163" s="51"/>
      <c r="M163" s="51"/>
      <c r="N163" s="51"/>
      <c r="O163" s="51"/>
      <c r="P163" s="51"/>
      <c r="Q163" s="51"/>
      <c r="R163" s="511"/>
      <c r="S163" s="51"/>
      <c r="T163" s="51"/>
      <c r="U163" s="51"/>
      <c r="V163" s="51"/>
      <c r="W163" s="131">
        <f>IF(NFI_Expiration=1,IF($A163&lt;VLOOKUP(I$5,NFI,5,0),1,0)*Data_NFI_t[[#This Row],[Hygiene Kit]],0)</f>
        <v>0</v>
      </c>
      <c r="X163" s="131">
        <f>IF(NFI_Expiration=1,IF($A163&lt;VLOOKUP(J$5,NFI,5,0),1,0)*Data_NFI_t[[#This Row],[NFI Core Kit]],0)</f>
        <v>0</v>
      </c>
      <c r="Y163" s="112">
        <f>IF(NFI_Expiration=1,IF($A163&lt;VLOOKUP(K$5,NFI,5,0),1,0)*Data_NFI_t[[#This Row],[Sanitary Kit]],0)</f>
        <v>0</v>
      </c>
      <c r="Z163" s="112">
        <f>IF(NFI_Expiration=1,IF($A163&lt;VLOOKUP(L$5,NFI,5,0),1,0)*Data_NFI_t[[#This Row],[Mosquito net]],0)</f>
        <v>0</v>
      </c>
      <c r="AA163" s="112">
        <f>IF(NFI_Expiration=1,IF($A163&lt;VLOOKUP(M$5,NFI,5,0),1,0)*Data_NFI_t[[#This Row],[Tarpaulin]],0)</f>
        <v>0</v>
      </c>
      <c r="AB163" s="112">
        <f>IF(NFI_Expiration=1,IF($A163&lt;VLOOKUP(N$5,NFI,5,0),1,0)*Data_NFI_t[[#This Row],[Blanket]],0)</f>
        <v>0</v>
      </c>
      <c r="AC163" s="112">
        <f>IF(NFI_Expiration=1,IF($A163&lt;VLOOKUP(O$5,NFI,5,0),1,0)*Data_NFI_t[[#This Row],[Kitchen Set]],0)</f>
        <v>0</v>
      </c>
      <c r="AD163" s="112">
        <f>IF(NFI_Expiration=1,IF($A163&lt;VLOOKUP(P$5,NFI,5,0),1,0)*Data_NFI_t[[#This Row],[Complementary Kit]],0)</f>
        <v>0</v>
      </c>
      <c r="AE163" s="112">
        <f>IF(NFI_Expiration=1,IF($A163&lt;VLOOKUP(Q$5,NFI,5,0),1,0)*Data_NFI_t[[#This Row],[Plastic Bucket]],0)</f>
        <v>0</v>
      </c>
      <c r="AF163" s="112">
        <f>IF(NFI_Expiration=1,IF($A163&lt;VLOOKUP(R$5,NFI,5,0),1,0)*Data_NFI_t[[#This Row],[Jerry Can]],0)</f>
        <v>0</v>
      </c>
      <c r="AG163" s="131">
        <f>IF(NFI_Expiration=1,IF($A163&lt;VLOOKUP(S$5,NFI,5,0),1,0)*Data_NFI_t[[#This Row],[Plastic Mat]],0)*IF(Data_NFI_t[[#This Row],[Distribution Date]]&gt;"01-06-2015",1,2.5)</f>
        <v>0</v>
      </c>
      <c r="AH163" s="915">
        <f>IF(NFI_Expiration=1,IF($A163&lt;VLOOKUP(T$5,NFI,5,0),1,0)*Data_NFI_t[[#This Row],[Adult Clothes]],0)</f>
        <v>0</v>
      </c>
      <c r="AI163" s="131">
        <f>IF(NFI_Expiration=1,IF($A163&lt;VLOOKUP(U$5,NFI,5,0),1,0)*Data_NFI_t[[#This Row],[Children Clothes]],0)</f>
        <v>0</v>
      </c>
      <c r="AJ163" s="131">
        <f>IF(NFI_Expiration=1,IF($A163&lt;VLOOKUP(V$5,NFI,5,0),1,0)*Data_NFI_t[[#This Row],[Sewing Kit]],0)</f>
        <v>0</v>
      </c>
      <c r="AK163" s="131" t="str">
        <f ca="1">IFERROR(OFFSET(Camp_List[P_Code],MATCH(Data_NFI_t[[#This Row],[Camp Name]],Camp_List[Camp Name],0)-1,0,1,1),"")</f>
        <v>MMR012CMP116</v>
      </c>
      <c r="AL163" s="513" t="str">
        <f ca="1">IFERROR(OFFSET(Camp_List[Status],MATCH(Data_NFI_t[[#This Row],[Camp Name]],Camp_List[Camp Name],0)-1,0,1,1),"")</f>
        <v>Open</v>
      </c>
      <c r="AM163" s="131"/>
    </row>
    <row r="164" spans="1:39" s="90" customFormat="1" ht="19.5" customHeight="1" x14ac:dyDescent="0.25">
      <c r="A164" s="242">
        <f>IF(ISBLANK(C164),"",(Report_Date-C164)/30)</f>
        <v>40.133333333333333</v>
      </c>
      <c r="B164" s="242">
        <f>YEAR(Data_NFI_t[[#This Row],[Distribution Date]])</f>
        <v>2013</v>
      </c>
      <c r="C164" s="927">
        <v>41591</v>
      </c>
      <c r="D164" s="489" t="s">
        <v>285</v>
      </c>
      <c r="E164" s="488" t="s">
        <v>285</v>
      </c>
      <c r="F164" s="489" t="s">
        <v>7</v>
      </c>
      <c r="G164" s="794" t="s">
        <v>15</v>
      </c>
      <c r="H164" s="794" t="s">
        <v>53</v>
      </c>
      <c r="I164" s="794">
        <v>340</v>
      </c>
      <c r="J164" s="51"/>
      <c r="K164" s="51"/>
      <c r="L164" s="51"/>
      <c r="M164" s="51"/>
      <c r="N164" s="51"/>
      <c r="O164" s="51"/>
      <c r="P164" s="51"/>
      <c r="Q164" s="51"/>
      <c r="R164" s="511"/>
      <c r="S164" s="51"/>
      <c r="T164" s="51"/>
      <c r="U164" s="51"/>
      <c r="V164" s="51"/>
      <c r="W164" s="131">
        <f>IF(NFI_Expiration=1,IF($A164&lt;VLOOKUP(I$5,NFI,5,0),1,0)*Data_NFI_t[[#This Row],[Hygiene Kit]],0)</f>
        <v>0</v>
      </c>
      <c r="X164" s="131">
        <f>IF(NFI_Expiration=1,IF($A164&lt;VLOOKUP(J$5,NFI,5,0),1,0)*Data_NFI_t[[#This Row],[NFI Core Kit]],0)</f>
        <v>0</v>
      </c>
      <c r="Y164" s="112">
        <f>IF(NFI_Expiration=1,IF($A164&lt;VLOOKUP(K$5,NFI,5,0),1,0)*Data_NFI_t[[#This Row],[Sanitary Kit]],0)</f>
        <v>0</v>
      </c>
      <c r="Z164" s="112">
        <f>IF(NFI_Expiration=1,IF($A164&lt;VLOOKUP(L$5,NFI,5,0),1,0)*Data_NFI_t[[#This Row],[Mosquito net]],0)</f>
        <v>0</v>
      </c>
      <c r="AA164" s="112">
        <f>IF(NFI_Expiration=1,IF($A164&lt;VLOOKUP(M$5,NFI,5,0),1,0)*Data_NFI_t[[#This Row],[Tarpaulin]],0)</f>
        <v>0</v>
      </c>
      <c r="AB164" s="112">
        <f>IF(NFI_Expiration=1,IF($A164&lt;VLOOKUP(N$5,NFI,5,0),1,0)*Data_NFI_t[[#This Row],[Blanket]],0)</f>
        <v>0</v>
      </c>
      <c r="AC164" s="112">
        <f>IF(NFI_Expiration=1,IF($A164&lt;VLOOKUP(O$5,NFI,5,0),1,0)*Data_NFI_t[[#This Row],[Kitchen Set]],0)</f>
        <v>0</v>
      </c>
      <c r="AD164" s="112">
        <f>IF(NFI_Expiration=1,IF($A164&lt;VLOOKUP(P$5,NFI,5,0),1,0)*Data_NFI_t[[#This Row],[Complementary Kit]],0)</f>
        <v>0</v>
      </c>
      <c r="AE164" s="112">
        <f>IF(NFI_Expiration=1,IF($A164&lt;VLOOKUP(Q$5,NFI,5,0),1,0)*Data_NFI_t[[#This Row],[Plastic Bucket]],0)</f>
        <v>0</v>
      </c>
      <c r="AF164" s="112">
        <f>IF(NFI_Expiration=1,IF($A164&lt;VLOOKUP(R$5,NFI,5,0),1,0)*Data_NFI_t[[#This Row],[Jerry Can]],0)</f>
        <v>0</v>
      </c>
      <c r="AG164" s="131">
        <f>IF(NFI_Expiration=1,IF($A164&lt;VLOOKUP(S$5,NFI,5,0),1,0)*Data_NFI_t[[#This Row],[Plastic Mat]],0)*IF(Data_NFI_t[[#This Row],[Distribution Date]]&gt;"01-06-2015",1,2.5)</f>
        <v>0</v>
      </c>
      <c r="AH164" s="915">
        <f>IF(NFI_Expiration=1,IF($A164&lt;VLOOKUP(T$5,NFI,5,0),1,0)*Data_NFI_t[[#This Row],[Adult Clothes]],0)</f>
        <v>0</v>
      </c>
      <c r="AI164" s="131">
        <f>IF(NFI_Expiration=1,IF($A164&lt;VLOOKUP(U$5,NFI,5,0),1,0)*Data_NFI_t[[#This Row],[Children Clothes]],0)</f>
        <v>0</v>
      </c>
      <c r="AJ164" s="131">
        <f>IF(NFI_Expiration=1,IF($A164&lt;VLOOKUP(V$5,NFI,5,0),1,0)*Data_NFI_t[[#This Row],[Sewing Kit]],0)</f>
        <v>0</v>
      </c>
      <c r="AK164" s="131" t="str">
        <f ca="1">IFERROR(OFFSET(Camp_List[P_Code],MATCH(Data_NFI_t[[#This Row],[Camp Name]],Camp_List[Camp Name],0)-1,0,1,1),"")</f>
        <v>MMR012CMP029</v>
      </c>
      <c r="AL164" s="513" t="str">
        <f ca="1">IFERROR(OFFSET(Camp_List[Status],MATCH(Data_NFI_t[[#This Row],[Camp Name]],Camp_List[Camp Name],0)-1,0,1,1),"")</f>
        <v>Returned</v>
      </c>
      <c r="AM164" s="131"/>
    </row>
    <row r="165" spans="1:39" s="90" customFormat="1" ht="19.5" customHeight="1" x14ac:dyDescent="0.25">
      <c r="A165" s="242">
        <f>IF(ISBLANK(C165),"",(Report_Date-C165)/30)</f>
        <v>40.166666666666664</v>
      </c>
      <c r="B165" s="242">
        <f>YEAR(Data_NFI_t[[#This Row],[Distribution Date]])</f>
        <v>2013</v>
      </c>
      <c r="C165" s="927">
        <v>41590</v>
      </c>
      <c r="D165" s="489" t="s">
        <v>285</v>
      </c>
      <c r="E165" s="488" t="s">
        <v>285</v>
      </c>
      <c r="F165" s="489" t="s">
        <v>7</v>
      </c>
      <c r="G165" s="794" t="s">
        <v>15</v>
      </c>
      <c r="H165" s="794" t="s">
        <v>49</v>
      </c>
      <c r="I165" s="794">
        <v>36</v>
      </c>
      <c r="J165" s="51"/>
      <c r="K165" s="51"/>
      <c r="L165" s="51">
        <v>28</v>
      </c>
      <c r="M165" s="51">
        <v>83</v>
      </c>
      <c r="N165" s="51">
        <v>28</v>
      </c>
      <c r="O165" s="51">
        <v>14</v>
      </c>
      <c r="P165" s="51">
        <v>14</v>
      </c>
      <c r="Q165" s="51">
        <v>14</v>
      </c>
      <c r="R165" s="511"/>
      <c r="S165" s="51">
        <v>28</v>
      </c>
      <c r="T165" s="51"/>
      <c r="U165" s="51"/>
      <c r="V165" s="51"/>
      <c r="W165" s="131">
        <f>IF(NFI_Expiration=1,IF($A165&lt;VLOOKUP(I$5,NFI,5,0),1,0)*Data_NFI_t[[#This Row],[Hygiene Kit]],0)</f>
        <v>0</v>
      </c>
      <c r="X165" s="131">
        <f>IF(NFI_Expiration=1,IF($A165&lt;VLOOKUP(J$5,NFI,5,0),1,0)*Data_NFI_t[[#This Row],[NFI Core Kit]],0)</f>
        <v>0</v>
      </c>
      <c r="Y165" s="112">
        <f>IF(NFI_Expiration=1,IF($A165&lt;VLOOKUP(K$5,NFI,5,0),1,0)*Data_NFI_t[[#This Row],[Sanitary Kit]],0)</f>
        <v>0</v>
      </c>
      <c r="Z165" s="112">
        <f>IF(NFI_Expiration=1,IF($A165&lt;VLOOKUP(L$5,NFI,5,0),1,0)*Data_NFI_t[[#This Row],[Mosquito net]],0)</f>
        <v>0</v>
      </c>
      <c r="AA165" s="112">
        <f>IF(NFI_Expiration=1,IF($A165&lt;VLOOKUP(M$5,NFI,5,0),1,0)*Data_NFI_t[[#This Row],[Tarpaulin]],0)</f>
        <v>0</v>
      </c>
      <c r="AB165" s="112">
        <f>IF(NFI_Expiration=1,IF($A165&lt;VLOOKUP(N$5,NFI,5,0),1,0)*Data_NFI_t[[#This Row],[Blanket]],0)</f>
        <v>0</v>
      </c>
      <c r="AC165" s="112">
        <f>IF(NFI_Expiration=1,IF($A165&lt;VLOOKUP(O$5,NFI,5,0),1,0)*Data_NFI_t[[#This Row],[Kitchen Set]],0)</f>
        <v>0</v>
      </c>
      <c r="AD165" s="112">
        <f>IF(NFI_Expiration=1,IF($A165&lt;VLOOKUP(P$5,NFI,5,0),1,0)*Data_NFI_t[[#This Row],[Complementary Kit]],0)</f>
        <v>0</v>
      </c>
      <c r="AE165" s="112">
        <f>IF(NFI_Expiration=1,IF($A165&lt;VLOOKUP(Q$5,NFI,5,0),1,0)*Data_NFI_t[[#This Row],[Plastic Bucket]],0)</f>
        <v>0</v>
      </c>
      <c r="AF165" s="112">
        <f>IF(NFI_Expiration=1,IF($A165&lt;VLOOKUP(R$5,NFI,5,0),1,0)*Data_NFI_t[[#This Row],[Jerry Can]],0)</f>
        <v>0</v>
      </c>
      <c r="AG165" s="131">
        <f>IF(NFI_Expiration=1,IF($A165&lt;VLOOKUP(S$5,NFI,5,0),1,0)*Data_NFI_t[[#This Row],[Plastic Mat]],0)*IF(Data_NFI_t[[#This Row],[Distribution Date]]&gt;"01-06-2015",1,2.5)</f>
        <v>0</v>
      </c>
      <c r="AH165" s="915">
        <f>IF(NFI_Expiration=1,IF($A165&lt;VLOOKUP(T$5,NFI,5,0),1,0)*Data_NFI_t[[#This Row],[Adult Clothes]],0)</f>
        <v>0</v>
      </c>
      <c r="AI165" s="131">
        <f>IF(NFI_Expiration=1,IF($A165&lt;VLOOKUP(U$5,NFI,5,0),1,0)*Data_NFI_t[[#This Row],[Children Clothes]],0)</f>
        <v>0</v>
      </c>
      <c r="AJ165" s="131">
        <f>IF(NFI_Expiration=1,IF($A165&lt;VLOOKUP(V$5,NFI,5,0),1,0)*Data_NFI_t[[#This Row],[Sewing Kit]],0)</f>
        <v>0</v>
      </c>
      <c r="AK165" s="131" t="str">
        <f ca="1">IFERROR(OFFSET(Camp_List[P_Code],MATCH(Data_NFI_t[[#This Row],[Camp Name]],Camp_List[Camp Name],0)-1,0,1,1),"")</f>
        <v>MMR012CMP025</v>
      </c>
      <c r="AL165" s="513" t="str">
        <f ca="1">IFERROR(OFFSET(Camp_List[Status],MATCH(Data_NFI_t[[#This Row],[Camp Name]],Camp_List[Camp Name],0)-1,0,1,1),"")</f>
        <v>Returned</v>
      </c>
      <c r="AM165" s="131"/>
    </row>
    <row r="166" spans="1:39" s="90" customFormat="1" ht="19.5" customHeight="1" x14ac:dyDescent="0.25">
      <c r="A166" s="242">
        <f>IF(ISBLANK(C166),"",(Report_Date-C166)/30)</f>
        <v>40.166666666666664</v>
      </c>
      <c r="B166" s="242">
        <f>YEAR(Data_NFI_t[[#This Row],[Distribution Date]])</f>
        <v>2013</v>
      </c>
      <c r="C166" s="927">
        <v>41590</v>
      </c>
      <c r="D166" s="489" t="s">
        <v>624</v>
      </c>
      <c r="E166" s="488" t="s">
        <v>624</v>
      </c>
      <c r="F166" s="489" t="s">
        <v>7</v>
      </c>
      <c r="G166" s="794" t="s">
        <v>19</v>
      </c>
      <c r="H166" s="794" t="s">
        <v>61</v>
      </c>
      <c r="I166" s="794"/>
      <c r="J166" s="51">
        <v>395</v>
      </c>
      <c r="K166" s="51"/>
      <c r="L166" s="51"/>
      <c r="M166" s="51"/>
      <c r="N166" s="51"/>
      <c r="O166" s="51"/>
      <c r="P166" s="51"/>
      <c r="Q166" s="51"/>
      <c r="R166" s="511"/>
      <c r="S166" s="51"/>
      <c r="T166" s="51"/>
      <c r="U166" s="51"/>
      <c r="V166" s="51"/>
      <c r="W166" s="131">
        <f>IF(NFI_Expiration=1,IF($A166&lt;VLOOKUP(I$5,NFI,5,0),1,0)*Data_NFI_t[[#This Row],[Hygiene Kit]],0)</f>
        <v>0</v>
      </c>
      <c r="X166" s="131">
        <f>IF(NFI_Expiration=1,IF($A166&lt;VLOOKUP(J$5,NFI,5,0),1,0)*Data_NFI_t[[#This Row],[NFI Core Kit]],0)</f>
        <v>0</v>
      </c>
      <c r="Y166" s="112">
        <f>IF(NFI_Expiration=1,IF($A166&lt;VLOOKUP(K$5,NFI,5,0),1,0)*Data_NFI_t[[#This Row],[Sanitary Kit]],0)</f>
        <v>0</v>
      </c>
      <c r="Z166" s="112">
        <f>IF(NFI_Expiration=1,IF($A166&lt;VLOOKUP(L$5,NFI,5,0),1,0)*Data_NFI_t[[#This Row],[Mosquito net]],0)</f>
        <v>0</v>
      </c>
      <c r="AA166" s="112">
        <f>IF(NFI_Expiration=1,IF($A166&lt;VLOOKUP(M$5,NFI,5,0),1,0)*Data_NFI_t[[#This Row],[Tarpaulin]],0)</f>
        <v>0</v>
      </c>
      <c r="AB166" s="112">
        <f>IF(NFI_Expiration=1,IF($A166&lt;VLOOKUP(N$5,NFI,5,0),1,0)*Data_NFI_t[[#This Row],[Blanket]],0)</f>
        <v>0</v>
      </c>
      <c r="AC166" s="112">
        <f>IF(NFI_Expiration=1,IF($A166&lt;VLOOKUP(O$5,NFI,5,0),1,0)*Data_NFI_t[[#This Row],[Kitchen Set]],0)</f>
        <v>0</v>
      </c>
      <c r="AD166" s="112">
        <f>IF(NFI_Expiration=1,IF($A166&lt;VLOOKUP(P$5,NFI,5,0),1,0)*Data_NFI_t[[#This Row],[Complementary Kit]],0)</f>
        <v>0</v>
      </c>
      <c r="AE166" s="112">
        <f>IF(NFI_Expiration=1,IF($A166&lt;VLOOKUP(Q$5,NFI,5,0),1,0)*Data_NFI_t[[#This Row],[Plastic Bucket]],0)</f>
        <v>0</v>
      </c>
      <c r="AF166" s="112">
        <f>IF(NFI_Expiration=1,IF($A166&lt;VLOOKUP(R$5,NFI,5,0),1,0)*Data_NFI_t[[#This Row],[Jerry Can]],0)</f>
        <v>0</v>
      </c>
      <c r="AG166" s="131">
        <f>IF(NFI_Expiration=1,IF($A166&lt;VLOOKUP(S$5,NFI,5,0),1,0)*Data_NFI_t[[#This Row],[Plastic Mat]],0)*IF(Data_NFI_t[[#This Row],[Distribution Date]]&gt;"01-06-2015",1,2.5)</f>
        <v>0</v>
      </c>
      <c r="AH166" s="915">
        <f>IF(NFI_Expiration=1,IF($A166&lt;VLOOKUP(T$5,NFI,5,0),1,0)*Data_NFI_t[[#This Row],[Adult Clothes]],0)</f>
        <v>0</v>
      </c>
      <c r="AI166" s="131">
        <f>IF(NFI_Expiration=1,IF($A166&lt;VLOOKUP(U$5,NFI,5,0),1,0)*Data_NFI_t[[#This Row],[Children Clothes]],0)</f>
        <v>0</v>
      </c>
      <c r="AJ166" s="131">
        <f>IF(NFI_Expiration=1,IF($A166&lt;VLOOKUP(V$5,NFI,5,0),1,0)*Data_NFI_t[[#This Row],[Sewing Kit]],0)</f>
        <v>0</v>
      </c>
      <c r="AK166" s="131" t="str">
        <f ca="1">IFERROR(OFFSET(Camp_List[P_Code],MATCH(Data_NFI_t[[#This Row],[Camp Name]],Camp_List[Camp Name],0)-1,0,1,1),"")</f>
        <v>MMR012CMP039</v>
      </c>
      <c r="AL166" s="513" t="str">
        <f ca="1">IFERROR(OFFSET(Camp_List[Status],MATCH(Data_NFI_t[[#This Row],[Camp Name]],Camp_List[Camp Name],0)-1,0,1,1),"")</f>
        <v>Open</v>
      </c>
      <c r="AM166" s="131"/>
    </row>
    <row r="167" spans="1:39" s="90" customFormat="1" ht="19.5" customHeight="1" x14ac:dyDescent="0.25">
      <c r="A167" s="242">
        <f>IF(ISBLANK(C167),"",(Report_Date-C167)/30)</f>
        <v>40.166666666666664</v>
      </c>
      <c r="B167" s="242">
        <f>YEAR(Data_NFI_t[[#This Row],[Distribution Date]])</f>
        <v>2013</v>
      </c>
      <c r="C167" s="927">
        <v>41590</v>
      </c>
      <c r="D167" s="489" t="s">
        <v>285</v>
      </c>
      <c r="E167" s="488" t="s">
        <v>285</v>
      </c>
      <c r="F167" s="489" t="s">
        <v>7</v>
      </c>
      <c r="G167" s="794" t="s">
        <v>15</v>
      </c>
      <c r="H167" s="794" t="s">
        <v>54</v>
      </c>
      <c r="I167" s="794">
        <v>220</v>
      </c>
      <c r="J167" s="51"/>
      <c r="K167" s="51"/>
      <c r="L167" s="51"/>
      <c r="M167" s="51"/>
      <c r="N167" s="51"/>
      <c r="O167" s="51"/>
      <c r="P167" s="51"/>
      <c r="Q167" s="51"/>
      <c r="R167" s="511"/>
      <c r="S167" s="51"/>
      <c r="T167" s="51"/>
      <c r="U167" s="51"/>
      <c r="V167" s="51"/>
      <c r="W167" s="131">
        <f>IF(NFI_Expiration=1,IF($A167&lt;VLOOKUP(I$5,NFI,5,0),1,0)*Data_NFI_t[[#This Row],[Hygiene Kit]],0)</f>
        <v>0</v>
      </c>
      <c r="X167" s="131">
        <f>IF(NFI_Expiration=1,IF($A167&lt;VLOOKUP(J$5,NFI,5,0),1,0)*Data_NFI_t[[#This Row],[NFI Core Kit]],0)</f>
        <v>0</v>
      </c>
      <c r="Y167" s="112">
        <f>IF(NFI_Expiration=1,IF($A167&lt;VLOOKUP(K$5,NFI,5,0),1,0)*Data_NFI_t[[#This Row],[Sanitary Kit]],0)</f>
        <v>0</v>
      </c>
      <c r="Z167" s="112">
        <f>IF(NFI_Expiration=1,IF($A167&lt;VLOOKUP(L$5,NFI,5,0),1,0)*Data_NFI_t[[#This Row],[Mosquito net]],0)</f>
        <v>0</v>
      </c>
      <c r="AA167" s="112">
        <f>IF(NFI_Expiration=1,IF($A167&lt;VLOOKUP(M$5,NFI,5,0),1,0)*Data_NFI_t[[#This Row],[Tarpaulin]],0)</f>
        <v>0</v>
      </c>
      <c r="AB167" s="112">
        <f>IF(NFI_Expiration=1,IF($A167&lt;VLOOKUP(N$5,NFI,5,0),1,0)*Data_NFI_t[[#This Row],[Blanket]],0)</f>
        <v>0</v>
      </c>
      <c r="AC167" s="112">
        <f>IF(NFI_Expiration=1,IF($A167&lt;VLOOKUP(O$5,NFI,5,0),1,0)*Data_NFI_t[[#This Row],[Kitchen Set]],0)</f>
        <v>0</v>
      </c>
      <c r="AD167" s="112">
        <f>IF(NFI_Expiration=1,IF($A167&lt;VLOOKUP(P$5,NFI,5,0),1,0)*Data_NFI_t[[#This Row],[Complementary Kit]],0)</f>
        <v>0</v>
      </c>
      <c r="AE167" s="112">
        <f>IF(NFI_Expiration=1,IF($A167&lt;VLOOKUP(Q$5,NFI,5,0),1,0)*Data_NFI_t[[#This Row],[Plastic Bucket]],0)</f>
        <v>0</v>
      </c>
      <c r="AF167" s="112">
        <f>IF(NFI_Expiration=1,IF($A167&lt;VLOOKUP(R$5,NFI,5,0),1,0)*Data_NFI_t[[#This Row],[Jerry Can]],0)</f>
        <v>0</v>
      </c>
      <c r="AG167" s="131">
        <f>IF(NFI_Expiration=1,IF($A167&lt;VLOOKUP(S$5,NFI,5,0),1,0)*Data_NFI_t[[#This Row],[Plastic Mat]],0)*IF(Data_NFI_t[[#This Row],[Distribution Date]]&gt;"01-06-2015",1,2.5)</f>
        <v>0</v>
      </c>
      <c r="AH167" s="915">
        <f>IF(NFI_Expiration=1,IF($A167&lt;VLOOKUP(T$5,NFI,5,0),1,0)*Data_NFI_t[[#This Row],[Adult Clothes]],0)</f>
        <v>0</v>
      </c>
      <c r="AI167" s="131">
        <f>IF(NFI_Expiration=1,IF($A167&lt;VLOOKUP(U$5,NFI,5,0),1,0)*Data_NFI_t[[#This Row],[Children Clothes]],0)</f>
        <v>0</v>
      </c>
      <c r="AJ167" s="131">
        <f>IF(NFI_Expiration=1,IF($A167&lt;VLOOKUP(V$5,NFI,5,0),1,0)*Data_NFI_t[[#This Row],[Sewing Kit]],0)</f>
        <v>0</v>
      </c>
      <c r="AK167" s="131" t="str">
        <f ca="1">IFERROR(OFFSET(Camp_List[P_Code],MATCH(Data_NFI_t[[#This Row],[Camp Name]],Camp_List[Camp Name],0)-1,0,1,1),"")</f>
        <v>MMR012CMP030</v>
      </c>
      <c r="AL167" s="513" t="str">
        <f ca="1">IFERROR(OFFSET(Camp_List[Status],MATCH(Data_NFI_t[[#This Row],[Camp Name]],Camp_List[Camp Name],0)-1,0,1,1),"")</f>
        <v>Relocated</v>
      </c>
      <c r="AM167" s="131"/>
    </row>
    <row r="168" spans="1:39" s="90" customFormat="1" ht="19.5" customHeight="1" x14ac:dyDescent="0.25">
      <c r="A168" s="242">
        <f>IF(ISBLANK(C168),"",(Report_Date-C168)/30)</f>
        <v>40.166666666666664</v>
      </c>
      <c r="B168" s="242">
        <f>YEAR(Data_NFI_t[[#This Row],[Distribution Date]])</f>
        <v>2013</v>
      </c>
      <c r="C168" s="927">
        <v>41590</v>
      </c>
      <c r="D168" s="489" t="s">
        <v>285</v>
      </c>
      <c r="E168" s="488" t="s">
        <v>285</v>
      </c>
      <c r="F168" s="489" t="s">
        <v>7</v>
      </c>
      <c r="G168" s="794" t="s">
        <v>15</v>
      </c>
      <c r="H168" s="794" t="s">
        <v>45</v>
      </c>
      <c r="I168" s="794">
        <v>250</v>
      </c>
      <c r="J168" s="51"/>
      <c r="K168" s="51"/>
      <c r="L168" s="51"/>
      <c r="M168" s="51"/>
      <c r="N168" s="51"/>
      <c r="O168" s="51"/>
      <c r="P168" s="51"/>
      <c r="Q168" s="51"/>
      <c r="R168" s="511"/>
      <c r="S168" s="51"/>
      <c r="T168" s="51"/>
      <c r="U168" s="51"/>
      <c r="V168" s="51"/>
      <c r="W168" s="131">
        <f>IF(NFI_Expiration=1,IF($A168&lt;VLOOKUP(I$5,NFI,5,0),1,0)*Data_NFI_t[[#This Row],[Hygiene Kit]],0)</f>
        <v>0</v>
      </c>
      <c r="X168" s="131">
        <f>IF(NFI_Expiration=1,IF($A168&lt;VLOOKUP(J$5,NFI,5,0),1,0)*Data_NFI_t[[#This Row],[NFI Core Kit]],0)</f>
        <v>0</v>
      </c>
      <c r="Y168" s="112">
        <f>IF(NFI_Expiration=1,IF($A168&lt;VLOOKUP(K$5,NFI,5,0),1,0)*Data_NFI_t[[#This Row],[Sanitary Kit]],0)</f>
        <v>0</v>
      </c>
      <c r="Z168" s="112">
        <f>IF(NFI_Expiration=1,IF($A168&lt;VLOOKUP(L$5,NFI,5,0),1,0)*Data_NFI_t[[#This Row],[Mosquito net]],0)</f>
        <v>0</v>
      </c>
      <c r="AA168" s="112">
        <f>IF(NFI_Expiration=1,IF($A168&lt;VLOOKUP(M$5,NFI,5,0),1,0)*Data_NFI_t[[#This Row],[Tarpaulin]],0)</f>
        <v>0</v>
      </c>
      <c r="AB168" s="112">
        <f>IF(NFI_Expiration=1,IF($A168&lt;VLOOKUP(N$5,NFI,5,0),1,0)*Data_NFI_t[[#This Row],[Blanket]],0)</f>
        <v>0</v>
      </c>
      <c r="AC168" s="112">
        <f>IF(NFI_Expiration=1,IF($A168&lt;VLOOKUP(O$5,NFI,5,0),1,0)*Data_NFI_t[[#This Row],[Kitchen Set]],0)</f>
        <v>0</v>
      </c>
      <c r="AD168" s="112">
        <f>IF(NFI_Expiration=1,IF($A168&lt;VLOOKUP(P$5,NFI,5,0),1,0)*Data_NFI_t[[#This Row],[Complementary Kit]],0)</f>
        <v>0</v>
      </c>
      <c r="AE168" s="112">
        <f>IF(NFI_Expiration=1,IF($A168&lt;VLOOKUP(Q$5,NFI,5,0),1,0)*Data_NFI_t[[#This Row],[Plastic Bucket]],0)</f>
        <v>0</v>
      </c>
      <c r="AF168" s="112">
        <f>IF(NFI_Expiration=1,IF($A168&lt;VLOOKUP(R$5,NFI,5,0),1,0)*Data_NFI_t[[#This Row],[Jerry Can]],0)</f>
        <v>0</v>
      </c>
      <c r="AG168" s="131">
        <f>IF(NFI_Expiration=1,IF($A168&lt;VLOOKUP(S$5,NFI,5,0),1,0)*Data_NFI_t[[#This Row],[Plastic Mat]],0)*IF(Data_NFI_t[[#This Row],[Distribution Date]]&gt;"01-06-2015",1,2.5)</f>
        <v>0</v>
      </c>
      <c r="AH168" s="915">
        <f>IF(NFI_Expiration=1,IF($A168&lt;VLOOKUP(T$5,NFI,5,0),1,0)*Data_NFI_t[[#This Row],[Adult Clothes]],0)</f>
        <v>0</v>
      </c>
      <c r="AI168" s="131">
        <f>IF(NFI_Expiration=1,IF($A168&lt;VLOOKUP(U$5,NFI,5,0),1,0)*Data_NFI_t[[#This Row],[Children Clothes]],0)</f>
        <v>0</v>
      </c>
      <c r="AJ168" s="131">
        <f>IF(NFI_Expiration=1,IF($A168&lt;VLOOKUP(V$5,NFI,5,0),1,0)*Data_NFI_t[[#This Row],[Sewing Kit]],0)</f>
        <v>0</v>
      </c>
      <c r="AK168" s="131" t="str">
        <f ca="1">IFERROR(OFFSET(Camp_List[P_Code],MATCH(Data_NFI_t[[#This Row],[Camp Name]],Camp_List[Camp Name],0)-1,0,1,1),"")</f>
        <v>MMR012CMP021</v>
      </c>
      <c r="AL168" s="513" t="str">
        <f ca="1">IFERROR(OFFSET(Camp_List[Status],MATCH(Data_NFI_t[[#This Row],[Camp Name]],Camp_List[Camp Name],0)-1,0,1,1),"")</f>
        <v>Returned</v>
      </c>
      <c r="AM168" s="131"/>
    </row>
    <row r="169" spans="1:39" s="90" customFormat="1" ht="19.5" customHeight="1" x14ac:dyDescent="0.25">
      <c r="A169" s="242">
        <f>IF(ISBLANK(C169),"",(Report_Date-C169)/30)</f>
        <v>40.56666666666667</v>
      </c>
      <c r="B169" s="242">
        <f>YEAR(Data_NFI_t[[#This Row],[Distribution Date]])</f>
        <v>2013</v>
      </c>
      <c r="C169" s="927">
        <v>41578</v>
      </c>
      <c r="D169" s="489" t="s">
        <v>285</v>
      </c>
      <c r="E169" s="488" t="s">
        <v>285</v>
      </c>
      <c r="F169" s="489" t="s">
        <v>7</v>
      </c>
      <c r="G169" s="794" t="s">
        <v>15</v>
      </c>
      <c r="H169" s="794" t="s">
        <v>51</v>
      </c>
      <c r="I169" s="794">
        <v>280</v>
      </c>
      <c r="J169" s="51"/>
      <c r="K169" s="51"/>
      <c r="L169" s="51"/>
      <c r="M169" s="51"/>
      <c r="N169" s="51"/>
      <c r="O169" s="51"/>
      <c r="P169" s="51"/>
      <c r="Q169" s="51"/>
      <c r="R169" s="511"/>
      <c r="S169" s="51"/>
      <c r="T169" s="51"/>
      <c r="U169" s="51"/>
      <c r="V169" s="51"/>
      <c r="W169" s="131">
        <f>IF(NFI_Expiration=1,IF($A169&lt;VLOOKUP(I$5,NFI,5,0),1,0)*Data_NFI_t[[#This Row],[Hygiene Kit]],0)</f>
        <v>0</v>
      </c>
      <c r="X169" s="131">
        <f>IF(NFI_Expiration=1,IF($A169&lt;VLOOKUP(J$5,NFI,5,0),1,0)*Data_NFI_t[[#This Row],[NFI Core Kit]],0)</f>
        <v>0</v>
      </c>
      <c r="Y169" s="112">
        <f>IF(NFI_Expiration=1,IF($A169&lt;VLOOKUP(K$5,NFI,5,0),1,0)*Data_NFI_t[[#This Row],[Sanitary Kit]],0)</f>
        <v>0</v>
      </c>
      <c r="Z169" s="112">
        <f>IF(NFI_Expiration=1,IF($A169&lt;VLOOKUP(L$5,NFI,5,0),1,0)*Data_NFI_t[[#This Row],[Mosquito net]],0)</f>
        <v>0</v>
      </c>
      <c r="AA169" s="112">
        <f>IF(NFI_Expiration=1,IF($A169&lt;VLOOKUP(M$5,NFI,5,0),1,0)*Data_NFI_t[[#This Row],[Tarpaulin]],0)</f>
        <v>0</v>
      </c>
      <c r="AB169" s="112">
        <f>IF(NFI_Expiration=1,IF($A169&lt;VLOOKUP(N$5,NFI,5,0),1,0)*Data_NFI_t[[#This Row],[Blanket]],0)</f>
        <v>0</v>
      </c>
      <c r="AC169" s="112">
        <f>IF(NFI_Expiration=1,IF($A169&lt;VLOOKUP(O$5,NFI,5,0),1,0)*Data_NFI_t[[#This Row],[Kitchen Set]],0)</f>
        <v>0</v>
      </c>
      <c r="AD169" s="112">
        <f>IF(NFI_Expiration=1,IF($A169&lt;VLOOKUP(P$5,NFI,5,0),1,0)*Data_NFI_t[[#This Row],[Complementary Kit]],0)</f>
        <v>0</v>
      </c>
      <c r="AE169" s="112">
        <f>IF(NFI_Expiration=1,IF($A169&lt;VLOOKUP(Q$5,NFI,5,0),1,0)*Data_NFI_t[[#This Row],[Plastic Bucket]],0)</f>
        <v>0</v>
      </c>
      <c r="AF169" s="112">
        <f>IF(NFI_Expiration=1,IF($A169&lt;VLOOKUP(R$5,NFI,5,0),1,0)*Data_NFI_t[[#This Row],[Jerry Can]],0)</f>
        <v>0</v>
      </c>
      <c r="AG169" s="131">
        <f>IF(NFI_Expiration=1,IF($A169&lt;VLOOKUP(S$5,NFI,5,0),1,0)*Data_NFI_t[[#This Row],[Plastic Mat]],0)*IF(Data_NFI_t[[#This Row],[Distribution Date]]&gt;"01-06-2015",1,2.5)</f>
        <v>0</v>
      </c>
      <c r="AH169" s="915">
        <f>IF(NFI_Expiration=1,IF($A169&lt;VLOOKUP(T$5,NFI,5,0),1,0)*Data_NFI_t[[#This Row],[Adult Clothes]],0)</f>
        <v>0</v>
      </c>
      <c r="AI169" s="131">
        <f>IF(NFI_Expiration=1,IF($A169&lt;VLOOKUP(U$5,NFI,5,0),1,0)*Data_NFI_t[[#This Row],[Children Clothes]],0)</f>
        <v>0</v>
      </c>
      <c r="AJ169" s="131">
        <f>IF(NFI_Expiration=1,IF($A169&lt;VLOOKUP(V$5,NFI,5,0),1,0)*Data_NFI_t[[#This Row],[Sewing Kit]],0)</f>
        <v>0</v>
      </c>
      <c r="AK169" s="131" t="str">
        <f ca="1">IFERROR(OFFSET(Camp_List[P_Code],MATCH(Data_NFI_t[[#This Row],[Camp Name]],Camp_List[Camp Name],0)-1,0,1,1),"")</f>
        <v>MMR012CMP027</v>
      </c>
      <c r="AL169" s="513" t="str">
        <f ca="1">IFERROR(OFFSET(Camp_List[Status],MATCH(Data_NFI_t[[#This Row],[Camp Name]],Camp_List[Camp Name],0)-1,0,1,1),"")</f>
        <v>Returned</v>
      </c>
      <c r="AM169" s="131"/>
    </row>
    <row r="170" spans="1:39" s="90" customFormat="1" ht="19.5" customHeight="1" x14ac:dyDescent="0.25">
      <c r="A170" s="242">
        <f>IF(ISBLANK(C170),"",(Report_Date-C170)/30)</f>
        <v>40.56666666666667</v>
      </c>
      <c r="B170" s="242">
        <f>YEAR(Data_NFI_t[[#This Row],[Distribution Date]])</f>
        <v>2013</v>
      </c>
      <c r="C170" s="927">
        <v>41578</v>
      </c>
      <c r="D170" s="489" t="s">
        <v>285</v>
      </c>
      <c r="E170" s="488" t="s">
        <v>285</v>
      </c>
      <c r="F170" s="489" t="s">
        <v>7</v>
      </c>
      <c r="G170" s="794" t="s">
        <v>15</v>
      </c>
      <c r="H170" s="794" t="s">
        <v>50</v>
      </c>
      <c r="I170" s="794">
        <v>380</v>
      </c>
      <c r="J170" s="51"/>
      <c r="K170" s="51"/>
      <c r="L170" s="51"/>
      <c r="M170" s="51"/>
      <c r="N170" s="51"/>
      <c r="O170" s="51"/>
      <c r="P170" s="51"/>
      <c r="Q170" s="51"/>
      <c r="R170" s="511"/>
      <c r="S170" s="51"/>
      <c r="T170" s="51"/>
      <c r="U170" s="51"/>
      <c r="V170" s="51"/>
      <c r="W170" s="131">
        <f>IF(NFI_Expiration=1,IF($A170&lt;VLOOKUP(I$5,NFI,5,0),1,0)*Data_NFI_t[[#This Row],[Hygiene Kit]],0)</f>
        <v>0</v>
      </c>
      <c r="X170" s="131">
        <f>IF(NFI_Expiration=1,IF($A170&lt;VLOOKUP(J$5,NFI,5,0),1,0)*Data_NFI_t[[#This Row],[NFI Core Kit]],0)</f>
        <v>0</v>
      </c>
      <c r="Y170" s="112">
        <f>IF(NFI_Expiration=1,IF($A170&lt;VLOOKUP(K$5,NFI,5,0),1,0)*Data_NFI_t[[#This Row],[Sanitary Kit]],0)</f>
        <v>0</v>
      </c>
      <c r="Z170" s="112">
        <f>IF(NFI_Expiration=1,IF($A170&lt;VLOOKUP(L$5,NFI,5,0),1,0)*Data_NFI_t[[#This Row],[Mosquito net]],0)</f>
        <v>0</v>
      </c>
      <c r="AA170" s="112">
        <f>IF(NFI_Expiration=1,IF($A170&lt;VLOOKUP(M$5,NFI,5,0),1,0)*Data_NFI_t[[#This Row],[Tarpaulin]],0)</f>
        <v>0</v>
      </c>
      <c r="AB170" s="112">
        <f>IF(NFI_Expiration=1,IF($A170&lt;VLOOKUP(N$5,NFI,5,0),1,0)*Data_NFI_t[[#This Row],[Blanket]],0)</f>
        <v>0</v>
      </c>
      <c r="AC170" s="112">
        <f>IF(NFI_Expiration=1,IF($A170&lt;VLOOKUP(O$5,NFI,5,0),1,0)*Data_NFI_t[[#This Row],[Kitchen Set]],0)</f>
        <v>0</v>
      </c>
      <c r="AD170" s="112">
        <f>IF(NFI_Expiration=1,IF($A170&lt;VLOOKUP(P$5,NFI,5,0),1,0)*Data_NFI_t[[#This Row],[Complementary Kit]],0)</f>
        <v>0</v>
      </c>
      <c r="AE170" s="112">
        <f>IF(NFI_Expiration=1,IF($A170&lt;VLOOKUP(Q$5,NFI,5,0),1,0)*Data_NFI_t[[#This Row],[Plastic Bucket]],0)</f>
        <v>0</v>
      </c>
      <c r="AF170" s="112">
        <f>IF(NFI_Expiration=1,IF($A170&lt;VLOOKUP(R$5,NFI,5,0),1,0)*Data_NFI_t[[#This Row],[Jerry Can]],0)</f>
        <v>0</v>
      </c>
      <c r="AG170" s="131">
        <f>IF(NFI_Expiration=1,IF($A170&lt;VLOOKUP(S$5,NFI,5,0),1,0)*Data_NFI_t[[#This Row],[Plastic Mat]],0)*IF(Data_NFI_t[[#This Row],[Distribution Date]]&gt;"01-06-2015",1,2.5)</f>
        <v>0</v>
      </c>
      <c r="AH170" s="915">
        <f>IF(NFI_Expiration=1,IF($A170&lt;VLOOKUP(T$5,NFI,5,0),1,0)*Data_NFI_t[[#This Row],[Adult Clothes]],0)</f>
        <v>0</v>
      </c>
      <c r="AI170" s="131">
        <f>IF(NFI_Expiration=1,IF($A170&lt;VLOOKUP(U$5,NFI,5,0),1,0)*Data_NFI_t[[#This Row],[Children Clothes]],0)</f>
        <v>0</v>
      </c>
      <c r="AJ170" s="131">
        <f>IF(NFI_Expiration=1,IF($A170&lt;VLOOKUP(V$5,NFI,5,0),1,0)*Data_NFI_t[[#This Row],[Sewing Kit]],0)</f>
        <v>0</v>
      </c>
      <c r="AK170" s="131" t="str">
        <f ca="1">IFERROR(OFFSET(Camp_List[P_Code],MATCH(Data_NFI_t[[#This Row],[Camp Name]],Camp_List[Camp Name],0)-1,0,1,1),"")</f>
        <v>MMR012CMP026</v>
      </c>
      <c r="AL170" s="513" t="str">
        <f ca="1">IFERROR(OFFSET(Camp_List[Status],MATCH(Data_NFI_t[[#This Row],[Camp Name]],Camp_List[Camp Name],0)-1,0,1,1),"")</f>
        <v>Returned</v>
      </c>
      <c r="AM170" s="131"/>
    </row>
    <row r="171" spans="1:39" s="90" customFormat="1" ht="19.5" customHeight="1" x14ac:dyDescent="0.25">
      <c r="A171" s="242">
        <f>IF(ISBLANK(C171),"",(Report_Date-C171)/30)</f>
        <v>40.666666666666664</v>
      </c>
      <c r="B171" s="242">
        <f>YEAR(Data_NFI_t[[#This Row],[Distribution Date]])</f>
        <v>2013</v>
      </c>
      <c r="C171" s="927">
        <v>41575</v>
      </c>
      <c r="D171" s="489" t="s">
        <v>285</v>
      </c>
      <c r="E171" s="488" t="s">
        <v>285</v>
      </c>
      <c r="F171" s="489" t="s">
        <v>7</v>
      </c>
      <c r="G171" s="794" t="s">
        <v>15</v>
      </c>
      <c r="H171" s="794" t="s">
        <v>48</v>
      </c>
      <c r="I171" s="794">
        <v>230</v>
      </c>
      <c r="J171" s="51"/>
      <c r="K171" s="51"/>
      <c r="L171" s="51"/>
      <c r="M171" s="51"/>
      <c r="N171" s="51"/>
      <c r="O171" s="51"/>
      <c r="P171" s="51"/>
      <c r="Q171" s="51"/>
      <c r="R171" s="511"/>
      <c r="S171" s="51"/>
      <c r="T171" s="51"/>
      <c r="U171" s="51"/>
      <c r="V171" s="51"/>
      <c r="W171" s="131">
        <f>IF(NFI_Expiration=1,IF($A171&lt;VLOOKUP(I$5,NFI,5,0),1,0)*Data_NFI_t[[#This Row],[Hygiene Kit]],0)</f>
        <v>0</v>
      </c>
      <c r="X171" s="131">
        <f>IF(NFI_Expiration=1,IF($A171&lt;VLOOKUP(J$5,NFI,5,0),1,0)*Data_NFI_t[[#This Row],[NFI Core Kit]],0)</f>
        <v>0</v>
      </c>
      <c r="Y171" s="112">
        <f>IF(NFI_Expiration=1,IF($A171&lt;VLOOKUP(K$5,NFI,5,0),1,0)*Data_NFI_t[[#This Row],[Sanitary Kit]],0)</f>
        <v>0</v>
      </c>
      <c r="Z171" s="112">
        <f>IF(NFI_Expiration=1,IF($A171&lt;VLOOKUP(L$5,NFI,5,0),1,0)*Data_NFI_t[[#This Row],[Mosquito net]],0)</f>
        <v>0</v>
      </c>
      <c r="AA171" s="112">
        <f>IF(NFI_Expiration=1,IF($A171&lt;VLOOKUP(M$5,NFI,5,0),1,0)*Data_NFI_t[[#This Row],[Tarpaulin]],0)</f>
        <v>0</v>
      </c>
      <c r="AB171" s="112">
        <f>IF(NFI_Expiration=1,IF($A171&lt;VLOOKUP(N$5,NFI,5,0),1,0)*Data_NFI_t[[#This Row],[Blanket]],0)</f>
        <v>0</v>
      </c>
      <c r="AC171" s="112">
        <f>IF(NFI_Expiration=1,IF($A171&lt;VLOOKUP(O$5,NFI,5,0),1,0)*Data_NFI_t[[#This Row],[Kitchen Set]],0)</f>
        <v>0</v>
      </c>
      <c r="AD171" s="112">
        <f>IF(NFI_Expiration=1,IF($A171&lt;VLOOKUP(P$5,NFI,5,0),1,0)*Data_NFI_t[[#This Row],[Complementary Kit]],0)</f>
        <v>0</v>
      </c>
      <c r="AE171" s="112">
        <f>IF(NFI_Expiration=1,IF($A171&lt;VLOOKUP(Q$5,NFI,5,0),1,0)*Data_NFI_t[[#This Row],[Plastic Bucket]],0)</f>
        <v>0</v>
      </c>
      <c r="AF171" s="112">
        <f>IF(NFI_Expiration=1,IF($A171&lt;VLOOKUP(R$5,NFI,5,0),1,0)*Data_NFI_t[[#This Row],[Jerry Can]],0)</f>
        <v>0</v>
      </c>
      <c r="AG171" s="131">
        <f>IF(NFI_Expiration=1,IF($A171&lt;VLOOKUP(S$5,NFI,5,0),1,0)*Data_NFI_t[[#This Row],[Plastic Mat]],0)*IF(Data_NFI_t[[#This Row],[Distribution Date]]&gt;"01-06-2015",1,2.5)</f>
        <v>0</v>
      </c>
      <c r="AH171" s="915">
        <f>IF(NFI_Expiration=1,IF($A171&lt;VLOOKUP(T$5,NFI,5,0),1,0)*Data_NFI_t[[#This Row],[Adult Clothes]],0)</f>
        <v>0</v>
      </c>
      <c r="AI171" s="131">
        <f>IF(NFI_Expiration=1,IF($A171&lt;VLOOKUP(U$5,NFI,5,0),1,0)*Data_NFI_t[[#This Row],[Children Clothes]],0)</f>
        <v>0</v>
      </c>
      <c r="AJ171" s="131">
        <f>IF(NFI_Expiration=1,IF($A171&lt;VLOOKUP(V$5,NFI,5,0),1,0)*Data_NFI_t[[#This Row],[Sewing Kit]],0)</f>
        <v>0</v>
      </c>
      <c r="AK171" s="131" t="str">
        <f ca="1">IFERROR(OFFSET(Camp_List[P_Code],MATCH(Data_NFI_t[[#This Row],[Camp Name]],Camp_List[Camp Name],0)-1,0,1,1),"")</f>
        <v>MMR012CMP024</v>
      </c>
      <c r="AL171" s="513" t="str">
        <f ca="1">IFERROR(OFFSET(Camp_List[Status],MATCH(Data_NFI_t[[#This Row],[Camp Name]],Camp_List[Camp Name],0)-1,0,1,1),"")</f>
        <v>Returned</v>
      </c>
      <c r="AM171" s="131"/>
    </row>
    <row r="172" spans="1:39" s="90" customFormat="1" ht="19.5" customHeight="1" x14ac:dyDescent="0.25">
      <c r="A172" s="242">
        <f>IF(ISBLANK(C172),"",(Report_Date-C172)/30)</f>
        <v>40.666666666666664</v>
      </c>
      <c r="B172" s="242">
        <f>YEAR(Data_NFI_t[[#This Row],[Distribution Date]])</f>
        <v>2013</v>
      </c>
      <c r="C172" s="927">
        <v>41575</v>
      </c>
      <c r="D172" s="489" t="s">
        <v>285</v>
      </c>
      <c r="E172" s="488" t="s">
        <v>285</v>
      </c>
      <c r="F172" s="489" t="s">
        <v>7</v>
      </c>
      <c r="G172" s="794" t="s">
        <v>15</v>
      </c>
      <c r="H172" s="794" t="s">
        <v>52</v>
      </c>
      <c r="I172" s="794">
        <v>300</v>
      </c>
      <c r="J172" s="51"/>
      <c r="K172" s="51"/>
      <c r="L172" s="51"/>
      <c r="M172" s="51"/>
      <c r="N172" s="51"/>
      <c r="O172" s="51"/>
      <c r="P172" s="51"/>
      <c r="Q172" s="51"/>
      <c r="R172" s="511"/>
      <c r="S172" s="51"/>
      <c r="T172" s="51"/>
      <c r="U172" s="51"/>
      <c r="V172" s="51"/>
      <c r="W172" s="131">
        <f>IF(NFI_Expiration=1,IF($A172&lt;VLOOKUP(I$5,NFI,5,0),1,0)*Data_NFI_t[[#This Row],[Hygiene Kit]],0)</f>
        <v>0</v>
      </c>
      <c r="X172" s="131">
        <f>IF(NFI_Expiration=1,IF($A172&lt;VLOOKUP(J$5,NFI,5,0),1,0)*Data_NFI_t[[#This Row],[NFI Core Kit]],0)</f>
        <v>0</v>
      </c>
      <c r="Y172" s="112">
        <f>IF(NFI_Expiration=1,IF($A172&lt;VLOOKUP(K$5,NFI,5,0),1,0)*Data_NFI_t[[#This Row],[Sanitary Kit]],0)</f>
        <v>0</v>
      </c>
      <c r="Z172" s="112">
        <f>IF(NFI_Expiration=1,IF($A172&lt;VLOOKUP(L$5,NFI,5,0),1,0)*Data_NFI_t[[#This Row],[Mosquito net]],0)</f>
        <v>0</v>
      </c>
      <c r="AA172" s="112">
        <f>IF(NFI_Expiration=1,IF($A172&lt;VLOOKUP(M$5,NFI,5,0),1,0)*Data_NFI_t[[#This Row],[Tarpaulin]],0)</f>
        <v>0</v>
      </c>
      <c r="AB172" s="112">
        <f>IF(NFI_Expiration=1,IF($A172&lt;VLOOKUP(N$5,NFI,5,0),1,0)*Data_NFI_t[[#This Row],[Blanket]],0)</f>
        <v>0</v>
      </c>
      <c r="AC172" s="112">
        <f>IF(NFI_Expiration=1,IF($A172&lt;VLOOKUP(O$5,NFI,5,0),1,0)*Data_NFI_t[[#This Row],[Kitchen Set]],0)</f>
        <v>0</v>
      </c>
      <c r="AD172" s="112">
        <f>IF(NFI_Expiration=1,IF($A172&lt;VLOOKUP(P$5,NFI,5,0),1,0)*Data_NFI_t[[#This Row],[Complementary Kit]],0)</f>
        <v>0</v>
      </c>
      <c r="AE172" s="112">
        <f>IF(NFI_Expiration=1,IF($A172&lt;VLOOKUP(Q$5,NFI,5,0),1,0)*Data_NFI_t[[#This Row],[Plastic Bucket]],0)</f>
        <v>0</v>
      </c>
      <c r="AF172" s="112">
        <f>IF(NFI_Expiration=1,IF($A172&lt;VLOOKUP(R$5,NFI,5,0),1,0)*Data_NFI_t[[#This Row],[Jerry Can]],0)</f>
        <v>0</v>
      </c>
      <c r="AG172" s="131">
        <f>IF(NFI_Expiration=1,IF($A172&lt;VLOOKUP(S$5,NFI,5,0),1,0)*Data_NFI_t[[#This Row],[Plastic Mat]],0)*IF(Data_NFI_t[[#This Row],[Distribution Date]]&gt;"01-06-2015",1,2.5)</f>
        <v>0</v>
      </c>
      <c r="AH172" s="915">
        <f>IF(NFI_Expiration=1,IF($A172&lt;VLOOKUP(T$5,NFI,5,0),1,0)*Data_NFI_t[[#This Row],[Adult Clothes]],0)</f>
        <v>0</v>
      </c>
      <c r="AI172" s="131">
        <f>IF(NFI_Expiration=1,IF($A172&lt;VLOOKUP(U$5,NFI,5,0),1,0)*Data_NFI_t[[#This Row],[Children Clothes]],0)</f>
        <v>0</v>
      </c>
      <c r="AJ172" s="131">
        <f>IF(NFI_Expiration=1,IF($A172&lt;VLOOKUP(V$5,NFI,5,0),1,0)*Data_NFI_t[[#This Row],[Sewing Kit]],0)</f>
        <v>0</v>
      </c>
      <c r="AK172" s="131" t="str">
        <f ca="1">IFERROR(OFFSET(Camp_List[P_Code],MATCH(Data_NFI_t[[#This Row],[Camp Name]],Camp_List[Camp Name],0)-1,0,1,1),"")</f>
        <v>MMR012CMP028</v>
      </c>
      <c r="AL172" s="513" t="str">
        <f ca="1">IFERROR(OFFSET(Camp_List[Status],MATCH(Data_NFI_t[[#This Row],[Camp Name]],Camp_List[Camp Name],0)-1,0,1,1),"")</f>
        <v>Returned</v>
      </c>
      <c r="AM172" s="131"/>
    </row>
    <row r="173" spans="1:39" s="90" customFormat="1" ht="19.5" customHeight="1" x14ac:dyDescent="0.25">
      <c r="A173" s="242">
        <f>IF(ISBLANK(C173),"",(Report_Date-C173)/30)</f>
        <v>40.866666666666667</v>
      </c>
      <c r="B173" s="242">
        <f>YEAR(Data_NFI_t[[#This Row],[Distribution Date]])</f>
        <v>2013</v>
      </c>
      <c r="C173" s="927">
        <v>41569</v>
      </c>
      <c r="D173" s="489" t="s">
        <v>285</v>
      </c>
      <c r="E173" s="488" t="s">
        <v>285</v>
      </c>
      <c r="F173" s="489" t="s">
        <v>7</v>
      </c>
      <c r="G173" s="794" t="s">
        <v>19</v>
      </c>
      <c r="H173" s="794" t="s">
        <v>78</v>
      </c>
      <c r="I173" s="794"/>
      <c r="J173" s="51"/>
      <c r="K173" s="51"/>
      <c r="L173" s="51"/>
      <c r="M173" s="51"/>
      <c r="N173" s="51"/>
      <c r="O173" s="51"/>
      <c r="P173" s="51">
        <v>250</v>
      </c>
      <c r="Q173" s="51"/>
      <c r="R173" s="511"/>
      <c r="S173" s="51"/>
      <c r="T173" s="51"/>
      <c r="U173" s="51"/>
      <c r="V173" s="51"/>
      <c r="W173" s="131">
        <f>IF(NFI_Expiration=1,IF($A173&lt;VLOOKUP(I$5,NFI,5,0),1,0)*Data_NFI_t[[#This Row],[Hygiene Kit]],0)</f>
        <v>0</v>
      </c>
      <c r="X173" s="131">
        <f>IF(NFI_Expiration=1,IF($A173&lt;VLOOKUP(J$5,NFI,5,0),1,0)*Data_NFI_t[[#This Row],[NFI Core Kit]],0)</f>
        <v>0</v>
      </c>
      <c r="Y173" s="112">
        <f>IF(NFI_Expiration=1,IF($A173&lt;VLOOKUP(K$5,NFI,5,0),1,0)*Data_NFI_t[[#This Row],[Sanitary Kit]],0)</f>
        <v>0</v>
      </c>
      <c r="Z173" s="112">
        <f>IF(NFI_Expiration=1,IF($A173&lt;VLOOKUP(L$5,NFI,5,0),1,0)*Data_NFI_t[[#This Row],[Mosquito net]],0)</f>
        <v>0</v>
      </c>
      <c r="AA173" s="112">
        <f>IF(NFI_Expiration=1,IF($A173&lt;VLOOKUP(M$5,NFI,5,0),1,0)*Data_NFI_t[[#This Row],[Tarpaulin]],0)</f>
        <v>0</v>
      </c>
      <c r="AB173" s="112">
        <f>IF(NFI_Expiration=1,IF($A173&lt;VLOOKUP(N$5,NFI,5,0),1,0)*Data_NFI_t[[#This Row],[Blanket]],0)</f>
        <v>0</v>
      </c>
      <c r="AC173" s="112">
        <f>IF(NFI_Expiration=1,IF($A173&lt;VLOOKUP(O$5,NFI,5,0),1,0)*Data_NFI_t[[#This Row],[Kitchen Set]],0)</f>
        <v>0</v>
      </c>
      <c r="AD173" s="112">
        <f>IF(NFI_Expiration=1,IF($A173&lt;VLOOKUP(P$5,NFI,5,0),1,0)*Data_NFI_t[[#This Row],[Complementary Kit]],0)</f>
        <v>0</v>
      </c>
      <c r="AE173" s="112">
        <f>IF(NFI_Expiration=1,IF($A173&lt;VLOOKUP(Q$5,NFI,5,0),1,0)*Data_NFI_t[[#This Row],[Plastic Bucket]],0)</f>
        <v>0</v>
      </c>
      <c r="AF173" s="112">
        <f>IF(NFI_Expiration=1,IF($A173&lt;VLOOKUP(R$5,NFI,5,0),1,0)*Data_NFI_t[[#This Row],[Jerry Can]],0)</f>
        <v>0</v>
      </c>
      <c r="AG173" s="131">
        <f>IF(NFI_Expiration=1,IF($A173&lt;VLOOKUP(S$5,NFI,5,0),1,0)*Data_NFI_t[[#This Row],[Plastic Mat]],0)*IF(Data_NFI_t[[#This Row],[Distribution Date]]&gt;"01-06-2015",1,2.5)</f>
        <v>0</v>
      </c>
      <c r="AH173" s="915">
        <f>IF(NFI_Expiration=1,IF($A173&lt;VLOOKUP(T$5,NFI,5,0),1,0)*Data_NFI_t[[#This Row],[Adult Clothes]],0)</f>
        <v>0</v>
      </c>
      <c r="AI173" s="131">
        <f>IF(NFI_Expiration=1,IF($A173&lt;VLOOKUP(U$5,NFI,5,0),1,0)*Data_NFI_t[[#This Row],[Children Clothes]],0)</f>
        <v>0</v>
      </c>
      <c r="AJ173" s="131">
        <f>IF(NFI_Expiration=1,IF($A173&lt;VLOOKUP(V$5,NFI,5,0),1,0)*Data_NFI_t[[#This Row],[Sewing Kit]],0)</f>
        <v>0</v>
      </c>
      <c r="AK173" s="131" t="str">
        <f ca="1">IFERROR(OFFSET(Camp_List[P_Code],MATCH(Data_NFI_t[[#This Row],[Camp Name]],Camp_List[Camp Name],0)-1,0,1,1),"")</f>
        <v>MMR012CMP056</v>
      </c>
      <c r="AL173" s="513" t="str">
        <f ca="1">IFERROR(OFFSET(Camp_List[Status],MATCH(Data_NFI_t[[#This Row],[Camp Name]],Camp_List[Camp Name],0)-1,0,1,1),"")</f>
        <v>Relocated</v>
      </c>
      <c r="AM173" s="131"/>
    </row>
    <row r="174" spans="1:39" s="90" customFormat="1" ht="19.5" customHeight="1" x14ac:dyDescent="0.25">
      <c r="A174" s="242">
        <f>IF(ISBLANK(C174),"",(Report_Date-C174)/30)</f>
        <v>41</v>
      </c>
      <c r="B174" s="242">
        <f>YEAR(Data_NFI_t[[#This Row],[Distribution Date]])</f>
        <v>2013</v>
      </c>
      <c r="C174" s="927">
        <v>41565</v>
      </c>
      <c r="D174" s="489" t="s">
        <v>624</v>
      </c>
      <c r="E174" s="488" t="s">
        <v>624</v>
      </c>
      <c r="F174" s="489" t="s">
        <v>7</v>
      </c>
      <c r="G174" s="794" t="s">
        <v>19</v>
      </c>
      <c r="H174" s="794" t="s">
        <v>636</v>
      </c>
      <c r="I174" s="794"/>
      <c r="J174" s="51">
        <v>948</v>
      </c>
      <c r="K174" s="51"/>
      <c r="L174" s="51"/>
      <c r="M174" s="51"/>
      <c r="N174" s="51"/>
      <c r="O174" s="51"/>
      <c r="P174" s="51"/>
      <c r="Q174" s="51"/>
      <c r="R174" s="511"/>
      <c r="S174" s="51"/>
      <c r="T174" s="51"/>
      <c r="U174" s="51"/>
      <c r="V174" s="51"/>
      <c r="W174" s="131">
        <f>IF(NFI_Expiration=1,IF($A174&lt;VLOOKUP(I$5,NFI,5,0),1,0)*Data_NFI_t[[#This Row],[Hygiene Kit]],0)</f>
        <v>0</v>
      </c>
      <c r="X174" s="131">
        <f>IF(NFI_Expiration=1,IF($A174&lt;VLOOKUP(J$5,NFI,5,0),1,0)*Data_NFI_t[[#This Row],[NFI Core Kit]],0)</f>
        <v>0</v>
      </c>
      <c r="Y174" s="112">
        <f>IF(NFI_Expiration=1,IF($A174&lt;VLOOKUP(K$5,NFI,5,0),1,0)*Data_NFI_t[[#This Row],[Sanitary Kit]],0)</f>
        <v>0</v>
      </c>
      <c r="Z174" s="112">
        <f>IF(NFI_Expiration=1,IF($A174&lt;VLOOKUP(L$5,NFI,5,0),1,0)*Data_NFI_t[[#This Row],[Mosquito net]],0)</f>
        <v>0</v>
      </c>
      <c r="AA174" s="112">
        <f>IF(NFI_Expiration=1,IF($A174&lt;VLOOKUP(M$5,NFI,5,0),1,0)*Data_NFI_t[[#This Row],[Tarpaulin]],0)</f>
        <v>0</v>
      </c>
      <c r="AB174" s="112">
        <f>IF(NFI_Expiration=1,IF($A174&lt;VLOOKUP(N$5,NFI,5,0),1,0)*Data_NFI_t[[#This Row],[Blanket]],0)</f>
        <v>0</v>
      </c>
      <c r="AC174" s="112">
        <f>IF(NFI_Expiration=1,IF($A174&lt;VLOOKUP(O$5,NFI,5,0),1,0)*Data_NFI_t[[#This Row],[Kitchen Set]],0)</f>
        <v>0</v>
      </c>
      <c r="AD174" s="112">
        <f>IF(NFI_Expiration=1,IF($A174&lt;VLOOKUP(P$5,NFI,5,0),1,0)*Data_NFI_t[[#This Row],[Complementary Kit]],0)</f>
        <v>0</v>
      </c>
      <c r="AE174" s="112">
        <f>IF(NFI_Expiration=1,IF($A174&lt;VLOOKUP(Q$5,NFI,5,0),1,0)*Data_NFI_t[[#This Row],[Plastic Bucket]],0)</f>
        <v>0</v>
      </c>
      <c r="AF174" s="112">
        <f>IF(NFI_Expiration=1,IF($A174&lt;VLOOKUP(R$5,NFI,5,0),1,0)*Data_NFI_t[[#This Row],[Jerry Can]],0)</f>
        <v>0</v>
      </c>
      <c r="AG174" s="131">
        <f>IF(NFI_Expiration=1,IF($A174&lt;VLOOKUP(S$5,NFI,5,0),1,0)*Data_NFI_t[[#This Row],[Plastic Mat]],0)*IF(Data_NFI_t[[#This Row],[Distribution Date]]&gt;"01-06-2015",1,2.5)</f>
        <v>0</v>
      </c>
      <c r="AH174" s="915">
        <f>IF(NFI_Expiration=1,IF($A174&lt;VLOOKUP(T$5,NFI,5,0),1,0)*Data_NFI_t[[#This Row],[Adult Clothes]],0)</f>
        <v>0</v>
      </c>
      <c r="AI174" s="131">
        <f>IF(NFI_Expiration=1,IF($A174&lt;VLOOKUP(U$5,NFI,5,0),1,0)*Data_NFI_t[[#This Row],[Children Clothes]],0)</f>
        <v>0</v>
      </c>
      <c r="AJ174" s="131">
        <f>IF(NFI_Expiration=1,IF($A174&lt;VLOOKUP(V$5,NFI,5,0),1,0)*Data_NFI_t[[#This Row],[Sewing Kit]],0)</f>
        <v>0</v>
      </c>
      <c r="AK174" s="131" t="str">
        <f ca="1">IFERROR(OFFSET(Camp_List[P_Code],MATCH(Data_NFI_t[[#This Row],[Camp Name]],Camp_List[Camp Name],0)-1,0,1,1),"")</f>
        <v>MMR012CMP116</v>
      </c>
      <c r="AL174" s="513" t="str">
        <f ca="1">IFERROR(OFFSET(Camp_List[Status],MATCH(Data_NFI_t[[#This Row],[Camp Name]],Camp_List[Camp Name],0)-1,0,1,1),"")</f>
        <v>Open</v>
      </c>
      <c r="AM174" s="131"/>
    </row>
    <row r="175" spans="1:39" s="90" customFormat="1" ht="19.5" customHeight="1" x14ac:dyDescent="0.25">
      <c r="A175" s="242">
        <f>IF(ISBLANK(C175),"",(Report_Date-C175)/30)</f>
        <v>41.033333333333331</v>
      </c>
      <c r="B175" s="242">
        <f>YEAR(Data_NFI_t[[#This Row],[Distribution Date]])</f>
        <v>2013</v>
      </c>
      <c r="C175" s="927">
        <v>41564</v>
      </c>
      <c r="D175" s="489" t="s">
        <v>285</v>
      </c>
      <c r="E175" s="488" t="s">
        <v>285</v>
      </c>
      <c r="F175" s="489" t="s">
        <v>7</v>
      </c>
      <c r="G175" s="794" t="s">
        <v>19</v>
      </c>
      <c r="H175" s="794" t="s">
        <v>639</v>
      </c>
      <c r="I175" s="794"/>
      <c r="J175" s="51"/>
      <c r="K175" s="51"/>
      <c r="L175" s="51"/>
      <c r="M175" s="51"/>
      <c r="N175" s="51"/>
      <c r="O175" s="51"/>
      <c r="P175" s="51">
        <v>631</v>
      </c>
      <c r="Q175" s="51"/>
      <c r="R175" s="511"/>
      <c r="S175" s="51"/>
      <c r="T175" s="51"/>
      <c r="U175" s="51"/>
      <c r="V175" s="51"/>
      <c r="W175" s="131">
        <f>IF(NFI_Expiration=1,IF($A175&lt;VLOOKUP(I$5,NFI,5,0),1,0)*Data_NFI_t[[#This Row],[Hygiene Kit]],0)</f>
        <v>0</v>
      </c>
      <c r="X175" s="131">
        <f>IF(NFI_Expiration=1,IF($A175&lt;VLOOKUP(J$5,NFI,5,0),1,0)*Data_NFI_t[[#This Row],[NFI Core Kit]],0)</f>
        <v>0</v>
      </c>
      <c r="Y175" s="112">
        <f>IF(NFI_Expiration=1,IF($A175&lt;VLOOKUP(K$5,NFI,5,0),1,0)*Data_NFI_t[[#This Row],[Sanitary Kit]],0)</f>
        <v>0</v>
      </c>
      <c r="Z175" s="112">
        <f>IF(NFI_Expiration=1,IF($A175&lt;VLOOKUP(L$5,NFI,5,0),1,0)*Data_NFI_t[[#This Row],[Mosquito net]],0)</f>
        <v>0</v>
      </c>
      <c r="AA175" s="112">
        <f>IF(NFI_Expiration=1,IF($A175&lt;VLOOKUP(M$5,NFI,5,0),1,0)*Data_NFI_t[[#This Row],[Tarpaulin]],0)</f>
        <v>0</v>
      </c>
      <c r="AB175" s="112">
        <f>IF(NFI_Expiration=1,IF($A175&lt;VLOOKUP(N$5,NFI,5,0),1,0)*Data_NFI_t[[#This Row],[Blanket]],0)</f>
        <v>0</v>
      </c>
      <c r="AC175" s="112">
        <f>IF(NFI_Expiration=1,IF($A175&lt;VLOOKUP(O$5,NFI,5,0),1,0)*Data_NFI_t[[#This Row],[Kitchen Set]],0)</f>
        <v>0</v>
      </c>
      <c r="AD175" s="112">
        <f>IF(NFI_Expiration=1,IF($A175&lt;VLOOKUP(P$5,NFI,5,0),1,0)*Data_NFI_t[[#This Row],[Complementary Kit]],0)</f>
        <v>0</v>
      </c>
      <c r="AE175" s="112">
        <f>IF(NFI_Expiration=1,IF($A175&lt;VLOOKUP(Q$5,NFI,5,0),1,0)*Data_NFI_t[[#This Row],[Plastic Bucket]],0)</f>
        <v>0</v>
      </c>
      <c r="AF175" s="112">
        <f>IF(NFI_Expiration=1,IF($A175&lt;VLOOKUP(R$5,NFI,5,0),1,0)*Data_NFI_t[[#This Row],[Jerry Can]],0)</f>
        <v>0</v>
      </c>
      <c r="AG175" s="131">
        <f>IF(NFI_Expiration=1,IF($A175&lt;VLOOKUP(S$5,NFI,5,0),1,0)*Data_NFI_t[[#This Row],[Plastic Mat]],0)*IF(Data_NFI_t[[#This Row],[Distribution Date]]&gt;"01-06-2015",1,2.5)</f>
        <v>0</v>
      </c>
      <c r="AH175" s="915">
        <f>IF(NFI_Expiration=1,IF($A175&lt;VLOOKUP(T$5,NFI,5,0),1,0)*Data_NFI_t[[#This Row],[Adult Clothes]],0)</f>
        <v>0</v>
      </c>
      <c r="AI175" s="131">
        <f>IF(NFI_Expiration=1,IF($A175&lt;VLOOKUP(U$5,NFI,5,0),1,0)*Data_NFI_t[[#This Row],[Children Clothes]],0)</f>
        <v>0</v>
      </c>
      <c r="AJ175" s="131">
        <f>IF(NFI_Expiration=1,IF($A175&lt;VLOOKUP(V$5,NFI,5,0),1,0)*Data_NFI_t[[#This Row],[Sewing Kit]],0)</f>
        <v>0</v>
      </c>
      <c r="AK175" s="131" t="str">
        <f ca="1">IFERROR(OFFSET(Camp_List[P_Code],MATCH(Data_NFI_t[[#This Row],[Camp Name]],Camp_List[Camp Name],0)-1,0,1,1),"")</f>
        <v>MMR012CMP111</v>
      </c>
      <c r="AL175" s="513" t="str">
        <f ca="1">IFERROR(OFFSET(Camp_List[Status],MATCH(Data_NFI_t[[#This Row],[Camp Name]],Camp_List[Camp Name],0)-1,0,1,1),"")</f>
        <v>Relocated</v>
      </c>
      <c r="AM175" s="131"/>
    </row>
    <row r="176" spans="1:39" s="90" customFormat="1" ht="19.5" customHeight="1" x14ac:dyDescent="0.25">
      <c r="A176" s="242">
        <f>IF(ISBLANK(C176),"",(Report_Date-C176)/30)</f>
        <v>41.966666666666669</v>
      </c>
      <c r="B176" s="242">
        <f>YEAR(Data_NFI_t[[#This Row],[Distribution Date]])</f>
        <v>2013</v>
      </c>
      <c r="C176" s="927">
        <v>41536</v>
      </c>
      <c r="D176" s="489" t="s">
        <v>285</v>
      </c>
      <c r="E176" s="488" t="s">
        <v>285</v>
      </c>
      <c r="F176" s="489" t="s">
        <v>7</v>
      </c>
      <c r="G176" s="794" t="s">
        <v>14</v>
      </c>
      <c r="H176" s="794" t="s">
        <v>39</v>
      </c>
      <c r="I176" s="794"/>
      <c r="J176" s="51"/>
      <c r="K176" s="51"/>
      <c r="L176" s="51">
        <v>42</v>
      </c>
      <c r="M176" s="51"/>
      <c r="N176" s="51">
        <v>42</v>
      </c>
      <c r="O176" s="51">
        <v>21</v>
      </c>
      <c r="P176" s="51">
        <v>21</v>
      </c>
      <c r="Q176" s="51">
        <v>21</v>
      </c>
      <c r="R176" s="511"/>
      <c r="S176" s="51">
        <v>42</v>
      </c>
      <c r="T176" s="51"/>
      <c r="U176" s="51"/>
      <c r="V176" s="51"/>
      <c r="W176" s="131">
        <f>IF(NFI_Expiration=1,IF($A176&lt;VLOOKUP(I$5,NFI,5,0),1,0)*Data_NFI_t[[#This Row],[Hygiene Kit]],0)</f>
        <v>0</v>
      </c>
      <c r="X176" s="131">
        <f>IF(NFI_Expiration=1,IF($A176&lt;VLOOKUP(J$5,NFI,5,0),1,0)*Data_NFI_t[[#This Row],[NFI Core Kit]],0)</f>
        <v>0</v>
      </c>
      <c r="Y176" s="112">
        <f>IF(NFI_Expiration=1,IF($A176&lt;VLOOKUP(K$5,NFI,5,0),1,0)*Data_NFI_t[[#This Row],[Sanitary Kit]],0)</f>
        <v>0</v>
      </c>
      <c r="Z176" s="112">
        <f>IF(NFI_Expiration=1,IF($A176&lt;VLOOKUP(L$5,NFI,5,0),1,0)*Data_NFI_t[[#This Row],[Mosquito net]],0)</f>
        <v>0</v>
      </c>
      <c r="AA176" s="112">
        <f>IF(NFI_Expiration=1,IF($A176&lt;VLOOKUP(M$5,NFI,5,0),1,0)*Data_NFI_t[[#This Row],[Tarpaulin]],0)</f>
        <v>0</v>
      </c>
      <c r="AB176" s="112">
        <f>IF(NFI_Expiration=1,IF($A176&lt;VLOOKUP(N$5,NFI,5,0),1,0)*Data_NFI_t[[#This Row],[Blanket]],0)</f>
        <v>0</v>
      </c>
      <c r="AC176" s="112">
        <f>IF(NFI_Expiration=1,IF($A176&lt;VLOOKUP(O$5,NFI,5,0),1,0)*Data_NFI_t[[#This Row],[Kitchen Set]],0)</f>
        <v>0</v>
      </c>
      <c r="AD176" s="112">
        <f>IF(NFI_Expiration=1,IF($A176&lt;VLOOKUP(P$5,NFI,5,0),1,0)*Data_NFI_t[[#This Row],[Complementary Kit]],0)</f>
        <v>0</v>
      </c>
      <c r="AE176" s="112">
        <f>IF(NFI_Expiration=1,IF($A176&lt;VLOOKUP(Q$5,NFI,5,0),1,0)*Data_NFI_t[[#This Row],[Plastic Bucket]],0)</f>
        <v>0</v>
      </c>
      <c r="AF176" s="112">
        <f>IF(NFI_Expiration=1,IF($A176&lt;VLOOKUP(R$5,NFI,5,0),1,0)*Data_NFI_t[[#This Row],[Jerry Can]],0)</f>
        <v>0</v>
      </c>
      <c r="AG176" s="131">
        <f>IF(NFI_Expiration=1,IF($A176&lt;VLOOKUP(S$5,NFI,5,0),1,0)*Data_NFI_t[[#This Row],[Plastic Mat]],0)*IF(Data_NFI_t[[#This Row],[Distribution Date]]&gt;"01-06-2015",1,2.5)</f>
        <v>0</v>
      </c>
      <c r="AH176" s="915">
        <f>IF(NFI_Expiration=1,IF($A176&lt;VLOOKUP(T$5,NFI,5,0),1,0)*Data_NFI_t[[#This Row],[Adult Clothes]],0)</f>
        <v>0</v>
      </c>
      <c r="AI176" s="131">
        <f>IF(NFI_Expiration=1,IF($A176&lt;VLOOKUP(U$5,NFI,5,0),1,0)*Data_NFI_t[[#This Row],[Children Clothes]],0)</f>
        <v>0</v>
      </c>
      <c r="AJ176" s="131">
        <f>IF(NFI_Expiration=1,IF($A176&lt;VLOOKUP(V$5,NFI,5,0),1,0)*Data_NFI_t[[#This Row],[Sewing Kit]],0)</f>
        <v>0</v>
      </c>
      <c r="AK176" s="131" t="str">
        <f ca="1">IFERROR(OFFSET(Camp_List[P_Code],MATCH(Data_NFI_t[[#This Row],[Camp Name]],Camp_List[Camp Name],0)-1,0,1,1),"")</f>
        <v>MMR012CMP015</v>
      </c>
      <c r="AL176" s="513" t="str">
        <f ca="1">IFERROR(OFFSET(Camp_List[Status],MATCH(Data_NFI_t[[#This Row],[Camp Name]],Camp_List[Camp Name],0)-1,0,1,1),"")</f>
        <v>Relocated</v>
      </c>
      <c r="AM176" s="131"/>
    </row>
    <row r="177" spans="1:39" s="90" customFormat="1" ht="19.5" customHeight="1" x14ac:dyDescent="0.25">
      <c r="A177" s="242">
        <f>IF(ISBLANK(C177),"",(Report_Date-C177)/30)</f>
        <v>42</v>
      </c>
      <c r="B177" s="242">
        <f>YEAR(Data_NFI_t[[#This Row],[Distribution Date]])</f>
        <v>2013</v>
      </c>
      <c r="C177" s="927">
        <v>41535</v>
      </c>
      <c r="D177" s="489" t="s">
        <v>285</v>
      </c>
      <c r="E177" s="488" t="s">
        <v>285</v>
      </c>
      <c r="F177" s="489" t="s">
        <v>7</v>
      </c>
      <c r="G177" s="794" t="s">
        <v>14</v>
      </c>
      <c r="H177" s="794" t="s">
        <v>42</v>
      </c>
      <c r="I177" s="794"/>
      <c r="J177" s="51"/>
      <c r="K177" s="51"/>
      <c r="L177" s="51">
        <v>2658</v>
      </c>
      <c r="M177" s="51">
        <v>940</v>
      </c>
      <c r="N177" s="51">
        <v>1880</v>
      </c>
      <c r="O177" s="51">
        <v>940</v>
      </c>
      <c r="P177" s="51">
        <v>1718</v>
      </c>
      <c r="Q177" s="51">
        <v>940</v>
      </c>
      <c r="R177" s="511"/>
      <c r="S177" s="51">
        <v>1880</v>
      </c>
      <c r="T177" s="51"/>
      <c r="U177" s="51"/>
      <c r="V177" s="51"/>
      <c r="W177" s="131">
        <f>IF(NFI_Expiration=1,IF($A177&lt;VLOOKUP(I$5,NFI,5,0),1,0)*Data_NFI_t[[#This Row],[Hygiene Kit]],0)</f>
        <v>0</v>
      </c>
      <c r="X177" s="131">
        <f>IF(NFI_Expiration=1,IF($A177&lt;VLOOKUP(J$5,NFI,5,0),1,0)*Data_NFI_t[[#This Row],[NFI Core Kit]],0)</f>
        <v>0</v>
      </c>
      <c r="Y177" s="112">
        <f>IF(NFI_Expiration=1,IF($A177&lt;VLOOKUP(K$5,NFI,5,0),1,0)*Data_NFI_t[[#This Row],[Sanitary Kit]],0)</f>
        <v>0</v>
      </c>
      <c r="Z177" s="112">
        <f>IF(NFI_Expiration=1,IF($A177&lt;VLOOKUP(L$5,NFI,5,0),1,0)*Data_NFI_t[[#This Row],[Mosquito net]],0)</f>
        <v>0</v>
      </c>
      <c r="AA177" s="112">
        <f>IF(NFI_Expiration=1,IF($A177&lt;VLOOKUP(M$5,NFI,5,0),1,0)*Data_NFI_t[[#This Row],[Tarpaulin]],0)</f>
        <v>0</v>
      </c>
      <c r="AB177" s="112">
        <f>IF(NFI_Expiration=1,IF($A177&lt;VLOOKUP(N$5,NFI,5,0),1,0)*Data_NFI_t[[#This Row],[Blanket]],0)</f>
        <v>0</v>
      </c>
      <c r="AC177" s="112">
        <f>IF(NFI_Expiration=1,IF($A177&lt;VLOOKUP(O$5,NFI,5,0),1,0)*Data_NFI_t[[#This Row],[Kitchen Set]],0)</f>
        <v>0</v>
      </c>
      <c r="AD177" s="112">
        <f>IF(NFI_Expiration=1,IF($A177&lt;VLOOKUP(P$5,NFI,5,0),1,0)*Data_NFI_t[[#This Row],[Complementary Kit]],0)</f>
        <v>0</v>
      </c>
      <c r="AE177" s="112">
        <f>IF(NFI_Expiration=1,IF($A177&lt;VLOOKUP(Q$5,NFI,5,0),1,0)*Data_NFI_t[[#This Row],[Plastic Bucket]],0)</f>
        <v>0</v>
      </c>
      <c r="AF177" s="112">
        <f>IF(NFI_Expiration=1,IF($A177&lt;VLOOKUP(R$5,NFI,5,0),1,0)*Data_NFI_t[[#This Row],[Jerry Can]],0)</f>
        <v>0</v>
      </c>
      <c r="AG177" s="131">
        <f>IF(NFI_Expiration=1,IF($A177&lt;VLOOKUP(S$5,NFI,5,0),1,0)*Data_NFI_t[[#This Row],[Plastic Mat]],0)*IF(Data_NFI_t[[#This Row],[Distribution Date]]&gt;"01-06-2015",1,2.5)</f>
        <v>0</v>
      </c>
      <c r="AH177" s="915">
        <f>IF(NFI_Expiration=1,IF($A177&lt;VLOOKUP(T$5,NFI,5,0),1,0)*Data_NFI_t[[#This Row],[Adult Clothes]],0)</f>
        <v>0</v>
      </c>
      <c r="AI177" s="131">
        <f>IF(NFI_Expiration=1,IF($A177&lt;VLOOKUP(U$5,NFI,5,0),1,0)*Data_NFI_t[[#This Row],[Children Clothes]],0)</f>
        <v>0</v>
      </c>
      <c r="AJ177" s="131">
        <f>IF(NFI_Expiration=1,IF($A177&lt;VLOOKUP(V$5,NFI,5,0),1,0)*Data_NFI_t[[#This Row],[Sewing Kit]],0)</f>
        <v>0</v>
      </c>
      <c r="AK177" s="131" t="str">
        <f ca="1">IFERROR(OFFSET(Camp_List[P_Code],MATCH(Data_NFI_t[[#This Row],[Camp Name]],Camp_List[Camp Name],0)-1,0,1,1),"")</f>
        <v>MMR012CMP018</v>
      </c>
      <c r="AL177" s="513" t="str">
        <f ca="1">IFERROR(OFFSET(Camp_List[Status],MATCH(Data_NFI_t[[#This Row],[Camp Name]],Camp_List[Camp Name],0)-1,0,1,1),"")</f>
        <v>Open</v>
      </c>
      <c r="AM177" s="131"/>
    </row>
    <row r="178" spans="1:39" s="90" customFormat="1" ht="19.5" customHeight="1" x14ac:dyDescent="0.25">
      <c r="A178" s="242">
        <f>IF(ISBLANK(C178),"",(Report_Date-C178)/30)</f>
        <v>42.2</v>
      </c>
      <c r="B178" s="242">
        <f>YEAR(Data_NFI_t[[#This Row],[Distribution Date]])</f>
        <v>2013</v>
      </c>
      <c r="C178" s="927">
        <v>41529</v>
      </c>
      <c r="D178" s="489" t="s">
        <v>285</v>
      </c>
      <c r="E178" s="488" t="s">
        <v>285</v>
      </c>
      <c r="F178" s="489" t="s">
        <v>7</v>
      </c>
      <c r="G178" s="794" t="s">
        <v>1003</v>
      </c>
      <c r="H178" s="794" t="s">
        <v>627</v>
      </c>
      <c r="I178" s="794"/>
      <c r="J178" s="51"/>
      <c r="K178" s="51"/>
      <c r="L178" s="51">
        <v>62</v>
      </c>
      <c r="M178" s="51"/>
      <c r="N178" s="51">
        <v>62</v>
      </c>
      <c r="O178" s="51">
        <v>31</v>
      </c>
      <c r="P178" s="51">
        <v>31</v>
      </c>
      <c r="Q178" s="51">
        <v>31</v>
      </c>
      <c r="R178" s="511"/>
      <c r="S178" s="51">
        <v>62</v>
      </c>
      <c r="T178" s="51"/>
      <c r="U178" s="51"/>
      <c r="V178" s="51"/>
      <c r="W178" s="131">
        <f>IF(NFI_Expiration=1,IF($A178&lt;VLOOKUP(I$5,NFI,5,0),1,0)*Data_NFI_t[[#This Row],[Hygiene Kit]],0)</f>
        <v>0</v>
      </c>
      <c r="X178" s="131">
        <f>IF(NFI_Expiration=1,IF($A178&lt;VLOOKUP(J$5,NFI,5,0),1,0)*Data_NFI_t[[#This Row],[NFI Core Kit]],0)</f>
        <v>0</v>
      </c>
      <c r="Y178" s="112">
        <f>IF(NFI_Expiration=1,IF($A178&lt;VLOOKUP(K$5,NFI,5,0),1,0)*Data_NFI_t[[#This Row],[Sanitary Kit]],0)</f>
        <v>0</v>
      </c>
      <c r="Z178" s="112">
        <f>IF(NFI_Expiration=1,IF($A178&lt;VLOOKUP(L$5,NFI,5,0),1,0)*Data_NFI_t[[#This Row],[Mosquito net]],0)</f>
        <v>0</v>
      </c>
      <c r="AA178" s="112">
        <f>IF(NFI_Expiration=1,IF($A178&lt;VLOOKUP(M$5,NFI,5,0),1,0)*Data_NFI_t[[#This Row],[Tarpaulin]],0)</f>
        <v>0</v>
      </c>
      <c r="AB178" s="112">
        <f>IF(NFI_Expiration=1,IF($A178&lt;VLOOKUP(N$5,NFI,5,0),1,0)*Data_NFI_t[[#This Row],[Blanket]],0)</f>
        <v>0</v>
      </c>
      <c r="AC178" s="112">
        <f>IF(NFI_Expiration=1,IF($A178&lt;VLOOKUP(O$5,NFI,5,0),1,0)*Data_NFI_t[[#This Row],[Kitchen Set]],0)</f>
        <v>0</v>
      </c>
      <c r="AD178" s="112">
        <f>IF(NFI_Expiration=1,IF($A178&lt;VLOOKUP(P$5,NFI,5,0),1,0)*Data_NFI_t[[#This Row],[Complementary Kit]],0)</f>
        <v>0</v>
      </c>
      <c r="AE178" s="112">
        <f>IF(NFI_Expiration=1,IF($A178&lt;VLOOKUP(Q$5,NFI,5,0),1,0)*Data_NFI_t[[#This Row],[Plastic Bucket]],0)</f>
        <v>0</v>
      </c>
      <c r="AF178" s="112">
        <f>IF(NFI_Expiration=1,IF($A178&lt;VLOOKUP(R$5,NFI,5,0),1,0)*Data_NFI_t[[#This Row],[Jerry Can]],0)</f>
        <v>0</v>
      </c>
      <c r="AG178" s="131">
        <f>IF(NFI_Expiration=1,IF($A178&lt;VLOOKUP(S$5,NFI,5,0),1,0)*Data_NFI_t[[#This Row],[Plastic Mat]],0)*IF(Data_NFI_t[[#This Row],[Distribution Date]]&gt;"01-06-2015",1,2.5)</f>
        <v>0</v>
      </c>
      <c r="AH178" s="915">
        <f>IF(NFI_Expiration=1,IF($A178&lt;VLOOKUP(T$5,NFI,5,0),1,0)*Data_NFI_t[[#This Row],[Adult Clothes]],0)</f>
        <v>0</v>
      </c>
      <c r="AI178" s="131">
        <f>IF(NFI_Expiration=1,IF($A178&lt;VLOOKUP(U$5,NFI,5,0),1,0)*Data_NFI_t[[#This Row],[Children Clothes]],0)</f>
        <v>0</v>
      </c>
      <c r="AJ178" s="131">
        <f>IF(NFI_Expiration=1,IF($A178&lt;VLOOKUP(V$5,NFI,5,0),1,0)*Data_NFI_t[[#This Row],[Sewing Kit]],0)</f>
        <v>0</v>
      </c>
      <c r="AK178" s="131" t="str">
        <f ca="1">IFERROR(OFFSET(Camp_List[P_Code],MATCH(Data_NFI_t[[#This Row],[Camp Name]],Camp_List[Camp Name],0)-1,0,1,1),"")</f>
        <v>MMR012CMP117</v>
      </c>
      <c r="AL178" s="513" t="str">
        <f ca="1">IFERROR(OFFSET(Camp_List[Status],MATCH(Data_NFI_t[[#This Row],[Camp Name]],Camp_List[Camp Name],0)-1,0,1,1),"")</f>
        <v>Relocated</v>
      </c>
      <c r="AM178" s="131"/>
    </row>
    <row r="179" spans="1:39" s="90" customFormat="1" ht="19.5" customHeight="1" x14ac:dyDescent="0.25">
      <c r="A179" s="242">
        <f>IF(ISBLANK(C179),"",(Report_Date-C179)/30)</f>
        <v>42.733333333333334</v>
      </c>
      <c r="B179" s="242">
        <f>YEAR(Data_NFI_t[[#This Row],[Distribution Date]])</f>
        <v>2013</v>
      </c>
      <c r="C179" s="927">
        <v>41513</v>
      </c>
      <c r="D179" s="489" t="s">
        <v>285</v>
      </c>
      <c r="E179" s="488" t="s">
        <v>285</v>
      </c>
      <c r="F179" s="489" t="s">
        <v>7</v>
      </c>
      <c r="G179" s="794" t="s">
        <v>14</v>
      </c>
      <c r="H179" s="794" t="s">
        <v>40</v>
      </c>
      <c r="I179" s="794"/>
      <c r="J179" s="51"/>
      <c r="K179" s="51"/>
      <c r="L179" s="51">
        <v>1652</v>
      </c>
      <c r="M179" s="51">
        <v>99</v>
      </c>
      <c r="N179" s="51">
        <v>1652</v>
      </c>
      <c r="O179" s="51">
        <v>826</v>
      </c>
      <c r="P179" s="51">
        <v>826</v>
      </c>
      <c r="Q179" s="51">
        <v>826</v>
      </c>
      <c r="R179" s="511"/>
      <c r="S179" s="51">
        <v>1652</v>
      </c>
      <c r="T179" s="51"/>
      <c r="U179" s="51"/>
      <c r="V179" s="51"/>
      <c r="W179" s="131">
        <f>IF(NFI_Expiration=1,IF($A179&lt;VLOOKUP(I$5,NFI,5,0),1,0)*Data_NFI_t[[#This Row],[Hygiene Kit]],0)</f>
        <v>0</v>
      </c>
      <c r="X179" s="131">
        <f>IF(NFI_Expiration=1,IF($A179&lt;VLOOKUP(J$5,NFI,5,0),1,0)*Data_NFI_t[[#This Row],[NFI Core Kit]],0)</f>
        <v>0</v>
      </c>
      <c r="Y179" s="112">
        <f>IF(NFI_Expiration=1,IF($A179&lt;VLOOKUP(K$5,NFI,5,0),1,0)*Data_NFI_t[[#This Row],[Sanitary Kit]],0)</f>
        <v>0</v>
      </c>
      <c r="Z179" s="112">
        <f>IF(NFI_Expiration=1,IF($A179&lt;VLOOKUP(L$5,NFI,5,0),1,0)*Data_NFI_t[[#This Row],[Mosquito net]],0)</f>
        <v>0</v>
      </c>
      <c r="AA179" s="112">
        <f>IF(NFI_Expiration=1,IF($A179&lt;VLOOKUP(M$5,NFI,5,0),1,0)*Data_NFI_t[[#This Row],[Tarpaulin]],0)</f>
        <v>0</v>
      </c>
      <c r="AB179" s="112">
        <f>IF(NFI_Expiration=1,IF($A179&lt;VLOOKUP(N$5,NFI,5,0),1,0)*Data_NFI_t[[#This Row],[Blanket]],0)</f>
        <v>0</v>
      </c>
      <c r="AC179" s="112">
        <f>IF(NFI_Expiration=1,IF($A179&lt;VLOOKUP(O$5,NFI,5,0),1,0)*Data_NFI_t[[#This Row],[Kitchen Set]],0)</f>
        <v>0</v>
      </c>
      <c r="AD179" s="112">
        <f>IF(NFI_Expiration=1,IF($A179&lt;VLOOKUP(P$5,NFI,5,0),1,0)*Data_NFI_t[[#This Row],[Complementary Kit]],0)</f>
        <v>0</v>
      </c>
      <c r="AE179" s="112">
        <f>IF(NFI_Expiration=1,IF($A179&lt;VLOOKUP(Q$5,NFI,5,0),1,0)*Data_NFI_t[[#This Row],[Plastic Bucket]],0)</f>
        <v>0</v>
      </c>
      <c r="AF179" s="112">
        <f>IF(NFI_Expiration=1,IF($A179&lt;VLOOKUP(R$5,NFI,5,0),1,0)*Data_NFI_t[[#This Row],[Jerry Can]],0)</f>
        <v>0</v>
      </c>
      <c r="AG179" s="131">
        <f>IF(NFI_Expiration=1,IF($A179&lt;VLOOKUP(S$5,NFI,5,0),1,0)*Data_NFI_t[[#This Row],[Plastic Mat]],0)*IF(Data_NFI_t[[#This Row],[Distribution Date]]&gt;"01-06-2015",1,2.5)</f>
        <v>0</v>
      </c>
      <c r="AH179" s="915">
        <f>IF(NFI_Expiration=1,IF($A179&lt;VLOOKUP(T$5,NFI,5,0),1,0)*Data_NFI_t[[#This Row],[Adult Clothes]],0)</f>
        <v>0</v>
      </c>
      <c r="AI179" s="131">
        <f>IF(NFI_Expiration=1,IF($A179&lt;VLOOKUP(U$5,NFI,5,0),1,0)*Data_NFI_t[[#This Row],[Children Clothes]],0)</f>
        <v>0</v>
      </c>
      <c r="AJ179" s="131">
        <f>IF(NFI_Expiration=1,IF($A179&lt;VLOOKUP(V$5,NFI,5,0),1,0)*Data_NFI_t[[#This Row],[Sewing Kit]],0)</f>
        <v>0</v>
      </c>
      <c r="AK179" s="131" t="str">
        <f ca="1">IFERROR(OFFSET(Camp_List[P_Code],MATCH(Data_NFI_t[[#This Row],[Camp Name]],Camp_List[Camp Name],0)-1,0,1,1),"")</f>
        <v>MMR012CMP016</v>
      </c>
      <c r="AL179" s="513" t="str">
        <f ca="1">IFERROR(OFFSET(Camp_List[Status],MATCH(Data_NFI_t[[#This Row],[Camp Name]],Camp_List[Camp Name],0)-1,0,1,1),"")</f>
        <v>Open</v>
      </c>
      <c r="AM179" s="131"/>
    </row>
    <row r="180" spans="1:39" s="90" customFormat="1" ht="19.5" customHeight="1" x14ac:dyDescent="0.25">
      <c r="A180" s="242">
        <f>IF(ISBLANK(C180),"",(Report_Date-C180)/30)</f>
        <v>43.2</v>
      </c>
      <c r="B180" s="242">
        <f>YEAR(Data_NFI_t[[#This Row],[Distribution Date]])</f>
        <v>2013</v>
      </c>
      <c r="C180" s="927">
        <v>41499</v>
      </c>
      <c r="D180" s="489" t="s">
        <v>285</v>
      </c>
      <c r="E180" s="488" t="s">
        <v>285</v>
      </c>
      <c r="F180" s="489" t="s">
        <v>7</v>
      </c>
      <c r="G180" s="794" t="s">
        <v>14</v>
      </c>
      <c r="H180" s="794" t="s">
        <v>41</v>
      </c>
      <c r="I180" s="794"/>
      <c r="J180" s="51"/>
      <c r="K180" s="51"/>
      <c r="L180" s="51">
        <v>0</v>
      </c>
      <c r="M180" s="51">
        <v>203</v>
      </c>
      <c r="N180" s="51">
        <v>0</v>
      </c>
      <c r="O180" s="51"/>
      <c r="P180" s="51"/>
      <c r="Q180" s="51"/>
      <c r="R180" s="511"/>
      <c r="S180" s="51">
        <v>448</v>
      </c>
      <c r="T180" s="51"/>
      <c r="U180" s="51"/>
      <c r="V180" s="51"/>
      <c r="W180" s="131">
        <f>IF(NFI_Expiration=1,IF($A180&lt;VLOOKUP(I$5,NFI,5,0),1,0)*Data_NFI_t[[#This Row],[Hygiene Kit]],0)</f>
        <v>0</v>
      </c>
      <c r="X180" s="131">
        <f>IF(NFI_Expiration=1,IF($A180&lt;VLOOKUP(J$5,NFI,5,0),1,0)*Data_NFI_t[[#This Row],[NFI Core Kit]],0)</f>
        <v>0</v>
      </c>
      <c r="Y180" s="112">
        <f>IF(NFI_Expiration=1,IF($A180&lt;VLOOKUP(K$5,NFI,5,0),1,0)*Data_NFI_t[[#This Row],[Sanitary Kit]],0)</f>
        <v>0</v>
      </c>
      <c r="Z180" s="112">
        <f>IF(NFI_Expiration=1,IF($A180&lt;VLOOKUP(L$5,NFI,5,0),1,0)*Data_NFI_t[[#This Row],[Mosquito net]],0)</f>
        <v>0</v>
      </c>
      <c r="AA180" s="112">
        <f>IF(NFI_Expiration=1,IF($A180&lt;VLOOKUP(M$5,NFI,5,0),1,0)*Data_NFI_t[[#This Row],[Tarpaulin]],0)</f>
        <v>0</v>
      </c>
      <c r="AB180" s="112">
        <f>IF(NFI_Expiration=1,IF($A180&lt;VLOOKUP(N$5,NFI,5,0),1,0)*Data_NFI_t[[#This Row],[Blanket]],0)</f>
        <v>0</v>
      </c>
      <c r="AC180" s="112">
        <f>IF(NFI_Expiration=1,IF($A180&lt;VLOOKUP(O$5,NFI,5,0),1,0)*Data_NFI_t[[#This Row],[Kitchen Set]],0)</f>
        <v>0</v>
      </c>
      <c r="AD180" s="112">
        <f>IF(NFI_Expiration=1,IF($A180&lt;VLOOKUP(P$5,NFI,5,0),1,0)*Data_NFI_t[[#This Row],[Complementary Kit]],0)</f>
        <v>0</v>
      </c>
      <c r="AE180" s="112">
        <f>IF(NFI_Expiration=1,IF($A180&lt;VLOOKUP(Q$5,NFI,5,0),1,0)*Data_NFI_t[[#This Row],[Plastic Bucket]],0)</f>
        <v>0</v>
      </c>
      <c r="AF180" s="112">
        <f>IF(NFI_Expiration=1,IF($A180&lt;VLOOKUP(R$5,NFI,5,0),1,0)*Data_NFI_t[[#This Row],[Jerry Can]],0)</f>
        <v>0</v>
      </c>
      <c r="AG180" s="131">
        <f>IF(NFI_Expiration=1,IF($A180&lt;VLOOKUP(S$5,NFI,5,0),1,0)*Data_NFI_t[[#This Row],[Plastic Mat]],0)*IF(Data_NFI_t[[#This Row],[Distribution Date]]&gt;"01-06-2015",1,2.5)</f>
        <v>0</v>
      </c>
      <c r="AH180" s="915">
        <f>IF(NFI_Expiration=1,IF($A180&lt;VLOOKUP(T$5,NFI,5,0),1,0)*Data_NFI_t[[#This Row],[Adult Clothes]],0)</f>
        <v>0</v>
      </c>
      <c r="AI180" s="131">
        <f>IF(NFI_Expiration=1,IF($A180&lt;VLOOKUP(U$5,NFI,5,0),1,0)*Data_NFI_t[[#This Row],[Children Clothes]],0)</f>
        <v>0</v>
      </c>
      <c r="AJ180" s="131">
        <f>IF(NFI_Expiration=1,IF($A180&lt;VLOOKUP(V$5,NFI,5,0),1,0)*Data_NFI_t[[#This Row],[Sewing Kit]],0)</f>
        <v>0</v>
      </c>
      <c r="AK180" s="131" t="str">
        <f ca="1">IFERROR(OFFSET(Camp_List[P_Code],MATCH(Data_NFI_t[[#This Row],[Camp Name]],Camp_List[Camp Name],0)-1,0,1,1),"")</f>
        <v/>
      </c>
      <c r="AL180" s="513" t="str">
        <f ca="1">IFERROR(OFFSET(Camp_List[Status],MATCH(Data_NFI_t[[#This Row],[Camp Name]],Camp_List[Camp Name],0)-1,0,1,1),"")</f>
        <v/>
      </c>
      <c r="AM180" s="131"/>
    </row>
    <row r="181" spans="1:39" s="90" customFormat="1" ht="19.5" customHeight="1" x14ac:dyDescent="0.25">
      <c r="A181" s="242">
        <f>IF(ISBLANK(C181),"",(Report_Date-C181)/30)</f>
        <v>43.366666666666667</v>
      </c>
      <c r="B181" s="242">
        <f>YEAR(Data_NFI_t[[#This Row],[Distribution Date]])</f>
        <v>2013</v>
      </c>
      <c r="C181" s="927">
        <v>41494</v>
      </c>
      <c r="D181" s="489" t="s">
        <v>285</v>
      </c>
      <c r="E181" s="488" t="s">
        <v>285</v>
      </c>
      <c r="F181" s="489" t="s">
        <v>7</v>
      </c>
      <c r="G181" s="794" t="s">
        <v>867</v>
      </c>
      <c r="H181" s="794" t="s">
        <v>37</v>
      </c>
      <c r="I181" s="794"/>
      <c r="J181" s="51">
        <v>44</v>
      </c>
      <c r="K181" s="51"/>
      <c r="L181" s="51">
        <v>88</v>
      </c>
      <c r="M181" s="51">
        <v>44</v>
      </c>
      <c r="N181" s="51">
        <v>88</v>
      </c>
      <c r="O181" s="51">
        <v>44</v>
      </c>
      <c r="P181" s="51">
        <v>44</v>
      </c>
      <c r="Q181" s="51">
        <v>44</v>
      </c>
      <c r="R181" s="511"/>
      <c r="S181" s="51">
        <v>88</v>
      </c>
      <c r="T181" s="51"/>
      <c r="U181" s="51"/>
      <c r="V181" s="51"/>
      <c r="W181" s="131">
        <f>IF(NFI_Expiration=1,IF($A181&lt;VLOOKUP(I$5,NFI,5,0),1,0)*Data_NFI_t[[#This Row],[Hygiene Kit]],0)</f>
        <v>0</v>
      </c>
      <c r="X181" s="131">
        <f>IF(NFI_Expiration=1,IF($A181&lt;VLOOKUP(J$5,NFI,5,0),1,0)*Data_NFI_t[[#This Row],[NFI Core Kit]],0)</f>
        <v>0</v>
      </c>
      <c r="Y181" s="112">
        <f>IF(NFI_Expiration=1,IF($A181&lt;VLOOKUP(K$5,NFI,5,0),1,0)*Data_NFI_t[[#This Row],[Sanitary Kit]],0)</f>
        <v>0</v>
      </c>
      <c r="Z181" s="112">
        <f>IF(NFI_Expiration=1,IF($A181&lt;VLOOKUP(L$5,NFI,5,0),1,0)*Data_NFI_t[[#This Row],[Mosquito net]],0)</f>
        <v>0</v>
      </c>
      <c r="AA181" s="112">
        <f>IF(NFI_Expiration=1,IF($A181&lt;VLOOKUP(M$5,NFI,5,0),1,0)*Data_NFI_t[[#This Row],[Tarpaulin]],0)</f>
        <v>0</v>
      </c>
      <c r="AB181" s="112">
        <f>IF(NFI_Expiration=1,IF($A181&lt;VLOOKUP(N$5,NFI,5,0),1,0)*Data_NFI_t[[#This Row],[Blanket]],0)</f>
        <v>0</v>
      </c>
      <c r="AC181" s="112">
        <f>IF(NFI_Expiration=1,IF($A181&lt;VLOOKUP(O$5,NFI,5,0),1,0)*Data_NFI_t[[#This Row],[Kitchen Set]],0)</f>
        <v>0</v>
      </c>
      <c r="AD181" s="112">
        <f>IF(NFI_Expiration=1,IF($A181&lt;VLOOKUP(P$5,NFI,5,0),1,0)*Data_NFI_t[[#This Row],[Complementary Kit]],0)</f>
        <v>0</v>
      </c>
      <c r="AE181" s="112">
        <f>IF(NFI_Expiration=1,IF($A181&lt;VLOOKUP(Q$5,NFI,5,0),1,0)*Data_NFI_t[[#This Row],[Plastic Bucket]],0)</f>
        <v>0</v>
      </c>
      <c r="AF181" s="112">
        <f>IF(NFI_Expiration=1,IF($A181&lt;VLOOKUP(R$5,NFI,5,0),1,0)*Data_NFI_t[[#This Row],[Jerry Can]],0)</f>
        <v>0</v>
      </c>
      <c r="AG181" s="131">
        <f>IF(NFI_Expiration=1,IF($A181&lt;VLOOKUP(S$5,NFI,5,0),1,0)*Data_NFI_t[[#This Row],[Plastic Mat]],0)*IF(Data_NFI_t[[#This Row],[Distribution Date]]&gt;"01-06-2015",1,2.5)</f>
        <v>0</v>
      </c>
      <c r="AH181" s="915">
        <f>IF(NFI_Expiration=1,IF($A181&lt;VLOOKUP(T$5,NFI,5,0),1,0)*Data_NFI_t[[#This Row],[Adult Clothes]],0)</f>
        <v>0</v>
      </c>
      <c r="AI181" s="131">
        <f>IF(NFI_Expiration=1,IF($A181&lt;VLOOKUP(U$5,NFI,5,0),1,0)*Data_NFI_t[[#This Row],[Children Clothes]],0)</f>
        <v>0</v>
      </c>
      <c r="AJ181" s="131">
        <f>IF(NFI_Expiration=1,IF($A181&lt;VLOOKUP(V$5,NFI,5,0),1,0)*Data_NFI_t[[#This Row],[Sewing Kit]],0)</f>
        <v>0</v>
      </c>
      <c r="AK181" s="131" t="str">
        <f ca="1">IFERROR(OFFSET(Camp_List[P_Code],MATCH(Data_NFI_t[[#This Row],[Camp Name]],Camp_List[Camp Name],0)-1,0,1,1),"")</f>
        <v>MMR012CMP013</v>
      </c>
      <c r="AL181" s="513" t="str">
        <f ca="1">IFERROR(OFFSET(Camp_List[Status],MATCH(Data_NFI_t[[#This Row],[Camp Name]],Camp_List[Camp Name],0)-1,0,1,1),"")</f>
        <v>Relocated</v>
      </c>
      <c r="AM181" s="131"/>
    </row>
    <row r="182" spans="1:39" s="90" customFormat="1" ht="19.5" customHeight="1" x14ac:dyDescent="0.25">
      <c r="A182" s="242">
        <f>IF(ISBLANK(C182),"",(Report_Date-C182)/30)</f>
        <v>43.366666666666667</v>
      </c>
      <c r="B182" s="242">
        <f>YEAR(Data_NFI_t[[#This Row],[Distribution Date]])</f>
        <v>2013</v>
      </c>
      <c r="C182" s="927">
        <v>41494</v>
      </c>
      <c r="D182" s="489" t="s">
        <v>285</v>
      </c>
      <c r="E182" s="488" t="s">
        <v>285</v>
      </c>
      <c r="F182" s="489" t="s">
        <v>7</v>
      </c>
      <c r="G182" s="794" t="s">
        <v>867</v>
      </c>
      <c r="H182" s="794" t="s">
        <v>38</v>
      </c>
      <c r="I182" s="794"/>
      <c r="J182" s="51">
        <v>755</v>
      </c>
      <c r="K182" s="51"/>
      <c r="L182" s="51">
        <v>1510</v>
      </c>
      <c r="M182" s="51">
        <v>755</v>
      </c>
      <c r="N182" s="51">
        <v>1510</v>
      </c>
      <c r="O182" s="51">
        <v>755</v>
      </c>
      <c r="P182" s="51">
        <v>755</v>
      </c>
      <c r="Q182" s="51">
        <v>755</v>
      </c>
      <c r="R182" s="511"/>
      <c r="S182" s="51">
        <v>1510</v>
      </c>
      <c r="T182" s="51"/>
      <c r="U182" s="51"/>
      <c r="V182" s="51"/>
      <c r="W182" s="131">
        <f>IF(NFI_Expiration=1,IF($A182&lt;VLOOKUP(I$5,NFI,5,0),1,0)*Data_NFI_t[[#This Row],[Hygiene Kit]],0)</f>
        <v>0</v>
      </c>
      <c r="X182" s="131">
        <f>IF(NFI_Expiration=1,IF($A182&lt;VLOOKUP(J$5,NFI,5,0),1,0)*Data_NFI_t[[#This Row],[NFI Core Kit]],0)</f>
        <v>0</v>
      </c>
      <c r="Y182" s="112">
        <f>IF(NFI_Expiration=1,IF($A182&lt;VLOOKUP(K$5,NFI,5,0),1,0)*Data_NFI_t[[#This Row],[Sanitary Kit]],0)</f>
        <v>0</v>
      </c>
      <c r="Z182" s="112">
        <f>IF(NFI_Expiration=1,IF($A182&lt;VLOOKUP(L$5,NFI,5,0),1,0)*Data_NFI_t[[#This Row],[Mosquito net]],0)</f>
        <v>0</v>
      </c>
      <c r="AA182" s="112">
        <f>IF(NFI_Expiration=1,IF($A182&lt;VLOOKUP(M$5,NFI,5,0),1,0)*Data_NFI_t[[#This Row],[Tarpaulin]],0)</f>
        <v>0</v>
      </c>
      <c r="AB182" s="112">
        <f>IF(NFI_Expiration=1,IF($A182&lt;VLOOKUP(N$5,NFI,5,0),1,0)*Data_NFI_t[[#This Row],[Blanket]],0)</f>
        <v>0</v>
      </c>
      <c r="AC182" s="112">
        <f>IF(NFI_Expiration=1,IF($A182&lt;VLOOKUP(O$5,NFI,5,0),1,0)*Data_NFI_t[[#This Row],[Kitchen Set]],0)</f>
        <v>0</v>
      </c>
      <c r="AD182" s="112">
        <f>IF(NFI_Expiration=1,IF($A182&lt;VLOOKUP(P$5,NFI,5,0),1,0)*Data_NFI_t[[#This Row],[Complementary Kit]],0)</f>
        <v>0</v>
      </c>
      <c r="AE182" s="112">
        <f>IF(NFI_Expiration=1,IF($A182&lt;VLOOKUP(Q$5,NFI,5,0),1,0)*Data_NFI_t[[#This Row],[Plastic Bucket]],0)</f>
        <v>0</v>
      </c>
      <c r="AF182" s="112">
        <f>IF(NFI_Expiration=1,IF($A182&lt;VLOOKUP(R$5,NFI,5,0),1,0)*Data_NFI_t[[#This Row],[Jerry Can]],0)</f>
        <v>0</v>
      </c>
      <c r="AG182" s="131">
        <f>IF(NFI_Expiration=1,IF($A182&lt;VLOOKUP(S$5,NFI,5,0),1,0)*Data_NFI_t[[#This Row],[Plastic Mat]],0)*IF(Data_NFI_t[[#This Row],[Distribution Date]]&gt;"01-06-2015",1,2.5)</f>
        <v>0</v>
      </c>
      <c r="AH182" s="915">
        <f>IF(NFI_Expiration=1,IF($A182&lt;VLOOKUP(T$5,NFI,5,0),1,0)*Data_NFI_t[[#This Row],[Adult Clothes]],0)</f>
        <v>0</v>
      </c>
      <c r="AI182" s="131">
        <f>IF(NFI_Expiration=1,IF($A182&lt;VLOOKUP(U$5,NFI,5,0),1,0)*Data_NFI_t[[#This Row],[Children Clothes]],0)</f>
        <v>0</v>
      </c>
      <c r="AJ182" s="131">
        <f>IF(NFI_Expiration=1,IF($A182&lt;VLOOKUP(V$5,NFI,5,0),1,0)*Data_NFI_t[[#This Row],[Sewing Kit]],0)</f>
        <v>0</v>
      </c>
      <c r="AK182" s="131" t="str">
        <f ca="1">IFERROR(OFFSET(Camp_List[P_Code],MATCH(Data_NFI_t[[#This Row],[Camp Name]],Camp_List[Camp Name],0)-1,0,1,1),"")</f>
        <v>MMR012CMP014</v>
      </c>
      <c r="AL182" s="513" t="str">
        <f ca="1">IFERROR(OFFSET(Camp_List[Status],MATCH(Data_NFI_t[[#This Row],[Camp Name]],Camp_List[Camp Name],0)-1,0,1,1),"")</f>
        <v>Open</v>
      </c>
      <c r="AM182" s="131"/>
    </row>
    <row r="183" spans="1:39" s="90" customFormat="1" ht="19.5" customHeight="1" x14ac:dyDescent="0.25">
      <c r="A183" s="242">
        <f>IF(ISBLANK(C183),"",(Report_Date-C183)/30)</f>
        <v>44.333333333333336</v>
      </c>
      <c r="B183" s="242">
        <f>YEAR(Data_NFI_t[[#This Row],[Distribution Date]])</f>
        <v>2013</v>
      </c>
      <c r="C183" s="927">
        <v>41465</v>
      </c>
      <c r="D183" s="489" t="s">
        <v>285</v>
      </c>
      <c r="E183" s="488" t="s">
        <v>285</v>
      </c>
      <c r="F183" s="489" t="s">
        <v>7</v>
      </c>
      <c r="G183" s="794" t="s">
        <v>11</v>
      </c>
      <c r="H183" s="794" t="s">
        <v>27</v>
      </c>
      <c r="I183" s="794"/>
      <c r="J183" s="51"/>
      <c r="K183" s="51"/>
      <c r="L183" s="51">
        <v>240</v>
      </c>
      <c r="M183" s="51"/>
      <c r="N183" s="51">
        <v>240</v>
      </c>
      <c r="O183" s="51">
        <v>120</v>
      </c>
      <c r="P183" s="51">
        <v>120</v>
      </c>
      <c r="Q183" s="51">
        <v>120</v>
      </c>
      <c r="R183" s="511"/>
      <c r="S183" s="51">
        <v>240</v>
      </c>
      <c r="T183" s="51"/>
      <c r="U183" s="51"/>
      <c r="V183" s="51"/>
      <c r="W183" s="131">
        <f>IF(NFI_Expiration=1,IF($A183&lt;VLOOKUP(I$5,NFI,5,0),1,0)*Data_NFI_t[[#This Row],[Hygiene Kit]],0)</f>
        <v>0</v>
      </c>
      <c r="X183" s="131">
        <f>IF(NFI_Expiration=1,IF($A183&lt;VLOOKUP(J$5,NFI,5,0),1,0)*Data_NFI_t[[#This Row],[NFI Core Kit]],0)</f>
        <v>0</v>
      </c>
      <c r="Y183" s="112">
        <f>IF(NFI_Expiration=1,IF($A183&lt;VLOOKUP(K$5,NFI,5,0),1,0)*Data_NFI_t[[#This Row],[Sanitary Kit]],0)</f>
        <v>0</v>
      </c>
      <c r="Z183" s="112">
        <f>IF(NFI_Expiration=1,IF($A183&lt;VLOOKUP(L$5,NFI,5,0),1,0)*Data_NFI_t[[#This Row],[Mosquito net]],0)</f>
        <v>0</v>
      </c>
      <c r="AA183" s="112">
        <f>IF(NFI_Expiration=1,IF($A183&lt;VLOOKUP(M$5,NFI,5,0),1,0)*Data_NFI_t[[#This Row],[Tarpaulin]],0)</f>
        <v>0</v>
      </c>
      <c r="AB183" s="112">
        <f>IF(NFI_Expiration=1,IF($A183&lt;VLOOKUP(N$5,NFI,5,0),1,0)*Data_NFI_t[[#This Row],[Blanket]],0)</f>
        <v>0</v>
      </c>
      <c r="AC183" s="112">
        <f>IF(NFI_Expiration=1,IF($A183&lt;VLOOKUP(O$5,NFI,5,0),1,0)*Data_NFI_t[[#This Row],[Kitchen Set]],0)</f>
        <v>0</v>
      </c>
      <c r="AD183" s="112">
        <f>IF(NFI_Expiration=1,IF($A183&lt;VLOOKUP(P$5,NFI,5,0),1,0)*Data_NFI_t[[#This Row],[Complementary Kit]],0)</f>
        <v>0</v>
      </c>
      <c r="AE183" s="112">
        <f>IF(NFI_Expiration=1,IF($A183&lt;VLOOKUP(Q$5,NFI,5,0),1,0)*Data_NFI_t[[#This Row],[Plastic Bucket]],0)</f>
        <v>0</v>
      </c>
      <c r="AF183" s="112">
        <f>IF(NFI_Expiration=1,IF($A183&lt;VLOOKUP(R$5,NFI,5,0),1,0)*Data_NFI_t[[#This Row],[Jerry Can]],0)</f>
        <v>0</v>
      </c>
      <c r="AG183" s="131">
        <f>IF(NFI_Expiration=1,IF($A183&lt;VLOOKUP(S$5,NFI,5,0),1,0)*Data_NFI_t[[#This Row],[Plastic Mat]],0)*IF(Data_NFI_t[[#This Row],[Distribution Date]]&gt;"01-06-2015",1,2.5)</f>
        <v>0</v>
      </c>
      <c r="AH183" s="915">
        <f>IF(NFI_Expiration=1,IF($A183&lt;VLOOKUP(T$5,NFI,5,0),1,0)*Data_NFI_t[[#This Row],[Adult Clothes]],0)</f>
        <v>0</v>
      </c>
      <c r="AI183" s="131">
        <f>IF(NFI_Expiration=1,IF($A183&lt;VLOOKUP(U$5,NFI,5,0),1,0)*Data_NFI_t[[#This Row],[Children Clothes]],0)</f>
        <v>0</v>
      </c>
      <c r="AJ183" s="131">
        <f>IF(NFI_Expiration=1,IF($A183&lt;VLOOKUP(V$5,NFI,5,0),1,0)*Data_NFI_t[[#This Row],[Sewing Kit]],0)</f>
        <v>0</v>
      </c>
      <c r="AK183" s="131" t="str">
        <f ca="1">IFERROR(OFFSET(Camp_List[P_Code],MATCH(Data_NFI_t[[#This Row],[Camp Name]],Camp_List[Camp Name],0)-1,0,1,1),"")</f>
        <v>MMR012CMP003</v>
      </c>
      <c r="AL183" s="513" t="str">
        <f ca="1">IFERROR(OFFSET(Camp_List[Status],MATCH(Data_NFI_t[[#This Row],[Camp Name]],Camp_List[Camp Name],0)-1,0,1,1),"")</f>
        <v>Returned</v>
      </c>
      <c r="AM183" s="131"/>
    </row>
    <row r="184" spans="1:39" s="90" customFormat="1" ht="19.5" customHeight="1" x14ac:dyDescent="0.25">
      <c r="A184" s="242">
        <f>IF(ISBLANK(C184),"",(Report_Date-C184)/30)</f>
        <v>44.333333333333336</v>
      </c>
      <c r="B184" s="242">
        <f>YEAR(Data_NFI_t[[#This Row],[Distribution Date]])</f>
        <v>2013</v>
      </c>
      <c r="C184" s="927">
        <v>41465</v>
      </c>
      <c r="D184" s="489" t="s">
        <v>285</v>
      </c>
      <c r="E184" s="488" t="s">
        <v>285</v>
      </c>
      <c r="F184" s="489" t="s">
        <v>7</v>
      </c>
      <c r="G184" s="794" t="s">
        <v>11</v>
      </c>
      <c r="H184" s="794" t="s">
        <v>26</v>
      </c>
      <c r="I184" s="794"/>
      <c r="J184" s="51"/>
      <c r="K184" s="51"/>
      <c r="L184" s="51">
        <v>428</v>
      </c>
      <c r="M184" s="51"/>
      <c r="N184" s="51">
        <v>428</v>
      </c>
      <c r="O184" s="51">
        <v>214</v>
      </c>
      <c r="P184" s="51">
        <v>214</v>
      </c>
      <c r="Q184" s="51">
        <v>214</v>
      </c>
      <c r="R184" s="511"/>
      <c r="S184" s="51">
        <v>428</v>
      </c>
      <c r="T184" s="51"/>
      <c r="U184" s="51"/>
      <c r="V184" s="51"/>
      <c r="W184" s="131">
        <f>IF(NFI_Expiration=1,IF($A184&lt;VLOOKUP(I$5,NFI,5,0),1,0)*Data_NFI_t[[#This Row],[Hygiene Kit]],0)</f>
        <v>0</v>
      </c>
      <c r="X184" s="131">
        <f>IF(NFI_Expiration=1,IF($A184&lt;VLOOKUP(J$5,NFI,5,0),1,0)*Data_NFI_t[[#This Row],[NFI Core Kit]],0)</f>
        <v>0</v>
      </c>
      <c r="Y184" s="112">
        <f>IF(NFI_Expiration=1,IF($A184&lt;VLOOKUP(K$5,NFI,5,0),1,0)*Data_NFI_t[[#This Row],[Sanitary Kit]],0)</f>
        <v>0</v>
      </c>
      <c r="Z184" s="112">
        <f>IF(NFI_Expiration=1,IF($A184&lt;VLOOKUP(L$5,NFI,5,0),1,0)*Data_NFI_t[[#This Row],[Mosquito net]],0)</f>
        <v>0</v>
      </c>
      <c r="AA184" s="112">
        <f>IF(NFI_Expiration=1,IF($A184&lt;VLOOKUP(M$5,NFI,5,0),1,0)*Data_NFI_t[[#This Row],[Tarpaulin]],0)</f>
        <v>0</v>
      </c>
      <c r="AB184" s="112">
        <f>IF(NFI_Expiration=1,IF($A184&lt;VLOOKUP(N$5,NFI,5,0),1,0)*Data_NFI_t[[#This Row],[Blanket]],0)</f>
        <v>0</v>
      </c>
      <c r="AC184" s="112">
        <f>IF(NFI_Expiration=1,IF($A184&lt;VLOOKUP(O$5,NFI,5,0),1,0)*Data_NFI_t[[#This Row],[Kitchen Set]],0)</f>
        <v>0</v>
      </c>
      <c r="AD184" s="112">
        <f>IF(NFI_Expiration=1,IF($A184&lt;VLOOKUP(P$5,NFI,5,0),1,0)*Data_NFI_t[[#This Row],[Complementary Kit]],0)</f>
        <v>0</v>
      </c>
      <c r="AE184" s="112">
        <f>IF(NFI_Expiration=1,IF($A184&lt;VLOOKUP(Q$5,NFI,5,0),1,0)*Data_NFI_t[[#This Row],[Plastic Bucket]],0)</f>
        <v>0</v>
      </c>
      <c r="AF184" s="112">
        <f>IF(NFI_Expiration=1,IF($A184&lt;VLOOKUP(R$5,NFI,5,0),1,0)*Data_NFI_t[[#This Row],[Jerry Can]],0)</f>
        <v>0</v>
      </c>
      <c r="AG184" s="131">
        <f>IF(NFI_Expiration=1,IF($A184&lt;VLOOKUP(S$5,NFI,5,0),1,0)*Data_NFI_t[[#This Row],[Plastic Mat]],0)*IF(Data_NFI_t[[#This Row],[Distribution Date]]&gt;"01-06-2015",1,2.5)</f>
        <v>0</v>
      </c>
      <c r="AH184" s="915">
        <f>IF(NFI_Expiration=1,IF($A184&lt;VLOOKUP(T$5,NFI,5,0),1,0)*Data_NFI_t[[#This Row],[Adult Clothes]],0)</f>
        <v>0</v>
      </c>
      <c r="AI184" s="131">
        <f>IF(NFI_Expiration=1,IF($A184&lt;VLOOKUP(U$5,NFI,5,0),1,0)*Data_NFI_t[[#This Row],[Children Clothes]],0)</f>
        <v>0</v>
      </c>
      <c r="AJ184" s="131">
        <f>IF(NFI_Expiration=1,IF($A184&lt;VLOOKUP(V$5,NFI,5,0),1,0)*Data_NFI_t[[#This Row],[Sewing Kit]],0)</f>
        <v>0</v>
      </c>
      <c r="AK184" s="131" t="str">
        <f ca="1">IFERROR(OFFSET(Camp_List[P_Code],MATCH(Data_NFI_t[[#This Row],[Camp Name]],Camp_List[Camp Name],0)-1,0,1,1),"")</f>
        <v>MMR012CMP002</v>
      </c>
      <c r="AL184" s="513" t="str">
        <f ca="1">IFERROR(OFFSET(Camp_List[Status],MATCH(Data_NFI_t[[#This Row],[Camp Name]],Camp_List[Camp Name],0)-1,0,1,1),"")</f>
        <v>Returned</v>
      </c>
      <c r="AM184" s="131"/>
    </row>
    <row r="185" spans="1:39" s="90" customFormat="1" ht="19.5" customHeight="1" x14ac:dyDescent="0.25">
      <c r="A185" s="242">
        <f>IF(ISBLANK(C185),"",(Report_Date-C185)/30)</f>
        <v>44.366666666666667</v>
      </c>
      <c r="B185" s="242">
        <f>YEAR(Data_NFI_t[[#This Row],[Distribution Date]])</f>
        <v>2013</v>
      </c>
      <c r="C185" s="927">
        <v>41464</v>
      </c>
      <c r="D185" s="489" t="s">
        <v>285</v>
      </c>
      <c r="E185" s="488" t="s">
        <v>285</v>
      </c>
      <c r="F185" s="489" t="s">
        <v>7</v>
      </c>
      <c r="G185" s="794" t="s">
        <v>11</v>
      </c>
      <c r="H185" s="794" t="s">
        <v>30</v>
      </c>
      <c r="I185" s="794"/>
      <c r="J185" s="51"/>
      <c r="K185" s="51"/>
      <c r="L185" s="51">
        <v>290</v>
      </c>
      <c r="M185" s="51">
        <v>1312</v>
      </c>
      <c r="N185" s="51">
        <v>290</v>
      </c>
      <c r="O185" s="51">
        <v>145</v>
      </c>
      <c r="P185" s="51">
        <v>145</v>
      </c>
      <c r="Q185" s="51">
        <v>145</v>
      </c>
      <c r="R185" s="511"/>
      <c r="S185" s="51">
        <v>290</v>
      </c>
      <c r="T185" s="51"/>
      <c r="U185" s="51"/>
      <c r="V185" s="51"/>
      <c r="W185" s="131">
        <f>IF(NFI_Expiration=1,IF($A185&lt;VLOOKUP(I$5,NFI,5,0),1,0)*Data_NFI_t[[#This Row],[Hygiene Kit]],0)</f>
        <v>0</v>
      </c>
      <c r="X185" s="131">
        <f>IF(NFI_Expiration=1,IF($A185&lt;VLOOKUP(J$5,NFI,5,0),1,0)*Data_NFI_t[[#This Row],[NFI Core Kit]],0)</f>
        <v>0</v>
      </c>
      <c r="Y185" s="112">
        <f>IF(NFI_Expiration=1,IF($A185&lt;VLOOKUP(K$5,NFI,5,0),1,0)*Data_NFI_t[[#This Row],[Sanitary Kit]],0)</f>
        <v>0</v>
      </c>
      <c r="Z185" s="112">
        <f>IF(NFI_Expiration=1,IF($A185&lt;VLOOKUP(L$5,NFI,5,0),1,0)*Data_NFI_t[[#This Row],[Mosquito net]],0)</f>
        <v>0</v>
      </c>
      <c r="AA185" s="112">
        <f>IF(NFI_Expiration=1,IF($A185&lt;VLOOKUP(M$5,NFI,5,0),1,0)*Data_NFI_t[[#This Row],[Tarpaulin]],0)</f>
        <v>0</v>
      </c>
      <c r="AB185" s="112">
        <f>IF(NFI_Expiration=1,IF($A185&lt;VLOOKUP(N$5,NFI,5,0),1,0)*Data_NFI_t[[#This Row],[Blanket]],0)</f>
        <v>0</v>
      </c>
      <c r="AC185" s="112">
        <f>IF(NFI_Expiration=1,IF($A185&lt;VLOOKUP(O$5,NFI,5,0),1,0)*Data_NFI_t[[#This Row],[Kitchen Set]],0)</f>
        <v>0</v>
      </c>
      <c r="AD185" s="112">
        <f>IF(NFI_Expiration=1,IF($A185&lt;VLOOKUP(P$5,NFI,5,0),1,0)*Data_NFI_t[[#This Row],[Complementary Kit]],0)</f>
        <v>0</v>
      </c>
      <c r="AE185" s="112">
        <f>IF(NFI_Expiration=1,IF($A185&lt;VLOOKUP(Q$5,NFI,5,0),1,0)*Data_NFI_t[[#This Row],[Plastic Bucket]],0)</f>
        <v>0</v>
      </c>
      <c r="AF185" s="112">
        <f>IF(NFI_Expiration=1,IF($A185&lt;VLOOKUP(R$5,NFI,5,0),1,0)*Data_NFI_t[[#This Row],[Jerry Can]],0)</f>
        <v>0</v>
      </c>
      <c r="AG185" s="131">
        <f>IF(NFI_Expiration=1,IF($A185&lt;VLOOKUP(S$5,NFI,5,0),1,0)*Data_NFI_t[[#This Row],[Plastic Mat]],0)*IF(Data_NFI_t[[#This Row],[Distribution Date]]&gt;"01-06-2015",1,2.5)</f>
        <v>0</v>
      </c>
      <c r="AH185" s="915">
        <f>IF(NFI_Expiration=1,IF($A185&lt;VLOOKUP(T$5,NFI,5,0),1,0)*Data_NFI_t[[#This Row],[Adult Clothes]],0)</f>
        <v>0</v>
      </c>
      <c r="AI185" s="131">
        <f>IF(NFI_Expiration=1,IF($A185&lt;VLOOKUP(U$5,NFI,5,0),1,0)*Data_NFI_t[[#This Row],[Children Clothes]],0)</f>
        <v>0</v>
      </c>
      <c r="AJ185" s="131">
        <f>IF(NFI_Expiration=1,IF($A185&lt;VLOOKUP(V$5,NFI,5,0),1,0)*Data_NFI_t[[#This Row],[Sewing Kit]],0)</f>
        <v>0</v>
      </c>
      <c r="AK185" s="131" t="str">
        <f ca="1">IFERROR(OFFSET(Camp_List[P_Code],MATCH(Data_NFI_t[[#This Row],[Camp Name]],Camp_List[Camp Name],0)-1,0,1,1),"")</f>
        <v>MMR012CMP006</v>
      </c>
      <c r="AL185" s="513" t="str">
        <f ca="1">IFERROR(OFFSET(Camp_List[Status],MATCH(Data_NFI_t[[#This Row],[Camp Name]],Camp_List[Camp Name],0)-1,0,1,1),"")</f>
        <v>Returned</v>
      </c>
      <c r="AM185" s="131"/>
    </row>
    <row r="186" spans="1:39" s="90" customFormat="1" ht="19.5" customHeight="1" x14ac:dyDescent="0.25">
      <c r="A186" s="242">
        <f>IF(ISBLANK(C186),"",(Report_Date-C186)/30)</f>
        <v>44.366666666666667</v>
      </c>
      <c r="B186" s="242">
        <f>YEAR(Data_NFI_t[[#This Row],[Distribution Date]])</f>
        <v>2013</v>
      </c>
      <c r="C186" s="927">
        <v>41464</v>
      </c>
      <c r="D186" s="489" t="s">
        <v>285</v>
      </c>
      <c r="E186" s="488" t="s">
        <v>285</v>
      </c>
      <c r="F186" s="489" t="s">
        <v>7</v>
      </c>
      <c r="G186" s="794" t="s">
        <v>11</v>
      </c>
      <c r="H186" s="794" t="s">
        <v>25</v>
      </c>
      <c r="I186" s="794"/>
      <c r="J186" s="51"/>
      <c r="K186" s="51"/>
      <c r="L186" s="51">
        <v>130</v>
      </c>
      <c r="M186" s="51">
        <v>108</v>
      </c>
      <c r="N186" s="51">
        <v>130</v>
      </c>
      <c r="O186" s="51">
        <v>65</v>
      </c>
      <c r="P186" s="51">
        <v>65</v>
      </c>
      <c r="Q186" s="51">
        <v>65</v>
      </c>
      <c r="R186" s="511"/>
      <c r="S186" s="51">
        <v>130</v>
      </c>
      <c r="T186" s="51"/>
      <c r="U186" s="51"/>
      <c r="V186" s="51"/>
      <c r="W186" s="131">
        <f>IF(NFI_Expiration=1,IF($A186&lt;VLOOKUP(I$5,NFI,5,0),1,0)*Data_NFI_t[[#This Row],[Hygiene Kit]],0)</f>
        <v>0</v>
      </c>
      <c r="X186" s="131">
        <f>IF(NFI_Expiration=1,IF($A186&lt;VLOOKUP(J$5,NFI,5,0),1,0)*Data_NFI_t[[#This Row],[NFI Core Kit]],0)</f>
        <v>0</v>
      </c>
      <c r="Y186" s="112">
        <f>IF(NFI_Expiration=1,IF($A186&lt;VLOOKUP(K$5,NFI,5,0),1,0)*Data_NFI_t[[#This Row],[Sanitary Kit]],0)</f>
        <v>0</v>
      </c>
      <c r="Z186" s="112">
        <f>IF(NFI_Expiration=1,IF($A186&lt;VLOOKUP(L$5,NFI,5,0),1,0)*Data_NFI_t[[#This Row],[Mosquito net]],0)</f>
        <v>0</v>
      </c>
      <c r="AA186" s="112">
        <f>IF(NFI_Expiration=1,IF($A186&lt;VLOOKUP(M$5,NFI,5,0),1,0)*Data_NFI_t[[#This Row],[Tarpaulin]],0)</f>
        <v>0</v>
      </c>
      <c r="AB186" s="112">
        <f>IF(NFI_Expiration=1,IF($A186&lt;VLOOKUP(N$5,NFI,5,0),1,0)*Data_NFI_t[[#This Row],[Blanket]],0)</f>
        <v>0</v>
      </c>
      <c r="AC186" s="112">
        <f>IF(NFI_Expiration=1,IF($A186&lt;VLOOKUP(O$5,NFI,5,0),1,0)*Data_NFI_t[[#This Row],[Kitchen Set]],0)</f>
        <v>0</v>
      </c>
      <c r="AD186" s="112">
        <f>IF(NFI_Expiration=1,IF($A186&lt;VLOOKUP(P$5,NFI,5,0),1,0)*Data_NFI_t[[#This Row],[Complementary Kit]],0)</f>
        <v>0</v>
      </c>
      <c r="AE186" s="112">
        <f>IF(NFI_Expiration=1,IF($A186&lt;VLOOKUP(Q$5,NFI,5,0),1,0)*Data_NFI_t[[#This Row],[Plastic Bucket]],0)</f>
        <v>0</v>
      </c>
      <c r="AF186" s="112">
        <f>IF(NFI_Expiration=1,IF($A186&lt;VLOOKUP(R$5,NFI,5,0),1,0)*Data_NFI_t[[#This Row],[Jerry Can]],0)</f>
        <v>0</v>
      </c>
      <c r="AG186" s="131">
        <f>IF(NFI_Expiration=1,IF($A186&lt;VLOOKUP(S$5,NFI,5,0),1,0)*Data_NFI_t[[#This Row],[Plastic Mat]],0)*IF(Data_NFI_t[[#This Row],[Distribution Date]]&gt;"01-06-2015",1,2.5)</f>
        <v>0</v>
      </c>
      <c r="AH186" s="915">
        <f>IF(NFI_Expiration=1,IF($A186&lt;VLOOKUP(T$5,NFI,5,0),1,0)*Data_NFI_t[[#This Row],[Adult Clothes]],0)</f>
        <v>0</v>
      </c>
      <c r="AI186" s="131">
        <f>IF(NFI_Expiration=1,IF($A186&lt;VLOOKUP(U$5,NFI,5,0),1,0)*Data_NFI_t[[#This Row],[Children Clothes]],0)</f>
        <v>0</v>
      </c>
      <c r="AJ186" s="131">
        <f>IF(NFI_Expiration=1,IF($A186&lt;VLOOKUP(V$5,NFI,5,0),1,0)*Data_NFI_t[[#This Row],[Sewing Kit]],0)</f>
        <v>0</v>
      </c>
      <c r="AK186" s="131" t="str">
        <f ca="1">IFERROR(OFFSET(Camp_List[P_Code],MATCH(Data_NFI_t[[#This Row],[Camp Name]],Camp_List[Camp Name],0)-1,0,1,1),"")</f>
        <v>MMR012CMP001</v>
      </c>
      <c r="AL186" s="513" t="str">
        <f ca="1">IFERROR(OFFSET(Camp_List[Status],MATCH(Data_NFI_t[[#This Row],[Camp Name]],Camp_List[Camp Name],0)-1,0,1,1),"")</f>
        <v>Returned</v>
      </c>
      <c r="AM186" s="131"/>
    </row>
    <row r="187" spans="1:39" s="90" customFormat="1" ht="19.5" customHeight="1" x14ac:dyDescent="0.25">
      <c r="A187" s="242">
        <f>IF(ISBLANK(C187),"",(Report_Date-C187)/30)</f>
        <v>44.366666666666667</v>
      </c>
      <c r="B187" s="242">
        <f>YEAR(Data_NFI_t[[#This Row],[Distribution Date]])</f>
        <v>2013</v>
      </c>
      <c r="C187" s="927">
        <v>41464</v>
      </c>
      <c r="D187" s="489" t="s">
        <v>285</v>
      </c>
      <c r="E187" s="488" t="s">
        <v>285</v>
      </c>
      <c r="F187" s="489" t="s">
        <v>7</v>
      </c>
      <c r="G187" s="794" t="s">
        <v>11</v>
      </c>
      <c r="H187" s="794" t="s">
        <v>32</v>
      </c>
      <c r="I187" s="794"/>
      <c r="J187" s="51"/>
      <c r="K187" s="51"/>
      <c r="L187" s="51">
        <v>490</v>
      </c>
      <c r="M187" s="51"/>
      <c r="N187" s="51">
        <v>490</v>
      </c>
      <c r="O187" s="51">
        <v>245</v>
      </c>
      <c r="P187" s="51">
        <v>245</v>
      </c>
      <c r="Q187" s="51">
        <v>245</v>
      </c>
      <c r="R187" s="511"/>
      <c r="S187" s="51">
        <v>490</v>
      </c>
      <c r="T187" s="51"/>
      <c r="U187" s="51"/>
      <c r="V187" s="51"/>
      <c r="W187" s="131">
        <f>IF(NFI_Expiration=1,IF($A187&lt;VLOOKUP(I$5,NFI,5,0),1,0)*Data_NFI_t[[#This Row],[Hygiene Kit]],0)</f>
        <v>0</v>
      </c>
      <c r="X187" s="131">
        <f>IF(NFI_Expiration=1,IF($A187&lt;VLOOKUP(J$5,NFI,5,0),1,0)*Data_NFI_t[[#This Row],[NFI Core Kit]],0)</f>
        <v>0</v>
      </c>
      <c r="Y187" s="112">
        <f>IF(NFI_Expiration=1,IF($A187&lt;VLOOKUP(K$5,NFI,5,0),1,0)*Data_NFI_t[[#This Row],[Sanitary Kit]],0)</f>
        <v>0</v>
      </c>
      <c r="Z187" s="112">
        <f>IF(NFI_Expiration=1,IF($A187&lt;VLOOKUP(L$5,NFI,5,0),1,0)*Data_NFI_t[[#This Row],[Mosquito net]],0)</f>
        <v>0</v>
      </c>
      <c r="AA187" s="112">
        <f>IF(NFI_Expiration=1,IF($A187&lt;VLOOKUP(M$5,NFI,5,0),1,0)*Data_NFI_t[[#This Row],[Tarpaulin]],0)</f>
        <v>0</v>
      </c>
      <c r="AB187" s="112">
        <f>IF(NFI_Expiration=1,IF($A187&lt;VLOOKUP(N$5,NFI,5,0),1,0)*Data_NFI_t[[#This Row],[Blanket]],0)</f>
        <v>0</v>
      </c>
      <c r="AC187" s="112">
        <f>IF(NFI_Expiration=1,IF($A187&lt;VLOOKUP(O$5,NFI,5,0),1,0)*Data_NFI_t[[#This Row],[Kitchen Set]],0)</f>
        <v>0</v>
      </c>
      <c r="AD187" s="112">
        <f>IF(NFI_Expiration=1,IF($A187&lt;VLOOKUP(P$5,NFI,5,0),1,0)*Data_NFI_t[[#This Row],[Complementary Kit]],0)</f>
        <v>0</v>
      </c>
      <c r="AE187" s="112">
        <f>IF(NFI_Expiration=1,IF($A187&lt;VLOOKUP(Q$5,NFI,5,0),1,0)*Data_NFI_t[[#This Row],[Plastic Bucket]],0)</f>
        <v>0</v>
      </c>
      <c r="AF187" s="112">
        <f>IF(NFI_Expiration=1,IF($A187&lt;VLOOKUP(R$5,NFI,5,0),1,0)*Data_NFI_t[[#This Row],[Jerry Can]],0)</f>
        <v>0</v>
      </c>
      <c r="AG187" s="131">
        <f>IF(NFI_Expiration=1,IF($A187&lt;VLOOKUP(S$5,NFI,5,0),1,0)*Data_NFI_t[[#This Row],[Plastic Mat]],0)*IF(Data_NFI_t[[#This Row],[Distribution Date]]&gt;"01-06-2015",1,2.5)</f>
        <v>0</v>
      </c>
      <c r="AH187" s="915">
        <f>IF(NFI_Expiration=1,IF($A187&lt;VLOOKUP(T$5,NFI,5,0),1,0)*Data_NFI_t[[#This Row],[Adult Clothes]],0)</f>
        <v>0</v>
      </c>
      <c r="AI187" s="131">
        <f>IF(NFI_Expiration=1,IF($A187&lt;VLOOKUP(U$5,NFI,5,0),1,0)*Data_NFI_t[[#This Row],[Children Clothes]],0)</f>
        <v>0</v>
      </c>
      <c r="AJ187" s="131">
        <f>IF(NFI_Expiration=1,IF($A187&lt;VLOOKUP(V$5,NFI,5,0),1,0)*Data_NFI_t[[#This Row],[Sewing Kit]],0)</f>
        <v>0</v>
      </c>
      <c r="AK187" s="131" t="str">
        <f ca="1">IFERROR(OFFSET(Camp_List[P_Code],MATCH(Data_NFI_t[[#This Row],[Camp Name]],Camp_List[Camp Name],0)-1,0,1,1),"")</f>
        <v>MMR012CMP008</v>
      </c>
      <c r="AL187" s="513" t="str">
        <f ca="1">IFERROR(OFFSET(Camp_List[Status],MATCH(Data_NFI_t[[#This Row],[Camp Name]],Camp_List[Camp Name],0)-1,0,1,1),"")</f>
        <v>Returned</v>
      </c>
      <c r="AM187" s="131"/>
    </row>
    <row r="188" spans="1:39" s="90" customFormat="1" ht="19.5" customHeight="1" x14ac:dyDescent="0.25">
      <c r="A188" s="242">
        <f>IF(ISBLANK(C188),"",(Report_Date-C188)/30)</f>
        <v>44.366666666666667</v>
      </c>
      <c r="B188" s="242">
        <f>YEAR(Data_NFI_t[[#This Row],[Distribution Date]])</f>
        <v>2013</v>
      </c>
      <c r="C188" s="927">
        <v>41464</v>
      </c>
      <c r="D188" s="489" t="s">
        <v>285</v>
      </c>
      <c r="E188" s="488" t="s">
        <v>285</v>
      </c>
      <c r="F188" s="489" t="s">
        <v>7</v>
      </c>
      <c r="G188" s="794" t="s">
        <v>11</v>
      </c>
      <c r="H188" s="794" t="s">
        <v>31</v>
      </c>
      <c r="I188" s="794"/>
      <c r="J188" s="51">
        <v>33</v>
      </c>
      <c r="K188" s="51"/>
      <c r="L188" s="51">
        <v>66</v>
      </c>
      <c r="M188" s="51">
        <v>33</v>
      </c>
      <c r="N188" s="51">
        <v>66</v>
      </c>
      <c r="O188" s="51">
        <v>33</v>
      </c>
      <c r="P188" s="51">
        <v>33</v>
      </c>
      <c r="Q188" s="51">
        <v>33</v>
      </c>
      <c r="R188" s="511"/>
      <c r="S188" s="51">
        <v>66</v>
      </c>
      <c r="T188" s="51"/>
      <c r="U188" s="51"/>
      <c r="V188" s="51"/>
      <c r="W188" s="131">
        <f>IF(NFI_Expiration=1,IF($A188&lt;VLOOKUP(I$5,NFI,5,0),1,0)*Data_NFI_t[[#This Row],[Hygiene Kit]],0)</f>
        <v>0</v>
      </c>
      <c r="X188" s="131">
        <f>IF(NFI_Expiration=1,IF($A188&lt;VLOOKUP(J$5,NFI,5,0),1,0)*Data_NFI_t[[#This Row],[NFI Core Kit]],0)</f>
        <v>0</v>
      </c>
      <c r="Y188" s="112">
        <f>IF(NFI_Expiration=1,IF($A188&lt;VLOOKUP(K$5,NFI,5,0),1,0)*Data_NFI_t[[#This Row],[Sanitary Kit]],0)</f>
        <v>0</v>
      </c>
      <c r="Z188" s="112">
        <f>IF(NFI_Expiration=1,IF($A188&lt;VLOOKUP(L$5,NFI,5,0),1,0)*Data_NFI_t[[#This Row],[Mosquito net]],0)</f>
        <v>0</v>
      </c>
      <c r="AA188" s="112">
        <f>IF(NFI_Expiration=1,IF($A188&lt;VLOOKUP(M$5,NFI,5,0),1,0)*Data_NFI_t[[#This Row],[Tarpaulin]],0)</f>
        <v>0</v>
      </c>
      <c r="AB188" s="112">
        <f>IF(NFI_Expiration=1,IF($A188&lt;VLOOKUP(N$5,NFI,5,0),1,0)*Data_NFI_t[[#This Row],[Blanket]],0)</f>
        <v>0</v>
      </c>
      <c r="AC188" s="112">
        <f>IF(NFI_Expiration=1,IF($A188&lt;VLOOKUP(O$5,NFI,5,0),1,0)*Data_NFI_t[[#This Row],[Kitchen Set]],0)</f>
        <v>0</v>
      </c>
      <c r="AD188" s="112">
        <f>IF(NFI_Expiration=1,IF($A188&lt;VLOOKUP(P$5,NFI,5,0),1,0)*Data_NFI_t[[#This Row],[Complementary Kit]],0)</f>
        <v>0</v>
      </c>
      <c r="AE188" s="112">
        <f>IF(NFI_Expiration=1,IF($A188&lt;VLOOKUP(Q$5,NFI,5,0),1,0)*Data_NFI_t[[#This Row],[Plastic Bucket]],0)</f>
        <v>0</v>
      </c>
      <c r="AF188" s="112">
        <f>IF(NFI_Expiration=1,IF($A188&lt;VLOOKUP(R$5,NFI,5,0),1,0)*Data_NFI_t[[#This Row],[Jerry Can]],0)</f>
        <v>0</v>
      </c>
      <c r="AG188" s="131">
        <f>IF(NFI_Expiration=1,IF($A188&lt;VLOOKUP(S$5,NFI,5,0),1,0)*Data_NFI_t[[#This Row],[Plastic Mat]],0)*IF(Data_NFI_t[[#This Row],[Distribution Date]]&gt;"01-06-2015",1,2.5)</f>
        <v>0</v>
      </c>
      <c r="AH188" s="915">
        <f>IF(NFI_Expiration=1,IF($A188&lt;VLOOKUP(T$5,NFI,5,0),1,0)*Data_NFI_t[[#This Row],[Adult Clothes]],0)</f>
        <v>0</v>
      </c>
      <c r="AI188" s="131">
        <f>IF(NFI_Expiration=1,IF($A188&lt;VLOOKUP(U$5,NFI,5,0),1,0)*Data_NFI_t[[#This Row],[Children Clothes]],0)</f>
        <v>0</v>
      </c>
      <c r="AJ188" s="131">
        <f>IF(NFI_Expiration=1,IF($A188&lt;VLOOKUP(V$5,NFI,5,0),1,0)*Data_NFI_t[[#This Row],[Sewing Kit]],0)</f>
        <v>0</v>
      </c>
      <c r="AK188" s="131" t="str">
        <f ca="1">IFERROR(OFFSET(Camp_List[P_Code],MATCH(Data_NFI_t[[#This Row],[Camp Name]],Camp_List[Camp Name],0)-1,0,1,1),"")</f>
        <v>MMR012CMP007</v>
      </c>
      <c r="AL188" s="513" t="str">
        <f ca="1">IFERROR(OFFSET(Camp_List[Status],MATCH(Data_NFI_t[[#This Row],[Camp Name]],Camp_List[Camp Name],0)-1,0,1,1),"")</f>
        <v>Close</v>
      </c>
      <c r="AM188" s="131"/>
    </row>
    <row r="189" spans="1:39" s="90" customFormat="1" ht="19.5" customHeight="1" x14ac:dyDescent="0.25">
      <c r="A189" s="242">
        <f>IF(ISBLANK(C189),"",(Report_Date-C189)/30)</f>
        <v>44.366666666666667</v>
      </c>
      <c r="B189" s="242">
        <f>YEAR(Data_NFI_t[[#This Row],[Distribution Date]])</f>
        <v>2013</v>
      </c>
      <c r="C189" s="927">
        <v>41464</v>
      </c>
      <c r="D189" s="489" t="s">
        <v>285</v>
      </c>
      <c r="E189" s="488" t="s">
        <v>285</v>
      </c>
      <c r="F189" s="489" t="s">
        <v>7</v>
      </c>
      <c r="G189" s="794" t="s">
        <v>11</v>
      </c>
      <c r="H189" s="794" t="s">
        <v>31</v>
      </c>
      <c r="I189" s="794"/>
      <c r="J189" s="51"/>
      <c r="K189" s="51"/>
      <c r="L189" s="51"/>
      <c r="M189" s="51"/>
      <c r="N189" s="51"/>
      <c r="O189" s="51"/>
      <c r="P189" s="51"/>
      <c r="Q189" s="51"/>
      <c r="R189" s="511"/>
      <c r="S189" s="51"/>
      <c r="T189" s="51"/>
      <c r="U189" s="51"/>
      <c r="V189" s="51"/>
      <c r="W189" s="131">
        <f>IF(NFI_Expiration=1,IF($A189&lt;VLOOKUP(I$5,NFI,5,0),1,0)*Data_NFI_t[[#This Row],[Hygiene Kit]],0)</f>
        <v>0</v>
      </c>
      <c r="X189" s="131">
        <f>IF(NFI_Expiration=1,IF($A189&lt;VLOOKUP(J$5,NFI,5,0),1,0)*Data_NFI_t[[#This Row],[NFI Core Kit]],0)</f>
        <v>0</v>
      </c>
      <c r="Y189" s="112">
        <f>IF(NFI_Expiration=1,IF($A189&lt;VLOOKUP(K$5,NFI,5,0),1,0)*Data_NFI_t[[#This Row],[Sanitary Kit]],0)</f>
        <v>0</v>
      </c>
      <c r="Z189" s="112">
        <f>IF(NFI_Expiration=1,IF($A189&lt;VLOOKUP(L$5,NFI,5,0),1,0)*Data_NFI_t[[#This Row],[Mosquito net]],0)</f>
        <v>0</v>
      </c>
      <c r="AA189" s="112">
        <f>IF(NFI_Expiration=1,IF($A189&lt;VLOOKUP(M$5,NFI,5,0),1,0)*Data_NFI_t[[#This Row],[Tarpaulin]],0)</f>
        <v>0</v>
      </c>
      <c r="AB189" s="112">
        <f>IF(NFI_Expiration=1,IF($A189&lt;VLOOKUP(N$5,NFI,5,0),1,0)*Data_NFI_t[[#This Row],[Blanket]],0)</f>
        <v>0</v>
      </c>
      <c r="AC189" s="112">
        <f>IF(NFI_Expiration=1,IF($A189&lt;VLOOKUP(O$5,NFI,5,0),1,0)*Data_NFI_t[[#This Row],[Kitchen Set]],0)</f>
        <v>0</v>
      </c>
      <c r="AD189" s="112">
        <f>IF(NFI_Expiration=1,IF($A189&lt;VLOOKUP(P$5,NFI,5,0),1,0)*Data_NFI_t[[#This Row],[Complementary Kit]],0)</f>
        <v>0</v>
      </c>
      <c r="AE189" s="112">
        <f>IF(NFI_Expiration=1,IF($A189&lt;VLOOKUP(Q$5,NFI,5,0),1,0)*Data_NFI_t[[#This Row],[Plastic Bucket]],0)</f>
        <v>0</v>
      </c>
      <c r="AF189" s="112">
        <f>IF(NFI_Expiration=1,IF($A189&lt;VLOOKUP(R$5,NFI,5,0),1,0)*Data_NFI_t[[#This Row],[Jerry Can]],0)</f>
        <v>0</v>
      </c>
      <c r="AG189" s="131">
        <f>IF(NFI_Expiration=1,IF($A189&lt;VLOOKUP(S$5,NFI,5,0),1,0)*Data_NFI_t[[#This Row],[Plastic Mat]],0)*IF(Data_NFI_t[[#This Row],[Distribution Date]]&gt;"01-06-2015",1,2.5)</f>
        <v>0</v>
      </c>
      <c r="AH189" s="915">
        <f>IF(NFI_Expiration=1,IF($A189&lt;VLOOKUP(T$5,NFI,5,0),1,0)*Data_NFI_t[[#This Row],[Adult Clothes]],0)</f>
        <v>0</v>
      </c>
      <c r="AI189" s="131">
        <f>IF(NFI_Expiration=1,IF($A189&lt;VLOOKUP(U$5,NFI,5,0),1,0)*Data_NFI_t[[#This Row],[Children Clothes]],0)</f>
        <v>0</v>
      </c>
      <c r="AJ189" s="131">
        <f>IF(NFI_Expiration=1,IF($A189&lt;VLOOKUP(V$5,NFI,5,0),1,0)*Data_NFI_t[[#This Row],[Sewing Kit]],0)</f>
        <v>0</v>
      </c>
      <c r="AK189" s="131" t="str">
        <f ca="1">IFERROR(OFFSET(Camp_List[P_Code],MATCH(Data_NFI_t[[#This Row],[Camp Name]],Camp_List[Camp Name],0)-1,0,1,1),"")</f>
        <v>MMR012CMP007</v>
      </c>
      <c r="AL189" s="513" t="str">
        <f ca="1">IFERROR(OFFSET(Camp_List[Status],MATCH(Data_NFI_t[[#This Row],[Camp Name]],Camp_List[Camp Name],0)-1,0,1,1),"")</f>
        <v>Close</v>
      </c>
      <c r="AM189" s="131"/>
    </row>
    <row r="190" spans="1:39" s="90" customFormat="1" ht="19.5" customHeight="1" x14ac:dyDescent="0.25">
      <c r="A190" s="242">
        <f>IF(ISBLANK(C190),"",(Report_Date-C190)/30)</f>
        <v>44.466666666666669</v>
      </c>
      <c r="B190" s="242">
        <f>YEAR(Data_NFI_t[[#This Row],[Distribution Date]])</f>
        <v>2013</v>
      </c>
      <c r="C190" s="927">
        <v>41461</v>
      </c>
      <c r="D190" s="489" t="s">
        <v>285</v>
      </c>
      <c r="E190" s="488" t="s">
        <v>285</v>
      </c>
      <c r="F190" s="489" t="s">
        <v>7</v>
      </c>
      <c r="G190" s="794" t="s">
        <v>1003</v>
      </c>
      <c r="H190" s="794" t="s">
        <v>33</v>
      </c>
      <c r="I190" s="794"/>
      <c r="J190" s="51"/>
      <c r="K190" s="51"/>
      <c r="L190" s="51">
        <v>600</v>
      </c>
      <c r="M190" s="51">
        <v>5</v>
      </c>
      <c r="N190" s="51">
        <v>600</v>
      </c>
      <c r="O190" s="51">
        <v>300</v>
      </c>
      <c r="P190" s="51">
        <v>300</v>
      </c>
      <c r="Q190" s="51">
        <v>300</v>
      </c>
      <c r="R190" s="511"/>
      <c r="S190" s="51">
        <v>600</v>
      </c>
      <c r="T190" s="51"/>
      <c r="U190" s="51"/>
      <c r="V190" s="51"/>
      <c r="W190" s="131">
        <f>IF(NFI_Expiration=1,IF($A190&lt;VLOOKUP(I$5,NFI,5,0),1,0)*Data_NFI_t[[#This Row],[Hygiene Kit]],0)</f>
        <v>0</v>
      </c>
      <c r="X190" s="131">
        <f>IF(NFI_Expiration=1,IF($A190&lt;VLOOKUP(J$5,NFI,5,0),1,0)*Data_NFI_t[[#This Row],[NFI Core Kit]],0)</f>
        <v>0</v>
      </c>
      <c r="Y190" s="112">
        <f>IF(NFI_Expiration=1,IF($A190&lt;VLOOKUP(K$5,NFI,5,0),1,0)*Data_NFI_t[[#This Row],[Sanitary Kit]],0)</f>
        <v>0</v>
      </c>
      <c r="Z190" s="112">
        <f>IF(NFI_Expiration=1,IF($A190&lt;VLOOKUP(L$5,NFI,5,0),1,0)*Data_NFI_t[[#This Row],[Mosquito net]],0)</f>
        <v>0</v>
      </c>
      <c r="AA190" s="112">
        <f>IF(NFI_Expiration=1,IF($A190&lt;VLOOKUP(M$5,NFI,5,0),1,0)*Data_NFI_t[[#This Row],[Tarpaulin]],0)</f>
        <v>0</v>
      </c>
      <c r="AB190" s="112">
        <f>IF(NFI_Expiration=1,IF($A190&lt;VLOOKUP(N$5,NFI,5,0),1,0)*Data_NFI_t[[#This Row],[Blanket]],0)</f>
        <v>0</v>
      </c>
      <c r="AC190" s="112">
        <f>IF(NFI_Expiration=1,IF($A190&lt;VLOOKUP(O$5,NFI,5,0),1,0)*Data_NFI_t[[#This Row],[Kitchen Set]],0)</f>
        <v>0</v>
      </c>
      <c r="AD190" s="112">
        <f>IF(NFI_Expiration=1,IF($A190&lt;VLOOKUP(P$5,NFI,5,0),1,0)*Data_NFI_t[[#This Row],[Complementary Kit]],0)</f>
        <v>0</v>
      </c>
      <c r="AE190" s="112">
        <f>IF(NFI_Expiration=1,IF($A190&lt;VLOOKUP(Q$5,NFI,5,0),1,0)*Data_NFI_t[[#This Row],[Plastic Bucket]],0)</f>
        <v>0</v>
      </c>
      <c r="AF190" s="112">
        <f>IF(NFI_Expiration=1,IF($A190&lt;VLOOKUP(R$5,NFI,5,0),1,0)*Data_NFI_t[[#This Row],[Jerry Can]],0)</f>
        <v>0</v>
      </c>
      <c r="AG190" s="131">
        <f>IF(NFI_Expiration=1,IF($A190&lt;VLOOKUP(S$5,NFI,5,0),1,0)*Data_NFI_t[[#This Row],[Plastic Mat]],0)*IF(Data_NFI_t[[#This Row],[Distribution Date]]&gt;"01-06-2015",1,2.5)</f>
        <v>0</v>
      </c>
      <c r="AH190" s="915">
        <f>IF(NFI_Expiration=1,IF($A190&lt;VLOOKUP(T$5,NFI,5,0),1,0)*Data_NFI_t[[#This Row],[Adult Clothes]],0)</f>
        <v>0</v>
      </c>
      <c r="AI190" s="131">
        <f>IF(NFI_Expiration=1,IF($A190&lt;VLOOKUP(U$5,NFI,5,0),1,0)*Data_NFI_t[[#This Row],[Children Clothes]],0)</f>
        <v>0</v>
      </c>
      <c r="AJ190" s="131">
        <f>IF(NFI_Expiration=1,IF($A190&lt;VLOOKUP(V$5,NFI,5,0),1,0)*Data_NFI_t[[#This Row],[Sewing Kit]],0)</f>
        <v>0</v>
      </c>
      <c r="AK190" s="131" t="str">
        <f ca="1">IFERROR(OFFSET(Camp_List[P_Code],MATCH(Data_NFI_t[[#This Row],[Camp Name]],Camp_List[Camp Name],0)-1,0,1,1),"")</f>
        <v>MMR012CMP009</v>
      </c>
      <c r="AL190" s="513" t="str">
        <f ca="1">IFERROR(OFFSET(Camp_List[Status],MATCH(Data_NFI_t[[#This Row],[Camp Name]],Camp_List[Camp Name],0)-1,0,1,1),"")</f>
        <v>Returned</v>
      </c>
      <c r="AM190" s="131"/>
    </row>
    <row r="191" spans="1:39" s="90" customFormat="1" ht="19.5" customHeight="1" x14ac:dyDescent="0.25">
      <c r="A191" s="242">
        <f>IF(ISBLANK(C191),"",(Report_Date-C191)/30)</f>
        <v>44.466666666666669</v>
      </c>
      <c r="B191" s="242">
        <f>YEAR(Data_NFI_t[[#This Row],[Distribution Date]])</f>
        <v>2013</v>
      </c>
      <c r="C191" s="927">
        <v>41461</v>
      </c>
      <c r="D191" s="489" t="s">
        <v>285</v>
      </c>
      <c r="E191" s="488" t="s">
        <v>285</v>
      </c>
      <c r="F191" s="489" t="s">
        <v>7</v>
      </c>
      <c r="G191" s="794" t="s">
        <v>11</v>
      </c>
      <c r="H191" s="794" t="s">
        <v>29</v>
      </c>
      <c r="I191" s="794"/>
      <c r="J191" s="51"/>
      <c r="K191" s="51"/>
      <c r="L191" s="51">
        <v>458</v>
      </c>
      <c r="M191" s="51"/>
      <c r="N191" s="51">
        <v>458</v>
      </c>
      <c r="O191" s="51">
        <v>229</v>
      </c>
      <c r="P191" s="51">
        <v>229</v>
      </c>
      <c r="Q191" s="51">
        <v>229</v>
      </c>
      <c r="R191" s="511"/>
      <c r="S191" s="51">
        <v>458</v>
      </c>
      <c r="T191" s="51"/>
      <c r="U191" s="51"/>
      <c r="V191" s="51"/>
      <c r="W191" s="131">
        <f>IF(NFI_Expiration=1,IF($A191&lt;VLOOKUP(I$5,NFI,5,0),1,0)*Data_NFI_t[[#This Row],[Hygiene Kit]],0)</f>
        <v>0</v>
      </c>
      <c r="X191" s="131">
        <f>IF(NFI_Expiration=1,IF($A191&lt;VLOOKUP(J$5,NFI,5,0),1,0)*Data_NFI_t[[#This Row],[NFI Core Kit]],0)</f>
        <v>0</v>
      </c>
      <c r="Y191" s="112">
        <f>IF(NFI_Expiration=1,IF($A191&lt;VLOOKUP(K$5,NFI,5,0),1,0)*Data_NFI_t[[#This Row],[Sanitary Kit]],0)</f>
        <v>0</v>
      </c>
      <c r="Z191" s="112">
        <f>IF(NFI_Expiration=1,IF($A191&lt;VLOOKUP(L$5,NFI,5,0),1,0)*Data_NFI_t[[#This Row],[Mosquito net]],0)</f>
        <v>0</v>
      </c>
      <c r="AA191" s="112">
        <f>IF(NFI_Expiration=1,IF($A191&lt;VLOOKUP(M$5,NFI,5,0),1,0)*Data_NFI_t[[#This Row],[Tarpaulin]],0)</f>
        <v>0</v>
      </c>
      <c r="AB191" s="112">
        <f>IF(NFI_Expiration=1,IF($A191&lt;VLOOKUP(N$5,NFI,5,0),1,0)*Data_NFI_t[[#This Row],[Blanket]],0)</f>
        <v>0</v>
      </c>
      <c r="AC191" s="112">
        <f>IF(NFI_Expiration=1,IF($A191&lt;VLOOKUP(O$5,NFI,5,0),1,0)*Data_NFI_t[[#This Row],[Kitchen Set]],0)</f>
        <v>0</v>
      </c>
      <c r="AD191" s="112">
        <f>IF(NFI_Expiration=1,IF($A191&lt;VLOOKUP(P$5,NFI,5,0),1,0)*Data_NFI_t[[#This Row],[Complementary Kit]],0)</f>
        <v>0</v>
      </c>
      <c r="AE191" s="112">
        <f>IF(NFI_Expiration=1,IF($A191&lt;VLOOKUP(Q$5,NFI,5,0),1,0)*Data_NFI_t[[#This Row],[Plastic Bucket]],0)</f>
        <v>0</v>
      </c>
      <c r="AF191" s="112">
        <f>IF(NFI_Expiration=1,IF($A191&lt;VLOOKUP(R$5,NFI,5,0),1,0)*Data_NFI_t[[#This Row],[Jerry Can]],0)</f>
        <v>0</v>
      </c>
      <c r="AG191" s="131">
        <f>IF(NFI_Expiration=1,IF($A191&lt;VLOOKUP(S$5,NFI,5,0),1,0)*Data_NFI_t[[#This Row],[Plastic Mat]],0)*IF(Data_NFI_t[[#This Row],[Distribution Date]]&gt;"01-06-2015",1,2.5)</f>
        <v>0</v>
      </c>
      <c r="AH191" s="915">
        <f>IF(NFI_Expiration=1,IF($A191&lt;VLOOKUP(T$5,NFI,5,0),1,0)*Data_NFI_t[[#This Row],[Adult Clothes]],0)</f>
        <v>0</v>
      </c>
      <c r="AI191" s="131">
        <f>IF(NFI_Expiration=1,IF($A191&lt;VLOOKUP(U$5,NFI,5,0),1,0)*Data_NFI_t[[#This Row],[Children Clothes]],0)</f>
        <v>0</v>
      </c>
      <c r="AJ191" s="131">
        <f>IF(NFI_Expiration=1,IF($A191&lt;VLOOKUP(V$5,NFI,5,0),1,0)*Data_NFI_t[[#This Row],[Sewing Kit]],0)</f>
        <v>0</v>
      </c>
      <c r="AK191" s="131" t="str">
        <f ca="1">IFERROR(OFFSET(Camp_List[P_Code],MATCH(Data_NFI_t[[#This Row],[Camp Name]],Camp_List[Camp Name],0)-1,0,1,1),"")</f>
        <v>MMR012CMP005</v>
      </c>
      <c r="AL191" s="513" t="str">
        <f ca="1">IFERROR(OFFSET(Camp_List[Status],MATCH(Data_NFI_t[[#This Row],[Camp Name]],Camp_List[Camp Name],0)-1,0,1,1),"")</f>
        <v>Returned</v>
      </c>
      <c r="AM191" s="131"/>
    </row>
    <row r="192" spans="1:39" s="90" customFormat="1" ht="19.5" customHeight="1" x14ac:dyDescent="0.25">
      <c r="A192" s="242">
        <f>IF(ISBLANK(C192),"",(Report_Date-C192)/30)</f>
        <v>44.466666666666669</v>
      </c>
      <c r="B192" s="242">
        <f>YEAR(Data_NFI_t[[#This Row],[Distribution Date]])</f>
        <v>2013</v>
      </c>
      <c r="C192" s="927">
        <v>41461</v>
      </c>
      <c r="D192" s="489" t="s">
        <v>285</v>
      </c>
      <c r="E192" s="488" t="s">
        <v>285</v>
      </c>
      <c r="F192" s="489" t="s">
        <v>7</v>
      </c>
      <c r="G192" s="794" t="s">
        <v>1003</v>
      </c>
      <c r="H192" s="794" t="s">
        <v>34</v>
      </c>
      <c r="I192" s="794"/>
      <c r="J192" s="51"/>
      <c r="K192" s="51"/>
      <c r="L192" s="51">
        <v>730</v>
      </c>
      <c r="M192" s="51"/>
      <c r="N192" s="51">
        <v>730</v>
      </c>
      <c r="O192" s="51">
        <v>365</v>
      </c>
      <c r="P192" s="51">
        <v>365</v>
      </c>
      <c r="Q192" s="51">
        <v>365</v>
      </c>
      <c r="R192" s="511"/>
      <c r="S192" s="51">
        <v>730</v>
      </c>
      <c r="T192" s="51"/>
      <c r="U192" s="51"/>
      <c r="V192" s="51"/>
      <c r="W192" s="131">
        <f>IF(NFI_Expiration=1,IF($A192&lt;VLOOKUP(I$5,NFI,5,0),1,0)*Data_NFI_t[[#This Row],[Hygiene Kit]],0)</f>
        <v>0</v>
      </c>
      <c r="X192" s="131">
        <f>IF(NFI_Expiration=1,IF($A192&lt;VLOOKUP(J$5,NFI,5,0),1,0)*Data_NFI_t[[#This Row],[NFI Core Kit]],0)</f>
        <v>0</v>
      </c>
      <c r="Y192" s="112">
        <f>IF(NFI_Expiration=1,IF($A192&lt;VLOOKUP(K$5,NFI,5,0),1,0)*Data_NFI_t[[#This Row],[Sanitary Kit]],0)</f>
        <v>0</v>
      </c>
      <c r="Z192" s="112">
        <f>IF(NFI_Expiration=1,IF($A192&lt;VLOOKUP(L$5,NFI,5,0),1,0)*Data_NFI_t[[#This Row],[Mosquito net]],0)</f>
        <v>0</v>
      </c>
      <c r="AA192" s="112">
        <f>IF(NFI_Expiration=1,IF($A192&lt;VLOOKUP(M$5,NFI,5,0),1,0)*Data_NFI_t[[#This Row],[Tarpaulin]],0)</f>
        <v>0</v>
      </c>
      <c r="AB192" s="112">
        <f>IF(NFI_Expiration=1,IF($A192&lt;VLOOKUP(N$5,NFI,5,0),1,0)*Data_NFI_t[[#This Row],[Blanket]],0)</f>
        <v>0</v>
      </c>
      <c r="AC192" s="112">
        <f>IF(NFI_Expiration=1,IF($A192&lt;VLOOKUP(O$5,NFI,5,0),1,0)*Data_NFI_t[[#This Row],[Kitchen Set]],0)</f>
        <v>0</v>
      </c>
      <c r="AD192" s="112">
        <f>IF(NFI_Expiration=1,IF($A192&lt;VLOOKUP(P$5,NFI,5,0),1,0)*Data_NFI_t[[#This Row],[Complementary Kit]],0)</f>
        <v>0</v>
      </c>
      <c r="AE192" s="112">
        <f>IF(NFI_Expiration=1,IF($A192&lt;VLOOKUP(Q$5,NFI,5,0),1,0)*Data_NFI_t[[#This Row],[Plastic Bucket]],0)</f>
        <v>0</v>
      </c>
      <c r="AF192" s="112">
        <f>IF(NFI_Expiration=1,IF($A192&lt;VLOOKUP(R$5,NFI,5,0),1,0)*Data_NFI_t[[#This Row],[Jerry Can]],0)</f>
        <v>0</v>
      </c>
      <c r="AG192" s="131">
        <f>IF(NFI_Expiration=1,IF($A192&lt;VLOOKUP(S$5,NFI,5,0),1,0)*Data_NFI_t[[#This Row],[Plastic Mat]],0)*IF(Data_NFI_t[[#This Row],[Distribution Date]]&gt;"01-06-2015",1,2.5)</f>
        <v>0</v>
      </c>
      <c r="AH192" s="915">
        <f>IF(NFI_Expiration=1,IF($A192&lt;VLOOKUP(T$5,NFI,5,0),1,0)*Data_NFI_t[[#This Row],[Adult Clothes]],0)</f>
        <v>0</v>
      </c>
      <c r="AI192" s="131">
        <f>IF(NFI_Expiration=1,IF($A192&lt;VLOOKUP(U$5,NFI,5,0),1,0)*Data_NFI_t[[#This Row],[Children Clothes]],0)</f>
        <v>0</v>
      </c>
      <c r="AJ192" s="131">
        <f>IF(NFI_Expiration=1,IF($A192&lt;VLOOKUP(V$5,NFI,5,0),1,0)*Data_NFI_t[[#This Row],[Sewing Kit]],0)</f>
        <v>0</v>
      </c>
      <c r="AK192" s="131" t="str">
        <f ca="1">IFERROR(OFFSET(Camp_List[P_Code],MATCH(Data_NFI_t[[#This Row],[Camp Name]],Camp_List[Camp Name],0)-1,0,1,1),"")</f>
        <v>MMR012CMP010</v>
      </c>
      <c r="AL192" s="513" t="str">
        <f ca="1">IFERROR(OFFSET(Camp_List[Status],MATCH(Data_NFI_t[[#This Row],[Camp Name]],Camp_List[Camp Name],0)-1,0,1,1),"")</f>
        <v>Returned</v>
      </c>
      <c r="AM192" s="131"/>
    </row>
    <row r="193" spans="1:39" s="90" customFormat="1" ht="19.5" customHeight="1" x14ac:dyDescent="0.25">
      <c r="A193" s="242">
        <f>IF(ISBLANK(C193),"",(Report_Date-C193)/30)</f>
        <v>44.633333333333333</v>
      </c>
      <c r="B193" s="242">
        <f>YEAR(Data_NFI_t[[#This Row],[Distribution Date]])</f>
        <v>2013</v>
      </c>
      <c r="C193" s="927">
        <v>41456</v>
      </c>
      <c r="D193" s="489" t="s">
        <v>285</v>
      </c>
      <c r="E193" s="488" t="s">
        <v>285</v>
      </c>
      <c r="F193" s="489" t="s">
        <v>7</v>
      </c>
      <c r="G193" s="794" t="s">
        <v>15</v>
      </c>
      <c r="H193" s="794" t="s">
        <v>48</v>
      </c>
      <c r="I193" s="794"/>
      <c r="J193" s="51"/>
      <c r="K193" s="51"/>
      <c r="L193" s="51">
        <v>224</v>
      </c>
      <c r="M193" s="51">
        <v>400</v>
      </c>
      <c r="N193" s="51">
        <v>224</v>
      </c>
      <c r="O193" s="51">
        <v>112</v>
      </c>
      <c r="P193" s="51">
        <v>112</v>
      </c>
      <c r="Q193" s="51">
        <v>112</v>
      </c>
      <c r="R193" s="511"/>
      <c r="S193" s="51">
        <v>224</v>
      </c>
      <c r="T193" s="51"/>
      <c r="U193" s="51"/>
      <c r="V193" s="51"/>
      <c r="W193" s="131">
        <f>IF(NFI_Expiration=1,IF($A193&lt;VLOOKUP(I$5,NFI,5,0),1,0)*Data_NFI_t[[#This Row],[Hygiene Kit]],0)</f>
        <v>0</v>
      </c>
      <c r="X193" s="131">
        <f>IF(NFI_Expiration=1,IF($A193&lt;VLOOKUP(J$5,NFI,5,0),1,0)*Data_NFI_t[[#This Row],[NFI Core Kit]],0)</f>
        <v>0</v>
      </c>
      <c r="Y193" s="112">
        <f>IF(NFI_Expiration=1,IF($A193&lt;VLOOKUP(K$5,NFI,5,0),1,0)*Data_NFI_t[[#This Row],[Sanitary Kit]],0)</f>
        <v>0</v>
      </c>
      <c r="Z193" s="112">
        <f>IF(NFI_Expiration=1,IF($A193&lt;VLOOKUP(L$5,NFI,5,0),1,0)*Data_NFI_t[[#This Row],[Mosquito net]],0)</f>
        <v>0</v>
      </c>
      <c r="AA193" s="112">
        <f>IF(NFI_Expiration=1,IF($A193&lt;VLOOKUP(M$5,NFI,5,0),1,0)*Data_NFI_t[[#This Row],[Tarpaulin]],0)</f>
        <v>0</v>
      </c>
      <c r="AB193" s="112">
        <f>IF(NFI_Expiration=1,IF($A193&lt;VLOOKUP(N$5,NFI,5,0),1,0)*Data_NFI_t[[#This Row],[Blanket]],0)</f>
        <v>0</v>
      </c>
      <c r="AC193" s="112">
        <f>IF(NFI_Expiration=1,IF($A193&lt;VLOOKUP(O$5,NFI,5,0),1,0)*Data_NFI_t[[#This Row],[Kitchen Set]],0)</f>
        <v>0</v>
      </c>
      <c r="AD193" s="112">
        <f>IF(NFI_Expiration=1,IF($A193&lt;VLOOKUP(P$5,NFI,5,0),1,0)*Data_NFI_t[[#This Row],[Complementary Kit]],0)</f>
        <v>0</v>
      </c>
      <c r="AE193" s="112">
        <f>IF(NFI_Expiration=1,IF($A193&lt;VLOOKUP(Q$5,NFI,5,0),1,0)*Data_NFI_t[[#This Row],[Plastic Bucket]],0)</f>
        <v>0</v>
      </c>
      <c r="AF193" s="112">
        <f>IF(NFI_Expiration=1,IF($A193&lt;VLOOKUP(R$5,NFI,5,0),1,0)*Data_NFI_t[[#This Row],[Jerry Can]],0)</f>
        <v>0</v>
      </c>
      <c r="AG193" s="131">
        <f>IF(NFI_Expiration=1,IF($A193&lt;VLOOKUP(S$5,NFI,5,0),1,0)*Data_NFI_t[[#This Row],[Plastic Mat]],0)*IF(Data_NFI_t[[#This Row],[Distribution Date]]&gt;"01-06-2015",1,2.5)</f>
        <v>0</v>
      </c>
      <c r="AH193" s="915">
        <f>IF(NFI_Expiration=1,IF($A193&lt;VLOOKUP(T$5,NFI,5,0),1,0)*Data_NFI_t[[#This Row],[Adult Clothes]],0)</f>
        <v>0</v>
      </c>
      <c r="AI193" s="131">
        <f>IF(NFI_Expiration=1,IF($A193&lt;VLOOKUP(U$5,NFI,5,0),1,0)*Data_NFI_t[[#This Row],[Children Clothes]],0)</f>
        <v>0</v>
      </c>
      <c r="AJ193" s="131">
        <f>IF(NFI_Expiration=1,IF($A193&lt;VLOOKUP(V$5,NFI,5,0),1,0)*Data_NFI_t[[#This Row],[Sewing Kit]],0)</f>
        <v>0</v>
      </c>
      <c r="AK193" s="131" t="str">
        <f ca="1">IFERROR(OFFSET(Camp_List[P_Code],MATCH(Data_NFI_t[[#This Row],[Camp Name]],Camp_List[Camp Name],0)-1,0,1,1),"")</f>
        <v>MMR012CMP024</v>
      </c>
      <c r="AL193" s="513" t="str">
        <f ca="1">IFERROR(OFFSET(Camp_List[Status],MATCH(Data_NFI_t[[#This Row],[Camp Name]],Camp_List[Camp Name],0)-1,0,1,1),"")</f>
        <v>Returned</v>
      </c>
      <c r="AM193" s="131"/>
    </row>
    <row r="194" spans="1:39" s="90" customFormat="1" ht="19.5" customHeight="1" x14ac:dyDescent="0.25">
      <c r="A194" s="242">
        <f>IF(ISBLANK(C194),"",(Report_Date-C194)/30)</f>
        <v>44.633333333333333</v>
      </c>
      <c r="B194" s="242">
        <f>YEAR(Data_NFI_t[[#This Row],[Distribution Date]])</f>
        <v>2013</v>
      </c>
      <c r="C194" s="927">
        <v>41456</v>
      </c>
      <c r="D194" s="489" t="s">
        <v>285</v>
      </c>
      <c r="E194" s="488" t="s">
        <v>285</v>
      </c>
      <c r="F194" s="489" t="s">
        <v>7</v>
      </c>
      <c r="G194" s="794" t="s">
        <v>15</v>
      </c>
      <c r="H194" s="794" t="s">
        <v>51</v>
      </c>
      <c r="I194" s="794"/>
      <c r="J194" s="51"/>
      <c r="K194" s="51"/>
      <c r="L194" s="51">
        <v>232</v>
      </c>
      <c r="M194" s="51">
        <v>220</v>
      </c>
      <c r="N194" s="51">
        <v>232</v>
      </c>
      <c r="O194" s="51">
        <v>116</v>
      </c>
      <c r="P194" s="51">
        <v>116</v>
      </c>
      <c r="Q194" s="51">
        <v>116</v>
      </c>
      <c r="R194" s="511"/>
      <c r="S194" s="51">
        <v>232</v>
      </c>
      <c r="T194" s="51"/>
      <c r="U194" s="51"/>
      <c r="V194" s="51"/>
      <c r="W194" s="131">
        <f>IF(NFI_Expiration=1,IF($A194&lt;VLOOKUP(I$5,NFI,5,0),1,0)*Data_NFI_t[[#This Row],[Hygiene Kit]],0)</f>
        <v>0</v>
      </c>
      <c r="X194" s="131">
        <f>IF(NFI_Expiration=1,IF($A194&lt;VLOOKUP(J$5,NFI,5,0),1,0)*Data_NFI_t[[#This Row],[NFI Core Kit]],0)</f>
        <v>0</v>
      </c>
      <c r="Y194" s="112">
        <f>IF(NFI_Expiration=1,IF($A194&lt;VLOOKUP(K$5,NFI,5,0),1,0)*Data_NFI_t[[#This Row],[Sanitary Kit]],0)</f>
        <v>0</v>
      </c>
      <c r="Z194" s="112">
        <f>IF(NFI_Expiration=1,IF($A194&lt;VLOOKUP(L$5,NFI,5,0),1,0)*Data_NFI_t[[#This Row],[Mosquito net]],0)</f>
        <v>0</v>
      </c>
      <c r="AA194" s="112">
        <f>IF(NFI_Expiration=1,IF($A194&lt;VLOOKUP(M$5,NFI,5,0),1,0)*Data_NFI_t[[#This Row],[Tarpaulin]],0)</f>
        <v>0</v>
      </c>
      <c r="AB194" s="112">
        <f>IF(NFI_Expiration=1,IF($A194&lt;VLOOKUP(N$5,NFI,5,0),1,0)*Data_NFI_t[[#This Row],[Blanket]],0)</f>
        <v>0</v>
      </c>
      <c r="AC194" s="112">
        <f>IF(NFI_Expiration=1,IF($A194&lt;VLOOKUP(O$5,NFI,5,0),1,0)*Data_NFI_t[[#This Row],[Kitchen Set]],0)</f>
        <v>0</v>
      </c>
      <c r="AD194" s="112">
        <f>IF(NFI_Expiration=1,IF($A194&lt;VLOOKUP(P$5,NFI,5,0),1,0)*Data_NFI_t[[#This Row],[Complementary Kit]],0)</f>
        <v>0</v>
      </c>
      <c r="AE194" s="112">
        <f>IF(NFI_Expiration=1,IF($A194&lt;VLOOKUP(Q$5,NFI,5,0),1,0)*Data_NFI_t[[#This Row],[Plastic Bucket]],0)</f>
        <v>0</v>
      </c>
      <c r="AF194" s="112">
        <f>IF(NFI_Expiration=1,IF($A194&lt;VLOOKUP(R$5,NFI,5,0),1,0)*Data_NFI_t[[#This Row],[Jerry Can]],0)</f>
        <v>0</v>
      </c>
      <c r="AG194" s="131">
        <f>IF(NFI_Expiration=1,IF($A194&lt;VLOOKUP(S$5,NFI,5,0),1,0)*Data_NFI_t[[#This Row],[Plastic Mat]],0)*IF(Data_NFI_t[[#This Row],[Distribution Date]]&gt;"01-06-2015",1,2.5)</f>
        <v>0</v>
      </c>
      <c r="AH194" s="915">
        <f>IF(NFI_Expiration=1,IF($A194&lt;VLOOKUP(T$5,NFI,5,0),1,0)*Data_NFI_t[[#This Row],[Adult Clothes]],0)</f>
        <v>0</v>
      </c>
      <c r="AI194" s="131">
        <f>IF(NFI_Expiration=1,IF($A194&lt;VLOOKUP(U$5,NFI,5,0),1,0)*Data_NFI_t[[#This Row],[Children Clothes]],0)</f>
        <v>0</v>
      </c>
      <c r="AJ194" s="131">
        <f>IF(NFI_Expiration=1,IF($A194&lt;VLOOKUP(V$5,NFI,5,0),1,0)*Data_NFI_t[[#This Row],[Sewing Kit]],0)</f>
        <v>0</v>
      </c>
      <c r="AK194" s="131" t="str">
        <f ca="1">IFERROR(OFFSET(Camp_List[P_Code],MATCH(Data_NFI_t[[#This Row],[Camp Name]],Camp_List[Camp Name],0)-1,0,1,1),"")</f>
        <v>MMR012CMP027</v>
      </c>
      <c r="AL194" s="513" t="str">
        <f ca="1">IFERROR(OFFSET(Camp_List[Status],MATCH(Data_NFI_t[[#This Row],[Camp Name]],Camp_List[Camp Name],0)-1,0,1,1),"")</f>
        <v>Returned</v>
      </c>
      <c r="AM194" s="131"/>
    </row>
    <row r="195" spans="1:39" s="90" customFormat="1" ht="19.5" customHeight="1" x14ac:dyDescent="0.25">
      <c r="A195" s="242">
        <f>IF(ISBLANK(C195),"",(Report_Date-C195)/30)</f>
        <v>44.633333333333333</v>
      </c>
      <c r="B195" s="242">
        <f>YEAR(Data_NFI_t[[#This Row],[Distribution Date]])</f>
        <v>2013</v>
      </c>
      <c r="C195" s="927">
        <v>41456</v>
      </c>
      <c r="D195" s="489" t="s">
        <v>285</v>
      </c>
      <c r="E195" s="488" t="s">
        <v>285</v>
      </c>
      <c r="F195" s="489" t="s">
        <v>7</v>
      </c>
      <c r="G195" s="794" t="s">
        <v>15</v>
      </c>
      <c r="H195" s="794" t="s">
        <v>50</v>
      </c>
      <c r="I195" s="794"/>
      <c r="J195" s="51"/>
      <c r="K195" s="51"/>
      <c r="L195" s="51">
        <v>460</v>
      </c>
      <c r="M195" s="51">
        <v>145</v>
      </c>
      <c r="N195" s="51">
        <v>460</v>
      </c>
      <c r="O195" s="51">
        <v>230</v>
      </c>
      <c r="P195" s="51">
        <v>230</v>
      </c>
      <c r="Q195" s="51">
        <v>230</v>
      </c>
      <c r="R195" s="511"/>
      <c r="S195" s="51">
        <v>460</v>
      </c>
      <c r="T195" s="51"/>
      <c r="U195" s="51"/>
      <c r="V195" s="51"/>
      <c r="W195" s="131">
        <f>IF(NFI_Expiration=1,IF($A195&lt;VLOOKUP(I$5,NFI,5,0),1,0)*Data_NFI_t[[#This Row],[Hygiene Kit]],0)</f>
        <v>0</v>
      </c>
      <c r="X195" s="131">
        <f>IF(NFI_Expiration=1,IF($A195&lt;VLOOKUP(J$5,NFI,5,0),1,0)*Data_NFI_t[[#This Row],[NFI Core Kit]],0)</f>
        <v>0</v>
      </c>
      <c r="Y195" s="112">
        <f>IF(NFI_Expiration=1,IF($A195&lt;VLOOKUP(K$5,NFI,5,0),1,0)*Data_NFI_t[[#This Row],[Sanitary Kit]],0)</f>
        <v>0</v>
      </c>
      <c r="Z195" s="112">
        <f>IF(NFI_Expiration=1,IF($A195&lt;VLOOKUP(L$5,NFI,5,0),1,0)*Data_NFI_t[[#This Row],[Mosquito net]],0)</f>
        <v>0</v>
      </c>
      <c r="AA195" s="112">
        <f>IF(NFI_Expiration=1,IF($A195&lt;VLOOKUP(M$5,NFI,5,0),1,0)*Data_NFI_t[[#This Row],[Tarpaulin]],0)</f>
        <v>0</v>
      </c>
      <c r="AB195" s="112">
        <f>IF(NFI_Expiration=1,IF($A195&lt;VLOOKUP(N$5,NFI,5,0),1,0)*Data_NFI_t[[#This Row],[Blanket]],0)</f>
        <v>0</v>
      </c>
      <c r="AC195" s="112">
        <f>IF(NFI_Expiration=1,IF($A195&lt;VLOOKUP(O$5,NFI,5,0),1,0)*Data_NFI_t[[#This Row],[Kitchen Set]],0)</f>
        <v>0</v>
      </c>
      <c r="AD195" s="112">
        <f>IF(NFI_Expiration=1,IF($A195&lt;VLOOKUP(P$5,NFI,5,0),1,0)*Data_NFI_t[[#This Row],[Complementary Kit]],0)</f>
        <v>0</v>
      </c>
      <c r="AE195" s="112">
        <f>IF(NFI_Expiration=1,IF($A195&lt;VLOOKUP(Q$5,NFI,5,0),1,0)*Data_NFI_t[[#This Row],[Plastic Bucket]],0)</f>
        <v>0</v>
      </c>
      <c r="AF195" s="112">
        <f>IF(NFI_Expiration=1,IF($A195&lt;VLOOKUP(R$5,NFI,5,0),1,0)*Data_NFI_t[[#This Row],[Jerry Can]],0)</f>
        <v>0</v>
      </c>
      <c r="AG195" s="131">
        <f>IF(NFI_Expiration=1,IF($A195&lt;VLOOKUP(S$5,NFI,5,0),1,0)*Data_NFI_t[[#This Row],[Plastic Mat]],0)*IF(Data_NFI_t[[#This Row],[Distribution Date]]&gt;"01-06-2015",1,2.5)</f>
        <v>0</v>
      </c>
      <c r="AH195" s="915">
        <f>IF(NFI_Expiration=1,IF($A195&lt;VLOOKUP(T$5,NFI,5,0),1,0)*Data_NFI_t[[#This Row],[Adult Clothes]],0)</f>
        <v>0</v>
      </c>
      <c r="AI195" s="131">
        <f>IF(NFI_Expiration=1,IF($A195&lt;VLOOKUP(U$5,NFI,5,0),1,0)*Data_NFI_t[[#This Row],[Children Clothes]],0)</f>
        <v>0</v>
      </c>
      <c r="AJ195" s="131">
        <f>IF(NFI_Expiration=1,IF($A195&lt;VLOOKUP(V$5,NFI,5,0),1,0)*Data_NFI_t[[#This Row],[Sewing Kit]],0)</f>
        <v>0</v>
      </c>
      <c r="AK195" s="131" t="str">
        <f ca="1">IFERROR(OFFSET(Camp_List[P_Code],MATCH(Data_NFI_t[[#This Row],[Camp Name]],Camp_List[Camp Name],0)-1,0,1,1),"")</f>
        <v>MMR012CMP026</v>
      </c>
      <c r="AL195" s="513" t="str">
        <f ca="1">IFERROR(OFFSET(Camp_List[Status],MATCH(Data_NFI_t[[#This Row],[Camp Name]],Camp_List[Camp Name],0)-1,0,1,1),"")</f>
        <v>Returned</v>
      </c>
      <c r="AM195" s="131"/>
    </row>
    <row r="196" spans="1:39" s="90" customFormat="1" ht="19.5" customHeight="1" x14ac:dyDescent="0.25">
      <c r="A196" s="242">
        <f>IF(ISBLANK(C196),"",(Report_Date-C196)/30)</f>
        <v>44.633333333333333</v>
      </c>
      <c r="B196" s="242">
        <f>YEAR(Data_NFI_t[[#This Row],[Distribution Date]])</f>
        <v>2013</v>
      </c>
      <c r="C196" s="927">
        <v>41456</v>
      </c>
      <c r="D196" s="489" t="s">
        <v>285</v>
      </c>
      <c r="E196" s="488" t="s">
        <v>285</v>
      </c>
      <c r="F196" s="489" t="s">
        <v>7</v>
      </c>
      <c r="G196" s="794" t="s">
        <v>15</v>
      </c>
      <c r="H196" s="794" t="s">
        <v>54</v>
      </c>
      <c r="I196" s="794"/>
      <c r="J196" s="51"/>
      <c r="K196" s="51"/>
      <c r="L196" s="51">
        <v>318</v>
      </c>
      <c r="M196" s="51">
        <v>4</v>
      </c>
      <c r="N196" s="51">
        <v>318</v>
      </c>
      <c r="O196" s="51">
        <v>159</v>
      </c>
      <c r="P196" s="51">
        <v>159</v>
      </c>
      <c r="Q196" s="51">
        <v>159</v>
      </c>
      <c r="R196" s="511"/>
      <c r="S196" s="51">
        <v>318</v>
      </c>
      <c r="T196" s="51"/>
      <c r="U196" s="51"/>
      <c r="V196" s="51"/>
      <c r="W196" s="131">
        <f>IF(NFI_Expiration=1,IF($A196&lt;VLOOKUP(I$5,NFI,5,0),1,0)*Data_NFI_t[[#This Row],[Hygiene Kit]],0)</f>
        <v>0</v>
      </c>
      <c r="X196" s="131">
        <f>IF(NFI_Expiration=1,IF($A196&lt;VLOOKUP(J$5,NFI,5,0),1,0)*Data_NFI_t[[#This Row],[NFI Core Kit]],0)</f>
        <v>0</v>
      </c>
      <c r="Y196" s="112">
        <f>IF(NFI_Expiration=1,IF($A196&lt;VLOOKUP(K$5,NFI,5,0),1,0)*Data_NFI_t[[#This Row],[Sanitary Kit]],0)</f>
        <v>0</v>
      </c>
      <c r="Z196" s="112">
        <f>IF(NFI_Expiration=1,IF($A196&lt;VLOOKUP(L$5,NFI,5,0),1,0)*Data_NFI_t[[#This Row],[Mosquito net]],0)</f>
        <v>0</v>
      </c>
      <c r="AA196" s="112">
        <f>IF(NFI_Expiration=1,IF($A196&lt;VLOOKUP(M$5,NFI,5,0),1,0)*Data_NFI_t[[#This Row],[Tarpaulin]],0)</f>
        <v>0</v>
      </c>
      <c r="AB196" s="112">
        <f>IF(NFI_Expiration=1,IF($A196&lt;VLOOKUP(N$5,NFI,5,0),1,0)*Data_NFI_t[[#This Row],[Blanket]],0)</f>
        <v>0</v>
      </c>
      <c r="AC196" s="112">
        <f>IF(NFI_Expiration=1,IF($A196&lt;VLOOKUP(O$5,NFI,5,0),1,0)*Data_NFI_t[[#This Row],[Kitchen Set]],0)</f>
        <v>0</v>
      </c>
      <c r="AD196" s="112">
        <f>IF(NFI_Expiration=1,IF($A196&lt;VLOOKUP(P$5,NFI,5,0),1,0)*Data_NFI_t[[#This Row],[Complementary Kit]],0)</f>
        <v>0</v>
      </c>
      <c r="AE196" s="112">
        <f>IF(NFI_Expiration=1,IF($A196&lt;VLOOKUP(Q$5,NFI,5,0),1,0)*Data_NFI_t[[#This Row],[Plastic Bucket]],0)</f>
        <v>0</v>
      </c>
      <c r="AF196" s="112">
        <f>IF(NFI_Expiration=1,IF($A196&lt;VLOOKUP(R$5,NFI,5,0),1,0)*Data_NFI_t[[#This Row],[Jerry Can]],0)</f>
        <v>0</v>
      </c>
      <c r="AG196" s="131">
        <f>IF(NFI_Expiration=1,IF($A196&lt;VLOOKUP(S$5,NFI,5,0),1,0)*Data_NFI_t[[#This Row],[Plastic Mat]],0)*IF(Data_NFI_t[[#This Row],[Distribution Date]]&gt;"01-06-2015",1,2.5)</f>
        <v>0</v>
      </c>
      <c r="AH196" s="915">
        <f>IF(NFI_Expiration=1,IF($A196&lt;VLOOKUP(T$5,NFI,5,0),1,0)*Data_NFI_t[[#This Row],[Adult Clothes]],0)</f>
        <v>0</v>
      </c>
      <c r="AI196" s="131">
        <f>IF(NFI_Expiration=1,IF($A196&lt;VLOOKUP(U$5,NFI,5,0),1,0)*Data_NFI_t[[#This Row],[Children Clothes]],0)</f>
        <v>0</v>
      </c>
      <c r="AJ196" s="131">
        <f>IF(NFI_Expiration=1,IF($A196&lt;VLOOKUP(V$5,NFI,5,0),1,0)*Data_NFI_t[[#This Row],[Sewing Kit]],0)</f>
        <v>0</v>
      </c>
      <c r="AK196" s="131" t="str">
        <f ca="1">IFERROR(OFFSET(Camp_List[P_Code],MATCH(Data_NFI_t[[#This Row],[Camp Name]],Camp_List[Camp Name],0)-1,0,1,1),"")</f>
        <v>MMR012CMP030</v>
      </c>
      <c r="AL196" s="513" t="str">
        <f ca="1">IFERROR(OFFSET(Camp_List[Status],MATCH(Data_NFI_t[[#This Row],[Camp Name]],Camp_List[Camp Name],0)-1,0,1,1),"")</f>
        <v>Relocated</v>
      </c>
      <c r="AM196" s="131"/>
    </row>
    <row r="197" spans="1:39" s="90" customFormat="1" ht="19.5" customHeight="1" x14ac:dyDescent="0.25">
      <c r="A197" s="242">
        <f>IF(ISBLANK(C197),"",(Report_Date-C197)/30)</f>
        <v>44.633333333333333</v>
      </c>
      <c r="B197" s="242">
        <f>YEAR(Data_NFI_t[[#This Row],[Distribution Date]])</f>
        <v>2013</v>
      </c>
      <c r="C197" s="927">
        <v>41456</v>
      </c>
      <c r="D197" s="489" t="s">
        <v>516</v>
      </c>
      <c r="E197" s="488" t="s">
        <v>285</v>
      </c>
      <c r="F197" s="489" t="s">
        <v>7</v>
      </c>
      <c r="G197" s="794" t="s">
        <v>15</v>
      </c>
      <c r="H197" s="794" t="s">
        <v>44</v>
      </c>
      <c r="I197" s="794"/>
      <c r="J197" s="51"/>
      <c r="K197" s="51">
        <v>60</v>
      </c>
      <c r="L197" s="51"/>
      <c r="M197" s="51"/>
      <c r="N197" s="51"/>
      <c r="O197" s="51"/>
      <c r="P197" s="51"/>
      <c r="Q197" s="51"/>
      <c r="R197" s="511"/>
      <c r="S197" s="51"/>
      <c r="T197" s="51"/>
      <c r="U197" s="51"/>
      <c r="V197" s="51"/>
      <c r="W197" s="131">
        <f>IF(NFI_Expiration=1,IF($A197&lt;VLOOKUP(I$5,NFI,5,0),1,0)*Data_NFI_t[[#This Row],[Hygiene Kit]],0)</f>
        <v>0</v>
      </c>
      <c r="X197" s="131">
        <f>IF(NFI_Expiration=1,IF($A197&lt;VLOOKUP(J$5,NFI,5,0),1,0)*Data_NFI_t[[#This Row],[NFI Core Kit]],0)</f>
        <v>0</v>
      </c>
      <c r="Y197" s="112">
        <f>IF(NFI_Expiration=1,IF($A197&lt;VLOOKUP(K$5,NFI,5,0),1,0)*Data_NFI_t[[#This Row],[Sanitary Kit]],0)</f>
        <v>0</v>
      </c>
      <c r="Z197" s="112">
        <f>IF(NFI_Expiration=1,IF($A197&lt;VLOOKUP(L$5,NFI,5,0),1,0)*Data_NFI_t[[#This Row],[Mosquito net]],0)</f>
        <v>0</v>
      </c>
      <c r="AA197" s="112">
        <f>IF(NFI_Expiration=1,IF($A197&lt;VLOOKUP(M$5,NFI,5,0),1,0)*Data_NFI_t[[#This Row],[Tarpaulin]],0)</f>
        <v>0</v>
      </c>
      <c r="AB197" s="112">
        <f>IF(NFI_Expiration=1,IF($A197&lt;VLOOKUP(N$5,NFI,5,0),1,0)*Data_NFI_t[[#This Row],[Blanket]],0)</f>
        <v>0</v>
      </c>
      <c r="AC197" s="112">
        <f>IF(NFI_Expiration=1,IF($A197&lt;VLOOKUP(O$5,NFI,5,0),1,0)*Data_NFI_t[[#This Row],[Kitchen Set]],0)</f>
        <v>0</v>
      </c>
      <c r="AD197" s="112">
        <f>IF(NFI_Expiration=1,IF($A197&lt;VLOOKUP(P$5,NFI,5,0),1,0)*Data_NFI_t[[#This Row],[Complementary Kit]],0)</f>
        <v>0</v>
      </c>
      <c r="AE197" s="112">
        <f>IF(NFI_Expiration=1,IF($A197&lt;VLOOKUP(Q$5,NFI,5,0),1,0)*Data_NFI_t[[#This Row],[Plastic Bucket]],0)</f>
        <v>0</v>
      </c>
      <c r="AF197" s="112">
        <f>IF(NFI_Expiration=1,IF($A197&lt;VLOOKUP(R$5,NFI,5,0),1,0)*Data_NFI_t[[#This Row],[Jerry Can]],0)</f>
        <v>0</v>
      </c>
      <c r="AG197" s="131">
        <f>IF(NFI_Expiration=1,IF($A197&lt;VLOOKUP(S$5,NFI,5,0),1,0)*Data_NFI_t[[#This Row],[Plastic Mat]],0)*IF(Data_NFI_t[[#This Row],[Distribution Date]]&gt;"01-06-2015",1,2.5)</f>
        <v>0</v>
      </c>
      <c r="AH197" s="915">
        <f>IF(NFI_Expiration=1,IF($A197&lt;VLOOKUP(T$5,NFI,5,0),1,0)*Data_NFI_t[[#This Row],[Adult Clothes]],0)</f>
        <v>0</v>
      </c>
      <c r="AI197" s="131">
        <f>IF(NFI_Expiration=1,IF($A197&lt;VLOOKUP(U$5,NFI,5,0),1,0)*Data_NFI_t[[#This Row],[Children Clothes]],0)</f>
        <v>0</v>
      </c>
      <c r="AJ197" s="131">
        <f>IF(NFI_Expiration=1,IF($A197&lt;VLOOKUP(V$5,NFI,5,0),1,0)*Data_NFI_t[[#This Row],[Sewing Kit]],0)</f>
        <v>0</v>
      </c>
      <c r="AK197" s="131" t="str">
        <f ca="1">IFERROR(OFFSET(Camp_List[P_Code],MATCH(Data_NFI_t[[#This Row],[Camp Name]],Camp_List[Camp Name],0)-1,0,1,1),"")</f>
        <v>MMR012CMP020</v>
      </c>
      <c r="AL197" s="513" t="str">
        <f ca="1">IFERROR(OFFSET(Camp_List[Status],MATCH(Data_NFI_t[[#This Row],[Camp Name]],Camp_List[Camp Name],0)-1,0,1,1),"")</f>
        <v>Returned</v>
      </c>
      <c r="AM197" s="131"/>
    </row>
    <row r="198" spans="1:39" s="90" customFormat="1" ht="19.5" customHeight="1" x14ac:dyDescent="0.25">
      <c r="A198" s="242">
        <f>IF(ISBLANK(C198),"",(Report_Date-C198)/30)</f>
        <v>44.633333333333333</v>
      </c>
      <c r="B198" s="242">
        <f>YEAR(Data_NFI_t[[#This Row],[Distribution Date]])</f>
        <v>2013</v>
      </c>
      <c r="C198" s="927">
        <v>41456</v>
      </c>
      <c r="D198" s="489" t="s">
        <v>285</v>
      </c>
      <c r="E198" s="488" t="s">
        <v>285</v>
      </c>
      <c r="F198" s="489" t="s">
        <v>7</v>
      </c>
      <c r="G198" s="794" t="s">
        <v>15</v>
      </c>
      <c r="H198" s="794" t="s">
        <v>44</v>
      </c>
      <c r="I198" s="794"/>
      <c r="J198" s="51"/>
      <c r="K198" s="51"/>
      <c r="L198" s="51">
        <v>166</v>
      </c>
      <c r="M198" s="51">
        <v>81</v>
      </c>
      <c r="N198" s="51">
        <v>166</v>
      </c>
      <c r="O198" s="51">
        <v>83</v>
      </c>
      <c r="P198" s="51">
        <v>83</v>
      </c>
      <c r="Q198" s="51">
        <v>83</v>
      </c>
      <c r="R198" s="511"/>
      <c r="S198" s="51">
        <v>166</v>
      </c>
      <c r="T198" s="51"/>
      <c r="U198" s="51"/>
      <c r="V198" s="51"/>
      <c r="W198" s="131">
        <f>IF(NFI_Expiration=1,IF($A198&lt;VLOOKUP(I$5,NFI,5,0),1,0)*Data_NFI_t[[#This Row],[Hygiene Kit]],0)</f>
        <v>0</v>
      </c>
      <c r="X198" s="131">
        <f>IF(NFI_Expiration=1,IF($A198&lt;VLOOKUP(J$5,NFI,5,0),1,0)*Data_NFI_t[[#This Row],[NFI Core Kit]],0)</f>
        <v>0</v>
      </c>
      <c r="Y198" s="112">
        <f>IF(NFI_Expiration=1,IF($A198&lt;VLOOKUP(K$5,NFI,5,0),1,0)*Data_NFI_t[[#This Row],[Sanitary Kit]],0)</f>
        <v>0</v>
      </c>
      <c r="Z198" s="112">
        <f>IF(NFI_Expiration=1,IF($A198&lt;VLOOKUP(L$5,NFI,5,0),1,0)*Data_NFI_t[[#This Row],[Mosquito net]],0)</f>
        <v>0</v>
      </c>
      <c r="AA198" s="112">
        <f>IF(NFI_Expiration=1,IF($A198&lt;VLOOKUP(M$5,NFI,5,0),1,0)*Data_NFI_t[[#This Row],[Tarpaulin]],0)</f>
        <v>0</v>
      </c>
      <c r="AB198" s="112">
        <f>IF(NFI_Expiration=1,IF($A198&lt;VLOOKUP(N$5,NFI,5,0),1,0)*Data_NFI_t[[#This Row],[Blanket]],0)</f>
        <v>0</v>
      </c>
      <c r="AC198" s="112">
        <f>IF(NFI_Expiration=1,IF($A198&lt;VLOOKUP(O$5,NFI,5,0),1,0)*Data_NFI_t[[#This Row],[Kitchen Set]],0)</f>
        <v>0</v>
      </c>
      <c r="AD198" s="112">
        <f>IF(NFI_Expiration=1,IF($A198&lt;VLOOKUP(P$5,NFI,5,0),1,0)*Data_NFI_t[[#This Row],[Complementary Kit]],0)</f>
        <v>0</v>
      </c>
      <c r="AE198" s="112">
        <f>IF(NFI_Expiration=1,IF($A198&lt;VLOOKUP(Q$5,NFI,5,0),1,0)*Data_NFI_t[[#This Row],[Plastic Bucket]],0)</f>
        <v>0</v>
      </c>
      <c r="AF198" s="112">
        <f>IF(NFI_Expiration=1,IF($A198&lt;VLOOKUP(R$5,NFI,5,0),1,0)*Data_NFI_t[[#This Row],[Jerry Can]],0)</f>
        <v>0</v>
      </c>
      <c r="AG198" s="131">
        <f>IF(NFI_Expiration=1,IF($A198&lt;VLOOKUP(S$5,NFI,5,0),1,0)*Data_NFI_t[[#This Row],[Plastic Mat]],0)*IF(Data_NFI_t[[#This Row],[Distribution Date]]&gt;"01-06-2015",1,2.5)</f>
        <v>0</v>
      </c>
      <c r="AH198" s="915">
        <f>IF(NFI_Expiration=1,IF($A198&lt;VLOOKUP(T$5,NFI,5,0),1,0)*Data_NFI_t[[#This Row],[Adult Clothes]],0)</f>
        <v>0</v>
      </c>
      <c r="AI198" s="131">
        <f>IF(NFI_Expiration=1,IF($A198&lt;VLOOKUP(U$5,NFI,5,0),1,0)*Data_NFI_t[[#This Row],[Children Clothes]],0)</f>
        <v>0</v>
      </c>
      <c r="AJ198" s="131">
        <f>IF(NFI_Expiration=1,IF($A198&lt;VLOOKUP(V$5,NFI,5,0),1,0)*Data_NFI_t[[#This Row],[Sewing Kit]],0)</f>
        <v>0</v>
      </c>
      <c r="AK198" s="131" t="str">
        <f ca="1">IFERROR(OFFSET(Camp_List[P_Code],MATCH(Data_NFI_t[[#This Row],[Camp Name]],Camp_List[Camp Name],0)-1,0,1,1),"")</f>
        <v>MMR012CMP020</v>
      </c>
      <c r="AL198" s="513" t="str">
        <f ca="1">IFERROR(OFFSET(Camp_List[Status],MATCH(Data_NFI_t[[#This Row],[Camp Name]],Camp_List[Camp Name],0)-1,0,1,1),"")</f>
        <v>Returned</v>
      </c>
      <c r="AM198" s="131"/>
    </row>
    <row r="199" spans="1:39" s="90" customFormat="1" ht="19.5" customHeight="1" x14ac:dyDescent="0.25">
      <c r="A199" s="242">
        <f>IF(ISBLANK(C199),"",(Report_Date-C199)/30)</f>
        <v>44.633333333333333</v>
      </c>
      <c r="B199" s="242">
        <f>YEAR(Data_NFI_t[[#This Row],[Distribution Date]])</f>
        <v>2013</v>
      </c>
      <c r="C199" s="927">
        <v>41456</v>
      </c>
      <c r="D199" s="489" t="s">
        <v>285</v>
      </c>
      <c r="E199" s="488" t="s">
        <v>285</v>
      </c>
      <c r="F199" s="489" t="s">
        <v>7</v>
      </c>
      <c r="G199" s="794" t="s">
        <v>15</v>
      </c>
      <c r="H199" s="794" t="s">
        <v>47</v>
      </c>
      <c r="I199" s="794"/>
      <c r="J199" s="51"/>
      <c r="K199" s="51"/>
      <c r="L199" s="51">
        <v>326</v>
      </c>
      <c r="M199" s="51">
        <v>326</v>
      </c>
      <c r="N199" s="51">
        <v>326</v>
      </c>
      <c r="O199" s="51">
        <v>163</v>
      </c>
      <c r="P199" s="51">
        <v>163</v>
      </c>
      <c r="Q199" s="51">
        <v>163</v>
      </c>
      <c r="R199" s="511"/>
      <c r="S199" s="51">
        <v>326</v>
      </c>
      <c r="T199" s="51"/>
      <c r="U199" s="51"/>
      <c r="V199" s="51"/>
      <c r="W199" s="131">
        <f>IF(NFI_Expiration=1,IF($A199&lt;VLOOKUP(I$5,NFI,5,0),1,0)*Data_NFI_t[[#This Row],[Hygiene Kit]],0)</f>
        <v>0</v>
      </c>
      <c r="X199" s="131">
        <f>IF(NFI_Expiration=1,IF($A199&lt;VLOOKUP(J$5,NFI,5,0),1,0)*Data_NFI_t[[#This Row],[NFI Core Kit]],0)</f>
        <v>0</v>
      </c>
      <c r="Y199" s="112">
        <f>IF(NFI_Expiration=1,IF($A199&lt;VLOOKUP(K$5,NFI,5,0),1,0)*Data_NFI_t[[#This Row],[Sanitary Kit]],0)</f>
        <v>0</v>
      </c>
      <c r="Z199" s="112">
        <f>IF(NFI_Expiration=1,IF($A199&lt;VLOOKUP(L$5,NFI,5,0),1,0)*Data_NFI_t[[#This Row],[Mosquito net]],0)</f>
        <v>0</v>
      </c>
      <c r="AA199" s="112">
        <f>IF(NFI_Expiration=1,IF($A199&lt;VLOOKUP(M$5,NFI,5,0),1,0)*Data_NFI_t[[#This Row],[Tarpaulin]],0)</f>
        <v>0</v>
      </c>
      <c r="AB199" s="112">
        <f>IF(NFI_Expiration=1,IF($A199&lt;VLOOKUP(N$5,NFI,5,0),1,0)*Data_NFI_t[[#This Row],[Blanket]],0)</f>
        <v>0</v>
      </c>
      <c r="AC199" s="112">
        <f>IF(NFI_Expiration=1,IF($A199&lt;VLOOKUP(O$5,NFI,5,0),1,0)*Data_NFI_t[[#This Row],[Kitchen Set]],0)</f>
        <v>0</v>
      </c>
      <c r="AD199" s="112">
        <f>IF(NFI_Expiration=1,IF($A199&lt;VLOOKUP(P$5,NFI,5,0),1,0)*Data_NFI_t[[#This Row],[Complementary Kit]],0)</f>
        <v>0</v>
      </c>
      <c r="AE199" s="112">
        <f>IF(NFI_Expiration=1,IF($A199&lt;VLOOKUP(Q$5,NFI,5,0),1,0)*Data_NFI_t[[#This Row],[Plastic Bucket]],0)</f>
        <v>0</v>
      </c>
      <c r="AF199" s="112">
        <f>IF(NFI_Expiration=1,IF($A199&lt;VLOOKUP(R$5,NFI,5,0),1,0)*Data_NFI_t[[#This Row],[Jerry Can]],0)</f>
        <v>0</v>
      </c>
      <c r="AG199" s="131">
        <f>IF(NFI_Expiration=1,IF($A199&lt;VLOOKUP(S$5,NFI,5,0),1,0)*Data_NFI_t[[#This Row],[Plastic Mat]],0)*IF(Data_NFI_t[[#This Row],[Distribution Date]]&gt;"01-06-2015",1,2.5)</f>
        <v>0</v>
      </c>
      <c r="AH199" s="915">
        <f>IF(NFI_Expiration=1,IF($A199&lt;VLOOKUP(T$5,NFI,5,0),1,0)*Data_NFI_t[[#This Row],[Adult Clothes]],0)</f>
        <v>0</v>
      </c>
      <c r="AI199" s="131">
        <f>IF(NFI_Expiration=1,IF($A199&lt;VLOOKUP(U$5,NFI,5,0),1,0)*Data_NFI_t[[#This Row],[Children Clothes]],0)</f>
        <v>0</v>
      </c>
      <c r="AJ199" s="131">
        <f>IF(NFI_Expiration=1,IF($A199&lt;VLOOKUP(V$5,NFI,5,0),1,0)*Data_NFI_t[[#This Row],[Sewing Kit]],0)</f>
        <v>0</v>
      </c>
      <c r="AK199" s="131" t="str">
        <f ca="1">IFERROR(OFFSET(Camp_List[P_Code],MATCH(Data_NFI_t[[#This Row],[Camp Name]],Camp_List[Camp Name],0)-1,0,1,1),"")</f>
        <v>MMR012CMP023</v>
      </c>
      <c r="AL199" s="513" t="str">
        <f ca="1">IFERROR(OFFSET(Camp_List[Status],MATCH(Data_NFI_t[[#This Row],[Camp Name]],Camp_List[Camp Name],0)-1,0,1,1),"")</f>
        <v>Open</v>
      </c>
      <c r="AM199" s="131"/>
    </row>
    <row r="200" spans="1:39" s="90" customFormat="1" ht="19.5" customHeight="1" x14ac:dyDescent="0.25">
      <c r="A200" s="242">
        <f>IF(ISBLANK(C200),"",(Report_Date-C200)/30)</f>
        <v>44.633333333333333</v>
      </c>
      <c r="B200" s="242">
        <f>YEAR(Data_NFI_t[[#This Row],[Distribution Date]])</f>
        <v>2013</v>
      </c>
      <c r="C200" s="927">
        <v>41456</v>
      </c>
      <c r="D200" s="489" t="s">
        <v>285</v>
      </c>
      <c r="E200" s="488" t="s">
        <v>285</v>
      </c>
      <c r="F200" s="489" t="s">
        <v>7</v>
      </c>
      <c r="G200" s="794" t="s">
        <v>15</v>
      </c>
      <c r="H200" s="794" t="s">
        <v>53</v>
      </c>
      <c r="I200" s="794"/>
      <c r="J200" s="51"/>
      <c r="K200" s="51"/>
      <c r="L200" s="51">
        <v>290</v>
      </c>
      <c r="M200" s="51"/>
      <c r="N200" s="51">
        <v>290</v>
      </c>
      <c r="O200" s="51">
        <v>145</v>
      </c>
      <c r="P200" s="51">
        <v>145</v>
      </c>
      <c r="Q200" s="51">
        <v>145</v>
      </c>
      <c r="R200" s="511"/>
      <c r="S200" s="51">
        <v>290</v>
      </c>
      <c r="T200" s="51"/>
      <c r="U200" s="51"/>
      <c r="V200" s="51"/>
      <c r="W200" s="131">
        <f>IF(NFI_Expiration=1,IF($A200&lt;VLOOKUP(I$5,NFI,5,0),1,0)*Data_NFI_t[[#This Row],[Hygiene Kit]],0)</f>
        <v>0</v>
      </c>
      <c r="X200" s="131">
        <f>IF(NFI_Expiration=1,IF($A200&lt;VLOOKUP(J$5,NFI,5,0),1,0)*Data_NFI_t[[#This Row],[NFI Core Kit]],0)</f>
        <v>0</v>
      </c>
      <c r="Y200" s="112">
        <f>IF(NFI_Expiration=1,IF($A200&lt;VLOOKUP(K$5,NFI,5,0),1,0)*Data_NFI_t[[#This Row],[Sanitary Kit]],0)</f>
        <v>0</v>
      </c>
      <c r="Z200" s="112">
        <f>IF(NFI_Expiration=1,IF($A200&lt;VLOOKUP(L$5,NFI,5,0),1,0)*Data_NFI_t[[#This Row],[Mosquito net]],0)</f>
        <v>0</v>
      </c>
      <c r="AA200" s="112">
        <f>IF(NFI_Expiration=1,IF($A200&lt;VLOOKUP(M$5,NFI,5,0),1,0)*Data_NFI_t[[#This Row],[Tarpaulin]],0)</f>
        <v>0</v>
      </c>
      <c r="AB200" s="112">
        <f>IF(NFI_Expiration=1,IF($A200&lt;VLOOKUP(N$5,NFI,5,0),1,0)*Data_NFI_t[[#This Row],[Blanket]],0)</f>
        <v>0</v>
      </c>
      <c r="AC200" s="112">
        <f>IF(NFI_Expiration=1,IF($A200&lt;VLOOKUP(O$5,NFI,5,0),1,0)*Data_NFI_t[[#This Row],[Kitchen Set]],0)</f>
        <v>0</v>
      </c>
      <c r="AD200" s="112">
        <f>IF(NFI_Expiration=1,IF($A200&lt;VLOOKUP(P$5,NFI,5,0),1,0)*Data_NFI_t[[#This Row],[Complementary Kit]],0)</f>
        <v>0</v>
      </c>
      <c r="AE200" s="112">
        <f>IF(NFI_Expiration=1,IF($A200&lt;VLOOKUP(Q$5,NFI,5,0),1,0)*Data_NFI_t[[#This Row],[Plastic Bucket]],0)</f>
        <v>0</v>
      </c>
      <c r="AF200" s="112">
        <f>IF(NFI_Expiration=1,IF($A200&lt;VLOOKUP(R$5,NFI,5,0),1,0)*Data_NFI_t[[#This Row],[Jerry Can]],0)</f>
        <v>0</v>
      </c>
      <c r="AG200" s="131">
        <f>IF(NFI_Expiration=1,IF($A200&lt;VLOOKUP(S$5,NFI,5,0),1,0)*Data_NFI_t[[#This Row],[Plastic Mat]],0)*IF(Data_NFI_t[[#This Row],[Distribution Date]]&gt;"01-06-2015",1,2.5)</f>
        <v>0</v>
      </c>
      <c r="AH200" s="915">
        <f>IF(NFI_Expiration=1,IF($A200&lt;VLOOKUP(T$5,NFI,5,0),1,0)*Data_NFI_t[[#This Row],[Adult Clothes]],0)</f>
        <v>0</v>
      </c>
      <c r="AI200" s="131">
        <f>IF(NFI_Expiration=1,IF($A200&lt;VLOOKUP(U$5,NFI,5,0),1,0)*Data_NFI_t[[#This Row],[Children Clothes]],0)</f>
        <v>0</v>
      </c>
      <c r="AJ200" s="131">
        <f>IF(NFI_Expiration=1,IF($A200&lt;VLOOKUP(V$5,NFI,5,0),1,0)*Data_NFI_t[[#This Row],[Sewing Kit]],0)</f>
        <v>0</v>
      </c>
      <c r="AK200" s="131" t="str">
        <f ca="1">IFERROR(OFFSET(Camp_List[P_Code],MATCH(Data_NFI_t[[#This Row],[Camp Name]],Camp_List[Camp Name],0)-1,0,1,1),"")</f>
        <v>MMR012CMP029</v>
      </c>
      <c r="AL200" s="513" t="str">
        <f ca="1">IFERROR(OFFSET(Camp_List[Status],MATCH(Data_NFI_t[[#This Row],[Camp Name]],Camp_List[Camp Name],0)-1,0,1,1),"")</f>
        <v>Returned</v>
      </c>
      <c r="AM200" s="131"/>
    </row>
    <row r="201" spans="1:39" s="90" customFormat="1" ht="19.5" customHeight="1" x14ac:dyDescent="0.25">
      <c r="A201" s="242">
        <f>IF(ISBLANK(C201),"",(Report_Date-C201)/30)</f>
        <v>44.633333333333333</v>
      </c>
      <c r="B201" s="242">
        <f>YEAR(Data_NFI_t[[#This Row],[Distribution Date]])</f>
        <v>2013</v>
      </c>
      <c r="C201" s="927">
        <v>41456</v>
      </c>
      <c r="D201" s="489" t="s">
        <v>285</v>
      </c>
      <c r="E201" s="488" t="s">
        <v>285</v>
      </c>
      <c r="F201" s="489" t="s">
        <v>7</v>
      </c>
      <c r="G201" s="794" t="s">
        <v>15</v>
      </c>
      <c r="H201" s="794" t="s">
        <v>45</v>
      </c>
      <c r="I201" s="794"/>
      <c r="J201" s="51"/>
      <c r="K201" s="51"/>
      <c r="L201" s="51">
        <v>190</v>
      </c>
      <c r="M201" s="51"/>
      <c r="N201" s="51">
        <v>190</v>
      </c>
      <c r="O201" s="51">
        <v>95</v>
      </c>
      <c r="P201" s="51">
        <v>95</v>
      </c>
      <c r="Q201" s="51">
        <v>95</v>
      </c>
      <c r="R201" s="511"/>
      <c r="S201" s="51">
        <v>190</v>
      </c>
      <c r="T201" s="51"/>
      <c r="U201" s="51"/>
      <c r="V201" s="51"/>
      <c r="W201" s="131">
        <f>IF(NFI_Expiration=1,IF($A201&lt;VLOOKUP(I$5,NFI,5,0),1,0)*Data_NFI_t[[#This Row],[Hygiene Kit]],0)</f>
        <v>0</v>
      </c>
      <c r="X201" s="131">
        <f>IF(NFI_Expiration=1,IF($A201&lt;VLOOKUP(J$5,NFI,5,0),1,0)*Data_NFI_t[[#This Row],[NFI Core Kit]],0)</f>
        <v>0</v>
      </c>
      <c r="Y201" s="112">
        <f>IF(NFI_Expiration=1,IF($A201&lt;VLOOKUP(K$5,NFI,5,0),1,0)*Data_NFI_t[[#This Row],[Sanitary Kit]],0)</f>
        <v>0</v>
      </c>
      <c r="Z201" s="112">
        <f>IF(NFI_Expiration=1,IF($A201&lt;VLOOKUP(L$5,NFI,5,0),1,0)*Data_NFI_t[[#This Row],[Mosquito net]],0)</f>
        <v>0</v>
      </c>
      <c r="AA201" s="112">
        <f>IF(NFI_Expiration=1,IF($A201&lt;VLOOKUP(M$5,NFI,5,0),1,0)*Data_NFI_t[[#This Row],[Tarpaulin]],0)</f>
        <v>0</v>
      </c>
      <c r="AB201" s="112">
        <f>IF(NFI_Expiration=1,IF($A201&lt;VLOOKUP(N$5,NFI,5,0),1,0)*Data_NFI_t[[#This Row],[Blanket]],0)</f>
        <v>0</v>
      </c>
      <c r="AC201" s="112">
        <f>IF(NFI_Expiration=1,IF($A201&lt;VLOOKUP(O$5,NFI,5,0),1,0)*Data_NFI_t[[#This Row],[Kitchen Set]],0)</f>
        <v>0</v>
      </c>
      <c r="AD201" s="112">
        <f>IF(NFI_Expiration=1,IF($A201&lt;VLOOKUP(P$5,NFI,5,0),1,0)*Data_NFI_t[[#This Row],[Complementary Kit]],0)</f>
        <v>0</v>
      </c>
      <c r="AE201" s="112">
        <f>IF(NFI_Expiration=1,IF($A201&lt;VLOOKUP(Q$5,NFI,5,0),1,0)*Data_NFI_t[[#This Row],[Plastic Bucket]],0)</f>
        <v>0</v>
      </c>
      <c r="AF201" s="112">
        <f>IF(NFI_Expiration=1,IF($A201&lt;VLOOKUP(R$5,NFI,5,0),1,0)*Data_NFI_t[[#This Row],[Jerry Can]],0)</f>
        <v>0</v>
      </c>
      <c r="AG201" s="131">
        <f>IF(NFI_Expiration=1,IF($A201&lt;VLOOKUP(S$5,NFI,5,0),1,0)*Data_NFI_t[[#This Row],[Plastic Mat]],0)*IF(Data_NFI_t[[#This Row],[Distribution Date]]&gt;"01-06-2015",1,2.5)</f>
        <v>0</v>
      </c>
      <c r="AH201" s="915">
        <f>IF(NFI_Expiration=1,IF($A201&lt;VLOOKUP(T$5,NFI,5,0),1,0)*Data_NFI_t[[#This Row],[Adult Clothes]],0)</f>
        <v>0</v>
      </c>
      <c r="AI201" s="131">
        <f>IF(NFI_Expiration=1,IF($A201&lt;VLOOKUP(U$5,NFI,5,0),1,0)*Data_NFI_t[[#This Row],[Children Clothes]],0)</f>
        <v>0</v>
      </c>
      <c r="AJ201" s="131">
        <f>IF(NFI_Expiration=1,IF($A201&lt;VLOOKUP(V$5,NFI,5,0),1,0)*Data_NFI_t[[#This Row],[Sewing Kit]],0)</f>
        <v>0</v>
      </c>
      <c r="AK201" s="131" t="str">
        <f ca="1">IFERROR(OFFSET(Camp_List[P_Code],MATCH(Data_NFI_t[[#This Row],[Camp Name]],Camp_List[Camp Name],0)-1,0,1,1),"")</f>
        <v>MMR012CMP021</v>
      </c>
      <c r="AL201" s="513" t="str">
        <f ca="1">IFERROR(OFFSET(Camp_List[Status],MATCH(Data_NFI_t[[#This Row],[Camp Name]],Camp_List[Camp Name],0)-1,0,1,1),"")</f>
        <v>Returned</v>
      </c>
      <c r="AM201" s="131"/>
    </row>
    <row r="202" spans="1:39" s="90" customFormat="1" ht="19.5" customHeight="1" x14ac:dyDescent="0.25">
      <c r="A202" s="242">
        <f>IF(ISBLANK(C202),"",(Report_Date-C202)/30)</f>
        <v>44.633333333333333</v>
      </c>
      <c r="B202" s="242">
        <f>YEAR(Data_NFI_t[[#This Row],[Distribution Date]])</f>
        <v>2013</v>
      </c>
      <c r="C202" s="927">
        <v>41456</v>
      </c>
      <c r="D202" s="489" t="s">
        <v>285</v>
      </c>
      <c r="E202" s="488" t="s">
        <v>285</v>
      </c>
      <c r="F202" s="489" t="s">
        <v>7</v>
      </c>
      <c r="G202" s="794" t="s">
        <v>15</v>
      </c>
      <c r="H202" s="794" t="s">
        <v>52</v>
      </c>
      <c r="I202" s="794"/>
      <c r="J202" s="51"/>
      <c r="K202" s="51"/>
      <c r="L202" s="51">
        <v>216</v>
      </c>
      <c r="M202" s="51"/>
      <c r="N202" s="51">
        <v>216</v>
      </c>
      <c r="O202" s="51">
        <v>108</v>
      </c>
      <c r="P202" s="51">
        <v>108</v>
      </c>
      <c r="Q202" s="51">
        <v>108</v>
      </c>
      <c r="R202" s="511"/>
      <c r="S202" s="51">
        <v>216</v>
      </c>
      <c r="T202" s="51"/>
      <c r="U202" s="51"/>
      <c r="V202" s="51"/>
      <c r="W202" s="131">
        <f>IF(NFI_Expiration=1,IF($A202&lt;VLOOKUP(I$5,NFI,5,0),1,0)*Data_NFI_t[[#This Row],[Hygiene Kit]],0)</f>
        <v>0</v>
      </c>
      <c r="X202" s="131">
        <f>IF(NFI_Expiration=1,IF($A202&lt;VLOOKUP(J$5,NFI,5,0),1,0)*Data_NFI_t[[#This Row],[NFI Core Kit]],0)</f>
        <v>0</v>
      </c>
      <c r="Y202" s="112">
        <f>IF(NFI_Expiration=1,IF($A202&lt;VLOOKUP(K$5,NFI,5,0),1,0)*Data_NFI_t[[#This Row],[Sanitary Kit]],0)</f>
        <v>0</v>
      </c>
      <c r="Z202" s="112">
        <f>IF(NFI_Expiration=1,IF($A202&lt;VLOOKUP(L$5,NFI,5,0),1,0)*Data_NFI_t[[#This Row],[Mosquito net]],0)</f>
        <v>0</v>
      </c>
      <c r="AA202" s="112">
        <f>IF(NFI_Expiration=1,IF($A202&lt;VLOOKUP(M$5,NFI,5,0),1,0)*Data_NFI_t[[#This Row],[Tarpaulin]],0)</f>
        <v>0</v>
      </c>
      <c r="AB202" s="112">
        <f>IF(NFI_Expiration=1,IF($A202&lt;VLOOKUP(N$5,NFI,5,0),1,0)*Data_NFI_t[[#This Row],[Blanket]],0)</f>
        <v>0</v>
      </c>
      <c r="AC202" s="112">
        <f>IF(NFI_Expiration=1,IF($A202&lt;VLOOKUP(O$5,NFI,5,0),1,0)*Data_NFI_t[[#This Row],[Kitchen Set]],0)</f>
        <v>0</v>
      </c>
      <c r="AD202" s="112">
        <f>IF(NFI_Expiration=1,IF($A202&lt;VLOOKUP(P$5,NFI,5,0),1,0)*Data_NFI_t[[#This Row],[Complementary Kit]],0)</f>
        <v>0</v>
      </c>
      <c r="AE202" s="112">
        <f>IF(NFI_Expiration=1,IF($A202&lt;VLOOKUP(Q$5,NFI,5,0),1,0)*Data_NFI_t[[#This Row],[Plastic Bucket]],0)</f>
        <v>0</v>
      </c>
      <c r="AF202" s="112">
        <f>IF(NFI_Expiration=1,IF($A202&lt;VLOOKUP(R$5,NFI,5,0),1,0)*Data_NFI_t[[#This Row],[Jerry Can]],0)</f>
        <v>0</v>
      </c>
      <c r="AG202" s="131">
        <f>IF(NFI_Expiration=1,IF($A202&lt;VLOOKUP(S$5,NFI,5,0),1,0)*Data_NFI_t[[#This Row],[Plastic Mat]],0)*IF(Data_NFI_t[[#This Row],[Distribution Date]]&gt;"01-06-2015",1,2.5)</f>
        <v>0</v>
      </c>
      <c r="AH202" s="915">
        <f>IF(NFI_Expiration=1,IF($A202&lt;VLOOKUP(T$5,NFI,5,0),1,0)*Data_NFI_t[[#This Row],[Adult Clothes]],0)</f>
        <v>0</v>
      </c>
      <c r="AI202" s="131">
        <f>IF(NFI_Expiration=1,IF($A202&lt;VLOOKUP(U$5,NFI,5,0),1,0)*Data_NFI_t[[#This Row],[Children Clothes]],0)</f>
        <v>0</v>
      </c>
      <c r="AJ202" s="131">
        <f>IF(NFI_Expiration=1,IF($A202&lt;VLOOKUP(V$5,NFI,5,0),1,0)*Data_NFI_t[[#This Row],[Sewing Kit]],0)</f>
        <v>0</v>
      </c>
      <c r="AK202" s="131" t="str">
        <f ca="1">IFERROR(OFFSET(Camp_List[P_Code],MATCH(Data_NFI_t[[#This Row],[Camp Name]],Camp_List[Camp Name],0)-1,0,1,1),"")</f>
        <v>MMR012CMP028</v>
      </c>
      <c r="AL202" s="513" t="str">
        <f ca="1">IFERROR(OFFSET(Camp_List[Status],MATCH(Data_NFI_t[[#This Row],[Camp Name]],Camp_List[Camp Name],0)-1,0,1,1),"")</f>
        <v>Returned</v>
      </c>
      <c r="AM202" s="131"/>
    </row>
    <row r="203" spans="1:39" s="90" customFormat="1" ht="19.5" customHeight="1" x14ac:dyDescent="0.25">
      <c r="A203" s="242">
        <f>IF(ISBLANK(C203),"",(Report_Date-C203)/30)</f>
        <v>44.633333333333333</v>
      </c>
      <c r="B203" s="242">
        <f>YEAR(Data_NFI_t[[#This Row],[Distribution Date]])</f>
        <v>2013</v>
      </c>
      <c r="C203" s="927">
        <v>41456</v>
      </c>
      <c r="D203" s="489" t="s">
        <v>285</v>
      </c>
      <c r="E203" s="488" t="s">
        <v>285</v>
      </c>
      <c r="F203" s="489" t="s">
        <v>7</v>
      </c>
      <c r="G203" s="794" t="s">
        <v>15</v>
      </c>
      <c r="H203" s="794" t="s">
        <v>52</v>
      </c>
      <c r="I203" s="794"/>
      <c r="J203" s="51"/>
      <c r="K203" s="51"/>
      <c r="L203" s="51"/>
      <c r="M203" s="51"/>
      <c r="N203" s="51"/>
      <c r="O203" s="51"/>
      <c r="P203" s="51"/>
      <c r="Q203" s="51"/>
      <c r="R203" s="511"/>
      <c r="S203" s="51"/>
      <c r="T203" s="51"/>
      <c r="U203" s="51"/>
      <c r="V203" s="51"/>
      <c r="W203" s="131">
        <f>IF(NFI_Expiration=1,IF($A203&lt;VLOOKUP(I$5,NFI,5,0),1,0)*Data_NFI_t[[#This Row],[Hygiene Kit]],0)</f>
        <v>0</v>
      </c>
      <c r="X203" s="131">
        <f>IF(NFI_Expiration=1,IF($A203&lt;VLOOKUP(J$5,NFI,5,0),1,0)*Data_NFI_t[[#This Row],[NFI Core Kit]],0)</f>
        <v>0</v>
      </c>
      <c r="Y203" s="112">
        <f>IF(NFI_Expiration=1,IF($A203&lt;VLOOKUP(K$5,NFI,5,0),1,0)*Data_NFI_t[[#This Row],[Sanitary Kit]],0)</f>
        <v>0</v>
      </c>
      <c r="Z203" s="112">
        <f>IF(NFI_Expiration=1,IF($A203&lt;VLOOKUP(L$5,NFI,5,0),1,0)*Data_NFI_t[[#This Row],[Mosquito net]],0)</f>
        <v>0</v>
      </c>
      <c r="AA203" s="112">
        <f>IF(NFI_Expiration=1,IF($A203&lt;VLOOKUP(M$5,NFI,5,0),1,0)*Data_NFI_t[[#This Row],[Tarpaulin]],0)</f>
        <v>0</v>
      </c>
      <c r="AB203" s="112">
        <f>IF(NFI_Expiration=1,IF($A203&lt;VLOOKUP(N$5,NFI,5,0),1,0)*Data_NFI_t[[#This Row],[Blanket]],0)</f>
        <v>0</v>
      </c>
      <c r="AC203" s="112">
        <f>IF(NFI_Expiration=1,IF($A203&lt;VLOOKUP(O$5,NFI,5,0),1,0)*Data_NFI_t[[#This Row],[Kitchen Set]],0)</f>
        <v>0</v>
      </c>
      <c r="AD203" s="112">
        <f>IF(NFI_Expiration=1,IF($A203&lt;VLOOKUP(P$5,NFI,5,0),1,0)*Data_NFI_t[[#This Row],[Complementary Kit]],0)</f>
        <v>0</v>
      </c>
      <c r="AE203" s="112">
        <f>IF(NFI_Expiration=1,IF($A203&lt;VLOOKUP(Q$5,NFI,5,0),1,0)*Data_NFI_t[[#This Row],[Plastic Bucket]],0)</f>
        <v>0</v>
      </c>
      <c r="AF203" s="112">
        <f>IF(NFI_Expiration=1,IF($A203&lt;VLOOKUP(R$5,NFI,5,0),1,0)*Data_NFI_t[[#This Row],[Jerry Can]],0)</f>
        <v>0</v>
      </c>
      <c r="AG203" s="131">
        <f>IF(NFI_Expiration=1,IF($A203&lt;VLOOKUP(S$5,NFI,5,0),1,0)*Data_NFI_t[[#This Row],[Plastic Mat]],0)*IF(Data_NFI_t[[#This Row],[Distribution Date]]&gt;"01-06-2015",1,2.5)</f>
        <v>0</v>
      </c>
      <c r="AH203" s="915">
        <f>IF(NFI_Expiration=1,IF($A203&lt;VLOOKUP(T$5,NFI,5,0),1,0)*Data_NFI_t[[#This Row],[Adult Clothes]],0)</f>
        <v>0</v>
      </c>
      <c r="AI203" s="131">
        <f>IF(NFI_Expiration=1,IF($A203&lt;VLOOKUP(U$5,NFI,5,0),1,0)*Data_NFI_t[[#This Row],[Children Clothes]],0)</f>
        <v>0</v>
      </c>
      <c r="AJ203" s="131">
        <f>IF(NFI_Expiration=1,IF($A203&lt;VLOOKUP(V$5,NFI,5,0),1,0)*Data_NFI_t[[#This Row],[Sewing Kit]],0)</f>
        <v>0</v>
      </c>
      <c r="AK203" s="131" t="str">
        <f ca="1">IFERROR(OFFSET(Camp_List[P_Code],MATCH(Data_NFI_t[[#This Row],[Camp Name]],Camp_List[Camp Name],0)-1,0,1,1),"")</f>
        <v>MMR012CMP028</v>
      </c>
      <c r="AL203" s="513" t="str">
        <f ca="1">IFERROR(OFFSET(Camp_List[Status],MATCH(Data_NFI_t[[#This Row],[Camp Name]],Camp_List[Camp Name],0)-1,0,1,1),"")</f>
        <v>Returned</v>
      </c>
      <c r="AM203" s="131"/>
    </row>
    <row r="204" spans="1:39" s="90" customFormat="1" ht="19.5" customHeight="1" x14ac:dyDescent="0.25">
      <c r="A204" s="242">
        <f>IF(ISBLANK(C204),"",(Report_Date-C204)/30)</f>
        <v>44.8</v>
      </c>
      <c r="B204" s="242">
        <f>YEAR(Data_NFI_t[[#This Row],[Distribution Date]])</f>
        <v>2013</v>
      </c>
      <c r="C204" s="927">
        <v>41451</v>
      </c>
      <c r="D204" s="489" t="s">
        <v>286</v>
      </c>
      <c r="E204" s="488" t="s">
        <v>286</v>
      </c>
      <c r="F204" s="489" t="s">
        <v>7</v>
      </c>
      <c r="G204" s="794" t="s">
        <v>19</v>
      </c>
      <c r="H204" s="794" t="s">
        <v>65</v>
      </c>
      <c r="I204" s="794"/>
      <c r="J204" s="51"/>
      <c r="K204" s="51"/>
      <c r="L204" s="51">
        <v>273</v>
      </c>
      <c r="M204" s="51">
        <v>273</v>
      </c>
      <c r="N204" s="51">
        <v>273</v>
      </c>
      <c r="O204" s="51"/>
      <c r="P204" s="51"/>
      <c r="Q204" s="51">
        <v>273</v>
      </c>
      <c r="R204" s="511"/>
      <c r="S204" s="51">
        <v>273</v>
      </c>
      <c r="T204" s="51"/>
      <c r="U204" s="51"/>
      <c r="V204" s="51"/>
      <c r="W204" s="131">
        <f>IF(NFI_Expiration=1,IF($A204&lt;VLOOKUP(I$5,NFI,5,0),1,0)*Data_NFI_t[[#This Row],[Hygiene Kit]],0)</f>
        <v>0</v>
      </c>
      <c r="X204" s="131">
        <f>IF(NFI_Expiration=1,IF($A204&lt;VLOOKUP(J$5,NFI,5,0),1,0)*Data_NFI_t[[#This Row],[NFI Core Kit]],0)</f>
        <v>0</v>
      </c>
      <c r="Y204" s="112">
        <f>IF(NFI_Expiration=1,IF($A204&lt;VLOOKUP(K$5,NFI,5,0),1,0)*Data_NFI_t[[#This Row],[Sanitary Kit]],0)</f>
        <v>0</v>
      </c>
      <c r="Z204" s="112">
        <f>IF(NFI_Expiration=1,IF($A204&lt;VLOOKUP(L$5,NFI,5,0),1,0)*Data_NFI_t[[#This Row],[Mosquito net]],0)</f>
        <v>0</v>
      </c>
      <c r="AA204" s="112">
        <f>IF(NFI_Expiration=1,IF($A204&lt;VLOOKUP(M$5,NFI,5,0),1,0)*Data_NFI_t[[#This Row],[Tarpaulin]],0)</f>
        <v>0</v>
      </c>
      <c r="AB204" s="112">
        <f>IF(NFI_Expiration=1,IF($A204&lt;VLOOKUP(N$5,NFI,5,0),1,0)*Data_NFI_t[[#This Row],[Blanket]],0)</f>
        <v>0</v>
      </c>
      <c r="AC204" s="112">
        <f>IF(NFI_Expiration=1,IF($A204&lt;VLOOKUP(O$5,NFI,5,0),1,0)*Data_NFI_t[[#This Row],[Kitchen Set]],0)</f>
        <v>0</v>
      </c>
      <c r="AD204" s="112">
        <f>IF(NFI_Expiration=1,IF($A204&lt;VLOOKUP(P$5,NFI,5,0),1,0)*Data_NFI_t[[#This Row],[Complementary Kit]],0)</f>
        <v>0</v>
      </c>
      <c r="AE204" s="112">
        <f>IF(NFI_Expiration=1,IF($A204&lt;VLOOKUP(Q$5,NFI,5,0),1,0)*Data_NFI_t[[#This Row],[Plastic Bucket]],0)</f>
        <v>0</v>
      </c>
      <c r="AF204" s="112">
        <f>IF(NFI_Expiration=1,IF($A204&lt;VLOOKUP(R$5,NFI,5,0),1,0)*Data_NFI_t[[#This Row],[Jerry Can]],0)</f>
        <v>0</v>
      </c>
      <c r="AG204" s="131">
        <f>IF(NFI_Expiration=1,IF($A204&lt;VLOOKUP(S$5,NFI,5,0),1,0)*Data_NFI_t[[#This Row],[Plastic Mat]],0)*IF(Data_NFI_t[[#This Row],[Distribution Date]]&gt;"01-06-2015",1,2.5)</f>
        <v>0</v>
      </c>
      <c r="AH204" s="915">
        <f>IF(NFI_Expiration=1,IF($A204&lt;VLOOKUP(T$5,NFI,5,0),1,0)*Data_NFI_t[[#This Row],[Adult Clothes]],0)</f>
        <v>0</v>
      </c>
      <c r="AI204" s="131">
        <f>IF(NFI_Expiration=1,IF($A204&lt;VLOOKUP(U$5,NFI,5,0),1,0)*Data_NFI_t[[#This Row],[Children Clothes]],0)</f>
        <v>0</v>
      </c>
      <c r="AJ204" s="131">
        <f>IF(NFI_Expiration=1,IF($A204&lt;VLOOKUP(V$5,NFI,5,0),1,0)*Data_NFI_t[[#This Row],[Sewing Kit]],0)</f>
        <v>0</v>
      </c>
      <c r="AK204" s="131" t="str">
        <f ca="1">IFERROR(OFFSET(Camp_List[P_Code],MATCH(Data_NFI_t[[#This Row],[Camp Name]],Camp_List[Camp Name],0)-1,0,1,1),"")</f>
        <v>MMR012CMP043</v>
      </c>
      <c r="AL204" s="513" t="str">
        <f ca="1">IFERROR(OFFSET(Camp_List[Status],MATCH(Data_NFI_t[[#This Row],[Camp Name]],Camp_List[Camp Name],0)-1,0,1,1),"")</f>
        <v>Close</v>
      </c>
      <c r="AM204" s="131"/>
    </row>
    <row r="205" spans="1:39" s="90" customFormat="1" ht="19.5" customHeight="1" x14ac:dyDescent="0.25">
      <c r="A205" s="242">
        <f>IF(ISBLANK(C205),"",(Report_Date-C205)/30)</f>
        <v>44.8</v>
      </c>
      <c r="B205" s="242">
        <f>YEAR(Data_NFI_t[[#This Row],[Distribution Date]])</f>
        <v>2013</v>
      </c>
      <c r="C205" s="927">
        <v>41451</v>
      </c>
      <c r="D205" s="489" t="s">
        <v>286</v>
      </c>
      <c r="E205" s="488" t="s">
        <v>286</v>
      </c>
      <c r="F205" s="489" t="s">
        <v>7</v>
      </c>
      <c r="G205" s="794" t="s">
        <v>19</v>
      </c>
      <c r="H205" s="794" t="s">
        <v>78</v>
      </c>
      <c r="I205" s="794"/>
      <c r="J205" s="51"/>
      <c r="K205" s="51"/>
      <c r="L205" s="51">
        <v>20</v>
      </c>
      <c r="M205" s="51">
        <v>20</v>
      </c>
      <c r="N205" s="51">
        <v>20</v>
      </c>
      <c r="O205" s="51"/>
      <c r="P205" s="51"/>
      <c r="Q205" s="51">
        <v>20</v>
      </c>
      <c r="R205" s="511"/>
      <c r="S205" s="51">
        <v>20</v>
      </c>
      <c r="T205" s="51"/>
      <c r="U205" s="51"/>
      <c r="V205" s="51"/>
      <c r="W205" s="131">
        <f>IF(NFI_Expiration=1,IF($A205&lt;VLOOKUP(I$5,NFI,5,0),1,0)*Data_NFI_t[[#This Row],[Hygiene Kit]],0)</f>
        <v>0</v>
      </c>
      <c r="X205" s="131">
        <f>IF(NFI_Expiration=1,IF($A205&lt;VLOOKUP(J$5,NFI,5,0),1,0)*Data_NFI_t[[#This Row],[NFI Core Kit]],0)</f>
        <v>0</v>
      </c>
      <c r="Y205" s="112">
        <f>IF(NFI_Expiration=1,IF($A205&lt;VLOOKUP(K$5,NFI,5,0),1,0)*Data_NFI_t[[#This Row],[Sanitary Kit]],0)</f>
        <v>0</v>
      </c>
      <c r="Z205" s="112">
        <f>IF(NFI_Expiration=1,IF($A205&lt;VLOOKUP(L$5,NFI,5,0),1,0)*Data_NFI_t[[#This Row],[Mosquito net]],0)</f>
        <v>0</v>
      </c>
      <c r="AA205" s="112">
        <f>IF(NFI_Expiration=1,IF($A205&lt;VLOOKUP(M$5,NFI,5,0),1,0)*Data_NFI_t[[#This Row],[Tarpaulin]],0)</f>
        <v>0</v>
      </c>
      <c r="AB205" s="112">
        <f>IF(NFI_Expiration=1,IF($A205&lt;VLOOKUP(N$5,NFI,5,0),1,0)*Data_NFI_t[[#This Row],[Blanket]],0)</f>
        <v>0</v>
      </c>
      <c r="AC205" s="112">
        <f>IF(NFI_Expiration=1,IF($A205&lt;VLOOKUP(O$5,NFI,5,0),1,0)*Data_NFI_t[[#This Row],[Kitchen Set]],0)</f>
        <v>0</v>
      </c>
      <c r="AD205" s="112">
        <f>IF(NFI_Expiration=1,IF($A205&lt;VLOOKUP(P$5,NFI,5,0),1,0)*Data_NFI_t[[#This Row],[Complementary Kit]],0)</f>
        <v>0</v>
      </c>
      <c r="AE205" s="112">
        <f>IF(NFI_Expiration=1,IF($A205&lt;VLOOKUP(Q$5,NFI,5,0),1,0)*Data_NFI_t[[#This Row],[Plastic Bucket]],0)</f>
        <v>0</v>
      </c>
      <c r="AF205" s="112">
        <f>IF(NFI_Expiration=1,IF($A205&lt;VLOOKUP(R$5,NFI,5,0),1,0)*Data_NFI_t[[#This Row],[Jerry Can]],0)</f>
        <v>0</v>
      </c>
      <c r="AG205" s="131">
        <f>IF(NFI_Expiration=1,IF($A205&lt;VLOOKUP(S$5,NFI,5,0),1,0)*Data_NFI_t[[#This Row],[Plastic Mat]],0)*IF(Data_NFI_t[[#This Row],[Distribution Date]]&gt;"01-06-2015",1,2.5)</f>
        <v>0</v>
      </c>
      <c r="AH205" s="915">
        <f>IF(NFI_Expiration=1,IF($A205&lt;VLOOKUP(T$5,NFI,5,0),1,0)*Data_NFI_t[[#This Row],[Adult Clothes]],0)</f>
        <v>0</v>
      </c>
      <c r="AI205" s="131">
        <f>IF(NFI_Expiration=1,IF($A205&lt;VLOOKUP(U$5,NFI,5,0),1,0)*Data_NFI_t[[#This Row],[Children Clothes]],0)</f>
        <v>0</v>
      </c>
      <c r="AJ205" s="131">
        <f>IF(NFI_Expiration=1,IF($A205&lt;VLOOKUP(V$5,NFI,5,0),1,0)*Data_NFI_t[[#This Row],[Sewing Kit]],0)</f>
        <v>0</v>
      </c>
      <c r="AK205" s="131" t="str">
        <f ca="1">IFERROR(OFFSET(Camp_List[P_Code],MATCH(Data_NFI_t[[#This Row],[Camp Name]],Camp_List[Camp Name],0)-1,0,1,1),"")</f>
        <v>MMR012CMP056</v>
      </c>
      <c r="AL205" s="513" t="str">
        <f ca="1">IFERROR(OFFSET(Camp_List[Status],MATCH(Data_NFI_t[[#This Row],[Camp Name]],Camp_List[Camp Name],0)-1,0,1,1),"")</f>
        <v>Relocated</v>
      </c>
      <c r="AM205" s="131"/>
    </row>
    <row r="206" spans="1:39" s="90" customFormat="1" ht="19.5" customHeight="1" x14ac:dyDescent="0.25">
      <c r="A206" s="242">
        <f>IF(ISBLANK(C206),"",(Report_Date-C206)/30)</f>
        <v>44.8</v>
      </c>
      <c r="B206" s="242">
        <f>YEAR(Data_NFI_t[[#This Row],[Distribution Date]])</f>
        <v>2013</v>
      </c>
      <c r="C206" s="927">
        <v>41451</v>
      </c>
      <c r="D206" s="489" t="s">
        <v>286</v>
      </c>
      <c r="E206" s="488" t="s">
        <v>286</v>
      </c>
      <c r="F206" s="489" t="s">
        <v>7</v>
      </c>
      <c r="G206" s="794" t="s">
        <v>19</v>
      </c>
      <c r="H206" s="794" t="s">
        <v>68</v>
      </c>
      <c r="I206" s="794"/>
      <c r="J206" s="51"/>
      <c r="K206" s="51"/>
      <c r="L206" s="51">
        <v>2797</v>
      </c>
      <c r="M206" s="51">
        <v>2797</v>
      </c>
      <c r="N206" s="51">
        <v>2797</v>
      </c>
      <c r="O206" s="51"/>
      <c r="P206" s="51"/>
      <c r="Q206" s="51">
        <v>2797</v>
      </c>
      <c r="R206" s="511"/>
      <c r="S206" s="51">
        <v>2797</v>
      </c>
      <c r="T206" s="51"/>
      <c r="U206" s="51"/>
      <c r="V206" s="51"/>
      <c r="W206" s="131">
        <f>IF(NFI_Expiration=1,IF($A206&lt;VLOOKUP(I$5,NFI,5,0),1,0)*Data_NFI_t[[#This Row],[Hygiene Kit]],0)</f>
        <v>0</v>
      </c>
      <c r="X206" s="131">
        <f>IF(NFI_Expiration=1,IF($A206&lt;VLOOKUP(J$5,NFI,5,0),1,0)*Data_NFI_t[[#This Row],[NFI Core Kit]],0)</f>
        <v>0</v>
      </c>
      <c r="Y206" s="112">
        <f>IF(NFI_Expiration=1,IF($A206&lt;VLOOKUP(K$5,NFI,5,0),1,0)*Data_NFI_t[[#This Row],[Sanitary Kit]],0)</f>
        <v>0</v>
      </c>
      <c r="Z206" s="112">
        <f>IF(NFI_Expiration=1,IF($A206&lt;VLOOKUP(L$5,NFI,5,0),1,0)*Data_NFI_t[[#This Row],[Mosquito net]],0)</f>
        <v>0</v>
      </c>
      <c r="AA206" s="112">
        <f>IF(NFI_Expiration=1,IF($A206&lt;VLOOKUP(M$5,NFI,5,0),1,0)*Data_NFI_t[[#This Row],[Tarpaulin]],0)</f>
        <v>0</v>
      </c>
      <c r="AB206" s="112">
        <f>IF(NFI_Expiration=1,IF($A206&lt;VLOOKUP(N$5,NFI,5,0),1,0)*Data_NFI_t[[#This Row],[Blanket]],0)</f>
        <v>0</v>
      </c>
      <c r="AC206" s="112">
        <f>IF(NFI_Expiration=1,IF($A206&lt;VLOOKUP(O$5,NFI,5,0),1,0)*Data_NFI_t[[#This Row],[Kitchen Set]],0)</f>
        <v>0</v>
      </c>
      <c r="AD206" s="112">
        <f>IF(NFI_Expiration=1,IF($A206&lt;VLOOKUP(P$5,NFI,5,0),1,0)*Data_NFI_t[[#This Row],[Complementary Kit]],0)</f>
        <v>0</v>
      </c>
      <c r="AE206" s="112">
        <f>IF(NFI_Expiration=1,IF($A206&lt;VLOOKUP(Q$5,NFI,5,0),1,0)*Data_NFI_t[[#This Row],[Plastic Bucket]],0)</f>
        <v>0</v>
      </c>
      <c r="AF206" s="112">
        <f>IF(NFI_Expiration=1,IF($A206&lt;VLOOKUP(R$5,NFI,5,0),1,0)*Data_NFI_t[[#This Row],[Jerry Can]],0)</f>
        <v>0</v>
      </c>
      <c r="AG206" s="131">
        <f>IF(NFI_Expiration=1,IF($A206&lt;VLOOKUP(S$5,NFI,5,0),1,0)*Data_NFI_t[[#This Row],[Plastic Mat]],0)*IF(Data_NFI_t[[#This Row],[Distribution Date]]&gt;"01-06-2015",1,2.5)</f>
        <v>0</v>
      </c>
      <c r="AH206" s="915">
        <f>IF(NFI_Expiration=1,IF($A206&lt;VLOOKUP(T$5,NFI,5,0),1,0)*Data_NFI_t[[#This Row],[Adult Clothes]],0)</f>
        <v>0</v>
      </c>
      <c r="AI206" s="131">
        <f>IF(NFI_Expiration=1,IF($A206&lt;VLOOKUP(U$5,NFI,5,0),1,0)*Data_NFI_t[[#This Row],[Children Clothes]],0)</f>
        <v>0</v>
      </c>
      <c r="AJ206" s="131">
        <f>IF(NFI_Expiration=1,IF($A206&lt;VLOOKUP(V$5,NFI,5,0),1,0)*Data_NFI_t[[#This Row],[Sewing Kit]],0)</f>
        <v>0</v>
      </c>
      <c r="AK206" s="131" t="str">
        <f ca="1">IFERROR(OFFSET(Camp_List[P_Code],MATCH(Data_NFI_t[[#This Row],[Camp Name]],Camp_List[Camp Name],0)-1,0,1,1),"")</f>
        <v>MMR012CMP046</v>
      </c>
      <c r="AL206" s="513" t="str">
        <f ca="1">IFERROR(OFFSET(Camp_List[Status],MATCH(Data_NFI_t[[#This Row],[Camp Name]],Camp_List[Camp Name],0)-1,0,1,1),"")</f>
        <v>Open</v>
      </c>
      <c r="AM206" s="131"/>
    </row>
    <row r="207" spans="1:39" s="90" customFormat="1" ht="19.5" customHeight="1" x14ac:dyDescent="0.25">
      <c r="A207" s="242">
        <f>IF(ISBLANK(C207),"",(Report_Date-C207)/30)</f>
        <v>45.733333333333334</v>
      </c>
      <c r="B207" s="242">
        <f>YEAR(Data_NFI_t[[#This Row],[Distribution Date]])</f>
        <v>2013</v>
      </c>
      <c r="C207" s="927">
        <v>41423</v>
      </c>
      <c r="D207" s="489" t="s">
        <v>515</v>
      </c>
      <c r="E207" s="488" t="s">
        <v>515</v>
      </c>
      <c r="F207" s="489" t="s">
        <v>7</v>
      </c>
      <c r="G207" s="794" t="s">
        <v>14</v>
      </c>
      <c r="H207" s="794" t="s">
        <v>40</v>
      </c>
      <c r="I207" s="794">
        <v>773</v>
      </c>
      <c r="J207" s="51"/>
      <c r="K207" s="51"/>
      <c r="L207" s="51"/>
      <c r="M207" s="51"/>
      <c r="N207" s="51"/>
      <c r="O207" s="51"/>
      <c r="P207" s="51"/>
      <c r="Q207" s="51"/>
      <c r="R207" s="511"/>
      <c r="S207" s="51"/>
      <c r="T207" s="51"/>
      <c r="U207" s="51"/>
      <c r="V207" s="51"/>
      <c r="W207" s="131">
        <f>IF(NFI_Expiration=1,IF($A207&lt;VLOOKUP(I$5,NFI,5,0),1,0)*Data_NFI_t[[#This Row],[Hygiene Kit]],0)</f>
        <v>0</v>
      </c>
      <c r="X207" s="131">
        <f>IF(NFI_Expiration=1,IF($A207&lt;VLOOKUP(J$5,NFI,5,0),1,0)*Data_NFI_t[[#This Row],[NFI Core Kit]],0)</f>
        <v>0</v>
      </c>
      <c r="Y207" s="112">
        <f>IF(NFI_Expiration=1,IF($A207&lt;VLOOKUP(K$5,NFI,5,0),1,0)*Data_NFI_t[[#This Row],[Sanitary Kit]],0)</f>
        <v>0</v>
      </c>
      <c r="Z207" s="112">
        <f>IF(NFI_Expiration=1,IF($A207&lt;VLOOKUP(L$5,NFI,5,0),1,0)*Data_NFI_t[[#This Row],[Mosquito net]],0)</f>
        <v>0</v>
      </c>
      <c r="AA207" s="112">
        <f>IF(NFI_Expiration=1,IF($A207&lt;VLOOKUP(M$5,NFI,5,0),1,0)*Data_NFI_t[[#This Row],[Tarpaulin]],0)</f>
        <v>0</v>
      </c>
      <c r="AB207" s="112">
        <f>IF(NFI_Expiration=1,IF($A207&lt;VLOOKUP(N$5,NFI,5,0),1,0)*Data_NFI_t[[#This Row],[Blanket]],0)</f>
        <v>0</v>
      </c>
      <c r="AC207" s="112">
        <f>IF(NFI_Expiration=1,IF($A207&lt;VLOOKUP(O$5,NFI,5,0),1,0)*Data_NFI_t[[#This Row],[Kitchen Set]],0)</f>
        <v>0</v>
      </c>
      <c r="AD207" s="112">
        <f>IF(NFI_Expiration=1,IF($A207&lt;VLOOKUP(P$5,NFI,5,0),1,0)*Data_NFI_t[[#This Row],[Complementary Kit]],0)</f>
        <v>0</v>
      </c>
      <c r="AE207" s="112">
        <f>IF(NFI_Expiration=1,IF($A207&lt;VLOOKUP(Q$5,NFI,5,0),1,0)*Data_NFI_t[[#This Row],[Plastic Bucket]],0)</f>
        <v>0</v>
      </c>
      <c r="AF207" s="112">
        <f>IF(NFI_Expiration=1,IF($A207&lt;VLOOKUP(R$5,NFI,5,0),1,0)*Data_NFI_t[[#This Row],[Jerry Can]],0)</f>
        <v>0</v>
      </c>
      <c r="AG207" s="131">
        <f>IF(NFI_Expiration=1,IF($A207&lt;VLOOKUP(S$5,NFI,5,0),1,0)*Data_NFI_t[[#This Row],[Plastic Mat]],0)*IF(Data_NFI_t[[#This Row],[Distribution Date]]&gt;"01-06-2015",1,2.5)</f>
        <v>0</v>
      </c>
      <c r="AH207" s="915">
        <f>IF(NFI_Expiration=1,IF($A207&lt;VLOOKUP(T$5,NFI,5,0),1,0)*Data_NFI_t[[#This Row],[Adult Clothes]],0)</f>
        <v>0</v>
      </c>
      <c r="AI207" s="131">
        <f>IF(NFI_Expiration=1,IF($A207&lt;VLOOKUP(U$5,NFI,5,0),1,0)*Data_NFI_t[[#This Row],[Children Clothes]],0)</f>
        <v>0</v>
      </c>
      <c r="AJ207" s="131">
        <f>IF(NFI_Expiration=1,IF($A207&lt;VLOOKUP(V$5,NFI,5,0),1,0)*Data_NFI_t[[#This Row],[Sewing Kit]],0)</f>
        <v>0</v>
      </c>
      <c r="AK207" s="131" t="str">
        <f ca="1">IFERROR(OFFSET(Camp_List[P_Code],MATCH(Data_NFI_t[[#This Row],[Camp Name]],Camp_List[Camp Name],0)-1,0,1,1),"")</f>
        <v>MMR012CMP016</v>
      </c>
      <c r="AL207" s="513" t="str">
        <f ca="1">IFERROR(OFFSET(Camp_List[Status],MATCH(Data_NFI_t[[#This Row],[Camp Name]],Camp_List[Camp Name],0)-1,0,1,1),"")</f>
        <v>Open</v>
      </c>
      <c r="AM207" s="131"/>
    </row>
    <row r="208" spans="1:39" s="90" customFormat="1" ht="19.5" customHeight="1" x14ac:dyDescent="0.25">
      <c r="A208" s="242">
        <f>IF(ISBLANK(C208),"",(Report_Date-C208)/30)</f>
        <v>45.733333333333334</v>
      </c>
      <c r="B208" s="242">
        <f>YEAR(Data_NFI_t[[#This Row],[Distribution Date]])</f>
        <v>2013</v>
      </c>
      <c r="C208" s="927">
        <v>41423</v>
      </c>
      <c r="D208" s="489" t="s">
        <v>515</v>
      </c>
      <c r="E208" s="488" t="s">
        <v>515</v>
      </c>
      <c r="F208" s="489" t="s">
        <v>7</v>
      </c>
      <c r="G208" s="794" t="s">
        <v>19</v>
      </c>
      <c r="H208" s="794" t="s">
        <v>73</v>
      </c>
      <c r="I208" s="794">
        <v>502</v>
      </c>
      <c r="J208" s="51"/>
      <c r="K208" s="51"/>
      <c r="L208" s="51"/>
      <c r="M208" s="51"/>
      <c r="N208" s="51"/>
      <c r="O208" s="51"/>
      <c r="P208" s="51"/>
      <c r="Q208" s="51"/>
      <c r="R208" s="511"/>
      <c r="S208" s="51"/>
      <c r="T208" s="51"/>
      <c r="U208" s="51"/>
      <c r="V208" s="51"/>
      <c r="W208" s="131">
        <f>IF(NFI_Expiration=1,IF($A208&lt;VLOOKUP(I$5,NFI,5,0),1,0)*Data_NFI_t[[#This Row],[Hygiene Kit]],0)</f>
        <v>0</v>
      </c>
      <c r="X208" s="131">
        <f>IF(NFI_Expiration=1,IF($A208&lt;VLOOKUP(J$5,NFI,5,0),1,0)*Data_NFI_t[[#This Row],[NFI Core Kit]],0)</f>
        <v>0</v>
      </c>
      <c r="Y208" s="112">
        <f>IF(NFI_Expiration=1,IF($A208&lt;VLOOKUP(K$5,NFI,5,0),1,0)*Data_NFI_t[[#This Row],[Sanitary Kit]],0)</f>
        <v>0</v>
      </c>
      <c r="Z208" s="112">
        <f>IF(NFI_Expiration=1,IF($A208&lt;VLOOKUP(L$5,NFI,5,0),1,0)*Data_NFI_t[[#This Row],[Mosquito net]],0)</f>
        <v>0</v>
      </c>
      <c r="AA208" s="112">
        <f>IF(NFI_Expiration=1,IF($A208&lt;VLOOKUP(M$5,NFI,5,0),1,0)*Data_NFI_t[[#This Row],[Tarpaulin]],0)</f>
        <v>0</v>
      </c>
      <c r="AB208" s="112">
        <f>IF(NFI_Expiration=1,IF($A208&lt;VLOOKUP(N$5,NFI,5,0),1,0)*Data_NFI_t[[#This Row],[Blanket]],0)</f>
        <v>0</v>
      </c>
      <c r="AC208" s="112">
        <f>IF(NFI_Expiration=1,IF($A208&lt;VLOOKUP(O$5,NFI,5,0),1,0)*Data_NFI_t[[#This Row],[Kitchen Set]],0)</f>
        <v>0</v>
      </c>
      <c r="AD208" s="112">
        <f>IF(NFI_Expiration=1,IF($A208&lt;VLOOKUP(P$5,NFI,5,0),1,0)*Data_NFI_t[[#This Row],[Complementary Kit]],0)</f>
        <v>0</v>
      </c>
      <c r="AE208" s="112">
        <f>IF(NFI_Expiration=1,IF($A208&lt;VLOOKUP(Q$5,NFI,5,0),1,0)*Data_NFI_t[[#This Row],[Plastic Bucket]],0)</f>
        <v>0</v>
      </c>
      <c r="AF208" s="112">
        <f>IF(NFI_Expiration=1,IF($A208&lt;VLOOKUP(R$5,NFI,5,0),1,0)*Data_NFI_t[[#This Row],[Jerry Can]],0)</f>
        <v>0</v>
      </c>
      <c r="AG208" s="131">
        <f>IF(NFI_Expiration=1,IF($A208&lt;VLOOKUP(S$5,NFI,5,0),1,0)*Data_NFI_t[[#This Row],[Plastic Mat]],0)*IF(Data_NFI_t[[#This Row],[Distribution Date]]&gt;"01-06-2015",1,2.5)</f>
        <v>0</v>
      </c>
      <c r="AH208" s="915">
        <f>IF(NFI_Expiration=1,IF($A208&lt;VLOOKUP(T$5,NFI,5,0),1,0)*Data_NFI_t[[#This Row],[Adult Clothes]],0)</f>
        <v>0</v>
      </c>
      <c r="AI208" s="131">
        <f>IF(NFI_Expiration=1,IF($A208&lt;VLOOKUP(U$5,NFI,5,0),1,0)*Data_NFI_t[[#This Row],[Children Clothes]],0)</f>
        <v>0</v>
      </c>
      <c r="AJ208" s="131">
        <f>IF(NFI_Expiration=1,IF($A208&lt;VLOOKUP(V$5,NFI,5,0),1,0)*Data_NFI_t[[#This Row],[Sewing Kit]],0)</f>
        <v>0</v>
      </c>
      <c r="AK208" s="131" t="str">
        <f ca="1">IFERROR(OFFSET(Camp_List[P_Code],MATCH(Data_NFI_t[[#This Row],[Camp Name]],Camp_List[Camp Name],0)-1,0,1,1),"")</f>
        <v>MMR012CMP051</v>
      </c>
      <c r="AL208" s="513" t="str">
        <f ca="1">IFERROR(OFFSET(Camp_List[Status],MATCH(Data_NFI_t[[#This Row],[Camp Name]],Camp_List[Camp Name],0)-1,0,1,1),"")</f>
        <v>Close</v>
      </c>
      <c r="AM208" s="131"/>
    </row>
    <row r="209" spans="1:39" s="90" customFormat="1" ht="19.5" customHeight="1" x14ac:dyDescent="0.25">
      <c r="A209" s="242">
        <f>IF(ISBLANK(C209),"",(Report_Date-C209)/30)</f>
        <v>45.733333333333334</v>
      </c>
      <c r="B209" s="242">
        <f>YEAR(Data_NFI_t[[#This Row],[Distribution Date]])</f>
        <v>2013</v>
      </c>
      <c r="C209" s="927">
        <v>41423</v>
      </c>
      <c r="D209" s="489" t="s">
        <v>515</v>
      </c>
      <c r="E209" s="488" t="s">
        <v>515</v>
      </c>
      <c r="F209" s="489" t="s">
        <v>7</v>
      </c>
      <c r="G209" s="794" t="s">
        <v>19</v>
      </c>
      <c r="H209" s="794" t="s">
        <v>71</v>
      </c>
      <c r="I209" s="794">
        <v>203</v>
      </c>
      <c r="J209" s="51"/>
      <c r="K209" s="51"/>
      <c r="L209" s="51"/>
      <c r="M209" s="51"/>
      <c r="N209" s="51"/>
      <c r="O209" s="51"/>
      <c r="P209" s="51"/>
      <c r="Q209" s="51"/>
      <c r="R209" s="511"/>
      <c r="S209" s="51"/>
      <c r="T209" s="51"/>
      <c r="U209" s="51"/>
      <c r="V209" s="51"/>
      <c r="W209" s="131">
        <f>IF(NFI_Expiration=1,IF($A209&lt;VLOOKUP(I$5,NFI,5,0),1,0)*Data_NFI_t[[#This Row],[Hygiene Kit]],0)</f>
        <v>0</v>
      </c>
      <c r="X209" s="131">
        <f>IF(NFI_Expiration=1,IF($A209&lt;VLOOKUP(J$5,NFI,5,0),1,0)*Data_NFI_t[[#This Row],[NFI Core Kit]],0)</f>
        <v>0</v>
      </c>
      <c r="Y209" s="112">
        <f>IF(NFI_Expiration=1,IF($A209&lt;VLOOKUP(K$5,NFI,5,0),1,0)*Data_NFI_t[[#This Row],[Sanitary Kit]],0)</f>
        <v>0</v>
      </c>
      <c r="Z209" s="112">
        <f>IF(NFI_Expiration=1,IF($A209&lt;VLOOKUP(L$5,NFI,5,0),1,0)*Data_NFI_t[[#This Row],[Mosquito net]],0)</f>
        <v>0</v>
      </c>
      <c r="AA209" s="112">
        <f>IF(NFI_Expiration=1,IF($A209&lt;VLOOKUP(M$5,NFI,5,0),1,0)*Data_NFI_t[[#This Row],[Tarpaulin]],0)</f>
        <v>0</v>
      </c>
      <c r="AB209" s="112">
        <f>IF(NFI_Expiration=1,IF($A209&lt;VLOOKUP(N$5,NFI,5,0),1,0)*Data_NFI_t[[#This Row],[Blanket]],0)</f>
        <v>0</v>
      </c>
      <c r="AC209" s="112">
        <f>IF(NFI_Expiration=1,IF($A209&lt;VLOOKUP(O$5,NFI,5,0),1,0)*Data_NFI_t[[#This Row],[Kitchen Set]],0)</f>
        <v>0</v>
      </c>
      <c r="AD209" s="112">
        <f>IF(NFI_Expiration=1,IF($A209&lt;VLOOKUP(P$5,NFI,5,0),1,0)*Data_NFI_t[[#This Row],[Complementary Kit]],0)</f>
        <v>0</v>
      </c>
      <c r="AE209" s="112">
        <f>IF(NFI_Expiration=1,IF($A209&lt;VLOOKUP(Q$5,NFI,5,0),1,0)*Data_NFI_t[[#This Row],[Plastic Bucket]],0)</f>
        <v>0</v>
      </c>
      <c r="AF209" s="112">
        <f>IF(NFI_Expiration=1,IF($A209&lt;VLOOKUP(R$5,NFI,5,0),1,0)*Data_NFI_t[[#This Row],[Jerry Can]],0)</f>
        <v>0</v>
      </c>
      <c r="AG209" s="131">
        <f>IF(NFI_Expiration=1,IF($A209&lt;VLOOKUP(S$5,NFI,5,0),1,0)*Data_NFI_t[[#This Row],[Plastic Mat]],0)*IF(Data_NFI_t[[#This Row],[Distribution Date]]&gt;"01-06-2015",1,2.5)</f>
        <v>0</v>
      </c>
      <c r="AH209" s="915">
        <f>IF(NFI_Expiration=1,IF($A209&lt;VLOOKUP(T$5,NFI,5,0),1,0)*Data_NFI_t[[#This Row],[Adult Clothes]],0)</f>
        <v>0</v>
      </c>
      <c r="AI209" s="131">
        <f>IF(NFI_Expiration=1,IF($A209&lt;VLOOKUP(U$5,NFI,5,0),1,0)*Data_NFI_t[[#This Row],[Children Clothes]],0)</f>
        <v>0</v>
      </c>
      <c r="AJ209" s="131">
        <f>IF(NFI_Expiration=1,IF($A209&lt;VLOOKUP(V$5,NFI,5,0),1,0)*Data_NFI_t[[#This Row],[Sewing Kit]],0)</f>
        <v>0</v>
      </c>
      <c r="AK209" s="131" t="str">
        <f ca="1">IFERROR(OFFSET(Camp_List[P_Code],MATCH(Data_NFI_t[[#This Row],[Camp Name]],Camp_List[Camp Name],0)-1,0,1,1),"")</f>
        <v>MMR012CMP049</v>
      </c>
      <c r="AL209" s="513" t="str">
        <f ca="1">IFERROR(OFFSET(Camp_List[Status],MATCH(Data_NFI_t[[#This Row],[Camp Name]],Camp_List[Camp Name],0)-1,0,1,1),"")</f>
        <v>Close</v>
      </c>
      <c r="AM209" s="131"/>
    </row>
    <row r="210" spans="1:39" s="90" customFormat="1" ht="19.5" customHeight="1" x14ac:dyDescent="0.25">
      <c r="A210" s="242">
        <f>IF(ISBLANK(C210),"",(Report_Date-C210)/30)</f>
        <v>45.733333333333334</v>
      </c>
      <c r="B210" s="242">
        <f>YEAR(Data_NFI_t[[#This Row],[Distribution Date]])</f>
        <v>2013</v>
      </c>
      <c r="C210" s="927">
        <v>41423</v>
      </c>
      <c r="D210" s="489" t="s">
        <v>515</v>
      </c>
      <c r="E210" s="488" t="s">
        <v>515</v>
      </c>
      <c r="F210" s="489" t="s">
        <v>7</v>
      </c>
      <c r="G210" s="794" t="s">
        <v>14</v>
      </c>
      <c r="H210" s="794" t="s">
        <v>41</v>
      </c>
      <c r="I210" s="794">
        <v>173</v>
      </c>
      <c r="J210" s="51"/>
      <c r="K210" s="51"/>
      <c r="L210" s="51"/>
      <c r="M210" s="51"/>
      <c r="N210" s="51"/>
      <c r="O210" s="51"/>
      <c r="P210" s="51"/>
      <c r="Q210" s="51"/>
      <c r="R210" s="511"/>
      <c r="S210" s="51"/>
      <c r="T210" s="51"/>
      <c r="U210" s="51"/>
      <c r="V210" s="51"/>
      <c r="W210" s="131">
        <f>IF(NFI_Expiration=1,IF($A210&lt;VLOOKUP(I$5,NFI,5,0),1,0)*Data_NFI_t[[#This Row],[Hygiene Kit]],0)</f>
        <v>0</v>
      </c>
      <c r="X210" s="131">
        <f>IF(NFI_Expiration=1,IF($A210&lt;VLOOKUP(J$5,NFI,5,0),1,0)*Data_NFI_t[[#This Row],[NFI Core Kit]],0)</f>
        <v>0</v>
      </c>
      <c r="Y210" s="112">
        <f>IF(NFI_Expiration=1,IF($A210&lt;VLOOKUP(K$5,NFI,5,0),1,0)*Data_NFI_t[[#This Row],[Sanitary Kit]],0)</f>
        <v>0</v>
      </c>
      <c r="Z210" s="112">
        <f>IF(NFI_Expiration=1,IF($A210&lt;VLOOKUP(L$5,NFI,5,0),1,0)*Data_NFI_t[[#This Row],[Mosquito net]],0)</f>
        <v>0</v>
      </c>
      <c r="AA210" s="112">
        <f>IF(NFI_Expiration=1,IF($A210&lt;VLOOKUP(M$5,NFI,5,0),1,0)*Data_NFI_t[[#This Row],[Tarpaulin]],0)</f>
        <v>0</v>
      </c>
      <c r="AB210" s="112">
        <f>IF(NFI_Expiration=1,IF($A210&lt;VLOOKUP(N$5,NFI,5,0),1,0)*Data_NFI_t[[#This Row],[Blanket]],0)</f>
        <v>0</v>
      </c>
      <c r="AC210" s="112">
        <f>IF(NFI_Expiration=1,IF($A210&lt;VLOOKUP(O$5,NFI,5,0),1,0)*Data_NFI_t[[#This Row],[Kitchen Set]],0)</f>
        <v>0</v>
      </c>
      <c r="AD210" s="112">
        <f>IF(NFI_Expiration=1,IF($A210&lt;VLOOKUP(P$5,NFI,5,0),1,0)*Data_NFI_t[[#This Row],[Complementary Kit]],0)</f>
        <v>0</v>
      </c>
      <c r="AE210" s="112">
        <f>IF(NFI_Expiration=1,IF($A210&lt;VLOOKUP(Q$5,NFI,5,0),1,0)*Data_NFI_t[[#This Row],[Plastic Bucket]],0)</f>
        <v>0</v>
      </c>
      <c r="AF210" s="112">
        <f>IF(NFI_Expiration=1,IF($A210&lt;VLOOKUP(R$5,NFI,5,0),1,0)*Data_NFI_t[[#This Row],[Jerry Can]],0)</f>
        <v>0</v>
      </c>
      <c r="AG210" s="131">
        <f>IF(NFI_Expiration=1,IF($A210&lt;VLOOKUP(S$5,NFI,5,0),1,0)*Data_NFI_t[[#This Row],[Plastic Mat]],0)*IF(Data_NFI_t[[#This Row],[Distribution Date]]&gt;"01-06-2015",1,2.5)</f>
        <v>0</v>
      </c>
      <c r="AH210" s="915">
        <f>IF(NFI_Expiration=1,IF($A210&lt;VLOOKUP(T$5,NFI,5,0),1,0)*Data_NFI_t[[#This Row],[Adult Clothes]],0)</f>
        <v>0</v>
      </c>
      <c r="AI210" s="131">
        <f>IF(NFI_Expiration=1,IF($A210&lt;VLOOKUP(U$5,NFI,5,0),1,0)*Data_NFI_t[[#This Row],[Children Clothes]],0)</f>
        <v>0</v>
      </c>
      <c r="AJ210" s="131">
        <f>IF(NFI_Expiration=1,IF($A210&lt;VLOOKUP(V$5,NFI,5,0),1,0)*Data_NFI_t[[#This Row],[Sewing Kit]],0)</f>
        <v>0</v>
      </c>
      <c r="AK210" s="131" t="str">
        <f ca="1">IFERROR(OFFSET(Camp_List[P_Code],MATCH(Data_NFI_t[[#This Row],[Camp Name]],Camp_List[Camp Name],0)-1,0,1,1),"")</f>
        <v/>
      </c>
      <c r="AL210" s="513" t="str">
        <f ca="1">IFERROR(OFFSET(Camp_List[Status],MATCH(Data_NFI_t[[#This Row],[Camp Name]],Camp_List[Camp Name],0)-1,0,1,1),"")</f>
        <v/>
      </c>
      <c r="AM210" s="131"/>
    </row>
    <row r="211" spans="1:39" s="90" customFormat="1" ht="19.5" customHeight="1" x14ac:dyDescent="0.25">
      <c r="A211" s="242">
        <f>IF(ISBLANK(C211),"",(Report_Date-C211)/30)</f>
        <v>45.733333333333334</v>
      </c>
      <c r="B211" s="242">
        <f>YEAR(Data_NFI_t[[#This Row],[Distribution Date]])</f>
        <v>2013</v>
      </c>
      <c r="C211" s="927">
        <v>41423</v>
      </c>
      <c r="D211" s="489" t="s">
        <v>285</v>
      </c>
      <c r="E211" s="488"/>
      <c r="F211" s="489" t="s">
        <v>7</v>
      </c>
      <c r="G211" s="794" t="s">
        <v>1003</v>
      </c>
      <c r="H211" s="794" t="s">
        <v>36</v>
      </c>
      <c r="I211" s="794">
        <v>0</v>
      </c>
      <c r="J211" s="51"/>
      <c r="K211" s="51"/>
      <c r="L211" s="51">
        <v>82</v>
      </c>
      <c r="M211" s="51"/>
      <c r="N211" s="51">
        <v>82</v>
      </c>
      <c r="O211" s="51">
        <v>41</v>
      </c>
      <c r="P211" s="51">
        <v>41</v>
      </c>
      <c r="Q211" s="51">
        <v>10</v>
      </c>
      <c r="R211" s="511"/>
      <c r="S211" s="51">
        <v>20</v>
      </c>
      <c r="T211" s="51"/>
      <c r="U211" s="51"/>
      <c r="V211" s="51"/>
      <c r="W211" s="131">
        <f>IF(NFI_Expiration=1,IF($A211&lt;VLOOKUP(I$5,NFI,5,0),1,0)*Data_NFI_t[[#This Row],[Hygiene Kit]],0)</f>
        <v>0</v>
      </c>
      <c r="X211" s="131">
        <f>IF(NFI_Expiration=1,IF($A211&lt;VLOOKUP(J$5,NFI,5,0),1,0)*Data_NFI_t[[#This Row],[NFI Core Kit]],0)</f>
        <v>0</v>
      </c>
      <c r="Y211" s="112">
        <f>IF(NFI_Expiration=1,IF($A211&lt;VLOOKUP(K$5,NFI,5,0),1,0)*Data_NFI_t[[#This Row],[Sanitary Kit]],0)</f>
        <v>0</v>
      </c>
      <c r="Z211" s="112">
        <f>IF(NFI_Expiration=1,IF($A211&lt;VLOOKUP(L$5,NFI,5,0),1,0)*Data_NFI_t[[#This Row],[Mosquito net]],0)</f>
        <v>0</v>
      </c>
      <c r="AA211" s="112">
        <f>IF(NFI_Expiration=1,IF($A211&lt;VLOOKUP(M$5,NFI,5,0),1,0)*Data_NFI_t[[#This Row],[Tarpaulin]],0)</f>
        <v>0</v>
      </c>
      <c r="AB211" s="112">
        <f>IF(NFI_Expiration=1,IF($A211&lt;VLOOKUP(N$5,NFI,5,0),1,0)*Data_NFI_t[[#This Row],[Blanket]],0)</f>
        <v>0</v>
      </c>
      <c r="AC211" s="112">
        <f>IF(NFI_Expiration=1,IF($A211&lt;VLOOKUP(O$5,NFI,5,0),1,0)*Data_NFI_t[[#This Row],[Kitchen Set]],0)</f>
        <v>0</v>
      </c>
      <c r="AD211" s="112">
        <f>IF(NFI_Expiration=1,IF($A211&lt;VLOOKUP(P$5,NFI,5,0),1,0)*Data_NFI_t[[#This Row],[Complementary Kit]],0)</f>
        <v>0</v>
      </c>
      <c r="AE211" s="112">
        <f>IF(NFI_Expiration=1,IF($A211&lt;VLOOKUP(Q$5,NFI,5,0),1,0)*Data_NFI_t[[#This Row],[Plastic Bucket]],0)</f>
        <v>0</v>
      </c>
      <c r="AF211" s="112">
        <f>IF(NFI_Expiration=1,IF($A211&lt;VLOOKUP(R$5,NFI,5,0),1,0)*Data_NFI_t[[#This Row],[Jerry Can]],0)</f>
        <v>0</v>
      </c>
      <c r="AG211" s="131">
        <f>IF(NFI_Expiration=1,IF($A211&lt;VLOOKUP(S$5,NFI,5,0),1,0)*Data_NFI_t[[#This Row],[Plastic Mat]],0)*IF(Data_NFI_t[[#This Row],[Distribution Date]]&gt;"01-06-2015",1,2.5)</f>
        <v>0</v>
      </c>
      <c r="AH211" s="915">
        <f>IF(NFI_Expiration=1,IF($A211&lt;VLOOKUP(T$5,NFI,5,0),1,0)*Data_NFI_t[[#This Row],[Adult Clothes]],0)</f>
        <v>0</v>
      </c>
      <c r="AI211" s="131">
        <f>IF(NFI_Expiration=1,IF($A211&lt;VLOOKUP(U$5,NFI,5,0),1,0)*Data_NFI_t[[#This Row],[Children Clothes]],0)</f>
        <v>0</v>
      </c>
      <c r="AJ211" s="131">
        <f>IF(NFI_Expiration=1,IF($A211&lt;VLOOKUP(V$5,NFI,5,0),1,0)*Data_NFI_t[[#This Row],[Sewing Kit]],0)</f>
        <v>0</v>
      </c>
      <c r="AK211" s="131" t="str">
        <f ca="1">IFERROR(OFFSET(Camp_List[P_Code],MATCH(Data_NFI_t[[#This Row],[Camp Name]],Camp_List[Camp Name],0)-1,0,1,1),"")</f>
        <v>MMR012CMP012</v>
      </c>
      <c r="AL211" s="513" t="str">
        <f ca="1">IFERROR(OFFSET(Camp_List[Status],MATCH(Data_NFI_t[[#This Row],[Camp Name]],Camp_List[Camp Name],0)-1,0,1,1),"")</f>
        <v>Relocated</v>
      </c>
      <c r="AM211" s="131"/>
    </row>
    <row r="212" spans="1:39" s="90" customFormat="1" ht="19.5" customHeight="1" x14ac:dyDescent="0.25">
      <c r="A212" s="242">
        <f>IF(ISBLANK(C212),"",(Report_Date-C212)/30)</f>
        <v>45.733333333333334</v>
      </c>
      <c r="B212" s="242">
        <f>YEAR(Data_NFI_t[[#This Row],[Distribution Date]])</f>
        <v>2013</v>
      </c>
      <c r="C212" s="927">
        <v>41423</v>
      </c>
      <c r="D212" s="489" t="s">
        <v>285</v>
      </c>
      <c r="E212" s="488" t="s">
        <v>292</v>
      </c>
      <c r="F212" s="489" t="s">
        <v>7</v>
      </c>
      <c r="G212" s="794" t="s">
        <v>19</v>
      </c>
      <c r="H212" s="794"/>
      <c r="I212" s="794"/>
      <c r="J212" s="51"/>
      <c r="K212" s="51"/>
      <c r="L212" s="51"/>
      <c r="M212" s="51">
        <v>1520</v>
      </c>
      <c r="N212" s="51"/>
      <c r="O212" s="51"/>
      <c r="P212" s="51"/>
      <c r="Q212" s="51"/>
      <c r="R212" s="511"/>
      <c r="S212" s="51"/>
      <c r="T212" s="51"/>
      <c r="U212" s="51"/>
      <c r="V212" s="51"/>
      <c r="W212" s="131">
        <f>IF(NFI_Expiration=1,IF($A212&lt;VLOOKUP(I$5,NFI,5,0),1,0)*Data_NFI_t[[#This Row],[Hygiene Kit]],0)</f>
        <v>0</v>
      </c>
      <c r="X212" s="131">
        <f>IF(NFI_Expiration=1,IF($A212&lt;VLOOKUP(J$5,NFI,5,0),1,0)*Data_NFI_t[[#This Row],[NFI Core Kit]],0)</f>
        <v>0</v>
      </c>
      <c r="Y212" s="112">
        <f>IF(NFI_Expiration=1,IF($A212&lt;VLOOKUP(K$5,NFI,5,0),1,0)*Data_NFI_t[[#This Row],[Sanitary Kit]],0)</f>
        <v>0</v>
      </c>
      <c r="Z212" s="112">
        <f>IF(NFI_Expiration=1,IF($A212&lt;VLOOKUP(L$5,NFI,5,0),1,0)*Data_NFI_t[[#This Row],[Mosquito net]],0)</f>
        <v>0</v>
      </c>
      <c r="AA212" s="112">
        <f>IF(NFI_Expiration=1,IF($A212&lt;VLOOKUP(M$5,NFI,5,0),1,0)*Data_NFI_t[[#This Row],[Tarpaulin]],0)</f>
        <v>0</v>
      </c>
      <c r="AB212" s="112">
        <f>IF(NFI_Expiration=1,IF($A212&lt;VLOOKUP(N$5,NFI,5,0),1,0)*Data_NFI_t[[#This Row],[Blanket]],0)</f>
        <v>0</v>
      </c>
      <c r="AC212" s="112">
        <f>IF(NFI_Expiration=1,IF($A212&lt;VLOOKUP(O$5,NFI,5,0),1,0)*Data_NFI_t[[#This Row],[Kitchen Set]],0)</f>
        <v>0</v>
      </c>
      <c r="AD212" s="112">
        <f>IF(NFI_Expiration=1,IF($A212&lt;VLOOKUP(P$5,NFI,5,0),1,0)*Data_NFI_t[[#This Row],[Complementary Kit]],0)</f>
        <v>0</v>
      </c>
      <c r="AE212" s="112">
        <f>IF(NFI_Expiration=1,IF($A212&lt;VLOOKUP(Q$5,NFI,5,0),1,0)*Data_NFI_t[[#This Row],[Plastic Bucket]],0)</f>
        <v>0</v>
      </c>
      <c r="AF212" s="112">
        <f>IF(NFI_Expiration=1,IF($A212&lt;VLOOKUP(R$5,NFI,5,0),1,0)*Data_NFI_t[[#This Row],[Jerry Can]],0)</f>
        <v>0</v>
      </c>
      <c r="AG212" s="131">
        <f>IF(NFI_Expiration=1,IF($A212&lt;VLOOKUP(S$5,NFI,5,0),1,0)*Data_NFI_t[[#This Row],[Plastic Mat]],0)*IF(Data_NFI_t[[#This Row],[Distribution Date]]&gt;"01-06-2015",1,2.5)</f>
        <v>0</v>
      </c>
      <c r="AH212" s="915">
        <f>IF(NFI_Expiration=1,IF($A212&lt;VLOOKUP(T$5,NFI,5,0),1,0)*Data_NFI_t[[#This Row],[Adult Clothes]],0)</f>
        <v>0</v>
      </c>
      <c r="AI212" s="131">
        <f>IF(NFI_Expiration=1,IF($A212&lt;VLOOKUP(U$5,NFI,5,0),1,0)*Data_NFI_t[[#This Row],[Children Clothes]],0)</f>
        <v>0</v>
      </c>
      <c r="AJ212" s="131">
        <f>IF(NFI_Expiration=1,IF($A212&lt;VLOOKUP(V$5,NFI,5,0),1,0)*Data_NFI_t[[#This Row],[Sewing Kit]],0)</f>
        <v>0</v>
      </c>
      <c r="AK212" s="131" t="str">
        <f ca="1">IFERROR(OFFSET(Camp_List[P_Code],MATCH(Data_NFI_t[[#This Row],[Camp Name]],Camp_List[Camp Name],0)-1,0,1,1),"")</f>
        <v/>
      </c>
      <c r="AL212" s="513" t="str">
        <f ca="1">IFERROR(OFFSET(Camp_List[Status],MATCH(Data_NFI_t[[#This Row],[Camp Name]],Camp_List[Camp Name],0)-1,0,1,1),"")</f>
        <v/>
      </c>
      <c r="AM212" s="131"/>
    </row>
    <row r="213" spans="1:39" s="90" customFormat="1" ht="19.5" customHeight="1" x14ac:dyDescent="0.25">
      <c r="A213" s="242">
        <f>IF(ISBLANK(C213),"",(Report_Date-C213)/30)</f>
        <v>45.766666666666666</v>
      </c>
      <c r="B213" s="242">
        <f>YEAR(Data_NFI_t[[#This Row],[Distribution Date]])</f>
        <v>2013</v>
      </c>
      <c r="C213" s="927">
        <v>41422</v>
      </c>
      <c r="D213" s="489" t="s">
        <v>285</v>
      </c>
      <c r="E213" s="488"/>
      <c r="F213" s="489" t="s">
        <v>7</v>
      </c>
      <c r="G213" s="794" t="s">
        <v>19</v>
      </c>
      <c r="H213" s="794" t="s">
        <v>73</v>
      </c>
      <c r="I213" s="794"/>
      <c r="J213" s="51"/>
      <c r="K213" s="51"/>
      <c r="L213" s="51"/>
      <c r="M213" s="51">
        <v>1315</v>
      </c>
      <c r="N213" s="51"/>
      <c r="O213" s="51"/>
      <c r="P213" s="51"/>
      <c r="Q213" s="51"/>
      <c r="R213" s="511"/>
      <c r="S213" s="51"/>
      <c r="T213" s="51"/>
      <c r="U213" s="51"/>
      <c r="V213" s="51"/>
      <c r="W213" s="131">
        <f>IF(NFI_Expiration=1,IF($A213&lt;VLOOKUP(I$5,NFI,5,0),1,0)*Data_NFI_t[[#This Row],[Hygiene Kit]],0)</f>
        <v>0</v>
      </c>
      <c r="X213" s="131">
        <f>IF(NFI_Expiration=1,IF($A213&lt;VLOOKUP(J$5,NFI,5,0),1,0)*Data_NFI_t[[#This Row],[NFI Core Kit]],0)</f>
        <v>0</v>
      </c>
      <c r="Y213" s="112">
        <f>IF(NFI_Expiration=1,IF($A213&lt;VLOOKUP(K$5,NFI,5,0),1,0)*Data_NFI_t[[#This Row],[Sanitary Kit]],0)</f>
        <v>0</v>
      </c>
      <c r="Z213" s="112">
        <f>IF(NFI_Expiration=1,IF($A213&lt;VLOOKUP(L$5,NFI,5,0),1,0)*Data_NFI_t[[#This Row],[Mosquito net]],0)</f>
        <v>0</v>
      </c>
      <c r="AA213" s="112">
        <f>IF(NFI_Expiration=1,IF($A213&lt;VLOOKUP(M$5,NFI,5,0),1,0)*Data_NFI_t[[#This Row],[Tarpaulin]],0)</f>
        <v>0</v>
      </c>
      <c r="AB213" s="112">
        <f>IF(NFI_Expiration=1,IF($A213&lt;VLOOKUP(N$5,NFI,5,0),1,0)*Data_NFI_t[[#This Row],[Blanket]],0)</f>
        <v>0</v>
      </c>
      <c r="AC213" s="112">
        <f>IF(NFI_Expiration=1,IF($A213&lt;VLOOKUP(O$5,NFI,5,0),1,0)*Data_NFI_t[[#This Row],[Kitchen Set]],0)</f>
        <v>0</v>
      </c>
      <c r="AD213" s="112">
        <f>IF(NFI_Expiration=1,IF($A213&lt;VLOOKUP(P$5,NFI,5,0),1,0)*Data_NFI_t[[#This Row],[Complementary Kit]],0)</f>
        <v>0</v>
      </c>
      <c r="AE213" s="112">
        <f>IF(NFI_Expiration=1,IF($A213&lt;VLOOKUP(Q$5,NFI,5,0),1,0)*Data_NFI_t[[#This Row],[Plastic Bucket]],0)</f>
        <v>0</v>
      </c>
      <c r="AF213" s="112">
        <f>IF(NFI_Expiration=1,IF($A213&lt;VLOOKUP(R$5,NFI,5,0),1,0)*Data_NFI_t[[#This Row],[Jerry Can]],0)</f>
        <v>0</v>
      </c>
      <c r="AG213" s="131">
        <f>IF(NFI_Expiration=1,IF($A213&lt;VLOOKUP(S$5,NFI,5,0),1,0)*Data_NFI_t[[#This Row],[Plastic Mat]],0)*IF(Data_NFI_t[[#This Row],[Distribution Date]]&gt;"01-06-2015",1,2.5)</f>
        <v>0</v>
      </c>
      <c r="AH213" s="915">
        <f>IF(NFI_Expiration=1,IF($A213&lt;VLOOKUP(T$5,NFI,5,0),1,0)*Data_NFI_t[[#This Row],[Adult Clothes]],0)</f>
        <v>0</v>
      </c>
      <c r="AI213" s="131">
        <f>IF(NFI_Expiration=1,IF($A213&lt;VLOOKUP(U$5,NFI,5,0),1,0)*Data_NFI_t[[#This Row],[Children Clothes]],0)</f>
        <v>0</v>
      </c>
      <c r="AJ213" s="131">
        <f>IF(NFI_Expiration=1,IF($A213&lt;VLOOKUP(V$5,NFI,5,0),1,0)*Data_NFI_t[[#This Row],[Sewing Kit]],0)</f>
        <v>0</v>
      </c>
      <c r="AK213" s="131" t="str">
        <f ca="1">IFERROR(OFFSET(Camp_List[P_Code],MATCH(Data_NFI_t[[#This Row],[Camp Name]],Camp_List[Camp Name],0)-1,0,1,1),"")</f>
        <v>MMR012CMP051</v>
      </c>
      <c r="AL213" s="513" t="str">
        <f ca="1">IFERROR(OFFSET(Camp_List[Status],MATCH(Data_NFI_t[[#This Row],[Camp Name]],Camp_List[Camp Name],0)-1,0,1,1),"")</f>
        <v>Close</v>
      </c>
      <c r="AM213" s="131"/>
    </row>
    <row r="214" spans="1:39" s="90" customFormat="1" ht="19.5" customHeight="1" x14ac:dyDescent="0.25">
      <c r="A214" s="242">
        <f>IF(ISBLANK(C214),"",(Report_Date-C214)/30)</f>
        <v>45.766666666666666</v>
      </c>
      <c r="B214" s="242">
        <f>YEAR(Data_NFI_t[[#This Row],[Distribution Date]])</f>
        <v>2013</v>
      </c>
      <c r="C214" s="927">
        <v>41422</v>
      </c>
      <c r="D214" s="489" t="s">
        <v>285</v>
      </c>
      <c r="E214" s="488" t="s">
        <v>285</v>
      </c>
      <c r="F214" s="489" t="s">
        <v>7</v>
      </c>
      <c r="G214" s="794" t="s">
        <v>19</v>
      </c>
      <c r="H214" s="794" t="s">
        <v>76</v>
      </c>
      <c r="I214" s="794"/>
      <c r="J214" s="51"/>
      <c r="K214" s="51"/>
      <c r="L214" s="51"/>
      <c r="M214" s="51">
        <v>358</v>
      </c>
      <c r="N214" s="51"/>
      <c r="O214" s="51"/>
      <c r="P214" s="51"/>
      <c r="Q214" s="51"/>
      <c r="R214" s="511"/>
      <c r="S214" s="51"/>
      <c r="T214" s="51"/>
      <c r="U214" s="51"/>
      <c r="V214" s="51"/>
      <c r="W214" s="131">
        <f>IF(NFI_Expiration=1,IF($A214&lt;VLOOKUP(I$5,NFI,5,0),1,0)*Data_NFI_t[[#This Row],[Hygiene Kit]],0)</f>
        <v>0</v>
      </c>
      <c r="X214" s="131">
        <f>IF(NFI_Expiration=1,IF($A214&lt;VLOOKUP(J$5,NFI,5,0),1,0)*Data_NFI_t[[#This Row],[NFI Core Kit]],0)</f>
        <v>0</v>
      </c>
      <c r="Y214" s="112">
        <f>IF(NFI_Expiration=1,IF($A214&lt;VLOOKUP(K$5,NFI,5,0),1,0)*Data_NFI_t[[#This Row],[Sanitary Kit]],0)</f>
        <v>0</v>
      </c>
      <c r="Z214" s="112">
        <f>IF(NFI_Expiration=1,IF($A214&lt;VLOOKUP(L$5,NFI,5,0),1,0)*Data_NFI_t[[#This Row],[Mosquito net]],0)</f>
        <v>0</v>
      </c>
      <c r="AA214" s="112">
        <f>IF(NFI_Expiration=1,IF($A214&lt;VLOOKUP(M$5,NFI,5,0),1,0)*Data_NFI_t[[#This Row],[Tarpaulin]],0)</f>
        <v>0</v>
      </c>
      <c r="AB214" s="112">
        <f>IF(NFI_Expiration=1,IF($A214&lt;VLOOKUP(N$5,NFI,5,0),1,0)*Data_NFI_t[[#This Row],[Blanket]],0)</f>
        <v>0</v>
      </c>
      <c r="AC214" s="112">
        <f>IF(NFI_Expiration=1,IF($A214&lt;VLOOKUP(O$5,NFI,5,0),1,0)*Data_NFI_t[[#This Row],[Kitchen Set]],0)</f>
        <v>0</v>
      </c>
      <c r="AD214" s="112">
        <f>IF(NFI_Expiration=1,IF($A214&lt;VLOOKUP(P$5,NFI,5,0),1,0)*Data_NFI_t[[#This Row],[Complementary Kit]],0)</f>
        <v>0</v>
      </c>
      <c r="AE214" s="112">
        <f>IF(NFI_Expiration=1,IF($A214&lt;VLOOKUP(Q$5,NFI,5,0),1,0)*Data_NFI_t[[#This Row],[Plastic Bucket]],0)</f>
        <v>0</v>
      </c>
      <c r="AF214" s="112">
        <f>IF(NFI_Expiration=1,IF($A214&lt;VLOOKUP(R$5,NFI,5,0),1,0)*Data_NFI_t[[#This Row],[Jerry Can]],0)</f>
        <v>0</v>
      </c>
      <c r="AG214" s="131">
        <f>IF(NFI_Expiration=1,IF($A214&lt;VLOOKUP(S$5,NFI,5,0),1,0)*Data_NFI_t[[#This Row],[Plastic Mat]],0)*IF(Data_NFI_t[[#This Row],[Distribution Date]]&gt;"01-06-2015",1,2.5)</f>
        <v>0</v>
      </c>
      <c r="AH214" s="915">
        <f>IF(NFI_Expiration=1,IF($A214&lt;VLOOKUP(T$5,NFI,5,0),1,0)*Data_NFI_t[[#This Row],[Adult Clothes]],0)</f>
        <v>0</v>
      </c>
      <c r="AI214" s="131">
        <f>IF(NFI_Expiration=1,IF($A214&lt;VLOOKUP(U$5,NFI,5,0),1,0)*Data_NFI_t[[#This Row],[Children Clothes]],0)</f>
        <v>0</v>
      </c>
      <c r="AJ214" s="131">
        <f>IF(NFI_Expiration=1,IF($A214&lt;VLOOKUP(V$5,NFI,5,0),1,0)*Data_NFI_t[[#This Row],[Sewing Kit]],0)</f>
        <v>0</v>
      </c>
      <c r="AK214" s="131" t="str">
        <f ca="1">IFERROR(OFFSET(Camp_List[P_Code],MATCH(Data_NFI_t[[#This Row],[Camp Name]],Camp_List[Camp Name],0)-1,0,1,1),"")</f>
        <v>MMR012CMP054</v>
      </c>
      <c r="AL214" s="513" t="str">
        <f ca="1">IFERROR(OFFSET(Camp_List[Status],MATCH(Data_NFI_t[[#This Row],[Camp Name]],Camp_List[Camp Name],0)-1,0,1,1),"")</f>
        <v>Close</v>
      </c>
      <c r="AM214" s="131"/>
    </row>
    <row r="215" spans="1:39" s="90" customFormat="1" ht="19.5" customHeight="1" x14ac:dyDescent="0.25">
      <c r="A215" s="242">
        <f>IF(ISBLANK(C215),"",(Report_Date-C215)/30)</f>
        <v>45.8</v>
      </c>
      <c r="B215" s="242">
        <f>YEAR(Data_NFI_t[[#This Row],[Distribution Date]])</f>
        <v>2013</v>
      </c>
      <c r="C215" s="927">
        <v>41421</v>
      </c>
      <c r="D215" s="489" t="s">
        <v>285</v>
      </c>
      <c r="E215" s="488" t="s">
        <v>285</v>
      </c>
      <c r="F215" s="489" t="s">
        <v>7</v>
      </c>
      <c r="G215" s="794" t="s">
        <v>19</v>
      </c>
      <c r="H215" s="794" t="s">
        <v>71</v>
      </c>
      <c r="I215" s="794"/>
      <c r="J215" s="51"/>
      <c r="K215" s="51"/>
      <c r="L215" s="51"/>
      <c r="M215" s="51">
        <v>246</v>
      </c>
      <c r="N215" s="51"/>
      <c r="O215" s="51"/>
      <c r="P215" s="51"/>
      <c r="Q215" s="51"/>
      <c r="R215" s="511"/>
      <c r="S215" s="51"/>
      <c r="T215" s="51"/>
      <c r="U215" s="51"/>
      <c r="V215" s="51"/>
      <c r="W215" s="131">
        <f>IF(NFI_Expiration=1,IF($A215&lt;VLOOKUP(I$5,NFI,5,0),1,0)*Data_NFI_t[[#This Row],[Hygiene Kit]],0)</f>
        <v>0</v>
      </c>
      <c r="X215" s="131">
        <f>IF(NFI_Expiration=1,IF($A215&lt;VLOOKUP(J$5,NFI,5,0),1,0)*Data_NFI_t[[#This Row],[NFI Core Kit]],0)</f>
        <v>0</v>
      </c>
      <c r="Y215" s="112">
        <f>IF(NFI_Expiration=1,IF($A215&lt;VLOOKUP(K$5,NFI,5,0),1,0)*Data_NFI_t[[#This Row],[Sanitary Kit]],0)</f>
        <v>0</v>
      </c>
      <c r="Z215" s="112">
        <f>IF(NFI_Expiration=1,IF($A215&lt;VLOOKUP(L$5,NFI,5,0),1,0)*Data_NFI_t[[#This Row],[Mosquito net]],0)</f>
        <v>0</v>
      </c>
      <c r="AA215" s="112">
        <f>IF(NFI_Expiration=1,IF($A215&lt;VLOOKUP(M$5,NFI,5,0),1,0)*Data_NFI_t[[#This Row],[Tarpaulin]],0)</f>
        <v>0</v>
      </c>
      <c r="AB215" s="112">
        <f>IF(NFI_Expiration=1,IF($A215&lt;VLOOKUP(N$5,NFI,5,0),1,0)*Data_NFI_t[[#This Row],[Blanket]],0)</f>
        <v>0</v>
      </c>
      <c r="AC215" s="112">
        <f>IF(NFI_Expiration=1,IF($A215&lt;VLOOKUP(O$5,NFI,5,0),1,0)*Data_NFI_t[[#This Row],[Kitchen Set]],0)</f>
        <v>0</v>
      </c>
      <c r="AD215" s="112">
        <f>IF(NFI_Expiration=1,IF($A215&lt;VLOOKUP(P$5,NFI,5,0),1,0)*Data_NFI_t[[#This Row],[Complementary Kit]],0)</f>
        <v>0</v>
      </c>
      <c r="AE215" s="112">
        <f>IF(NFI_Expiration=1,IF($A215&lt;VLOOKUP(Q$5,NFI,5,0),1,0)*Data_NFI_t[[#This Row],[Plastic Bucket]],0)</f>
        <v>0</v>
      </c>
      <c r="AF215" s="112">
        <f>IF(NFI_Expiration=1,IF($A215&lt;VLOOKUP(R$5,NFI,5,0),1,0)*Data_NFI_t[[#This Row],[Jerry Can]],0)</f>
        <v>0</v>
      </c>
      <c r="AG215" s="131">
        <f>IF(NFI_Expiration=1,IF($A215&lt;VLOOKUP(S$5,NFI,5,0),1,0)*Data_NFI_t[[#This Row],[Plastic Mat]],0)*IF(Data_NFI_t[[#This Row],[Distribution Date]]&gt;"01-06-2015",1,2.5)</f>
        <v>0</v>
      </c>
      <c r="AH215" s="915">
        <f>IF(NFI_Expiration=1,IF($A215&lt;VLOOKUP(T$5,NFI,5,0),1,0)*Data_NFI_t[[#This Row],[Adult Clothes]],0)</f>
        <v>0</v>
      </c>
      <c r="AI215" s="131">
        <f>IF(NFI_Expiration=1,IF($A215&lt;VLOOKUP(U$5,NFI,5,0),1,0)*Data_NFI_t[[#This Row],[Children Clothes]],0)</f>
        <v>0</v>
      </c>
      <c r="AJ215" s="131">
        <f>IF(NFI_Expiration=1,IF($A215&lt;VLOOKUP(V$5,NFI,5,0),1,0)*Data_NFI_t[[#This Row],[Sewing Kit]],0)</f>
        <v>0</v>
      </c>
      <c r="AK215" s="131" t="str">
        <f ca="1">IFERROR(OFFSET(Camp_List[P_Code],MATCH(Data_NFI_t[[#This Row],[Camp Name]],Camp_List[Camp Name],0)-1,0,1,1),"")</f>
        <v>MMR012CMP049</v>
      </c>
      <c r="AL215" s="513" t="str">
        <f ca="1">IFERROR(OFFSET(Camp_List[Status],MATCH(Data_NFI_t[[#This Row],[Camp Name]],Camp_List[Camp Name],0)-1,0,1,1),"")</f>
        <v>Close</v>
      </c>
      <c r="AM215" s="131"/>
    </row>
    <row r="216" spans="1:39" s="90" customFormat="1" ht="19.5" customHeight="1" x14ac:dyDescent="0.25">
      <c r="A216" s="242">
        <f>IF(ISBLANK(C216),"",(Report_Date-C216)/30)</f>
        <v>45.8</v>
      </c>
      <c r="B216" s="242">
        <f>YEAR(Data_NFI_t[[#This Row],[Distribution Date]])</f>
        <v>2013</v>
      </c>
      <c r="C216" s="927">
        <v>41421</v>
      </c>
      <c r="D216" s="489" t="s">
        <v>285</v>
      </c>
      <c r="E216" s="488"/>
      <c r="F216" s="489" t="s">
        <v>7</v>
      </c>
      <c r="G216" s="794" t="s">
        <v>19</v>
      </c>
      <c r="H216" s="794" t="s">
        <v>64</v>
      </c>
      <c r="I216" s="794"/>
      <c r="J216" s="51"/>
      <c r="K216" s="51"/>
      <c r="L216" s="51"/>
      <c r="M216" s="51">
        <v>86</v>
      </c>
      <c r="N216" s="51"/>
      <c r="O216" s="51"/>
      <c r="P216" s="51"/>
      <c r="Q216" s="51"/>
      <c r="R216" s="511"/>
      <c r="S216" s="51"/>
      <c r="T216" s="51"/>
      <c r="U216" s="51"/>
      <c r="V216" s="51"/>
      <c r="W216" s="131">
        <f>IF(NFI_Expiration=1,IF($A216&lt;VLOOKUP(I$5,NFI,5,0),1,0)*Data_NFI_t[[#This Row],[Hygiene Kit]],0)</f>
        <v>0</v>
      </c>
      <c r="X216" s="131">
        <f>IF(NFI_Expiration=1,IF($A216&lt;VLOOKUP(J$5,NFI,5,0),1,0)*Data_NFI_t[[#This Row],[NFI Core Kit]],0)</f>
        <v>0</v>
      </c>
      <c r="Y216" s="112">
        <f>IF(NFI_Expiration=1,IF($A216&lt;VLOOKUP(K$5,NFI,5,0),1,0)*Data_NFI_t[[#This Row],[Sanitary Kit]],0)</f>
        <v>0</v>
      </c>
      <c r="Z216" s="112">
        <f>IF(NFI_Expiration=1,IF($A216&lt;VLOOKUP(L$5,NFI,5,0),1,0)*Data_NFI_t[[#This Row],[Mosquito net]],0)</f>
        <v>0</v>
      </c>
      <c r="AA216" s="112">
        <f>IF(NFI_Expiration=1,IF($A216&lt;VLOOKUP(M$5,NFI,5,0),1,0)*Data_NFI_t[[#This Row],[Tarpaulin]],0)</f>
        <v>0</v>
      </c>
      <c r="AB216" s="112">
        <f>IF(NFI_Expiration=1,IF($A216&lt;VLOOKUP(N$5,NFI,5,0),1,0)*Data_NFI_t[[#This Row],[Blanket]],0)</f>
        <v>0</v>
      </c>
      <c r="AC216" s="112">
        <f>IF(NFI_Expiration=1,IF($A216&lt;VLOOKUP(O$5,NFI,5,0),1,0)*Data_NFI_t[[#This Row],[Kitchen Set]],0)</f>
        <v>0</v>
      </c>
      <c r="AD216" s="112">
        <f>IF(NFI_Expiration=1,IF($A216&lt;VLOOKUP(P$5,NFI,5,0),1,0)*Data_NFI_t[[#This Row],[Complementary Kit]],0)</f>
        <v>0</v>
      </c>
      <c r="AE216" s="112">
        <f>IF(NFI_Expiration=1,IF($A216&lt;VLOOKUP(Q$5,NFI,5,0),1,0)*Data_NFI_t[[#This Row],[Plastic Bucket]],0)</f>
        <v>0</v>
      </c>
      <c r="AF216" s="112">
        <f>IF(NFI_Expiration=1,IF($A216&lt;VLOOKUP(R$5,NFI,5,0),1,0)*Data_NFI_t[[#This Row],[Jerry Can]],0)</f>
        <v>0</v>
      </c>
      <c r="AG216" s="131">
        <f>IF(NFI_Expiration=1,IF($A216&lt;VLOOKUP(S$5,NFI,5,0),1,0)*Data_NFI_t[[#This Row],[Plastic Mat]],0)*IF(Data_NFI_t[[#This Row],[Distribution Date]]&gt;"01-06-2015",1,2.5)</f>
        <v>0</v>
      </c>
      <c r="AH216" s="915">
        <f>IF(NFI_Expiration=1,IF($A216&lt;VLOOKUP(T$5,NFI,5,0),1,0)*Data_NFI_t[[#This Row],[Adult Clothes]],0)</f>
        <v>0</v>
      </c>
      <c r="AI216" s="131">
        <f>IF(NFI_Expiration=1,IF($A216&lt;VLOOKUP(U$5,NFI,5,0),1,0)*Data_NFI_t[[#This Row],[Children Clothes]],0)</f>
        <v>0</v>
      </c>
      <c r="AJ216" s="131">
        <f>IF(NFI_Expiration=1,IF($A216&lt;VLOOKUP(V$5,NFI,5,0),1,0)*Data_NFI_t[[#This Row],[Sewing Kit]],0)</f>
        <v>0</v>
      </c>
      <c r="AK216" s="131" t="str">
        <f ca="1">IFERROR(OFFSET(Camp_List[P_Code],MATCH(Data_NFI_t[[#This Row],[Camp Name]],Camp_List[Camp Name],0)-1,0,1,1),"")</f>
        <v>MMR012CMP042</v>
      </c>
      <c r="AL216" s="513" t="str">
        <f ca="1">IFERROR(OFFSET(Camp_List[Status],MATCH(Data_NFI_t[[#This Row],[Camp Name]],Camp_List[Camp Name],0)-1,0,1,1),"")</f>
        <v>Open</v>
      </c>
      <c r="AM216" s="131"/>
    </row>
    <row r="217" spans="1:39" s="90" customFormat="1" ht="19.5" customHeight="1" x14ac:dyDescent="0.25">
      <c r="A217" s="242">
        <f>IF(ISBLANK(C217),"",(Report_Date-C217)/30)</f>
        <v>45.93333333333333</v>
      </c>
      <c r="B217" s="242">
        <f>YEAR(Data_NFI_t[[#This Row],[Distribution Date]])</f>
        <v>2013</v>
      </c>
      <c r="C217" s="927">
        <v>41417</v>
      </c>
      <c r="D217" s="489" t="s">
        <v>515</v>
      </c>
      <c r="E217" s="488" t="s">
        <v>515</v>
      </c>
      <c r="F217" s="489" t="s">
        <v>7</v>
      </c>
      <c r="G217" s="794" t="s">
        <v>19</v>
      </c>
      <c r="H217" s="794" t="s">
        <v>70</v>
      </c>
      <c r="I217" s="794">
        <v>4795</v>
      </c>
      <c r="J217" s="51"/>
      <c r="K217" s="51"/>
      <c r="L217" s="51"/>
      <c r="M217" s="51"/>
      <c r="N217" s="51"/>
      <c r="O217" s="51"/>
      <c r="P217" s="51"/>
      <c r="Q217" s="51"/>
      <c r="R217" s="511"/>
      <c r="S217" s="51"/>
      <c r="T217" s="51"/>
      <c r="U217" s="51"/>
      <c r="V217" s="51"/>
      <c r="W217" s="131">
        <f>IF(NFI_Expiration=1,IF($A217&lt;VLOOKUP(I$5,NFI,5,0),1,0)*Data_NFI_t[[#This Row],[Hygiene Kit]],0)</f>
        <v>0</v>
      </c>
      <c r="X217" s="131">
        <f>IF(NFI_Expiration=1,IF($A217&lt;VLOOKUP(J$5,NFI,5,0),1,0)*Data_NFI_t[[#This Row],[NFI Core Kit]],0)</f>
        <v>0</v>
      </c>
      <c r="Y217" s="112">
        <f>IF(NFI_Expiration=1,IF($A217&lt;VLOOKUP(K$5,NFI,5,0),1,0)*Data_NFI_t[[#This Row],[Sanitary Kit]],0)</f>
        <v>0</v>
      </c>
      <c r="Z217" s="112">
        <f>IF(NFI_Expiration=1,IF($A217&lt;VLOOKUP(L$5,NFI,5,0),1,0)*Data_NFI_t[[#This Row],[Mosquito net]],0)</f>
        <v>0</v>
      </c>
      <c r="AA217" s="112">
        <f>IF(NFI_Expiration=1,IF($A217&lt;VLOOKUP(M$5,NFI,5,0),1,0)*Data_NFI_t[[#This Row],[Tarpaulin]],0)</f>
        <v>0</v>
      </c>
      <c r="AB217" s="112">
        <f>IF(NFI_Expiration=1,IF($A217&lt;VLOOKUP(N$5,NFI,5,0),1,0)*Data_NFI_t[[#This Row],[Blanket]],0)</f>
        <v>0</v>
      </c>
      <c r="AC217" s="112">
        <f>IF(NFI_Expiration=1,IF($A217&lt;VLOOKUP(O$5,NFI,5,0),1,0)*Data_NFI_t[[#This Row],[Kitchen Set]],0)</f>
        <v>0</v>
      </c>
      <c r="AD217" s="112">
        <f>IF(NFI_Expiration=1,IF($A217&lt;VLOOKUP(P$5,NFI,5,0),1,0)*Data_NFI_t[[#This Row],[Complementary Kit]],0)</f>
        <v>0</v>
      </c>
      <c r="AE217" s="112">
        <f>IF(NFI_Expiration=1,IF($A217&lt;VLOOKUP(Q$5,NFI,5,0),1,0)*Data_NFI_t[[#This Row],[Plastic Bucket]],0)</f>
        <v>0</v>
      </c>
      <c r="AF217" s="112">
        <f>IF(NFI_Expiration=1,IF($A217&lt;VLOOKUP(R$5,NFI,5,0),1,0)*Data_NFI_t[[#This Row],[Jerry Can]],0)</f>
        <v>0</v>
      </c>
      <c r="AG217" s="131">
        <f>IF(NFI_Expiration=1,IF($A217&lt;VLOOKUP(S$5,NFI,5,0),1,0)*Data_NFI_t[[#This Row],[Plastic Mat]],0)*IF(Data_NFI_t[[#This Row],[Distribution Date]]&gt;"01-06-2015",1,2.5)</f>
        <v>0</v>
      </c>
      <c r="AH217" s="915">
        <f>IF(NFI_Expiration=1,IF($A217&lt;VLOOKUP(T$5,NFI,5,0),1,0)*Data_NFI_t[[#This Row],[Adult Clothes]],0)</f>
        <v>0</v>
      </c>
      <c r="AI217" s="131">
        <f>IF(NFI_Expiration=1,IF($A217&lt;VLOOKUP(U$5,NFI,5,0),1,0)*Data_NFI_t[[#This Row],[Children Clothes]],0)</f>
        <v>0</v>
      </c>
      <c r="AJ217" s="131">
        <f>IF(NFI_Expiration=1,IF($A217&lt;VLOOKUP(V$5,NFI,5,0),1,0)*Data_NFI_t[[#This Row],[Sewing Kit]],0)</f>
        <v>0</v>
      </c>
      <c r="AK217" s="131" t="str">
        <f ca="1">IFERROR(OFFSET(Camp_List[P_Code],MATCH(Data_NFI_t[[#This Row],[Camp Name]],Camp_List[Camp Name],0)-1,0,1,1),"")</f>
        <v>MMR012CMP048</v>
      </c>
      <c r="AL217" s="513" t="str">
        <f ca="1">IFERROR(OFFSET(Camp_List[Status],MATCH(Data_NFI_t[[#This Row],[Camp Name]],Camp_List[Camp Name],0)-1,0,1,1),"")</f>
        <v>Open</v>
      </c>
      <c r="AM217" s="131"/>
    </row>
    <row r="218" spans="1:39" s="90" customFormat="1" ht="19.5" customHeight="1" x14ac:dyDescent="0.25">
      <c r="A218" s="242">
        <f>IF(ISBLANK(C218),"",(Report_Date-C218)/30)</f>
        <v>45.966666666666669</v>
      </c>
      <c r="B218" s="242">
        <f>YEAR(Data_NFI_t[[#This Row],[Distribution Date]])</f>
        <v>2013</v>
      </c>
      <c r="C218" s="927">
        <v>41416</v>
      </c>
      <c r="D218" s="489" t="s">
        <v>515</v>
      </c>
      <c r="E218" s="488" t="s">
        <v>515</v>
      </c>
      <c r="F218" s="489" t="s">
        <v>7</v>
      </c>
      <c r="G218" s="794" t="s">
        <v>14</v>
      </c>
      <c r="H218" s="794" t="s">
        <v>42</v>
      </c>
      <c r="I218" s="794">
        <v>903</v>
      </c>
      <c r="J218" s="51"/>
      <c r="K218" s="51"/>
      <c r="L218" s="51"/>
      <c r="M218" s="51"/>
      <c r="N218" s="51"/>
      <c r="O218" s="51"/>
      <c r="P218" s="51"/>
      <c r="Q218" s="51"/>
      <c r="R218" s="511"/>
      <c r="S218" s="51"/>
      <c r="T218" s="51"/>
      <c r="U218" s="51"/>
      <c r="V218" s="51"/>
      <c r="W218" s="131">
        <f>IF(NFI_Expiration=1,IF($A218&lt;VLOOKUP(I$5,NFI,5,0),1,0)*Data_NFI_t[[#This Row],[Hygiene Kit]],0)</f>
        <v>0</v>
      </c>
      <c r="X218" s="131">
        <f>IF(NFI_Expiration=1,IF($A218&lt;VLOOKUP(J$5,NFI,5,0),1,0)*Data_NFI_t[[#This Row],[NFI Core Kit]],0)</f>
        <v>0</v>
      </c>
      <c r="Y218" s="112">
        <f>IF(NFI_Expiration=1,IF($A218&lt;VLOOKUP(K$5,NFI,5,0),1,0)*Data_NFI_t[[#This Row],[Sanitary Kit]],0)</f>
        <v>0</v>
      </c>
      <c r="Z218" s="112">
        <f>IF(NFI_Expiration=1,IF($A218&lt;VLOOKUP(L$5,NFI,5,0),1,0)*Data_NFI_t[[#This Row],[Mosquito net]],0)</f>
        <v>0</v>
      </c>
      <c r="AA218" s="112">
        <f>IF(NFI_Expiration=1,IF($A218&lt;VLOOKUP(M$5,NFI,5,0),1,0)*Data_NFI_t[[#This Row],[Tarpaulin]],0)</f>
        <v>0</v>
      </c>
      <c r="AB218" s="112">
        <f>IF(NFI_Expiration=1,IF($A218&lt;VLOOKUP(N$5,NFI,5,0),1,0)*Data_NFI_t[[#This Row],[Blanket]],0)</f>
        <v>0</v>
      </c>
      <c r="AC218" s="112">
        <f>IF(NFI_Expiration=1,IF($A218&lt;VLOOKUP(O$5,NFI,5,0),1,0)*Data_NFI_t[[#This Row],[Kitchen Set]],0)</f>
        <v>0</v>
      </c>
      <c r="AD218" s="112">
        <f>IF(NFI_Expiration=1,IF($A218&lt;VLOOKUP(P$5,NFI,5,0),1,0)*Data_NFI_t[[#This Row],[Complementary Kit]],0)</f>
        <v>0</v>
      </c>
      <c r="AE218" s="112">
        <f>IF(NFI_Expiration=1,IF($A218&lt;VLOOKUP(Q$5,NFI,5,0),1,0)*Data_NFI_t[[#This Row],[Plastic Bucket]],0)</f>
        <v>0</v>
      </c>
      <c r="AF218" s="112">
        <f>IF(NFI_Expiration=1,IF($A218&lt;VLOOKUP(R$5,NFI,5,0),1,0)*Data_NFI_t[[#This Row],[Jerry Can]],0)</f>
        <v>0</v>
      </c>
      <c r="AG218" s="131">
        <f>IF(NFI_Expiration=1,IF($A218&lt;VLOOKUP(S$5,NFI,5,0),1,0)*Data_NFI_t[[#This Row],[Plastic Mat]],0)*IF(Data_NFI_t[[#This Row],[Distribution Date]]&gt;"01-06-2015",1,2.5)</f>
        <v>0</v>
      </c>
      <c r="AH218" s="915">
        <f>IF(NFI_Expiration=1,IF($A218&lt;VLOOKUP(T$5,NFI,5,0),1,0)*Data_NFI_t[[#This Row],[Adult Clothes]],0)</f>
        <v>0</v>
      </c>
      <c r="AI218" s="131">
        <f>IF(NFI_Expiration=1,IF($A218&lt;VLOOKUP(U$5,NFI,5,0),1,0)*Data_NFI_t[[#This Row],[Children Clothes]],0)</f>
        <v>0</v>
      </c>
      <c r="AJ218" s="131">
        <f>IF(NFI_Expiration=1,IF($A218&lt;VLOOKUP(V$5,NFI,5,0),1,0)*Data_NFI_t[[#This Row],[Sewing Kit]],0)</f>
        <v>0</v>
      </c>
      <c r="AK218" s="131" t="str">
        <f ca="1">IFERROR(OFFSET(Camp_List[P_Code],MATCH(Data_NFI_t[[#This Row],[Camp Name]],Camp_List[Camp Name],0)-1,0,1,1),"")</f>
        <v>MMR012CMP018</v>
      </c>
      <c r="AL218" s="513" t="str">
        <f ca="1">IFERROR(OFFSET(Camp_List[Status],MATCH(Data_NFI_t[[#This Row],[Camp Name]],Camp_List[Camp Name],0)-1,0,1,1),"")</f>
        <v>Open</v>
      </c>
      <c r="AM218" s="131"/>
    </row>
    <row r="219" spans="1:39" s="90" customFormat="1" ht="19.5" customHeight="1" x14ac:dyDescent="0.25">
      <c r="A219" s="242">
        <f>IF(ISBLANK(C219),"",(Report_Date-C219)/30)</f>
        <v>46.7</v>
      </c>
      <c r="B219" s="242">
        <f>YEAR(Data_NFI_t[[#This Row],[Distribution Date]])</f>
        <v>2013</v>
      </c>
      <c r="C219" s="927">
        <v>41394</v>
      </c>
      <c r="D219" s="489" t="s">
        <v>285</v>
      </c>
      <c r="E219" s="488"/>
      <c r="F219" s="489" t="s">
        <v>7</v>
      </c>
      <c r="G219" s="794" t="s">
        <v>14</v>
      </c>
      <c r="H219" s="794"/>
      <c r="I219" s="794"/>
      <c r="J219" s="51"/>
      <c r="K219" s="51"/>
      <c r="L219" s="51"/>
      <c r="M219" s="51"/>
      <c r="N219" s="51">
        <v>1</v>
      </c>
      <c r="O219" s="51"/>
      <c r="P219" s="51"/>
      <c r="Q219" s="51"/>
      <c r="R219" s="511"/>
      <c r="S219" s="51"/>
      <c r="T219" s="51"/>
      <c r="U219" s="51"/>
      <c r="V219" s="51"/>
      <c r="W219" s="131">
        <f>IF(NFI_Expiration=1,IF($A219&lt;VLOOKUP(I$5,NFI,5,0),1,0)*Data_NFI_t[[#This Row],[Hygiene Kit]],0)</f>
        <v>0</v>
      </c>
      <c r="X219" s="131">
        <f>IF(NFI_Expiration=1,IF($A219&lt;VLOOKUP(J$5,NFI,5,0),1,0)*Data_NFI_t[[#This Row],[NFI Core Kit]],0)</f>
        <v>0</v>
      </c>
      <c r="Y219" s="112">
        <f>IF(NFI_Expiration=1,IF($A219&lt;VLOOKUP(K$5,NFI,5,0),1,0)*Data_NFI_t[[#This Row],[Sanitary Kit]],0)</f>
        <v>0</v>
      </c>
      <c r="Z219" s="112">
        <f>IF(NFI_Expiration=1,IF($A219&lt;VLOOKUP(L$5,NFI,5,0),1,0)*Data_NFI_t[[#This Row],[Mosquito net]],0)</f>
        <v>0</v>
      </c>
      <c r="AA219" s="112">
        <f>IF(NFI_Expiration=1,IF($A219&lt;VLOOKUP(M$5,NFI,5,0),1,0)*Data_NFI_t[[#This Row],[Tarpaulin]],0)</f>
        <v>0</v>
      </c>
      <c r="AB219" s="112">
        <f>IF(NFI_Expiration=1,IF($A219&lt;VLOOKUP(N$5,NFI,5,0),1,0)*Data_NFI_t[[#This Row],[Blanket]],0)</f>
        <v>0</v>
      </c>
      <c r="AC219" s="112">
        <f>IF(NFI_Expiration=1,IF($A219&lt;VLOOKUP(O$5,NFI,5,0),1,0)*Data_NFI_t[[#This Row],[Kitchen Set]],0)</f>
        <v>0</v>
      </c>
      <c r="AD219" s="112">
        <f>IF(NFI_Expiration=1,IF($A219&lt;VLOOKUP(P$5,NFI,5,0),1,0)*Data_NFI_t[[#This Row],[Complementary Kit]],0)</f>
        <v>0</v>
      </c>
      <c r="AE219" s="112">
        <f>IF(NFI_Expiration=1,IF($A219&lt;VLOOKUP(Q$5,NFI,5,0),1,0)*Data_NFI_t[[#This Row],[Plastic Bucket]],0)</f>
        <v>0</v>
      </c>
      <c r="AF219" s="112">
        <f>IF(NFI_Expiration=1,IF($A219&lt;VLOOKUP(R$5,NFI,5,0),1,0)*Data_NFI_t[[#This Row],[Jerry Can]],0)</f>
        <v>0</v>
      </c>
      <c r="AG219" s="131">
        <f>IF(NFI_Expiration=1,IF($A219&lt;VLOOKUP(S$5,NFI,5,0),1,0)*Data_NFI_t[[#This Row],[Plastic Mat]],0)*IF(Data_NFI_t[[#This Row],[Distribution Date]]&gt;"01-06-2015",1,2.5)</f>
        <v>0</v>
      </c>
      <c r="AH219" s="915">
        <f>IF(NFI_Expiration=1,IF($A219&lt;VLOOKUP(T$5,NFI,5,0),1,0)*Data_NFI_t[[#This Row],[Adult Clothes]],0)</f>
        <v>0</v>
      </c>
      <c r="AI219" s="131">
        <f>IF(NFI_Expiration=1,IF($A219&lt;VLOOKUP(U$5,NFI,5,0),1,0)*Data_NFI_t[[#This Row],[Children Clothes]],0)</f>
        <v>0</v>
      </c>
      <c r="AJ219" s="131">
        <f>IF(NFI_Expiration=1,IF($A219&lt;VLOOKUP(V$5,NFI,5,0),1,0)*Data_NFI_t[[#This Row],[Sewing Kit]],0)</f>
        <v>0</v>
      </c>
      <c r="AK219" s="131" t="str">
        <f ca="1">IFERROR(OFFSET(Camp_List[P_Code],MATCH(Data_NFI_t[[#This Row],[Camp Name]],Camp_List[Camp Name],0)-1,0,1,1),"")</f>
        <v/>
      </c>
      <c r="AL219" s="513" t="str">
        <f ca="1">IFERROR(OFFSET(Camp_List[Status],MATCH(Data_NFI_t[[#This Row],[Camp Name]],Camp_List[Camp Name],0)-1,0,1,1),"")</f>
        <v/>
      </c>
      <c r="AM219" s="131"/>
    </row>
    <row r="220" spans="1:39" s="90" customFormat="1" ht="19.5" customHeight="1" x14ac:dyDescent="0.25">
      <c r="A220" s="242">
        <f>IF(ISBLANK(C220),"",(Report_Date-C220)/30)</f>
        <v>46.733333333333334</v>
      </c>
      <c r="B220" s="242">
        <f>YEAR(Data_NFI_t[[#This Row],[Distribution Date]])</f>
        <v>2013</v>
      </c>
      <c r="C220" s="927">
        <v>41393</v>
      </c>
      <c r="D220" s="489" t="s">
        <v>285</v>
      </c>
      <c r="E220" s="488"/>
      <c r="F220" s="489" t="s">
        <v>7</v>
      </c>
      <c r="G220" s="794" t="s">
        <v>16</v>
      </c>
      <c r="H220" s="794" t="s">
        <v>55</v>
      </c>
      <c r="I220" s="794">
        <v>0</v>
      </c>
      <c r="J220" s="51">
        <v>64</v>
      </c>
      <c r="K220" s="51"/>
      <c r="L220" s="51">
        <v>128</v>
      </c>
      <c r="M220" s="51">
        <v>64</v>
      </c>
      <c r="N220" s="51">
        <v>128</v>
      </c>
      <c r="O220" s="51">
        <v>64</v>
      </c>
      <c r="P220" s="51">
        <v>64</v>
      </c>
      <c r="Q220" s="51">
        <v>64</v>
      </c>
      <c r="R220" s="511"/>
      <c r="S220" s="51">
        <v>128</v>
      </c>
      <c r="T220" s="51"/>
      <c r="U220" s="51"/>
      <c r="V220" s="51"/>
      <c r="W220" s="131">
        <f>IF(NFI_Expiration=1,IF($A220&lt;VLOOKUP(I$5,NFI,5,0),1,0)*Data_NFI_t[[#This Row],[Hygiene Kit]],0)</f>
        <v>0</v>
      </c>
      <c r="X220" s="131">
        <f>IF(NFI_Expiration=1,IF($A220&lt;VLOOKUP(J$5,NFI,5,0),1,0)*Data_NFI_t[[#This Row],[NFI Core Kit]],0)</f>
        <v>0</v>
      </c>
      <c r="Y220" s="112">
        <f>IF(NFI_Expiration=1,IF($A220&lt;VLOOKUP(K$5,NFI,5,0),1,0)*Data_NFI_t[[#This Row],[Sanitary Kit]],0)</f>
        <v>0</v>
      </c>
      <c r="Z220" s="112">
        <f>IF(NFI_Expiration=1,IF($A220&lt;VLOOKUP(L$5,NFI,5,0),1,0)*Data_NFI_t[[#This Row],[Mosquito net]],0)</f>
        <v>0</v>
      </c>
      <c r="AA220" s="112">
        <f>IF(NFI_Expiration=1,IF($A220&lt;VLOOKUP(M$5,NFI,5,0),1,0)*Data_NFI_t[[#This Row],[Tarpaulin]],0)</f>
        <v>0</v>
      </c>
      <c r="AB220" s="112">
        <f>IF(NFI_Expiration=1,IF($A220&lt;VLOOKUP(N$5,NFI,5,0),1,0)*Data_NFI_t[[#This Row],[Blanket]],0)</f>
        <v>0</v>
      </c>
      <c r="AC220" s="112">
        <f>IF(NFI_Expiration=1,IF($A220&lt;VLOOKUP(O$5,NFI,5,0),1,0)*Data_NFI_t[[#This Row],[Kitchen Set]],0)</f>
        <v>0</v>
      </c>
      <c r="AD220" s="112">
        <f>IF(NFI_Expiration=1,IF($A220&lt;VLOOKUP(P$5,NFI,5,0),1,0)*Data_NFI_t[[#This Row],[Complementary Kit]],0)</f>
        <v>0</v>
      </c>
      <c r="AE220" s="112">
        <f>IF(NFI_Expiration=1,IF($A220&lt;VLOOKUP(Q$5,NFI,5,0),1,0)*Data_NFI_t[[#This Row],[Plastic Bucket]],0)</f>
        <v>0</v>
      </c>
      <c r="AF220" s="112">
        <f>IF(NFI_Expiration=1,IF($A220&lt;VLOOKUP(R$5,NFI,5,0),1,0)*Data_NFI_t[[#This Row],[Jerry Can]],0)</f>
        <v>0</v>
      </c>
      <c r="AG220" s="131">
        <f>IF(NFI_Expiration=1,IF($A220&lt;VLOOKUP(S$5,NFI,5,0),1,0)*Data_NFI_t[[#This Row],[Plastic Mat]],0)*IF(Data_NFI_t[[#This Row],[Distribution Date]]&gt;"01-06-2015",1,2.5)</f>
        <v>0</v>
      </c>
      <c r="AH220" s="915">
        <f>IF(NFI_Expiration=1,IF($A220&lt;VLOOKUP(T$5,NFI,5,0),1,0)*Data_NFI_t[[#This Row],[Adult Clothes]],0)</f>
        <v>0</v>
      </c>
      <c r="AI220" s="131">
        <f>IF(NFI_Expiration=1,IF($A220&lt;VLOOKUP(U$5,NFI,5,0),1,0)*Data_NFI_t[[#This Row],[Children Clothes]],0)</f>
        <v>0</v>
      </c>
      <c r="AJ220" s="131">
        <f>IF(NFI_Expiration=1,IF($A220&lt;VLOOKUP(V$5,NFI,5,0),1,0)*Data_NFI_t[[#This Row],[Sewing Kit]],0)</f>
        <v>0</v>
      </c>
      <c r="AK220" s="131" t="str">
        <f ca="1">IFERROR(OFFSET(Camp_List[P_Code],MATCH(Data_NFI_t[[#This Row],[Camp Name]],Camp_List[Camp Name],0)-1,0,1,1),"")</f>
        <v>MMR012CMP031</v>
      </c>
      <c r="AL220" s="513" t="str">
        <f ca="1">IFERROR(OFFSET(Camp_List[Status],MATCH(Data_NFI_t[[#This Row],[Camp Name]],Camp_List[Camp Name],0)-1,0,1,1),"")</f>
        <v>Returned</v>
      </c>
      <c r="AM220" s="131"/>
    </row>
    <row r="221" spans="1:39" s="90" customFormat="1" ht="19.5" customHeight="1" x14ac:dyDescent="0.25">
      <c r="A221" s="242">
        <f>IF(ISBLANK(C221),"",(Report_Date-C221)/30)</f>
        <v>46.733333333333334</v>
      </c>
      <c r="B221" s="242">
        <f>YEAR(Data_NFI_t[[#This Row],[Distribution Date]])</f>
        <v>2013</v>
      </c>
      <c r="C221" s="927">
        <v>41393</v>
      </c>
      <c r="D221" s="489" t="s">
        <v>285</v>
      </c>
      <c r="E221" s="488"/>
      <c r="F221" s="489" t="s">
        <v>7</v>
      </c>
      <c r="G221" s="794" t="s">
        <v>16</v>
      </c>
      <c r="H221" s="794" t="s">
        <v>55</v>
      </c>
      <c r="I221" s="794">
        <v>0</v>
      </c>
      <c r="J221" s="51"/>
      <c r="K221" s="51">
        <v>128</v>
      </c>
      <c r="L221" s="51">
        <v>128</v>
      </c>
      <c r="M221" s="51">
        <v>64</v>
      </c>
      <c r="N221" s="51">
        <v>0</v>
      </c>
      <c r="O221" s="51"/>
      <c r="P221" s="51"/>
      <c r="Q221" s="51"/>
      <c r="R221" s="511"/>
      <c r="S221" s="51"/>
      <c r="T221" s="51"/>
      <c r="U221" s="51"/>
      <c r="V221" s="51"/>
      <c r="W221" s="131">
        <f>IF(NFI_Expiration=1,IF($A221&lt;VLOOKUP(I$5,NFI,5,0),1,0)*Data_NFI_t[[#This Row],[Hygiene Kit]],0)</f>
        <v>0</v>
      </c>
      <c r="X221" s="131">
        <f>IF(NFI_Expiration=1,IF($A221&lt;VLOOKUP(J$5,NFI,5,0),1,0)*Data_NFI_t[[#This Row],[NFI Core Kit]],0)</f>
        <v>0</v>
      </c>
      <c r="Y221" s="112">
        <f>IF(NFI_Expiration=1,IF($A221&lt;VLOOKUP(K$5,NFI,5,0),1,0)*Data_NFI_t[[#This Row],[Sanitary Kit]],0)</f>
        <v>0</v>
      </c>
      <c r="Z221" s="112">
        <f>IF(NFI_Expiration=1,IF($A221&lt;VLOOKUP(L$5,NFI,5,0),1,0)*Data_NFI_t[[#This Row],[Mosquito net]],0)</f>
        <v>0</v>
      </c>
      <c r="AA221" s="112">
        <f>IF(NFI_Expiration=1,IF($A221&lt;VLOOKUP(M$5,NFI,5,0),1,0)*Data_NFI_t[[#This Row],[Tarpaulin]],0)</f>
        <v>0</v>
      </c>
      <c r="AB221" s="112">
        <f>IF(NFI_Expiration=1,IF($A221&lt;VLOOKUP(N$5,NFI,5,0),1,0)*Data_NFI_t[[#This Row],[Blanket]],0)</f>
        <v>0</v>
      </c>
      <c r="AC221" s="112">
        <f>IF(NFI_Expiration=1,IF($A221&lt;VLOOKUP(O$5,NFI,5,0),1,0)*Data_NFI_t[[#This Row],[Kitchen Set]],0)</f>
        <v>0</v>
      </c>
      <c r="AD221" s="112">
        <f>IF(NFI_Expiration=1,IF($A221&lt;VLOOKUP(P$5,NFI,5,0),1,0)*Data_NFI_t[[#This Row],[Complementary Kit]],0)</f>
        <v>0</v>
      </c>
      <c r="AE221" s="112">
        <f>IF(NFI_Expiration=1,IF($A221&lt;VLOOKUP(Q$5,NFI,5,0),1,0)*Data_NFI_t[[#This Row],[Plastic Bucket]],0)</f>
        <v>0</v>
      </c>
      <c r="AF221" s="112">
        <f>IF(NFI_Expiration=1,IF($A221&lt;VLOOKUP(R$5,NFI,5,0),1,0)*Data_NFI_t[[#This Row],[Jerry Can]],0)</f>
        <v>0</v>
      </c>
      <c r="AG221" s="131">
        <f>IF(NFI_Expiration=1,IF($A221&lt;VLOOKUP(S$5,NFI,5,0),1,0)*Data_NFI_t[[#This Row],[Plastic Mat]],0)*IF(Data_NFI_t[[#This Row],[Distribution Date]]&gt;"01-06-2015",1,2.5)</f>
        <v>0</v>
      </c>
      <c r="AH221" s="915">
        <f>IF(NFI_Expiration=1,IF($A221&lt;VLOOKUP(T$5,NFI,5,0),1,0)*Data_NFI_t[[#This Row],[Adult Clothes]],0)</f>
        <v>0</v>
      </c>
      <c r="AI221" s="131">
        <f>IF(NFI_Expiration=1,IF($A221&lt;VLOOKUP(U$5,NFI,5,0),1,0)*Data_NFI_t[[#This Row],[Children Clothes]],0)</f>
        <v>0</v>
      </c>
      <c r="AJ221" s="131">
        <f>IF(NFI_Expiration=1,IF($A221&lt;VLOOKUP(V$5,NFI,5,0),1,0)*Data_NFI_t[[#This Row],[Sewing Kit]],0)</f>
        <v>0</v>
      </c>
      <c r="AK221" s="131" t="str">
        <f ca="1">IFERROR(OFFSET(Camp_List[P_Code],MATCH(Data_NFI_t[[#This Row],[Camp Name]],Camp_List[Camp Name],0)-1,0,1,1),"")</f>
        <v>MMR012CMP031</v>
      </c>
      <c r="AL221" s="513" t="str">
        <f ca="1">IFERROR(OFFSET(Camp_List[Status],MATCH(Data_NFI_t[[#This Row],[Camp Name]],Camp_List[Camp Name],0)-1,0,1,1),"")</f>
        <v>Returned</v>
      </c>
      <c r="AM221" s="131"/>
    </row>
    <row r="222" spans="1:39" s="90" customFormat="1" ht="19.5" customHeight="1" x14ac:dyDescent="0.25">
      <c r="A222" s="242">
        <f>IF(ISBLANK(C222),"",(Report_Date-C222)/30)</f>
        <v>46.833333333333336</v>
      </c>
      <c r="B222" s="242">
        <f>YEAR(Data_NFI_t[[#This Row],[Distribution Date]])</f>
        <v>2013</v>
      </c>
      <c r="C222" s="927">
        <v>41390</v>
      </c>
      <c r="D222" s="489" t="s">
        <v>515</v>
      </c>
      <c r="E222" s="488" t="s">
        <v>515</v>
      </c>
      <c r="F222" s="489" t="s">
        <v>7</v>
      </c>
      <c r="G222" s="794" t="s">
        <v>14</v>
      </c>
      <c r="H222" s="794" t="s">
        <v>42</v>
      </c>
      <c r="I222" s="794">
        <v>1028</v>
      </c>
      <c r="J222" s="51"/>
      <c r="K222" s="51"/>
      <c r="L222" s="51"/>
      <c r="M222" s="51"/>
      <c r="N222" s="51"/>
      <c r="O222" s="51"/>
      <c r="P222" s="51"/>
      <c r="Q222" s="51"/>
      <c r="R222" s="511"/>
      <c r="S222" s="51"/>
      <c r="T222" s="51"/>
      <c r="U222" s="51"/>
      <c r="V222" s="51"/>
      <c r="W222" s="131">
        <f>IF(NFI_Expiration=1,IF($A222&lt;VLOOKUP(I$5,NFI,5,0),1,0)*Data_NFI_t[[#This Row],[Hygiene Kit]],0)</f>
        <v>0</v>
      </c>
      <c r="X222" s="131">
        <f>IF(NFI_Expiration=1,IF($A222&lt;VLOOKUP(J$5,NFI,5,0),1,0)*Data_NFI_t[[#This Row],[NFI Core Kit]],0)</f>
        <v>0</v>
      </c>
      <c r="Y222" s="112">
        <f>IF(NFI_Expiration=1,IF($A222&lt;VLOOKUP(K$5,NFI,5,0),1,0)*Data_NFI_t[[#This Row],[Sanitary Kit]],0)</f>
        <v>0</v>
      </c>
      <c r="Z222" s="112">
        <f>IF(NFI_Expiration=1,IF($A222&lt;VLOOKUP(L$5,NFI,5,0),1,0)*Data_NFI_t[[#This Row],[Mosquito net]],0)</f>
        <v>0</v>
      </c>
      <c r="AA222" s="112">
        <f>IF(NFI_Expiration=1,IF($A222&lt;VLOOKUP(M$5,NFI,5,0),1,0)*Data_NFI_t[[#This Row],[Tarpaulin]],0)</f>
        <v>0</v>
      </c>
      <c r="AB222" s="112">
        <f>IF(NFI_Expiration=1,IF($A222&lt;VLOOKUP(N$5,NFI,5,0),1,0)*Data_NFI_t[[#This Row],[Blanket]],0)</f>
        <v>0</v>
      </c>
      <c r="AC222" s="112">
        <f>IF(NFI_Expiration=1,IF($A222&lt;VLOOKUP(O$5,NFI,5,0),1,0)*Data_NFI_t[[#This Row],[Kitchen Set]],0)</f>
        <v>0</v>
      </c>
      <c r="AD222" s="112">
        <f>IF(NFI_Expiration=1,IF($A222&lt;VLOOKUP(P$5,NFI,5,0),1,0)*Data_NFI_t[[#This Row],[Complementary Kit]],0)</f>
        <v>0</v>
      </c>
      <c r="AE222" s="112">
        <f>IF(NFI_Expiration=1,IF($A222&lt;VLOOKUP(Q$5,NFI,5,0),1,0)*Data_NFI_t[[#This Row],[Plastic Bucket]],0)</f>
        <v>0</v>
      </c>
      <c r="AF222" s="112">
        <f>IF(NFI_Expiration=1,IF($A222&lt;VLOOKUP(R$5,NFI,5,0),1,0)*Data_NFI_t[[#This Row],[Jerry Can]],0)</f>
        <v>0</v>
      </c>
      <c r="AG222" s="131">
        <f>IF(NFI_Expiration=1,IF($A222&lt;VLOOKUP(S$5,NFI,5,0),1,0)*Data_NFI_t[[#This Row],[Plastic Mat]],0)*IF(Data_NFI_t[[#This Row],[Distribution Date]]&gt;"01-06-2015",1,2.5)</f>
        <v>0</v>
      </c>
      <c r="AH222" s="915">
        <f>IF(NFI_Expiration=1,IF($A222&lt;VLOOKUP(T$5,NFI,5,0),1,0)*Data_NFI_t[[#This Row],[Adult Clothes]],0)</f>
        <v>0</v>
      </c>
      <c r="AI222" s="131">
        <f>IF(NFI_Expiration=1,IF($A222&lt;VLOOKUP(U$5,NFI,5,0),1,0)*Data_NFI_t[[#This Row],[Children Clothes]],0)</f>
        <v>0</v>
      </c>
      <c r="AJ222" s="131">
        <f>IF(NFI_Expiration=1,IF($A222&lt;VLOOKUP(V$5,NFI,5,0),1,0)*Data_NFI_t[[#This Row],[Sewing Kit]],0)</f>
        <v>0</v>
      </c>
      <c r="AK222" s="131" t="str">
        <f ca="1">IFERROR(OFFSET(Camp_List[P_Code],MATCH(Data_NFI_t[[#This Row],[Camp Name]],Camp_List[Camp Name],0)-1,0,1,1),"")</f>
        <v>MMR012CMP018</v>
      </c>
      <c r="AL222" s="513" t="str">
        <f ca="1">IFERROR(OFFSET(Camp_List[Status],MATCH(Data_NFI_t[[#This Row],[Camp Name]],Camp_List[Camp Name],0)-1,0,1,1),"")</f>
        <v>Open</v>
      </c>
      <c r="AM222" s="131"/>
    </row>
    <row r="223" spans="1:39" s="90" customFormat="1" ht="19.5" customHeight="1" x14ac:dyDescent="0.25">
      <c r="A223" s="242">
        <f>IF(ISBLANK(C223),"",(Report_Date-C223)/30)</f>
        <v>46.9</v>
      </c>
      <c r="B223" s="242">
        <f>YEAR(Data_NFI_t[[#This Row],[Distribution Date]])</f>
        <v>2013</v>
      </c>
      <c r="C223" s="927">
        <v>41388</v>
      </c>
      <c r="D223" s="489" t="s">
        <v>515</v>
      </c>
      <c r="E223" s="488" t="s">
        <v>515</v>
      </c>
      <c r="F223" s="489" t="s">
        <v>7</v>
      </c>
      <c r="G223" s="794" t="s">
        <v>14</v>
      </c>
      <c r="H223" s="794" t="s">
        <v>41</v>
      </c>
      <c r="I223" s="794">
        <v>1338</v>
      </c>
      <c r="J223" s="51"/>
      <c r="K223" s="51"/>
      <c r="L223" s="51"/>
      <c r="M223" s="51"/>
      <c r="N223" s="51"/>
      <c r="O223" s="51"/>
      <c r="P223" s="51"/>
      <c r="Q223" s="51"/>
      <c r="R223" s="511"/>
      <c r="S223" s="51"/>
      <c r="T223" s="51"/>
      <c r="U223" s="51"/>
      <c r="V223" s="51"/>
      <c r="W223" s="131">
        <f>IF(NFI_Expiration=1,IF($A223&lt;VLOOKUP(I$5,NFI,5,0),1,0)*Data_NFI_t[[#This Row],[Hygiene Kit]],0)</f>
        <v>0</v>
      </c>
      <c r="X223" s="131">
        <f>IF(NFI_Expiration=1,IF($A223&lt;VLOOKUP(J$5,NFI,5,0),1,0)*Data_NFI_t[[#This Row],[NFI Core Kit]],0)</f>
        <v>0</v>
      </c>
      <c r="Y223" s="112">
        <f>IF(NFI_Expiration=1,IF($A223&lt;VLOOKUP(K$5,NFI,5,0),1,0)*Data_NFI_t[[#This Row],[Sanitary Kit]],0)</f>
        <v>0</v>
      </c>
      <c r="Z223" s="112">
        <f>IF(NFI_Expiration=1,IF($A223&lt;VLOOKUP(L$5,NFI,5,0),1,0)*Data_NFI_t[[#This Row],[Mosquito net]],0)</f>
        <v>0</v>
      </c>
      <c r="AA223" s="112">
        <f>IF(NFI_Expiration=1,IF($A223&lt;VLOOKUP(M$5,NFI,5,0),1,0)*Data_NFI_t[[#This Row],[Tarpaulin]],0)</f>
        <v>0</v>
      </c>
      <c r="AB223" s="112">
        <f>IF(NFI_Expiration=1,IF($A223&lt;VLOOKUP(N$5,NFI,5,0),1,0)*Data_NFI_t[[#This Row],[Blanket]],0)</f>
        <v>0</v>
      </c>
      <c r="AC223" s="112">
        <f>IF(NFI_Expiration=1,IF($A223&lt;VLOOKUP(O$5,NFI,5,0),1,0)*Data_NFI_t[[#This Row],[Kitchen Set]],0)</f>
        <v>0</v>
      </c>
      <c r="AD223" s="112">
        <f>IF(NFI_Expiration=1,IF($A223&lt;VLOOKUP(P$5,NFI,5,0),1,0)*Data_NFI_t[[#This Row],[Complementary Kit]],0)</f>
        <v>0</v>
      </c>
      <c r="AE223" s="112">
        <f>IF(NFI_Expiration=1,IF($A223&lt;VLOOKUP(Q$5,NFI,5,0),1,0)*Data_NFI_t[[#This Row],[Plastic Bucket]],0)</f>
        <v>0</v>
      </c>
      <c r="AF223" s="112">
        <f>IF(NFI_Expiration=1,IF($A223&lt;VLOOKUP(R$5,NFI,5,0),1,0)*Data_NFI_t[[#This Row],[Jerry Can]],0)</f>
        <v>0</v>
      </c>
      <c r="AG223" s="131">
        <f>IF(NFI_Expiration=1,IF($A223&lt;VLOOKUP(S$5,NFI,5,0),1,0)*Data_NFI_t[[#This Row],[Plastic Mat]],0)*IF(Data_NFI_t[[#This Row],[Distribution Date]]&gt;"01-06-2015",1,2.5)</f>
        <v>0</v>
      </c>
      <c r="AH223" s="915">
        <f>IF(NFI_Expiration=1,IF($A223&lt;VLOOKUP(T$5,NFI,5,0),1,0)*Data_NFI_t[[#This Row],[Adult Clothes]],0)</f>
        <v>0</v>
      </c>
      <c r="AI223" s="131">
        <f>IF(NFI_Expiration=1,IF($A223&lt;VLOOKUP(U$5,NFI,5,0),1,0)*Data_NFI_t[[#This Row],[Children Clothes]],0)</f>
        <v>0</v>
      </c>
      <c r="AJ223" s="131">
        <f>IF(NFI_Expiration=1,IF($A223&lt;VLOOKUP(V$5,NFI,5,0),1,0)*Data_NFI_t[[#This Row],[Sewing Kit]],0)</f>
        <v>0</v>
      </c>
      <c r="AK223" s="131" t="str">
        <f ca="1">IFERROR(OFFSET(Camp_List[P_Code],MATCH(Data_NFI_t[[#This Row],[Camp Name]],Camp_List[Camp Name],0)-1,0,1,1),"")</f>
        <v/>
      </c>
      <c r="AL223" s="513" t="str">
        <f ca="1">IFERROR(OFFSET(Camp_List[Status],MATCH(Data_NFI_t[[#This Row],[Camp Name]],Camp_List[Camp Name],0)-1,0,1,1),"")</f>
        <v/>
      </c>
      <c r="AM223" s="131"/>
    </row>
    <row r="224" spans="1:39" s="90" customFormat="1" ht="19.5" customHeight="1" x14ac:dyDescent="0.25">
      <c r="A224" s="242">
        <f>IF(ISBLANK(C224),"",(Report_Date-C224)/30)</f>
        <v>47.3</v>
      </c>
      <c r="B224" s="242">
        <f>YEAR(Data_NFI_t[[#This Row],[Distribution Date]])</f>
        <v>2013</v>
      </c>
      <c r="C224" s="927">
        <v>41376</v>
      </c>
      <c r="D224" s="489" t="s">
        <v>285</v>
      </c>
      <c r="E224" s="488"/>
      <c r="F224" s="489" t="s">
        <v>7</v>
      </c>
      <c r="G224" s="794" t="s">
        <v>19</v>
      </c>
      <c r="H224" s="794" t="s">
        <v>73</v>
      </c>
      <c r="I224" s="794"/>
      <c r="J224" s="51"/>
      <c r="K224" s="51"/>
      <c r="L224" s="51"/>
      <c r="M224" s="51"/>
      <c r="N224" s="51">
        <v>54</v>
      </c>
      <c r="O224" s="51"/>
      <c r="P224" s="51"/>
      <c r="Q224" s="51"/>
      <c r="R224" s="511"/>
      <c r="S224" s="51"/>
      <c r="T224" s="51"/>
      <c r="U224" s="51"/>
      <c r="V224" s="51"/>
      <c r="W224" s="131">
        <f>IF(NFI_Expiration=1,IF($A224&lt;VLOOKUP(I$5,NFI,5,0),1,0)*Data_NFI_t[[#This Row],[Hygiene Kit]],0)</f>
        <v>0</v>
      </c>
      <c r="X224" s="131">
        <f>IF(NFI_Expiration=1,IF($A224&lt;VLOOKUP(J$5,NFI,5,0),1,0)*Data_NFI_t[[#This Row],[NFI Core Kit]],0)</f>
        <v>0</v>
      </c>
      <c r="Y224" s="112">
        <f>IF(NFI_Expiration=1,IF($A224&lt;VLOOKUP(K$5,NFI,5,0),1,0)*Data_NFI_t[[#This Row],[Sanitary Kit]],0)</f>
        <v>0</v>
      </c>
      <c r="Z224" s="112">
        <f>IF(NFI_Expiration=1,IF($A224&lt;VLOOKUP(L$5,NFI,5,0),1,0)*Data_NFI_t[[#This Row],[Mosquito net]],0)</f>
        <v>0</v>
      </c>
      <c r="AA224" s="112">
        <f>IF(NFI_Expiration=1,IF($A224&lt;VLOOKUP(M$5,NFI,5,0),1,0)*Data_NFI_t[[#This Row],[Tarpaulin]],0)</f>
        <v>0</v>
      </c>
      <c r="AB224" s="112">
        <f>IF(NFI_Expiration=1,IF($A224&lt;VLOOKUP(N$5,NFI,5,0),1,0)*Data_NFI_t[[#This Row],[Blanket]],0)</f>
        <v>0</v>
      </c>
      <c r="AC224" s="112">
        <f>IF(NFI_Expiration=1,IF($A224&lt;VLOOKUP(O$5,NFI,5,0),1,0)*Data_NFI_t[[#This Row],[Kitchen Set]],0)</f>
        <v>0</v>
      </c>
      <c r="AD224" s="112">
        <f>IF(NFI_Expiration=1,IF($A224&lt;VLOOKUP(P$5,NFI,5,0),1,0)*Data_NFI_t[[#This Row],[Complementary Kit]],0)</f>
        <v>0</v>
      </c>
      <c r="AE224" s="112">
        <f>IF(NFI_Expiration=1,IF($A224&lt;VLOOKUP(Q$5,NFI,5,0),1,0)*Data_NFI_t[[#This Row],[Plastic Bucket]],0)</f>
        <v>0</v>
      </c>
      <c r="AF224" s="112">
        <f>IF(NFI_Expiration=1,IF($A224&lt;VLOOKUP(R$5,NFI,5,0),1,0)*Data_NFI_t[[#This Row],[Jerry Can]],0)</f>
        <v>0</v>
      </c>
      <c r="AG224" s="131">
        <f>IF(NFI_Expiration=1,IF($A224&lt;VLOOKUP(S$5,NFI,5,0),1,0)*Data_NFI_t[[#This Row],[Plastic Mat]],0)*IF(Data_NFI_t[[#This Row],[Distribution Date]]&gt;"01-06-2015",1,2.5)</f>
        <v>0</v>
      </c>
      <c r="AH224" s="915">
        <f>IF(NFI_Expiration=1,IF($A224&lt;VLOOKUP(T$5,NFI,5,0),1,0)*Data_NFI_t[[#This Row],[Adult Clothes]],0)</f>
        <v>0</v>
      </c>
      <c r="AI224" s="131">
        <f>IF(NFI_Expiration=1,IF($A224&lt;VLOOKUP(U$5,NFI,5,0),1,0)*Data_NFI_t[[#This Row],[Children Clothes]],0)</f>
        <v>0</v>
      </c>
      <c r="AJ224" s="131">
        <f>IF(NFI_Expiration=1,IF($A224&lt;VLOOKUP(V$5,NFI,5,0),1,0)*Data_NFI_t[[#This Row],[Sewing Kit]],0)</f>
        <v>0</v>
      </c>
      <c r="AK224" s="131" t="str">
        <f ca="1">IFERROR(OFFSET(Camp_List[P_Code],MATCH(Data_NFI_t[[#This Row],[Camp Name]],Camp_List[Camp Name],0)-1,0,1,1),"")</f>
        <v>MMR012CMP051</v>
      </c>
      <c r="AL224" s="513" t="str">
        <f ca="1">IFERROR(OFFSET(Camp_List[Status],MATCH(Data_NFI_t[[#This Row],[Camp Name]],Camp_List[Camp Name],0)-1,0,1,1),"")</f>
        <v>Close</v>
      </c>
      <c r="AM224" s="131"/>
    </row>
    <row r="225" spans="1:39" s="90" customFormat="1" ht="19.5" customHeight="1" x14ac:dyDescent="0.25">
      <c r="A225" s="242">
        <f>IF(ISBLANK(C225),"",(Report_Date-C225)/30)</f>
        <v>47.366666666666667</v>
      </c>
      <c r="B225" s="242">
        <f>YEAR(Data_NFI_t[[#This Row],[Distribution Date]])</f>
        <v>2013</v>
      </c>
      <c r="C225" s="927">
        <v>41374</v>
      </c>
      <c r="D225" s="489" t="s">
        <v>285</v>
      </c>
      <c r="E225" s="488"/>
      <c r="F225" s="489" t="s">
        <v>7</v>
      </c>
      <c r="G225" s="794" t="s">
        <v>19</v>
      </c>
      <c r="H225" s="794" t="s">
        <v>73</v>
      </c>
      <c r="I225" s="794"/>
      <c r="J225" s="51"/>
      <c r="K225" s="51"/>
      <c r="L225" s="51"/>
      <c r="M225" s="51"/>
      <c r="N225" s="51">
        <v>90</v>
      </c>
      <c r="O225" s="51"/>
      <c r="P225" s="51"/>
      <c r="Q225" s="51"/>
      <c r="R225" s="511"/>
      <c r="S225" s="51"/>
      <c r="T225" s="51"/>
      <c r="U225" s="51"/>
      <c r="V225" s="51"/>
      <c r="W225" s="131">
        <f>IF(NFI_Expiration=1,IF($A225&lt;VLOOKUP(I$5,NFI,5,0),1,0)*Data_NFI_t[[#This Row],[Hygiene Kit]],0)</f>
        <v>0</v>
      </c>
      <c r="X225" s="131">
        <f>IF(NFI_Expiration=1,IF($A225&lt;VLOOKUP(J$5,NFI,5,0),1,0)*Data_NFI_t[[#This Row],[NFI Core Kit]],0)</f>
        <v>0</v>
      </c>
      <c r="Y225" s="112">
        <f>IF(NFI_Expiration=1,IF($A225&lt;VLOOKUP(K$5,NFI,5,0),1,0)*Data_NFI_t[[#This Row],[Sanitary Kit]],0)</f>
        <v>0</v>
      </c>
      <c r="Z225" s="112">
        <f>IF(NFI_Expiration=1,IF($A225&lt;VLOOKUP(L$5,NFI,5,0),1,0)*Data_NFI_t[[#This Row],[Mosquito net]],0)</f>
        <v>0</v>
      </c>
      <c r="AA225" s="112">
        <f>IF(NFI_Expiration=1,IF($A225&lt;VLOOKUP(M$5,NFI,5,0),1,0)*Data_NFI_t[[#This Row],[Tarpaulin]],0)</f>
        <v>0</v>
      </c>
      <c r="AB225" s="112">
        <f>IF(NFI_Expiration=1,IF($A225&lt;VLOOKUP(N$5,NFI,5,0),1,0)*Data_NFI_t[[#This Row],[Blanket]],0)</f>
        <v>0</v>
      </c>
      <c r="AC225" s="112">
        <f>IF(NFI_Expiration=1,IF($A225&lt;VLOOKUP(O$5,NFI,5,0),1,0)*Data_NFI_t[[#This Row],[Kitchen Set]],0)</f>
        <v>0</v>
      </c>
      <c r="AD225" s="112">
        <f>IF(NFI_Expiration=1,IF($A225&lt;VLOOKUP(P$5,NFI,5,0),1,0)*Data_NFI_t[[#This Row],[Complementary Kit]],0)</f>
        <v>0</v>
      </c>
      <c r="AE225" s="112">
        <f>IF(NFI_Expiration=1,IF($A225&lt;VLOOKUP(Q$5,NFI,5,0),1,0)*Data_NFI_t[[#This Row],[Plastic Bucket]],0)</f>
        <v>0</v>
      </c>
      <c r="AF225" s="112">
        <f>IF(NFI_Expiration=1,IF($A225&lt;VLOOKUP(R$5,NFI,5,0),1,0)*Data_NFI_t[[#This Row],[Jerry Can]],0)</f>
        <v>0</v>
      </c>
      <c r="AG225" s="131">
        <f>IF(NFI_Expiration=1,IF($A225&lt;VLOOKUP(S$5,NFI,5,0),1,0)*Data_NFI_t[[#This Row],[Plastic Mat]],0)*IF(Data_NFI_t[[#This Row],[Distribution Date]]&gt;"01-06-2015",1,2.5)</f>
        <v>0</v>
      </c>
      <c r="AH225" s="915">
        <f>IF(NFI_Expiration=1,IF($A225&lt;VLOOKUP(T$5,NFI,5,0),1,0)*Data_NFI_t[[#This Row],[Adult Clothes]],0)</f>
        <v>0</v>
      </c>
      <c r="AI225" s="131">
        <f>IF(NFI_Expiration=1,IF($A225&lt;VLOOKUP(U$5,NFI,5,0),1,0)*Data_NFI_t[[#This Row],[Children Clothes]],0)</f>
        <v>0</v>
      </c>
      <c r="AJ225" s="131">
        <f>IF(NFI_Expiration=1,IF($A225&lt;VLOOKUP(V$5,NFI,5,0),1,0)*Data_NFI_t[[#This Row],[Sewing Kit]],0)</f>
        <v>0</v>
      </c>
      <c r="AK225" s="131" t="str">
        <f ca="1">IFERROR(OFFSET(Camp_List[P_Code],MATCH(Data_NFI_t[[#This Row],[Camp Name]],Camp_List[Camp Name],0)-1,0,1,1),"")</f>
        <v>MMR012CMP051</v>
      </c>
      <c r="AL225" s="513" t="str">
        <f ca="1">IFERROR(OFFSET(Camp_List[Status],MATCH(Data_NFI_t[[#This Row],[Camp Name]],Camp_List[Camp Name],0)-1,0,1,1),"")</f>
        <v>Close</v>
      </c>
      <c r="AM225" s="131"/>
    </row>
    <row r="226" spans="1:39" s="90" customFormat="1" ht="19.5" customHeight="1" x14ac:dyDescent="0.25">
      <c r="A226" s="242">
        <f>IF(ISBLANK(C226),"",(Report_Date-C226)/30)</f>
        <v>47.4</v>
      </c>
      <c r="B226" s="242">
        <f>YEAR(Data_NFI_t[[#This Row],[Distribution Date]])</f>
        <v>2013</v>
      </c>
      <c r="C226" s="927">
        <v>41373</v>
      </c>
      <c r="D226" s="489" t="s">
        <v>285</v>
      </c>
      <c r="E226" s="488"/>
      <c r="F226" s="489" t="s">
        <v>7</v>
      </c>
      <c r="G226" s="794" t="s">
        <v>19</v>
      </c>
      <c r="H226" s="794" t="s">
        <v>73</v>
      </c>
      <c r="I226" s="794"/>
      <c r="J226" s="51"/>
      <c r="K226" s="51"/>
      <c r="L226" s="51"/>
      <c r="M226" s="51"/>
      <c r="N226" s="51">
        <v>90</v>
      </c>
      <c r="O226" s="51"/>
      <c r="P226" s="51"/>
      <c r="Q226" s="51"/>
      <c r="R226" s="511"/>
      <c r="S226" s="51"/>
      <c r="T226" s="51"/>
      <c r="U226" s="51"/>
      <c r="V226" s="51"/>
      <c r="W226" s="131">
        <f>IF(NFI_Expiration=1,IF($A226&lt;VLOOKUP(I$5,NFI,5,0),1,0)*Data_NFI_t[[#This Row],[Hygiene Kit]],0)</f>
        <v>0</v>
      </c>
      <c r="X226" s="131">
        <f>IF(NFI_Expiration=1,IF($A226&lt;VLOOKUP(J$5,NFI,5,0),1,0)*Data_NFI_t[[#This Row],[NFI Core Kit]],0)</f>
        <v>0</v>
      </c>
      <c r="Y226" s="112">
        <f>IF(NFI_Expiration=1,IF($A226&lt;VLOOKUP(K$5,NFI,5,0),1,0)*Data_NFI_t[[#This Row],[Sanitary Kit]],0)</f>
        <v>0</v>
      </c>
      <c r="Z226" s="112">
        <f>IF(NFI_Expiration=1,IF($A226&lt;VLOOKUP(L$5,NFI,5,0),1,0)*Data_NFI_t[[#This Row],[Mosquito net]],0)</f>
        <v>0</v>
      </c>
      <c r="AA226" s="112">
        <f>IF(NFI_Expiration=1,IF($A226&lt;VLOOKUP(M$5,NFI,5,0),1,0)*Data_NFI_t[[#This Row],[Tarpaulin]],0)</f>
        <v>0</v>
      </c>
      <c r="AB226" s="112">
        <f>IF(NFI_Expiration=1,IF($A226&lt;VLOOKUP(N$5,NFI,5,0),1,0)*Data_NFI_t[[#This Row],[Blanket]],0)</f>
        <v>0</v>
      </c>
      <c r="AC226" s="112">
        <f>IF(NFI_Expiration=1,IF($A226&lt;VLOOKUP(O$5,NFI,5,0),1,0)*Data_NFI_t[[#This Row],[Kitchen Set]],0)</f>
        <v>0</v>
      </c>
      <c r="AD226" s="112">
        <f>IF(NFI_Expiration=1,IF($A226&lt;VLOOKUP(P$5,NFI,5,0),1,0)*Data_NFI_t[[#This Row],[Complementary Kit]],0)</f>
        <v>0</v>
      </c>
      <c r="AE226" s="112">
        <f>IF(NFI_Expiration=1,IF($A226&lt;VLOOKUP(Q$5,NFI,5,0),1,0)*Data_NFI_t[[#This Row],[Plastic Bucket]],0)</f>
        <v>0</v>
      </c>
      <c r="AF226" s="112">
        <f>IF(NFI_Expiration=1,IF($A226&lt;VLOOKUP(R$5,NFI,5,0),1,0)*Data_NFI_t[[#This Row],[Jerry Can]],0)</f>
        <v>0</v>
      </c>
      <c r="AG226" s="131">
        <f>IF(NFI_Expiration=1,IF($A226&lt;VLOOKUP(S$5,NFI,5,0),1,0)*Data_NFI_t[[#This Row],[Plastic Mat]],0)*IF(Data_NFI_t[[#This Row],[Distribution Date]]&gt;"01-06-2015",1,2.5)</f>
        <v>0</v>
      </c>
      <c r="AH226" s="915">
        <f>IF(NFI_Expiration=1,IF($A226&lt;VLOOKUP(T$5,NFI,5,0),1,0)*Data_NFI_t[[#This Row],[Adult Clothes]],0)</f>
        <v>0</v>
      </c>
      <c r="AI226" s="131">
        <f>IF(NFI_Expiration=1,IF($A226&lt;VLOOKUP(U$5,NFI,5,0),1,0)*Data_NFI_t[[#This Row],[Children Clothes]],0)</f>
        <v>0</v>
      </c>
      <c r="AJ226" s="131">
        <f>IF(NFI_Expiration=1,IF($A226&lt;VLOOKUP(V$5,NFI,5,0),1,0)*Data_NFI_t[[#This Row],[Sewing Kit]],0)</f>
        <v>0</v>
      </c>
      <c r="AK226" s="131" t="str">
        <f ca="1">IFERROR(OFFSET(Camp_List[P_Code],MATCH(Data_NFI_t[[#This Row],[Camp Name]],Camp_List[Camp Name],0)-1,0,1,1),"")</f>
        <v>MMR012CMP051</v>
      </c>
      <c r="AL226" s="513" t="str">
        <f ca="1">IFERROR(OFFSET(Camp_List[Status],MATCH(Data_NFI_t[[#This Row],[Camp Name]],Camp_List[Camp Name],0)-1,0,1,1),"")</f>
        <v>Close</v>
      </c>
      <c r="AM226" s="131"/>
    </row>
    <row r="227" spans="1:39" s="90" customFormat="1" ht="19.5" customHeight="1" x14ac:dyDescent="0.25">
      <c r="A227" s="242">
        <f>IF(ISBLANK(C227),"",(Report_Date-C227)/30)</f>
        <v>47.4</v>
      </c>
      <c r="B227" s="242">
        <f>YEAR(Data_NFI_t[[#This Row],[Distribution Date]])</f>
        <v>2013</v>
      </c>
      <c r="C227" s="927">
        <v>41373</v>
      </c>
      <c r="D227" s="489" t="s">
        <v>518</v>
      </c>
      <c r="E227" s="488" t="s">
        <v>292</v>
      </c>
      <c r="F227" s="489" t="s">
        <v>7</v>
      </c>
      <c r="G227" s="794" t="s">
        <v>19</v>
      </c>
      <c r="H227" s="794" t="s">
        <v>63</v>
      </c>
      <c r="I227" s="794">
        <v>186</v>
      </c>
      <c r="J227" s="51"/>
      <c r="K227" s="51"/>
      <c r="L227" s="51"/>
      <c r="M227" s="51"/>
      <c r="N227" s="51"/>
      <c r="O227" s="51"/>
      <c r="P227" s="51"/>
      <c r="Q227" s="51"/>
      <c r="R227" s="511"/>
      <c r="S227" s="51"/>
      <c r="T227" s="51"/>
      <c r="U227" s="51"/>
      <c r="V227" s="51"/>
      <c r="W227" s="131">
        <f>IF(NFI_Expiration=1,IF($A227&lt;VLOOKUP(I$5,NFI,5,0),1,0)*Data_NFI_t[[#This Row],[Hygiene Kit]],0)</f>
        <v>0</v>
      </c>
      <c r="X227" s="131">
        <f>IF(NFI_Expiration=1,IF($A227&lt;VLOOKUP(J$5,NFI,5,0),1,0)*Data_NFI_t[[#This Row],[NFI Core Kit]],0)</f>
        <v>0</v>
      </c>
      <c r="Y227" s="112">
        <f>IF(NFI_Expiration=1,IF($A227&lt;VLOOKUP(K$5,NFI,5,0),1,0)*Data_NFI_t[[#This Row],[Sanitary Kit]],0)</f>
        <v>0</v>
      </c>
      <c r="Z227" s="112">
        <f>IF(NFI_Expiration=1,IF($A227&lt;VLOOKUP(L$5,NFI,5,0),1,0)*Data_NFI_t[[#This Row],[Mosquito net]],0)</f>
        <v>0</v>
      </c>
      <c r="AA227" s="112">
        <f>IF(NFI_Expiration=1,IF($A227&lt;VLOOKUP(M$5,NFI,5,0),1,0)*Data_NFI_t[[#This Row],[Tarpaulin]],0)</f>
        <v>0</v>
      </c>
      <c r="AB227" s="112">
        <f>IF(NFI_Expiration=1,IF($A227&lt;VLOOKUP(N$5,NFI,5,0),1,0)*Data_NFI_t[[#This Row],[Blanket]],0)</f>
        <v>0</v>
      </c>
      <c r="AC227" s="112">
        <f>IF(NFI_Expiration=1,IF($A227&lt;VLOOKUP(O$5,NFI,5,0),1,0)*Data_NFI_t[[#This Row],[Kitchen Set]],0)</f>
        <v>0</v>
      </c>
      <c r="AD227" s="112">
        <f>IF(NFI_Expiration=1,IF($A227&lt;VLOOKUP(P$5,NFI,5,0),1,0)*Data_NFI_t[[#This Row],[Complementary Kit]],0)</f>
        <v>0</v>
      </c>
      <c r="AE227" s="112">
        <f>IF(NFI_Expiration=1,IF($A227&lt;VLOOKUP(Q$5,NFI,5,0),1,0)*Data_NFI_t[[#This Row],[Plastic Bucket]],0)</f>
        <v>0</v>
      </c>
      <c r="AF227" s="112">
        <f>IF(NFI_Expiration=1,IF($A227&lt;VLOOKUP(R$5,NFI,5,0),1,0)*Data_NFI_t[[#This Row],[Jerry Can]],0)</f>
        <v>0</v>
      </c>
      <c r="AG227" s="131">
        <f>IF(NFI_Expiration=1,IF($A227&lt;VLOOKUP(S$5,NFI,5,0),1,0)*Data_NFI_t[[#This Row],[Plastic Mat]],0)*IF(Data_NFI_t[[#This Row],[Distribution Date]]&gt;"01-06-2015",1,2.5)</f>
        <v>0</v>
      </c>
      <c r="AH227" s="915">
        <f>IF(NFI_Expiration=1,IF($A227&lt;VLOOKUP(T$5,NFI,5,0),1,0)*Data_NFI_t[[#This Row],[Adult Clothes]],0)</f>
        <v>0</v>
      </c>
      <c r="AI227" s="131">
        <f>IF(NFI_Expiration=1,IF($A227&lt;VLOOKUP(U$5,NFI,5,0),1,0)*Data_NFI_t[[#This Row],[Children Clothes]],0)</f>
        <v>0</v>
      </c>
      <c r="AJ227" s="131">
        <f>IF(NFI_Expiration=1,IF($A227&lt;VLOOKUP(V$5,NFI,5,0),1,0)*Data_NFI_t[[#This Row],[Sewing Kit]],0)</f>
        <v>0</v>
      </c>
      <c r="AK227" s="131" t="str">
        <f ca="1">IFERROR(OFFSET(Camp_List[P_Code],MATCH(Data_NFI_t[[#This Row],[Camp Name]],Camp_List[Camp Name],0)-1,0,1,1),"")</f>
        <v>MMR012CMP041</v>
      </c>
      <c r="AL227" s="513" t="str">
        <f ca="1">IFERROR(OFFSET(Camp_List[Status],MATCH(Data_NFI_t[[#This Row],[Camp Name]],Camp_List[Camp Name],0)-1,0,1,1),"")</f>
        <v>Open</v>
      </c>
      <c r="AM227" s="131"/>
    </row>
    <row r="228" spans="1:39" s="90" customFormat="1" ht="19.5" customHeight="1" x14ac:dyDescent="0.25">
      <c r="A228" s="242">
        <f>IF(ISBLANK(C228),"",(Report_Date-C228)/30)</f>
        <v>47.533333333333331</v>
      </c>
      <c r="B228" s="242">
        <f>YEAR(Data_NFI_t[[#This Row],[Distribution Date]])</f>
        <v>2013</v>
      </c>
      <c r="C228" s="927">
        <v>41369</v>
      </c>
      <c r="D228" s="489" t="s">
        <v>285</v>
      </c>
      <c r="E228" s="488"/>
      <c r="F228" s="489" t="s">
        <v>7</v>
      </c>
      <c r="G228" s="794" t="s">
        <v>19</v>
      </c>
      <c r="H228" s="794" t="s">
        <v>73</v>
      </c>
      <c r="I228" s="794"/>
      <c r="J228" s="51"/>
      <c r="K228" s="51"/>
      <c r="L228" s="51"/>
      <c r="M228" s="51"/>
      <c r="N228" s="51">
        <v>90</v>
      </c>
      <c r="O228" s="51"/>
      <c r="P228" s="51"/>
      <c r="Q228" s="51"/>
      <c r="R228" s="511"/>
      <c r="S228" s="51"/>
      <c r="T228" s="51"/>
      <c r="U228" s="51"/>
      <c r="V228" s="51"/>
      <c r="W228" s="131">
        <f>IF(NFI_Expiration=1,IF($A228&lt;VLOOKUP(I$5,NFI,5,0),1,0)*Data_NFI_t[[#This Row],[Hygiene Kit]],0)</f>
        <v>0</v>
      </c>
      <c r="X228" s="131">
        <f>IF(NFI_Expiration=1,IF($A228&lt;VLOOKUP(J$5,NFI,5,0),1,0)*Data_NFI_t[[#This Row],[NFI Core Kit]],0)</f>
        <v>0</v>
      </c>
      <c r="Y228" s="112">
        <f>IF(NFI_Expiration=1,IF($A228&lt;VLOOKUP(K$5,NFI,5,0),1,0)*Data_NFI_t[[#This Row],[Sanitary Kit]],0)</f>
        <v>0</v>
      </c>
      <c r="Z228" s="112">
        <f>IF(NFI_Expiration=1,IF($A228&lt;VLOOKUP(L$5,NFI,5,0),1,0)*Data_NFI_t[[#This Row],[Mosquito net]],0)</f>
        <v>0</v>
      </c>
      <c r="AA228" s="112">
        <f>IF(NFI_Expiration=1,IF($A228&lt;VLOOKUP(M$5,NFI,5,0),1,0)*Data_NFI_t[[#This Row],[Tarpaulin]],0)</f>
        <v>0</v>
      </c>
      <c r="AB228" s="112">
        <f>IF(NFI_Expiration=1,IF($A228&lt;VLOOKUP(N$5,NFI,5,0),1,0)*Data_NFI_t[[#This Row],[Blanket]],0)</f>
        <v>0</v>
      </c>
      <c r="AC228" s="112">
        <f>IF(NFI_Expiration=1,IF($A228&lt;VLOOKUP(O$5,NFI,5,0),1,0)*Data_NFI_t[[#This Row],[Kitchen Set]],0)</f>
        <v>0</v>
      </c>
      <c r="AD228" s="112">
        <f>IF(NFI_Expiration=1,IF($A228&lt;VLOOKUP(P$5,NFI,5,0),1,0)*Data_NFI_t[[#This Row],[Complementary Kit]],0)</f>
        <v>0</v>
      </c>
      <c r="AE228" s="112">
        <f>IF(NFI_Expiration=1,IF($A228&lt;VLOOKUP(Q$5,NFI,5,0),1,0)*Data_NFI_t[[#This Row],[Plastic Bucket]],0)</f>
        <v>0</v>
      </c>
      <c r="AF228" s="112">
        <f>IF(NFI_Expiration=1,IF($A228&lt;VLOOKUP(R$5,NFI,5,0),1,0)*Data_NFI_t[[#This Row],[Jerry Can]],0)</f>
        <v>0</v>
      </c>
      <c r="AG228" s="131">
        <f>IF(NFI_Expiration=1,IF($A228&lt;VLOOKUP(S$5,NFI,5,0),1,0)*Data_NFI_t[[#This Row],[Plastic Mat]],0)*IF(Data_NFI_t[[#This Row],[Distribution Date]]&gt;"01-06-2015",1,2.5)</f>
        <v>0</v>
      </c>
      <c r="AH228" s="915">
        <f>IF(NFI_Expiration=1,IF($A228&lt;VLOOKUP(T$5,NFI,5,0),1,0)*Data_NFI_t[[#This Row],[Adult Clothes]],0)</f>
        <v>0</v>
      </c>
      <c r="AI228" s="131">
        <f>IF(NFI_Expiration=1,IF($A228&lt;VLOOKUP(U$5,NFI,5,0),1,0)*Data_NFI_t[[#This Row],[Children Clothes]],0)</f>
        <v>0</v>
      </c>
      <c r="AJ228" s="131">
        <f>IF(NFI_Expiration=1,IF($A228&lt;VLOOKUP(V$5,NFI,5,0),1,0)*Data_NFI_t[[#This Row],[Sewing Kit]],0)</f>
        <v>0</v>
      </c>
      <c r="AK228" s="131" t="str">
        <f ca="1">IFERROR(OFFSET(Camp_List[P_Code],MATCH(Data_NFI_t[[#This Row],[Camp Name]],Camp_List[Camp Name],0)-1,0,1,1),"")</f>
        <v>MMR012CMP051</v>
      </c>
      <c r="AL228" s="513" t="str">
        <f ca="1">IFERROR(OFFSET(Camp_List[Status],MATCH(Data_NFI_t[[#This Row],[Camp Name]],Camp_List[Camp Name],0)-1,0,1,1),"")</f>
        <v>Close</v>
      </c>
      <c r="AM228" s="131"/>
    </row>
    <row r="229" spans="1:39" s="90" customFormat="1" ht="19.5" customHeight="1" x14ac:dyDescent="0.25">
      <c r="A229" s="242">
        <f>IF(ISBLANK(C229),"",(Report_Date-C229)/30)</f>
        <v>47.56666666666667</v>
      </c>
      <c r="B229" s="242">
        <f>YEAR(Data_NFI_t[[#This Row],[Distribution Date]])</f>
        <v>2013</v>
      </c>
      <c r="C229" s="927">
        <v>41368</v>
      </c>
      <c r="D229" s="489" t="s">
        <v>285</v>
      </c>
      <c r="E229" s="488"/>
      <c r="F229" s="489" t="s">
        <v>7</v>
      </c>
      <c r="G229" s="794" t="s">
        <v>19</v>
      </c>
      <c r="H229" s="794" t="s">
        <v>73</v>
      </c>
      <c r="I229" s="794"/>
      <c r="J229" s="51"/>
      <c r="K229" s="51"/>
      <c r="L229" s="51"/>
      <c r="M229" s="51"/>
      <c r="N229" s="51">
        <v>45</v>
      </c>
      <c r="O229" s="51"/>
      <c r="P229" s="51"/>
      <c r="Q229" s="51"/>
      <c r="R229" s="511"/>
      <c r="S229" s="51"/>
      <c r="T229" s="51"/>
      <c r="U229" s="51"/>
      <c r="V229" s="51"/>
      <c r="W229" s="131">
        <f>IF(NFI_Expiration=1,IF($A229&lt;VLOOKUP(I$5,NFI,5,0),1,0)*Data_NFI_t[[#This Row],[Hygiene Kit]],0)</f>
        <v>0</v>
      </c>
      <c r="X229" s="131">
        <f>IF(NFI_Expiration=1,IF($A229&lt;VLOOKUP(J$5,NFI,5,0),1,0)*Data_NFI_t[[#This Row],[NFI Core Kit]],0)</f>
        <v>0</v>
      </c>
      <c r="Y229" s="112">
        <f>IF(NFI_Expiration=1,IF($A229&lt;VLOOKUP(K$5,NFI,5,0),1,0)*Data_NFI_t[[#This Row],[Sanitary Kit]],0)</f>
        <v>0</v>
      </c>
      <c r="Z229" s="112">
        <f>IF(NFI_Expiration=1,IF($A229&lt;VLOOKUP(L$5,NFI,5,0),1,0)*Data_NFI_t[[#This Row],[Mosquito net]],0)</f>
        <v>0</v>
      </c>
      <c r="AA229" s="112">
        <f>IF(NFI_Expiration=1,IF($A229&lt;VLOOKUP(M$5,NFI,5,0),1,0)*Data_NFI_t[[#This Row],[Tarpaulin]],0)</f>
        <v>0</v>
      </c>
      <c r="AB229" s="112">
        <f>IF(NFI_Expiration=1,IF($A229&lt;VLOOKUP(N$5,NFI,5,0),1,0)*Data_NFI_t[[#This Row],[Blanket]],0)</f>
        <v>0</v>
      </c>
      <c r="AC229" s="112">
        <f>IF(NFI_Expiration=1,IF($A229&lt;VLOOKUP(O$5,NFI,5,0),1,0)*Data_NFI_t[[#This Row],[Kitchen Set]],0)</f>
        <v>0</v>
      </c>
      <c r="AD229" s="112">
        <f>IF(NFI_Expiration=1,IF($A229&lt;VLOOKUP(P$5,NFI,5,0),1,0)*Data_NFI_t[[#This Row],[Complementary Kit]],0)</f>
        <v>0</v>
      </c>
      <c r="AE229" s="112">
        <f>IF(NFI_Expiration=1,IF($A229&lt;VLOOKUP(Q$5,NFI,5,0),1,0)*Data_NFI_t[[#This Row],[Plastic Bucket]],0)</f>
        <v>0</v>
      </c>
      <c r="AF229" s="112">
        <f>IF(NFI_Expiration=1,IF($A229&lt;VLOOKUP(R$5,NFI,5,0),1,0)*Data_NFI_t[[#This Row],[Jerry Can]],0)</f>
        <v>0</v>
      </c>
      <c r="AG229" s="131">
        <f>IF(NFI_Expiration=1,IF($A229&lt;VLOOKUP(S$5,NFI,5,0),1,0)*Data_NFI_t[[#This Row],[Plastic Mat]],0)*IF(Data_NFI_t[[#This Row],[Distribution Date]]&gt;"01-06-2015",1,2.5)</f>
        <v>0</v>
      </c>
      <c r="AH229" s="915">
        <f>IF(NFI_Expiration=1,IF($A229&lt;VLOOKUP(T$5,NFI,5,0),1,0)*Data_NFI_t[[#This Row],[Adult Clothes]],0)</f>
        <v>0</v>
      </c>
      <c r="AI229" s="131">
        <f>IF(NFI_Expiration=1,IF($A229&lt;VLOOKUP(U$5,NFI,5,0),1,0)*Data_NFI_t[[#This Row],[Children Clothes]],0)</f>
        <v>0</v>
      </c>
      <c r="AJ229" s="131">
        <f>IF(NFI_Expiration=1,IF($A229&lt;VLOOKUP(V$5,NFI,5,0),1,0)*Data_NFI_t[[#This Row],[Sewing Kit]],0)</f>
        <v>0</v>
      </c>
      <c r="AK229" s="131" t="str">
        <f ca="1">IFERROR(OFFSET(Camp_List[P_Code],MATCH(Data_NFI_t[[#This Row],[Camp Name]],Camp_List[Camp Name],0)-1,0,1,1),"")</f>
        <v>MMR012CMP051</v>
      </c>
      <c r="AL229" s="513" t="str">
        <f ca="1">IFERROR(OFFSET(Camp_List[Status],MATCH(Data_NFI_t[[#This Row],[Camp Name]],Camp_List[Camp Name],0)-1,0,1,1),"")</f>
        <v>Close</v>
      </c>
      <c r="AM229" s="131"/>
    </row>
    <row r="230" spans="1:39" s="90" customFormat="1" ht="19.5" customHeight="1" x14ac:dyDescent="0.25">
      <c r="A230" s="242">
        <f>IF(ISBLANK(C230),"",(Report_Date-C230)/30)</f>
        <v>47.6</v>
      </c>
      <c r="B230" s="242">
        <f>YEAR(Data_NFI_t[[#This Row],[Distribution Date]])</f>
        <v>2013</v>
      </c>
      <c r="C230" s="927">
        <v>41367</v>
      </c>
      <c r="D230" s="489" t="s">
        <v>285</v>
      </c>
      <c r="E230" s="488"/>
      <c r="F230" s="489" t="s">
        <v>7</v>
      </c>
      <c r="G230" s="794" t="s">
        <v>19</v>
      </c>
      <c r="H230" s="794" t="s">
        <v>73</v>
      </c>
      <c r="I230" s="794"/>
      <c r="J230" s="51"/>
      <c r="K230" s="51"/>
      <c r="L230" s="51"/>
      <c r="M230" s="51"/>
      <c r="N230" s="51">
        <v>45</v>
      </c>
      <c r="O230" s="51"/>
      <c r="P230" s="51"/>
      <c r="Q230" s="51"/>
      <c r="R230" s="511"/>
      <c r="S230" s="51"/>
      <c r="T230" s="51"/>
      <c r="U230" s="51"/>
      <c r="V230" s="51"/>
      <c r="W230" s="131">
        <f>IF(NFI_Expiration=1,IF($A230&lt;VLOOKUP(I$5,NFI,5,0),1,0)*Data_NFI_t[[#This Row],[Hygiene Kit]],0)</f>
        <v>0</v>
      </c>
      <c r="X230" s="131">
        <f>IF(NFI_Expiration=1,IF($A230&lt;VLOOKUP(J$5,NFI,5,0),1,0)*Data_NFI_t[[#This Row],[NFI Core Kit]],0)</f>
        <v>0</v>
      </c>
      <c r="Y230" s="112">
        <f>IF(NFI_Expiration=1,IF($A230&lt;VLOOKUP(K$5,NFI,5,0),1,0)*Data_NFI_t[[#This Row],[Sanitary Kit]],0)</f>
        <v>0</v>
      </c>
      <c r="Z230" s="112">
        <f>IF(NFI_Expiration=1,IF($A230&lt;VLOOKUP(L$5,NFI,5,0),1,0)*Data_NFI_t[[#This Row],[Mosquito net]],0)</f>
        <v>0</v>
      </c>
      <c r="AA230" s="112">
        <f>IF(NFI_Expiration=1,IF($A230&lt;VLOOKUP(M$5,NFI,5,0),1,0)*Data_NFI_t[[#This Row],[Tarpaulin]],0)</f>
        <v>0</v>
      </c>
      <c r="AB230" s="112">
        <f>IF(NFI_Expiration=1,IF($A230&lt;VLOOKUP(N$5,NFI,5,0),1,0)*Data_NFI_t[[#This Row],[Blanket]],0)</f>
        <v>0</v>
      </c>
      <c r="AC230" s="112">
        <f>IF(NFI_Expiration=1,IF($A230&lt;VLOOKUP(O$5,NFI,5,0),1,0)*Data_NFI_t[[#This Row],[Kitchen Set]],0)</f>
        <v>0</v>
      </c>
      <c r="AD230" s="112">
        <f>IF(NFI_Expiration=1,IF($A230&lt;VLOOKUP(P$5,NFI,5,0),1,0)*Data_NFI_t[[#This Row],[Complementary Kit]],0)</f>
        <v>0</v>
      </c>
      <c r="AE230" s="112">
        <f>IF(NFI_Expiration=1,IF($A230&lt;VLOOKUP(Q$5,NFI,5,0),1,0)*Data_NFI_t[[#This Row],[Plastic Bucket]],0)</f>
        <v>0</v>
      </c>
      <c r="AF230" s="112">
        <f>IF(NFI_Expiration=1,IF($A230&lt;VLOOKUP(R$5,NFI,5,0),1,0)*Data_NFI_t[[#This Row],[Jerry Can]],0)</f>
        <v>0</v>
      </c>
      <c r="AG230" s="131">
        <f>IF(NFI_Expiration=1,IF($A230&lt;VLOOKUP(S$5,NFI,5,0),1,0)*Data_NFI_t[[#This Row],[Plastic Mat]],0)*IF(Data_NFI_t[[#This Row],[Distribution Date]]&gt;"01-06-2015",1,2.5)</f>
        <v>0</v>
      </c>
      <c r="AH230" s="915">
        <f>IF(NFI_Expiration=1,IF($A230&lt;VLOOKUP(T$5,NFI,5,0),1,0)*Data_NFI_t[[#This Row],[Adult Clothes]],0)</f>
        <v>0</v>
      </c>
      <c r="AI230" s="131">
        <f>IF(NFI_Expiration=1,IF($A230&lt;VLOOKUP(U$5,NFI,5,0),1,0)*Data_NFI_t[[#This Row],[Children Clothes]],0)</f>
        <v>0</v>
      </c>
      <c r="AJ230" s="131">
        <f>IF(NFI_Expiration=1,IF($A230&lt;VLOOKUP(V$5,NFI,5,0),1,0)*Data_NFI_t[[#This Row],[Sewing Kit]],0)</f>
        <v>0</v>
      </c>
      <c r="AK230" s="131" t="str">
        <f ca="1">IFERROR(OFFSET(Camp_List[P_Code],MATCH(Data_NFI_t[[#This Row],[Camp Name]],Camp_List[Camp Name],0)-1,0,1,1),"")</f>
        <v>MMR012CMP051</v>
      </c>
      <c r="AL230" s="513" t="str">
        <f ca="1">IFERROR(OFFSET(Camp_List[Status],MATCH(Data_NFI_t[[#This Row],[Camp Name]],Camp_List[Camp Name],0)-1,0,1,1),"")</f>
        <v>Close</v>
      </c>
      <c r="AM230" s="131"/>
    </row>
    <row r="231" spans="1:39" s="90" customFormat="1" ht="19.5" customHeight="1" x14ac:dyDescent="0.25">
      <c r="A231" s="242">
        <f>IF(ISBLANK(C231),"",(Report_Date-C231)/30)</f>
        <v>47.633333333333333</v>
      </c>
      <c r="B231" s="242">
        <f>YEAR(Data_NFI_t[[#This Row],[Distribution Date]])</f>
        <v>2013</v>
      </c>
      <c r="C231" s="927">
        <v>41366</v>
      </c>
      <c r="D231" s="489" t="s">
        <v>515</v>
      </c>
      <c r="E231" s="488" t="s">
        <v>515</v>
      </c>
      <c r="F231" s="489" t="s">
        <v>7</v>
      </c>
      <c r="G231" s="794" t="s">
        <v>19</v>
      </c>
      <c r="H231" s="794" t="s">
        <v>70</v>
      </c>
      <c r="I231" s="794">
        <v>3100</v>
      </c>
      <c r="J231" s="51"/>
      <c r="K231" s="51"/>
      <c r="L231" s="51"/>
      <c r="M231" s="51"/>
      <c r="N231" s="51"/>
      <c r="O231" s="51"/>
      <c r="P231" s="51"/>
      <c r="Q231" s="51"/>
      <c r="R231" s="511"/>
      <c r="S231" s="51"/>
      <c r="T231" s="51"/>
      <c r="U231" s="51"/>
      <c r="V231" s="51"/>
      <c r="W231" s="131">
        <f>IF(NFI_Expiration=1,IF($A231&lt;VLOOKUP(I$5,NFI,5,0),1,0)*Data_NFI_t[[#This Row],[Hygiene Kit]],0)</f>
        <v>0</v>
      </c>
      <c r="X231" s="131">
        <f>IF(NFI_Expiration=1,IF($A231&lt;VLOOKUP(J$5,NFI,5,0),1,0)*Data_NFI_t[[#This Row],[NFI Core Kit]],0)</f>
        <v>0</v>
      </c>
      <c r="Y231" s="112">
        <f>IF(NFI_Expiration=1,IF($A231&lt;VLOOKUP(K$5,NFI,5,0),1,0)*Data_NFI_t[[#This Row],[Sanitary Kit]],0)</f>
        <v>0</v>
      </c>
      <c r="Z231" s="112">
        <f>IF(NFI_Expiration=1,IF($A231&lt;VLOOKUP(L$5,NFI,5,0),1,0)*Data_NFI_t[[#This Row],[Mosquito net]],0)</f>
        <v>0</v>
      </c>
      <c r="AA231" s="112">
        <f>IF(NFI_Expiration=1,IF($A231&lt;VLOOKUP(M$5,NFI,5,0),1,0)*Data_NFI_t[[#This Row],[Tarpaulin]],0)</f>
        <v>0</v>
      </c>
      <c r="AB231" s="112">
        <f>IF(NFI_Expiration=1,IF($A231&lt;VLOOKUP(N$5,NFI,5,0),1,0)*Data_NFI_t[[#This Row],[Blanket]],0)</f>
        <v>0</v>
      </c>
      <c r="AC231" s="112">
        <f>IF(NFI_Expiration=1,IF($A231&lt;VLOOKUP(O$5,NFI,5,0),1,0)*Data_NFI_t[[#This Row],[Kitchen Set]],0)</f>
        <v>0</v>
      </c>
      <c r="AD231" s="112">
        <f>IF(NFI_Expiration=1,IF($A231&lt;VLOOKUP(P$5,NFI,5,0),1,0)*Data_NFI_t[[#This Row],[Complementary Kit]],0)</f>
        <v>0</v>
      </c>
      <c r="AE231" s="112">
        <f>IF(NFI_Expiration=1,IF($A231&lt;VLOOKUP(Q$5,NFI,5,0),1,0)*Data_NFI_t[[#This Row],[Plastic Bucket]],0)</f>
        <v>0</v>
      </c>
      <c r="AF231" s="112">
        <f>IF(NFI_Expiration=1,IF($A231&lt;VLOOKUP(R$5,NFI,5,0),1,0)*Data_NFI_t[[#This Row],[Jerry Can]],0)</f>
        <v>0</v>
      </c>
      <c r="AG231" s="131">
        <f>IF(NFI_Expiration=1,IF($A231&lt;VLOOKUP(S$5,NFI,5,0),1,0)*Data_NFI_t[[#This Row],[Plastic Mat]],0)*IF(Data_NFI_t[[#This Row],[Distribution Date]]&gt;"01-06-2015",1,2.5)</f>
        <v>0</v>
      </c>
      <c r="AH231" s="915">
        <f>IF(NFI_Expiration=1,IF($A231&lt;VLOOKUP(T$5,NFI,5,0),1,0)*Data_NFI_t[[#This Row],[Adult Clothes]],0)</f>
        <v>0</v>
      </c>
      <c r="AI231" s="131">
        <f>IF(NFI_Expiration=1,IF($A231&lt;VLOOKUP(U$5,NFI,5,0),1,0)*Data_NFI_t[[#This Row],[Children Clothes]],0)</f>
        <v>0</v>
      </c>
      <c r="AJ231" s="131">
        <f>IF(NFI_Expiration=1,IF($A231&lt;VLOOKUP(V$5,NFI,5,0),1,0)*Data_NFI_t[[#This Row],[Sewing Kit]],0)</f>
        <v>0</v>
      </c>
      <c r="AK231" s="131" t="str">
        <f ca="1">IFERROR(OFFSET(Camp_List[P_Code],MATCH(Data_NFI_t[[#This Row],[Camp Name]],Camp_List[Camp Name],0)-1,0,1,1),"")</f>
        <v>MMR012CMP048</v>
      </c>
      <c r="AL231" s="513" t="str">
        <f ca="1">IFERROR(OFFSET(Camp_List[Status],MATCH(Data_NFI_t[[#This Row],[Camp Name]],Camp_List[Camp Name],0)-1,0,1,1),"")</f>
        <v>Open</v>
      </c>
      <c r="AM231" s="131"/>
    </row>
    <row r="232" spans="1:39" s="90" customFormat="1" ht="19.5" customHeight="1" x14ac:dyDescent="0.25">
      <c r="A232" s="242">
        <f>IF(ISBLANK(C232),"",(Report_Date-C232)/30)</f>
        <v>48.266666666666666</v>
      </c>
      <c r="B232" s="242">
        <f>YEAR(Data_NFI_t[[#This Row],[Distribution Date]])</f>
        <v>2013</v>
      </c>
      <c r="C232" s="927">
        <v>41347</v>
      </c>
      <c r="D232" s="489" t="s">
        <v>285</v>
      </c>
      <c r="E232" s="488"/>
      <c r="F232" s="489" t="s">
        <v>7</v>
      </c>
      <c r="G232" s="794" t="s">
        <v>16</v>
      </c>
      <c r="H232" s="794" t="s">
        <v>56</v>
      </c>
      <c r="I232" s="794">
        <v>0</v>
      </c>
      <c r="J232" s="51">
        <v>68</v>
      </c>
      <c r="K232" s="51"/>
      <c r="L232" s="51">
        <v>136</v>
      </c>
      <c r="M232" s="51">
        <v>68</v>
      </c>
      <c r="N232" s="51">
        <v>136</v>
      </c>
      <c r="O232" s="51">
        <v>68</v>
      </c>
      <c r="P232" s="51">
        <v>68</v>
      </c>
      <c r="Q232" s="51">
        <v>68</v>
      </c>
      <c r="R232" s="511"/>
      <c r="S232" s="51">
        <v>136</v>
      </c>
      <c r="T232" s="51"/>
      <c r="U232" s="51"/>
      <c r="V232" s="51"/>
      <c r="W232" s="131">
        <f>IF(NFI_Expiration=1,IF($A232&lt;VLOOKUP(I$5,NFI,5,0),1,0)*Data_NFI_t[[#This Row],[Hygiene Kit]],0)</f>
        <v>0</v>
      </c>
      <c r="X232" s="131">
        <f>IF(NFI_Expiration=1,IF($A232&lt;VLOOKUP(J$5,NFI,5,0),1,0)*Data_NFI_t[[#This Row],[NFI Core Kit]],0)</f>
        <v>0</v>
      </c>
      <c r="Y232" s="112">
        <f>IF(NFI_Expiration=1,IF($A232&lt;VLOOKUP(K$5,NFI,5,0),1,0)*Data_NFI_t[[#This Row],[Sanitary Kit]],0)</f>
        <v>0</v>
      </c>
      <c r="Z232" s="112">
        <f>IF(NFI_Expiration=1,IF($A232&lt;VLOOKUP(L$5,NFI,5,0),1,0)*Data_NFI_t[[#This Row],[Mosquito net]],0)</f>
        <v>0</v>
      </c>
      <c r="AA232" s="112">
        <f>IF(NFI_Expiration=1,IF($A232&lt;VLOOKUP(M$5,NFI,5,0),1,0)*Data_NFI_t[[#This Row],[Tarpaulin]],0)</f>
        <v>0</v>
      </c>
      <c r="AB232" s="112">
        <f>IF(NFI_Expiration=1,IF($A232&lt;VLOOKUP(N$5,NFI,5,0),1,0)*Data_NFI_t[[#This Row],[Blanket]],0)</f>
        <v>0</v>
      </c>
      <c r="AC232" s="112">
        <f>IF(NFI_Expiration=1,IF($A232&lt;VLOOKUP(O$5,NFI,5,0),1,0)*Data_NFI_t[[#This Row],[Kitchen Set]],0)</f>
        <v>0</v>
      </c>
      <c r="AD232" s="112">
        <f>IF(NFI_Expiration=1,IF($A232&lt;VLOOKUP(P$5,NFI,5,0),1,0)*Data_NFI_t[[#This Row],[Complementary Kit]],0)</f>
        <v>0</v>
      </c>
      <c r="AE232" s="112">
        <f>IF(NFI_Expiration=1,IF($A232&lt;VLOOKUP(Q$5,NFI,5,0),1,0)*Data_NFI_t[[#This Row],[Plastic Bucket]],0)</f>
        <v>0</v>
      </c>
      <c r="AF232" s="112">
        <f>IF(NFI_Expiration=1,IF($A232&lt;VLOOKUP(R$5,NFI,5,0),1,0)*Data_NFI_t[[#This Row],[Jerry Can]],0)</f>
        <v>0</v>
      </c>
      <c r="AG232" s="131">
        <f>IF(NFI_Expiration=1,IF($A232&lt;VLOOKUP(S$5,NFI,5,0),1,0)*Data_NFI_t[[#This Row],[Plastic Mat]],0)*IF(Data_NFI_t[[#This Row],[Distribution Date]]&gt;"01-06-2015",1,2.5)</f>
        <v>0</v>
      </c>
      <c r="AH232" s="915">
        <f>IF(NFI_Expiration=1,IF($A232&lt;VLOOKUP(T$5,NFI,5,0),1,0)*Data_NFI_t[[#This Row],[Adult Clothes]],0)</f>
        <v>0</v>
      </c>
      <c r="AI232" s="131">
        <f>IF(NFI_Expiration=1,IF($A232&lt;VLOOKUP(U$5,NFI,5,0),1,0)*Data_NFI_t[[#This Row],[Children Clothes]],0)</f>
        <v>0</v>
      </c>
      <c r="AJ232" s="131">
        <f>IF(NFI_Expiration=1,IF($A232&lt;VLOOKUP(V$5,NFI,5,0),1,0)*Data_NFI_t[[#This Row],[Sewing Kit]],0)</f>
        <v>0</v>
      </c>
      <c r="AK232" s="131" t="str">
        <f ca="1">IFERROR(OFFSET(Camp_List[P_Code],MATCH(Data_NFI_t[[#This Row],[Camp Name]],Camp_List[Camp Name],0)-1,0,1,1),"")</f>
        <v>MMR012CMP032</v>
      </c>
      <c r="AL232" s="513" t="str">
        <f ca="1">IFERROR(OFFSET(Camp_List[Status],MATCH(Data_NFI_t[[#This Row],[Camp Name]],Camp_List[Camp Name],0)-1,0,1,1),"")</f>
        <v>Returned</v>
      </c>
      <c r="AM232" s="131"/>
    </row>
    <row r="233" spans="1:39" s="90" customFormat="1" ht="19.5" customHeight="1" x14ac:dyDescent="0.25">
      <c r="A233" s="242">
        <f>IF(ISBLANK(C233),"",(Report_Date-C233)/30)</f>
        <v>48.266666666666666</v>
      </c>
      <c r="B233" s="242">
        <f>YEAR(Data_NFI_t[[#This Row],[Distribution Date]])</f>
        <v>2013</v>
      </c>
      <c r="C233" s="927">
        <v>41347</v>
      </c>
      <c r="D233" s="489" t="s">
        <v>285</v>
      </c>
      <c r="E233" s="488"/>
      <c r="F233" s="489" t="s">
        <v>7</v>
      </c>
      <c r="G233" s="794" t="s">
        <v>16</v>
      </c>
      <c r="H233" s="794" t="s">
        <v>56</v>
      </c>
      <c r="I233" s="794">
        <v>0</v>
      </c>
      <c r="J233" s="51"/>
      <c r="K233" s="51">
        <v>136</v>
      </c>
      <c r="L233" s="51">
        <v>136</v>
      </c>
      <c r="M233" s="51">
        <v>68</v>
      </c>
      <c r="N233" s="51">
        <v>0</v>
      </c>
      <c r="O233" s="51"/>
      <c r="P233" s="51"/>
      <c r="Q233" s="51"/>
      <c r="R233" s="511"/>
      <c r="S233" s="51"/>
      <c r="T233" s="51"/>
      <c r="U233" s="51"/>
      <c r="V233" s="51"/>
      <c r="W233" s="131">
        <f>IF(NFI_Expiration=1,IF($A233&lt;VLOOKUP(I$5,NFI,5,0),1,0)*Data_NFI_t[[#This Row],[Hygiene Kit]],0)</f>
        <v>0</v>
      </c>
      <c r="X233" s="131">
        <f>IF(NFI_Expiration=1,IF($A233&lt;VLOOKUP(J$5,NFI,5,0),1,0)*Data_NFI_t[[#This Row],[NFI Core Kit]],0)</f>
        <v>0</v>
      </c>
      <c r="Y233" s="112">
        <f>IF(NFI_Expiration=1,IF($A233&lt;VLOOKUP(K$5,NFI,5,0),1,0)*Data_NFI_t[[#This Row],[Sanitary Kit]],0)</f>
        <v>0</v>
      </c>
      <c r="Z233" s="112">
        <f>IF(NFI_Expiration=1,IF($A233&lt;VLOOKUP(L$5,NFI,5,0),1,0)*Data_NFI_t[[#This Row],[Mosquito net]],0)</f>
        <v>0</v>
      </c>
      <c r="AA233" s="112">
        <f>IF(NFI_Expiration=1,IF($A233&lt;VLOOKUP(M$5,NFI,5,0),1,0)*Data_NFI_t[[#This Row],[Tarpaulin]],0)</f>
        <v>0</v>
      </c>
      <c r="AB233" s="112">
        <f>IF(NFI_Expiration=1,IF($A233&lt;VLOOKUP(N$5,NFI,5,0),1,0)*Data_NFI_t[[#This Row],[Blanket]],0)</f>
        <v>0</v>
      </c>
      <c r="AC233" s="112">
        <f>IF(NFI_Expiration=1,IF($A233&lt;VLOOKUP(O$5,NFI,5,0),1,0)*Data_NFI_t[[#This Row],[Kitchen Set]],0)</f>
        <v>0</v>
      </c>
      <c r="AD233" s="112">
        <f>IF(NFI_Expiration=1,IF($A233&lt;VLOOKUP(P$5,NFI,5,0),1,0)*Data_NFI_t[[#This Row],[Complementary Kit]],0)</f>
        <v>0</v>
      </c>
      <c r="AE233" s="112">
        <f>IF(NFI_Expiration=1,IF($A233&lt;VLOOKUP(Q$5,NFI,5,0),1,0)*Data_NFI_t[[#This Row],[Plastic Bucket]],0)</f>
        <v>0</v>
      </c>
      <c r="AF233" s="112">
        <f>IF(NFI_Expiration=1,IF($A233&lt;VLOOKUP(R$5,NFI,5,0),1,0)*Data_NFI_t[[#This Row],[Jerry Can]],0)</f>
        <v>0</v>
      </c>
      <c r="AG233" s="131">
        <f>IF(NFI_Expiration=1,IF($A233&lt;VLOOKUP(S$5,NFI,5,0),1,0)*Data_NFI_t[[#This Row],[Plastic Mat]],0)*IF(Data_NFI_t[[#This Row],[Distribution Date]]&gt;"01-06-2015",1,2.5)</f>
        <v>0</v>
      </c>
      <c r="AH233" s="915">
        <f>IF(NFI_Expiration=1,IF($A233&lt;VLOOKUP(T$5,NFI,5,0),1,0)*Data_NFI_t[[#This Row],[Adult Clothes]],0)</f>
        <v>0</v>
      </c>
      <c r="AI233" s="131">
        <f>IF(NFI_Expiration=1,IF($A233&lt;VLOOKUP(U$5,NFI,5,0),1,0)*Data_NFI_t[[#This Row],[Children Clothes]],0)</f>
        <v>0</v>
      </c>
      <c r="AJ233" s="131">
        <f>IF(NFI_Expiration=1,IF($A233&lt;VLOOKUP(V$5,NFI,5,0),1,0)*Data_NFI_t[[#This Row],[Sewing Kit]],0)</f>
        <v>0</v>
      </c>
      <c r="AK233" s="131" t="str">
        <f ca="1">IFERROR(OFFSET(Camp_List[P_Code],MATCH(Data_NFI_t[[#This Row],[Camp Name]],Camp_List[Camp Name],0)-1,0,1,1),"")</f>
        <v>MMR012CMP032</v>
      </c>
      <c r="AL233" s="513" t="str">
        <f ca="1">IFERROR(OFFSET(Camp_List[Status],MATCH(Data_NFI_t[[#This Row],[Camp Name]],Camp_List[Camp Name],0)-1,0,1,1),"")</f>
        <v>Returned</v>
      </c>
      <c r="AM233" s="131"/>
    </row>
    <row r="234" spans="1:39" s="90" customFormat="1" ht="19.5" customHeight="1" x14ac:dyDescent="0.25">
      <c r="A234" s="242">
        <f>IF(ISBLANK(C234),"",(Report_Date-C234)/30)</f>
        <v>48.266666666666666</v>
      </c>
      <c r="B234" s="242">
        <f>YEAR(Data_NFI_t[[#This Row],[Distribution Date]])</f>
        <v>2013</v>
      </c>
      <c r="C234" s="927">
        <v>41347</v>
      </c>
      <c r="D234" s="489" t="s">
        <v>285</v>
      </c>
      <c r="E234" s="488"/>
      <c r="F234" s="489" t="s">
        <v>7</v>
      </c>
      <c r="G234" s="794" t="s">
        <v>20</v>
      </c>
      <c r="H234" s="794" t="s">
        <v>105</v>
      </c>
      <c r="I234" s="794">
        <v>0</v>
      </c>
      <c r="J234" s="51">
        <v>79</v>
      </c>
      <c r="K234" s="51"/>
      <c r="L234" s="51">
        <v>158</v>
      </c>
      <c r="M234" s="51">
        <v>79</v>
      </c>
      <c r="N234" s="51">
        <v>158</v>
      </c>
      <c r="O234" s="51">
        <v>79</v>
      </c>
      <c r="P234" s="51">
        <v>79</v>
      </c>
      <c r="Q234" s="51">
        <v>79</v>
      </c>
      <c r="R234" s="511"/>
      <c r="S234" s="51">
        <v>158</v>
      </c>
      <c r="T234" s="51"/>
      <c r="U234" s="51"/>
      <c r="V234" s="51"/>
      <c r="W234" s="131">
        <f>IF(NFI_Expiration=1,IF($A234&lt;VLOOKUP(I$5,NFI,5,0),1,0)*Data_NFI_t[[#This Row],[Hygiene Kit]],0)</f>
        <v>0</v>
      </c>
      <c r="X234" s="131">
        <f>IF(NFI_Expiration=1,IF($A234&lt;VLOOKUP(J$5,NFI,5,0),1,0)*Data_NFI_t[[#This Row],[NFI Core Kit]],0)</f>
        <v>0</v>
      </c>
      <c r="Y234" s="112">
        <f>IF(NFI_Expiration=1,IF($A234&lt;VLOOKUP(K$5,NFI,5,0),1,0)*Data_NFI_t[[#This Row],[Sanitary Kit]],0)</f>
        <v>0</v>
      </c>
      <c r="Z234" s="112">
        <f>IF(NFI_Expiration=1,IF($A234&lt;VLOOKUP(L$5,NFI,5,0),1,0)*Data_NFI_t[[#This Row],[Mosquito net]],0)</f>
        <v>0</v>
      </c>
      <c r="AA234" s="112">
        <f>IF(NFI_Expiration=1,IF($A234&lt;VLOOKUP(M$5,NFI,5,0),1,0)*Data_NFI_t[[#This Row],[Tarpaulin]],0)</f>
        <v>0</v>
      </c>
      <c r="AB234" s="112">
        <f>IF(NFI_Expiration=1,IF($A234&lt;VLOOKUP(N$5,NFI,5,0),1,0)*Data_NFI_t[[#This Row],[Blanket]],0)</f>
        <v>0</v>
      </c>
      <c r="AC234" s="112">
        <f>IF(NFI_Expiration=1,IF($A234&lt;VLOOKUP(O$5,NFI,5,0),1,0)*Data_NFI_t[[#This Row],[Kitchen Set]],0)</f>
        <v>0</v>
      </c>
      <c r="AD234" s="112">
        <f>IF(NFI_Expiration=1,IF($A234&lt;VLOOKUP(P$5,NFI,5,0),1,0)*Data_NFI_t[[#This Row],[Complementary Kit]],0)</f>
        <v>0</v>
      </c>
      <c r="AE234" s="112">
        <f>IF(NFI_Expiration=1,IF($A234&lt;VLOOKUP(Q$5,NFI,5,0),1,0)*Data_NFI_t[[#This Row],[Plastic Bucket]],0)</f>
        <v>0</v>
      </c>
      <c r="AF234" s="112">
        <f>IF(NFI_Expiration=1,IF($A234&lt;VLOOKUP(R$5,NFI,5,0),1,0)*Data_NFI_t[[#This Row],[Jerry Can]],0)</f>
        <v>0</v>
      </c>
      <c r="AG234" s="131">
        <f>IF(NFI_Expiration=1,IF($A234&lt;VLOOKUP(S$5,NFI,5,0),1,0)*Data_NFI_t[[#This Row],[Plastic Mat]],0)*IF(Data_NFI_t[[#This Row],[Distribution Date]]&gt;"01-06-2015",1,2.5)</f>
        <v>0</v>
      </c>
      <c r="AH234" s="915">
        <f>IF(NFI_Expiration=1,IF($A234&lt;VLOOKUP(T$5,NFI,5,0),1,0)*Data_NFI_t[[#This Row],[Adult Clothes]],0)</f>
        <v>0</v>
      </c>
      <c r="AI234" s="131">
        <f>IF(NFI_Expiration=1,IF($A234&lt;VLOOKUP(U$5,NFI,5,0),1,0)*Data_NFI_t[[#This Row],[Children Clothes]],0)</f>
        <v>0</v>
      </c>
      <c r="AJ234" s="131">
        <f>IF(NFI_Expiration=1,IF($A234&lt;VLOOKUP(V$5,NFI,5,0),1,0)*Data_NFI_t[[#This Row],[Sewing Kit]],0)</f>
        <v>0</v>
      </c>
      <c r="AK234" s="131" t="str">
        <f ca="1">IFERROR(OFFSET(Camp_List[P_Code],MATCH(Data_NFI_t[[#This Row],[Camp Name]],Camp_List[Camp Name],0)-1,0,1,1),"")</f>
        <v>MMR012CMP084</v>
      </c>
      <c r="AL234" s="513" t="str">
        <f ca="1">IFERROR(OFFSET(Camp_List[Status],MATCH(Data_NFI_t[[#This Row],[Camp Name]],Camp_List[Camp Name],0)-1,0,1,1),"")</f>
        <v>Open</v>
      </c>
      <c r="AM234" s="131"/>
    </row>
    <row r="235" spans="1:39" s="90" customFormat="1" ht="19.5" customHeight="1" x14ac:dyDescent="0.25">
      <c r="A235" s="242">
        <f>IF(ISBLANK(C235),"",(Report_Date-C235)/30)</f>
        <v>48.266666666666666</v>
      </c>
      <c r="B235" s="242">
        <f>YEAR(Data_NFI_t[[#This Row],[Distribution Date]])</f>
        <v>2013</v>
      </c>
      <c r="C235" s="927">
        <v>41347</v>
      </c>
      <c r="D235" s="489" t="s">
        <v>285</v>
      </c>
      <c r="E235" s="488"/>
      <c r="F235" s="489" t="s">
        <v>7</v>
      </c>
      <c r="G235" s="794" t="s">
        <v>20</v>
      </c>
      <c r="H235" s="794" t="s">
        <v>105</v>
      </c>
      <c r="I235" s="794">
        <v>0</v>
      </c>
      <c r="J235" s="51"/>
      <c r="K235" s="51">
        <v>158</v>
      </c>
      <c r="L235" s="51">
        <v>292</v>
      </c>
      <c r="M235" s="51">
        <v>79</v>
      </c>
      <c r="N235" s="51">
        <v>0</v>
      </c>
      <c r="O235" s="51"/>
      <c r="P235" s="51"/>
      <c r="Q235" s="51"/>
      <c r="R235" s="511"/>
      <c r="S235" s="51"/>
      <c r="T235" s="51"/>
      <c r="U235" s="51"/>
      <c r="V235" s="51"/>
      <c r="W235" s="131">
        <f>IF(NFI_Expiration=1,IF($A235&lt;VLOOKUP(I$5,NFI,5,0),1,0)*Data_NFI_t[[#This Row],[Hygiene Kit]],0)</f>
        <v>0</v>
      </c>
      <c r="X235" s="131">
        <f>IF(NFI_Expiration=1,IF($A235&lt;VLOOKUP(J$5,NFI,5,0),1,0)*Data_NFI_t[[#This Row],[NFI Core Kit]],0)</f>
        <v>0</v>
      </c>
      <c r="Y235" s="112">
        <f>IF(NFI_Expiration=1,IF($A235&lt;VLOOKUP(K$5,NFI,5,0),1,0)*Data_NFI_t[[#This Row],[Sanitary Kit]],0)</f>
        <v>0</v>
      </c>
      <c r="Z235" s="112">
        <f>IF(NFI_Expiration=1,IF($A235&lt;VLOOKUP(L$5,NFI,5,0),1,0)*Data_NFI_t[[#This Row],[Mosquito net]],0)</f>
        <v>0</v>
      </c>
      <c r="AA235" s="112">
        <f>IF(NFI_Expiration=1,IF($A235&lt;VLOOKUP(M$5,NFI,5,0),1,0)*Data_NFI_t[[#This Row],[Tarpaulin]],0)</f>
        <v>0</v>
      </c>
      <c r="AB235" s="112">
        <f>IF(NFI_Expiration=1,IF($A235&lt;VLOOKUP(N$5,NFI,5,0),1,0)*Data_NFI_t[[#This Row],[Blanket]],0)</f>
        <v>0</v>
      </c>
      <c r="AC235" s="112">
        <f>IF(NFI_Expiration=1,IF($A235&lt;VLOOKUP(O$5,NFI,5,0),1,0)*Data_NFI_t[[#This Row],[Kitchen Set]],0)</f>
        <v>0</v>
      </c>
      <c r="AD235" s="112">
        <f>IF(NFI_Expiration=1,IF($A235&lt;VLOOKUP(P$5,NFI,5,0),1,0)*Data_NFI_t[[#This Row],[Complementary Kit]],0)</f>
        <v>0</v>
      </c>
      <c r="AE235" s="112">
        <f>IF(NFI_Expiration=1,IF($A235&lt;VLOOKUP(Q$5,NFI,5,0),1,0)*Data_NFI_t[[#This Row],[Plastic Bucket]],0)</f>
        <v>0</v>
      </c>
      <c r="AF235" s="112">
        <f>IF(NFI_Expiration=1,IF($A235&lt;VLOOKUP(R$5,NFI,5,0),1,0)*Data_NFI_t[[#This Row],[Jerry Can]],0)</f>
        <v>0</v>
      </c>
      <c r="AG235" s="131">
        <f>IF(NFI_Expiration=1,IF($A235&lt;VLOOKUP(S$5,NFI,5,0),1,0)*Data_NFI_t[[#This Row],[Plastic Mat]],0)*IF(Data_NFI_t[[#This Row],[Distribution Date]]&gt;"01-06-2015",1,2.5)</f>
        <v>0</v>
      </c>
      <c r="AH235" s="915">
        <f>IF(NFI_Expiration=1,IF($A235&lt;VLOOKUP(T$5,NFI,5,0),1,0)*Data_NFI_t[[#This Row],[Adult Clothes]],0)</f>
        <v>0</v>
      </c>
      <c r="AI235" s="131">
        <f>IF(NFI_Expiration=1,IF($A235&lt;VLOOKUP(U$5,NFI,5,0),1,0)*Data_NFI_t[[#This Row],[Children Clothes]],0)</f>
        <v>0</v>
      </c>
      <c r="AJ235" s="131">
        <f>IF(NFI_Expiration=1,IF($A235&lt;VLOOKUP(V$5,NFI,5,0),1,0)*Data_NFI_t[[#This Row],[Sewing Kit]],0)</f>
        <v>0</v>
      </c>
      <c r="AK235" s="131" t="str">
        <f ca="1">IFERROR(OFFSET(Camp_List[P_Code],MATCH(Data_NFI_t[[#This Row],[Camp Name]],Camp_List[Camp Name],0)-1,0,1,1),"")</f>
        <v>MMR012CMP084</v>
      </c>
      <c r="AL235" s="513" t="str">
        <f ca="1">IFERROR(OFFSET(Camp_List[Status],MATCH(Data_NFI_t[[#This Row],[Camp Name]],Camp_List[Camp Name],0)-1,0,1,1),"")</f>
        <v>Open</v>
      </c>
      <c r="AM235" s="131"/>
    </row>
    <row r="236" spans="1:39" s="90" customFormat="1" ht="19.5" customHeight="1" x14ac:dyDescent="0.25">
      <c r="A236" s="242">
        <f>IF(ISBLANK(C236),"",(Report_Date-C236)/30)</f>
        <v>48.266666666666666</v>
      </c>
      <c r="B236" s="242">
        <f>YEAR(Data_NFI_t[[#This Row],[Distribution Date]])</f>
        <v>2013</v>
      </c>
      <c r="C236" s="927">
        <v>41347</v>
      </c>
      <c r="D236" s="489" t="s">
        <v>288</v>
      </c>
      <c r="E236" s="488" t="s">
        <v>288</v>
      </c>
      <c r="F236" s="489" t="s">
        <v>7</v>
      </c>
      <c r="G236" s="794" t="s">
        <v>19</v>
      </c>
      <c r="H236" s="794" t="s">
        <v>67</v>
      </c>
      <c r="I236" s="794">
        <v>2907</v>
      </c>
      <c r="J236" s="51"/>
      <c r="K236" s="51"/>
      <c r="L236" s="51"/>
      <c r="M236" s="51"/>
      <c r="N236" s="51"/>
      <c r="O236" s="51"/>
      <c r="P236" s="51"/>
      <c r="Q236" s="51"/>
      <c r="R236" s="511"/>
      <c r="S236" s="51"/>
      <c r="T236" s="51"/>
      <c r="U236" s="51"/>
      <c r="V236" s="51"/>
      <c r="W236" s="131">
        <f>IF(NFI_Expiration=1,IF($A236&lt;VLOOKUP(I$5,NFI,5,0),1,0)*Data_NFI_t[[#This Row],[Hygiene Kit]],0)</f>
        <v>0</v>
      </c>
      <c r="X236" s="131">
        <f>IF(NFI_Expiration=1,IF($A236&lt;VLOOKUP(J$5,NFI,5,0),1,0)*Data_NFI_t[[#This Row],[NFI Core Kit]],0)</f>
        <v>0</v>
      </c>
      <c r="Y236" s="112">
        <f>IF(NFI_Expiration=1,IF($A236&lt;VLOOKUP(K$5,NFI,5,0),1,0)*Data_NFI_t[[#This Row],[Sanitary Kit]],0)</f>
        <v>0</v>
      </c>
      <c r="Z236" s="112">
        <f>IF(NFI_Expiration=1,IF($A236&lt;VLOOKUP(L$5,NFI,5,0),1,0)*Data_NFI_t[[#This Row],[Mosquito net]],0)</f>
        <v>0</v>
      </c>
      <c r="AA236" s="112">
        <f>IF(NFI_Expiration=1,IF($A236&lt;VLOOKUP(M$5,NFI,5,0),1,0)*Data_NFI_t[[#This Row],[Tarpaulin]],0)</f>
        <v>0</v>
      </c>
      <c r="AB236" s="112">
        <f>IF(NFI_Expiration=1,IF($A236&lt;VLOOKUP(N$5,NFI,5,0),1,0)*Data_NFI_t[[#This Row],[Blanket]],0)</f>
        <v>0</v>
      </c>
      <c r="AC236" s="112">
        <f>IF(NFI_Expiration=1,IF($A236&lt;VLOOKUP(O$5,NFI,5,0),1,0)*Data_NFI_t[[#This Row],[Kitchen Set]],0)</f>
        <v>0</v>
      </c>
      <c r="AD236" s="112">
        <f>IF(NFI_Expiration=1,IF($A236&lt;VLOOKUP(P$5,NFI,5,0),1,0)*Data_NFI_t[[#This Row],[Complementary Kit]],0)</f>
        <v>0</v>
      </c>
      <c r="AE236" s="112">
        <f>IF(NFI_Expiration=1,IF($A236&lt;VLOOKUP(Q$5,NFI,5,0),1,0)*Data_NFI_t[[#This Row],[Plastic Bucket]],0)</f>
        <v>0</v>
      </c>
      <c r="AF236" s="112">
        <f>IF(NFI_Expiration=1,IF($A236&lt;VLOOKUP(R$5,NFI,5,0),1,0)*Data_NFI_t[[#This Row],[Jerry Can]],0)</f>
        <v>0</v>
      </c>
      <c r="AG236" s="131">
        <f>IF(NFI_Expiration=1,IF($A236&lt;VLOOKUP(S$5,NFI,5,0),1,0)*Data_NFI_t[[#This Row],[Plastic Mat]],0)*IF(Data_NFI_t[[#This Row],[Distribution Date]]&gt;"01-06-2015",1,2.5)</f>
        <v>0</v>
      </c>
      <c r="AH236" s="915">
        <f>IF(NFI_Expiration=1,IF($A236&lt;VLOOKUP(T$5,NFI,5,0),1,0)*Data_NFI_t[[#This Row],[Adult Clothes]],0)</f>
        <v>0</v>
      </c>
      <c r="AI236" s="131">
        <f>IF(NFI_Expiration=1,IF($A236&lt;VLOOKUP(U$5,NFI,5,0),1,0)*Data_NFI_t[[#This Row],[Children Clothes]],0)</f>
        <v>0</v>
      </c>
      <c r="AJ236" s="131">
        <f>IF(NFI_Expiration=1,IF($A236&lt;VLOOKUP(V$5,NFI,5,0),1,0)*Data_NFI_t[[#This Row],[Sewing Kit]],0)</f>
        <v>0</v>
      </c>
      <c r="AK236" s="131" t="str">
        <f ca="1">IFERROR(OFFSET(Camp_List[P_Code],MATCH(Data_NFI_t[[#This Row],[Camp Name]],Camp_List[Camp Name],0)-1,0,1,1),"")</f>
        <v>MMR012CMP045</v>
      </c>
      <c r="AL236" s="513" t="str">
        <f ca="1">IFERROR(OFFSET(Camp_List[Status],MATCH(Data_NFI_t[[#This Row],[Camp Name]],Camp_List[Camp Name],0)-1,0,1,1),"")</f>
        <v>Open</v>
      </c>
      <c r="AM236" s="131"/>
    </row>
    <row r="237" spans="1:39" s="90" customFormat="1" ht="19.5" customHeight="1" x14ac:dyDescent="0.25">
      <c r="A237" s="242">
        <f>IF(ISBLANK(C237),"",(Report_Date-C237)/30)</f>
        <v>48.56666666666667</v>
      </c>
      <c r="B237" s="242">
        <f>YEAR(Data_NFI_t[[#This Row],[Distribution Date]])</f>
        <v>2013</v>
      </c>
      <c r="C237" s="927">
        <v>41338</v>
      </c>
      <c r="D237" s="489" t="s">
        <v>285</v>
      </c>
      <c r="E237" s="488"/>
      <c r="F237" s="489" t="s">
        <v>7</v>
      </c>
      <c r="G237" s="794" t="s">
        <v>20</v>
      </c>
      <c r="H237" s="794" t="s">
        <v>104</v>
      </c>
      <c r="I237" s="794">
        <v>0</v>
      </c>
      <c r="J237" s="51">
        <v>0</v>
      </c>
      <c r="K237" s="51">
        <v>0</v>
      </c>
      <c r="L237" s="51">
        <v>34</v>
      </c>
      <c r="M237" s="51">
        <v>0</v>
      </c>
      <c r="N237" s="51">
        <v>0</v>
      </c>
      <c r="O237" s="51"/>
      <c r="P237" s="51"/>
      <c r="Q237" s="51"/>
      <c r="R237" s="511"/>
      <c r="S237" s="51"/>
      <c r="T237" s="51"/>
      <c r="U237" s="51"/>
      <c r="V237" s="51"/>
      <c r="W237" s="131">
        <f>IF(NFI_Expiration=1,IF($A237&lt;VLOOKUP(I$5,NFI,5,0),1,0)*Data_NFI_t[[#This Row],[Hygiene Kit]],0)</f>
        <v>0</v>
      </c>
      <c r="X237" s="131">
        <f>IF(NFI_Expiration=1,IF($A237&lt;VLOOKUP(J$5,NFI,5,0),1,0)*Data_NFI_t[[#This Row],[NFI Core Kit]],0)</f>
        <v>0</v>
      </c>
      <c r="Y237" s="112">
        <f>IF(NFI_Expiration=1,IF($A237&lt;VLOOKUP(K$5,NFI,5,0),1,0)*Data_NFI_t[[#This Row],[Sanitary Kit]],0)</f>
        <v>0</v>
      </c>
      <c r="Z237" s="112">
        <f>IF(NFI_Expiration=1,IF($A237&lt;VLOOKUP(L$5,NFI,5,0),1,0)*Data_NFI_t[[#This Row],[Mosquito net]],0)</f>
        <v>0</v>
      </c>
      <c r="AA237" s="112">
        <f>IF(NFI_Expiration=1,IF($A237&lt;VLOOKUP(M$5,NFI,5,0),1,0)*Data_NFI_t[[#This Row],[Tarpaulin]],0)</f>
        <v>0</v>
      </c>
      <c r="AB237" s="112">
        <f>IF(NFI_Expiration=1,IF($A237&lt;VLOOKUP(N$5,NFI,5,0),1,0)*Data_NFI_t[[#This Row],[Blanket]],0)</f>
        <v>0</v>
      </c>
      <c r="AC237" s="112">
        <f>IF(NFI_Expiration=1,IF($A237&lt;VLOOKUP(O$5,NFI,5,0),1,0)*Data_NFI_t[[#This Row],[Kitchen Set]],0)</f>
        <v>0</v>
      </c>
      <c r="AD237" s="112">
        <f>IF(NFI_Expiration=1,IF($A237&lt;VLOOKUP(P$5,NFI,5,0),1,0)*Data_NFI_t[[#This Row],[Complementary Kit]],0)</f>
        <v>0</v>
      </c>
      <c r="AE237" s="112">
        <f>IF(NFI_Expiration=1,IF($A237&lt;VLOOKUP(Q$5,NFI,5,0),1,0)*Data_NFI_t[[#This Row],[Plastic Bucket]],0)</f>
        <v>0</v>
      </c>
      <c r="AF237" s="112">
        <f>IF(NFI_Expiration=1,IF($A237&lt;VLOOKUP(R$5,NFI,5,0),1,0)*Data_NFI_t[[#This Row],[Jerry Can]],0)</f>
        <v>0</v>
      </c>
      <c r="AG237" s="131">
        <f>IF(NFI_Expiration=1,IF($A237&lt;VLOOKUP(S$5,NFI,5,0),1,0)*Data_NFI_t[[#This Row],[Plastic Mat]],0)*IF(Data_NFI_t[[#This Row],[Distribution Date]]&gt;"01-06-2015",1,2.5)</f>
        <v>0</v>
      </c>
      <c r="AH237" s="915">
        <f>IF(NFI_Expiration=1,IF($A237&lt;VLOOKUP(T$5,NFI,5,0),1,0)*Data_NFI_t[[#This Row],[Adult Clothes]],0)</f>
        <v>0</v>
      </c>
      <c r="AI237" s="131">
        <f>IF(NFI_Expiration=1,IF($A237&lt;VLOOKUP(U$5,NFI,5,0),1,0)*Data_NFI_t[[#This Row],[Children Clothes]],0)</f>
        <v>0</v>
      </c>
      <c r="AJ237" s="131">
        <f>IF(NFI_Expiration=1,IF($A237&lt;VLOOKUP(V$5,NFI,5,0),1,0)*Data_NFI_t[[#This Row],[Sewing Kit]],0)</f>
        <v>0</v>
      </c>
      <c r="AK237" s="131" t="str">
        <f ca="1">IFERROR(OFFSET(Camp_List[P_Code],MATCH(Data_NFI_t[[#This Row],[Camp Name]],Camp_List[Camp Name],0)-1,0,1,1),"")</f>
        <v/>
      </c>
      <c r="AL237" s="513" t="str">
        <f ca="1">IFERROR(OFFSET(Camp_List[Status],MATCH(Data_NFI_t[[#This Row],[Camp Name]],Camp_List[Camp Name],0)-1,0,1,1),"")</f>
        <v/>
      </c>
      <c r="AM237" s="131"/>
    </row>
    <row r="238" spans="1:39" s="90" customFormat="1" ht="19.5" customHeight="1" x14ac:dyDescent="0.25">
      <c r="A238" s="242">
        <f>IF(ISBLANK(C238),"",(Report_Date-C238)/30)</f>
        <v>48.633333333333333</v>
      </c>
      <c r="B238" s="242">
        <f>YEAR(Data_NFI_t[[#This Row],[Distribution Date]])</f>
        <v>2013</v>
      </c>
      <c r="C238" s="927">
        <v>41336</v>
      </c>
      <c r="D238" s="489" t="s">
        <v>285</v>
      </c>
      <c r="E238" s="488"/>
      <c r="F238" s="489" t="s">
        <v>7</v>
      </c>
      <c r="G238" s="794" t="s">
        <v>11</v>
      </c>
      <c r="H238" s="794" t="s">
        <v>31</v>
      </c>
      <c r="I238" s="794"/>
      <c r="J238" s="51"/>
      <c r="K238" s="51"/>
      <c r="L238" s="51"/>
      <c r="M238" s="51"/>
      <c r="N238" s="51">
        <v>33</v>
      </c>
      <c r="O238" s="51"/>
      <c r="P238" s="51"/>
      <c r="Q238" s="51"/>
      <c r="R238" s="511"/>
      <c r="S238" s="51"/>
      <c r="T238" s="51"/>
      <c r="U238" s="51"/>
      <c r="V238" s="51"/>
      <c r="W238" s="131">
        <f>IF(NFI_Expiration=1,IF($A238&lt;VLOOKUP(I$5,NFI,5,0),1,0)*Data_NFI_t[[#This Row],[Hygiene Kit]],0)</f>
        <v>0</v>
      </c>
      <c r="X238" s="131">
        <f>IF(NFI_Expiration=1,IF($A238&lt;VLOOKUP(J$5,NFI,5,0),1,0)*Data_NFI_t[[#This Row],[NFI Core Kit]],0)</f>
        <v>0</v>
      </c>
      <c r="Y238" s="112">
        <f>IF(NFI_Expiration=1,IF($A238&lt;VLOOKUP(K$5,NFI,5,0),1,0)*Data_NFI_t[[#This Row],[Sanitary Kit]],0)</f>
        <v>0</v>
      </c>
      <c r="Z238" s="112">
        <f>IF(NFI_Expiration=1,IF($A238&lt;VLOOKUP(L$5,NFI,5,0),1,0)*Data_NFI_t[[#This Row],[Mosquito net]],0)</f>
        <v>0</v>
      </c>
      <c r="AA238" s="112">
        <f>IF(NFI_Expiration=1,IF($A238&lt;VLOOKUP(M$5,NFI,5,0),1,0)*Data_NFI_t[[#This Row],[Tarpaulin]],0)</f>
        <v>0</v>
      </c>
      <c r="AB238" s="112">
        <f>IF(NFI_Expiration=1,IF($A238&lt;VLOOKUP(N$5,NFI,5,0),1,0)*Data_NFI_t[[#This Row],[Blanket]],0)</f>
        <v>0</v>
      </c>
      <c r="AC238" s="112">
        <f>IF(NFI_Expiration=1,IF($A238&lt;VLOOKUP(O$5,NFI,5,0),1,0)*Data_NFI_t[[#This Row],[Kitchen Set]],0)</f>
        <v>0</v>
      </c>
      <c r="AD238" s="112">
        <f>IF(NFI_Expiration=1,IF($A238&lt;VLOOKUP(P$5,NFI,5,0),1,0)*Data_NFI_t[[#This Row],[Complementary Kit]],0)</f>
        <v>0</v>
      </c>
      <c r="AE238" s="112">
        <f>IF(NFI_Expiration=1,IF($A238&lt;VLOOKUP(Q$5,NFI,5,0),1,0)*Data_NFI_t[[#This Row],[Plastic Bucket]],0)</f>
        <v>0</v>
      </c>
      <c r="AF238" s="112">
        <f>IF(NFI_Expiration=1,IF($A238&lt;VLOOKUP(R$5,NFI,5,0),1,0)*Data_NFI_t[[#This Row],[Jerry Can]],0)</f>
        <v>0</v>
      </c>
      <c r="AG238" s="131">
        <f>IF(NFI_Expiration=1,IF($A238&lt;VLOOKUP(S$5,NFI,5,0),1,0)*Data_NFI_t[[#This Row],[Plastic Mat]],0)*IF(Data_NFI_t[[#This Row],[Distribution Date]]&gt;"01-06-2015",1,2.5)</f>
        <v>0</v>
      </c>
      <c r="AH238" s="915">
        <f>IF(NFI_Expiration=1,IF($A238&lt;VLOOKUP(T$5,NFI,5,0),1,0)*Data_NFI_t[[#This Row],[Adult Clothes]],0)</f>
        <v>0</v>
      </c>
      <c r="AI238" s="131">
        <f>IF(NFI_Expiration=1,IF($A238&lt;VLOOKUP(U$5,NFI,5,0),1,0)*Data_NFI_t[[#This Row],[Children Clothes]],0)</f>
        <v>0</v>
      </c>
      <c r="AJ238" s="131">
        <f>IF(NFI_Expiration=1,IF($A238&lt;VLOOKUP(V$5,NFI,5,0),1,0)*Data_NFI_t[[#This Row],[Sewing Kit]],0)</f>
        <v>0</v>
      </c>
      <c r="AK238" s="131" t="str">
        <f ca="1">IFERROR(OFFSET(Camp_List[P_Code],MATCH(Data_NFI_t[[#This Row],[Camp Name]],Camp_List[Camp Name],0)-1,0,1,1),"")</f>
        <v>MMR012CMP007</v>
      </c>
      <c r="AL238" s="513" t="str">
        <f ca="1">IFERROR(OFFSET(Camp_List[Status],MATCH(Data_NFI_t[[#This Row],[Camp Name]],Camp_List[Camp Name],0)-1,0,1,1),"")</f>
        <v>Close</v>
      </c>
      <c r="AM238" s="131"/>
    </row>
    <row r="239" spans="1:39" s="90" customFormat="1" ht="19.5" customHeight="1" x14ac:dyDescent="0.25">
      <c r="A239" s="242">
        <f>IF(ISBLANK(C239),"",(Report_Date-C239)/30)</f>
        <v>48.7</v>
      </c>
      <c r="B239" s="242">
        <f>YEAR(Data_NFI_t[[#This Row],[Distribution Date]])</f>
        <v>2013</v>
      </c>
      <c r="C239" s="927">
        <v>41334</v>
      </c>
      <c r="D239" s="489" t="s">
        <v>285</v>
      </c>
      <c r="E239" s="488"/>
      <c r="F239" s="489" t="s">
        <v>7</v>
      </c>
      <c r="G239" s="794" t="s">
        <v>20</v>
      </c>
      <c r="H239" s="794" t="s">
        <v>107</v>
      </c>
      <c r="I239" s="794">
        <v>0</v>
      </c>
      <c r="J239" s="51">
        <v>51</v>
      </c>
      <c r="K239" s="51"/>
      <c r="L239" s="51">
        <v>102</v>
      </c>
      <c r="M239" s="51">
        <v>51</v>
      </c>
      <c r="N239" s="51">
        <v>102</v>
      </c>
      <c r="O239" s="51">
        <v>51</v>
      </c>
      <c r="P239" s="51">
        <v>51</v>
      </c>
      <c r="Q239" s="51">
        <v>51</v>
      </c>
      <c r="R239" s="511"/>
      <c r="S239" s="51">
        <v>102</v>
      </c>
      <c r="T239" s="51"/>
      <c r="U239" s="51"/>
      <c r="V239" s="51"/>
      <c r="W239" s="131">
        <f>IF(NFI_Expiration=1,IF($A239&lt;VLOOKUP(I$5,NFI,5,0),1,0)*Data_NFI_t[[#This Row],[Hygiene Kit]],0)</f>
        <v>0</v>
      </c>
      <c r="X239" s="131">
        <f>IF(NFI_Expiration=1,IF($A239&lt;VLOOKUP(J$5,NFI,5,0),1,0)*Data_NFI_t[[#This Row],[NFI Core Kit]],0)</f>
        <v>0</v>
      </c>
      <c r="Y239" s="112">
        <f>IF(NFI_Expiration=1,IF($A239&lt;VLOOKUP(K$5,NFI,5,0),1,0)*Data_NFI_t[[#This Row],[Sanitary Kit]],0)</f>
        <v>0</v>
      </c>
      <c r="Z239" s="112">
        <f>IF(NFI_Expiration=1,IF($A239&lt;VLOOKUP(L$5,NFI,5,0),1,0)*Data_NFI_t[[#This Row],[Mosquito net]],0)</f>
        <v>0</v>
      </c>
      <c r="AA239" s="112">
        <f>IF(NFI_Expiration=1,IF($A239&lt;VLOOKUP(M$5,NFI,5,0),1,0)*Data_NFI_t[[#This Row],[Tarpaulin]],0)</f>
        <v>0</v>
      </c>
      <c r="AB239" s="112">
        <f>IF(NFI_Expiration=1,IF($A239&lt;VLOOKUP(N$5,NFI,5,0),1,0)*Data_NFI_t[[#This Row],[Blanket]],0)</f>
        <v>0</v>
      </c>
      <c r="AC239" s="112">
        <f>IF(NFI_Expiration=1,IF($A239&lt;VLOOKUP(O$5,NFI,5,0),1,0)*Data_NFI_t[[#This Row],[Kitchen Set]],0)</f>
        <v>0</v>
      </c>
      <c r="AD239" s="112">
        <f>IF(NFI_Expiration=1,IF($A239&lt;VLOOKUP(P$5,NFI,5,0),1,0)*Data_NFI_t[[#This Row],[Complementary Kit]],0)</f>
        <v>0</v>
      </c>
      <c r="AE239" s="112">
        <f>IF(NFI_Expiration=1,IF($A239&lt;VLOOKUP(Q$5,NFI,5,0),1,0)*Data_NFI_t[[#This Row],[Plastic Bucket]],0)</f>
        <v>0</v>
      </c>
      <c r="AF239" s="112">
        <f>IF(NFI_Expiration=1,IF($A239&lt;VLOOKUP(R$5,NFI,5,0),1,0)*Data_NFI_t[[#This Row],[Jerry Can]],0)</f>
        <v>0</v>
      </c>
      <c r="AG239" s="131">
        <f>IF(NFI_Expiration=1,IF($A239&lt;VLOOKUP(S$5,NFI,5,0),1,0)*Data_NFI_t[[#This Row],[Plastic Mat]],0)*IF(Data_NFI_t[[#This Row],[Distribution Date]]&gt;"01-06-2015",1,2.5)</f>
        <v>0</v>
      </c>
      <c r="AH239" s="915">
        <f>IF(NFI_Expiration=1,IF($A239&lt;VLOOKUP(T$5,NFI,5,0),1,0)*Data_NFI_t[[#This Row],[Adult Clothes]],0)</f>
        <v>0</v>
      </c>
      <c r="AI239" s="131">
        <f>IF(NFI_Expiration=1,IF($A239&lt;VLOOKUP(U$5,NFI,5,0),1,0)*Data_NFI_t[[#This Row],[Children Clothes]],0)</f>
        <v>0</v>
      </c>
      <c r="AJ239" s="131">
        <f>IF(NFI_Expiration=1,IF($A239&lt;VLOOKUP(V$5,NFI,5,0),1,0)*Data_NFI_t[[#This Row],[Sewing Kit]],0)</f>
        <v>0</v>
      </c>
      <c r="AK239" s="131" t="str">
        <f ca="1">IFERROR(OFFSET(Camp_List[P_Code],MATCH(Data_NFI_t[[#This Row],[Camp Name]],Camp_List[Camp Name],0)-1,0,1,1),"")</f>
        <v>MMR012CMP086</v>
      </c>
      <c r="AL239" s="513" t="str">
        <f ca="1">IFERROR(OFFSET(Camp_List[Status],MATCH(Data_NFI_t[[#This Row],[Camp Name]],Camp_List[Camp Name],0)-1,0,1,1),"")</f>
        <v>Open</v>
      </c>
      <c r="AM239" s="131"/>
    </row>
    <row r="240" spans="1:39" s="90" customFormat="1" ht="19.5" customHeight="1" x14ac:dyDescent="0.25">
      <c r="A240" s="242">
        <f>IF(ISBLANK(C240),"",(Report_Date-C240)/30)</f>
        <v>48.7</v>
      </c>
      <c r="B240" s="242">
        <f>YEAR(Data_NFI_t[[#This Row],[Distribution Date]])</f>
        <v>2013</v>
      </c>
      <c r="C240" s="927">
        <v>41334</v>
      </c>
      <c r="D240" s="489" t="s">
        <v>285</v>
      </c>
      <c r="E240" s="488"/>
      <c r="F240" s="489" t="s">
        <v>7</v>
      </c>
      <c r="G240" s="794" t="s">
        <v>20</v>
      </c>
      <c r="H240" s="794" t="s">
        <v>107</v>
      </c>
      <c r="I240" s="794">
        <v>0</v>
      </c>
      <c r="J240" s="51"/>
      <c r="K240" s="51">
        <v>102</v>
      </c>
      <c r="L240" s="51">
        <v>156</v>
      </c>
      <c r="M240" s="51">
        <v>51</v>
      </c>
      <c r="N240" s="51">
        <v>0</v>
      </c>
      <c r="O240" s="51"/>
      <c r="P240" s="51"/>
      <c r="Q240" s="51"/>
      <c r="R240" s="511"/>
      <c r="S240" s="51"/>
      <c r="T240" s="51"/>
      <c r="U240" s="51"/>
      <c r="V240" s="51"/>
      <c r="W240" s="131">
        <f>IF(NFI_Expiration=1,IF($A240&lt;VLOOKUP(I$5,NFI,5,0),1,0)*Data_NFI_t[[#This Row],[Hygiene Kit]],0)</f>
        <v>0</v>
      </c>
      <c r="X240" s="131">
        <f>IF(NFI_Expiration=1,IF($A240&lt;VLOOKUP(J$5,NFI,5,0),1,0)*Data_NFI_t[[#This Row],[NFI Core Kit]],0)</f>
        <v>0</v>
      </c>
      <c r="Y240" s="112">
        <f>IF(NFI_Expiration=1,IF($A240&lt;VLOOKUP(K$5,NFI,5,0),1,0)*Data_NFI_t[[#This Row],[Sanitary Kit]],0)</f>
        <v>0</v>
      </c>
      <c r="Z240" s="112">
        <f>IF(NFI_Expiration=1,IF($A240&lt;VLOOKUP(L$5,NFI,5,0),1,0)*Data_NFI_t[[#This Row],[Mosquito net]],0)</f>
        <v>0</v>
      </c>
      <c r="AA240" s="112">
        <f>IF(NFI_Expiration=1,IF($A240&lt;VLOOKUP(M$5,NFI,5,0),1,0)*Data_NFI_t[[#This Row],[Tarpaulin]],0)</f>
        <v>0</v>
      </c>
      <c r="AB240" s="112">
        <f>IF(NFI_Expiration=1,IF($A240&lt;VLOOKUP(N$5,NFI,5,0),1,0)*Data_NFI_t[[#This Row],[Blanket]],0)</f>
        <v>0</v>
      </c>
      <c r="AC240" s="112">
        <f>IF(NFI_Expiration=1,IF($A240&lt;VLOOKUP(O$5,NFI,5,0),1,0)*Data_NFI_t[[#This Row],[Kitchen Set]],0)</f>
        <v>0</v>
      </c>
      <c r="AD240" s="112">
        <f>IF(NFI_Expiration=1,IF($A240&lt;VLOOKUP(P$5,NFI,5,0),1,0)*Data_NFI_t[[#This Row],[Complementary Kit]],0)</f>
        <v>0</v>
      </c>
      <c r="AE240" s="112">
        <f>IF(NFI_Expiration=1,IF($A240&lt;VLOOKUP(Q$5,NFI,5,0),1,0)*Data_NFI_t[[#This Row],[Plastic Bucket]],0)</f>
        <v>0</v>
      </c>
      <c r="AF240" s="112">
        <f>IF(NFI_Expiration=1,IF($A240&lt;VLOOKUP(R$5,NFI,5,0),1,0)*Data_NFI_t[[#This Row],[Jerry Can]],0)</f>
        <v>0</v>
      </c>
      <c r="AG240" s="131">
        <f>IF(NFI_Expiration=1,IF($A240&lt;VLOOKUP(S$5,NFI,5,0),1,0)*Data_NFI_t[[#This Row],[Plastic Mat]],0)*IF(Data_NFI_t[[#This Row],[Distribution Date]]&gt;"01-06-2015",1,2.5)</f>
        <v>0</v>
      </c>
      <c r="AH240" s="915">
        <f>IF(NFI_Expiration=1,IF($A240&lt;VLOOKUP(T$5,NFI,5,0),1,0)*Data_NFI_t[[#This Row],[Adult Clothes]],0)</f>
        <v>0</v>
      </c>
      <c r="AI240" s="131">
        <f>IF(NFI_Expiration=1,IF($A240&lt;VLOOKUP(U$5,NFI,5,0),1,0)*Data_NFI_t[[#This Row],[Children Clothes]],0)</f>
        <v>0</v>
      </c>
      <c r="AJ240" s="131">
        <f>IF(NFI_Expiration=1,IF($A240&lt;VLOOKUP(V$5,NFI,5,0),1,0)*Data_NFI_t[[#This Row],[Sewing Kit]],0)</f>
        <v>0</v>
      </c>
      <c r="AK240" s="131" t="str">
        <f ca="1">IFERROR(OFFSET(Camp_List[P_Code],MATCH(Data_NFI_t[[#This Row],[Camp Name]],Camp_List[Camp Name],0)-1,0,1,1),"")</f>
        <v>MMR012CMP086</v>
      </c>
      <c r="AL240" s="513" t="str">
        <f ca="1">IFERROR(OFFSET(Camp_List[Status],MATCH(Data_NFI_t[[#This Row],[Camp Name]],Camp_List[Camp Name],0)-1,0,1,1),"")</f>
        <v>Open</v>
      </c>
      <c r="AM240" s="131"/>
    </row>
    <row r="241" spans="1:39" s="90" customFormat="1" ht="19.5" customHeight="1" x14ac:dyDescent="0.25">
      <c r="A241" s="242">
        <f>IF(ISBLANK(C241),"",(Report_Date-C241)/30)</f>
        <v>48.766666666666666</v>
      </c>
      <c r="B241" s="242">
        <f>YEAR(Data_NFI_t[[#This Row],[Distribution Date]])</f>
        <v>2013</v>
      </c>
      <c r="C241" s="927">
        <v>41332</v>
      </c>
      <c r="D241" s="489" t="s">
        <v>285</v>
      </c>
      <c r="E241" s="488"/>
      <c r="F241" s="489" t="s">
        <v>7</v>
      </c>
      <c r="G241" s="794" t="s">
        <v>20</v>
      </c>
      <c r="H241" s="794" t="s">
        <v>105</v>
      </c>
      <c r="I241" s="794">
        <v>0</v>
      </c>
      <c r="J241" s="51">
        <v>50</v>
      </c>
      <c r="K241" s="51"/>
      <c r="L241" s="51">
        <v>100</v>
      </c>
      <c r="M241" s="51">
        <v>50</v>
      </c>
      <c r="N241" s="51">
        <v>100</v>
      </c>
      <c r="O241" s="51">
        <v>50</v>
      </c>
      <c r="P241" s="51">
        <v>50</v>
      </c>
      <c r="Q241" s="51">
        <v>50</v>
      </c>
      <c r="R241" s="511"/>
      <c r="S241" s="51">
        <v>100</v>
      </c>
      <c r="T241" s="51"/>
      <c r="U241" s="51"/>
      <c r="V241" s="51"/>
      <c r="W241" s="131">
        <f>IF(NFI_Expiration=1,IF($A241&lt;VLOOKUP(I$5,NFI,5,0),1,0)*Data_NFI_t[[#This Row],[Hygiene Kit]],0)</f>
        <v>0</v>
      </c>
      <c r="X241" s="131">
        <f>IF(NFI_Expiration=1,IF($A241&lt;VLOOKUP(J$5,NFI,5,0),1,0)*Data_NFI_t[[#This Row],[NFI Core Kit]],0)</f>
        <v>0</v>
      </c>
      <c r="Y241" s="112">
        <f>IF(NFI_Expiration=1,IF($A241&lt;VLOOKUP(K$5,NFI,5,0),1,0)*Data_NFI_t[[#This Row],[Sanitary Kit]],0)</f>
        <v>0</v>
      </c>
      <c r="Z241" s="112">
        <f>IF(NFI_Expiration=1,IF($A241&lt;VLOOKUP(L$5,NFI,5,0),1,0)*Data_NFI_t[[#This Row],[Mosquito net]],0)</f>
        <v>0</v>
      </c>
      <c r="AA241" s="112">
        <f>IF(NFI_Expiration=1,IF($A241&lt;VLOOKUP(M$5,NFI,5,0),1,0)*Data_NFI_t[[#This Row],[Tarpaulin]],0)</f>
        <v>0</v>
      </c>
      <c r="AB241" s="112">
        <f>IF(NFI_Expiration=1,IF($A241&lt;VLOOKUP(N$5,NFI,5,0),1,0)*Data_NFI_t[[#This Row],[Blanket]],0)</f>
        <v>0</v>
      </c>
      <c r="AC241" s="112">
        <f>IF(NFI_Expiration=1,IF($A241&lt;VLOOKUP(O$5,NFI,5,0),1,0)*Data_NFI_t[[#This Row],[Kitchen Set]],0)</f>
        <v>0</v>
      </c>
      <c r="AD241" s="112">
        <f>IF(NFI_Expiration=1,IF($A241&lt;VLOOKUP(P$5,NFI,5,0),1,0)*Data_NFI_t[[#This Row],[Complementary Kit]],0)</f>
        <v>0</v>
      </c>
      <c r="AE241" s="112">
        <f>IF(NFI_Expiration=1,IF($A241&lt;VLOOKUP(Q$5,NFI,5,0),1,0)*Data_NFI_t[[#This Row],[Plastic Bucket]],0)</f>
        <v>0</v>
      </c>
      <c r="AF241" s="112">
        <f>IF(NFI_Expiration=1,IF($A241&lt;VLOOKUP(R$5,NFI,5,0),1,0)*Data_NFI_t[[#This Row],[Jerry Can]],0)</f>
        <v>0</v>
      </c>
      <c r="AG241" s="131">
        <f>IF(NFI_Expiration=1,IF($A241&lt;VLOOKUP(S$5,NFI,5,0),1,0)*Data_NFI_t[[#This Row],[Plastic Mat]],0)*IF(Data_NFI_t[[#This Row],[Distribution Date]]&gt;"01-06-2015",1,2.5)</f>
        <v>0</v>
      </c>
      <c r="AH241" s="915">
        <f>IF(NFI_Expiration=1,IF($A241&lt;VLOOKUP(T$5,NFI,5,0),1,0)*Data_NFI_t[[#This Row],[Adult Clothes]],0)</f>
        <v>0</v>
      </c>
      <c r="AI241" s="131">
        <f>IF(NFI_Expiration=1,IF($A241&lt;VLOOKUP(U$5,NFI,5,0),1,0)*Data_NFI_t[[#This Row],[Children Clothes]],0)</f>
        <v>0</v>
      </c>
      <c r="AJ241" s="131">
        <f>IF(NFI_Expiration=1,IF($A241&lt;VLOOKUP(V$5,NFI,5,0),1,0)*Data_NFI_t[[#This Row],[Sewing Kit]],0)</f>
        <v>0</v>
      </c>
      <c r="AK241" s="131" t="str">
        <f ca="1">IFERROR(OFFSET(Camp_List[P_Code],MATCH(Data_NFI_t[[#This Row],[Camp Name]],Camp_List[Camp Name],0)-1,0,1,1),"")</f>
        <v>MMR012CMP084</v>
      </c>
      <c r="AL241" s="513" t="str">
        <f ca="1">IFERROR(OFFSET(Camp_List[Status],MATCH(Data_NFI_t[[#This Row],[Camp Name]],Camp_List[Camp Name],0)-1,0,1,1),"")</f>
        <v>Open</v>
      </c>
      <c r="AM241" s="131"/>
    </row>
    <row r="242" spans="1:39" s="90" customFormat="1" ht="19.5" customHeight="1" x14ac:dyDescent="0.25">
      <c r="A242" s="242">
        <f>IF(ISBLANK(C242),"",(Report_Date-C242)/30)</f>
        <v>48.766666666666666</v>
      </c>
      <c r="B242" s="242">
        <f>YEAR(Data_NFI_t[[#This Row],[Distribution Date]])</f>
        <v>2013</v>
      </c>
      <c r="C242" s="927">
        <v>41332</v>
      </c>
      <c r="D242" s="489" t="s">
        <v>285</v>
      </c>
      <c r="E242" s="488"/>
      <c r="F242" s="489" t="s">
        <v>7</v>
      </c>
      <c r="G242" s="794" t="s">
        <v>20</v>
      </c>
      <c r="H242" s="794" t="s">
        <v>105</v>
      </c>
      <c r="I242" s="794">
        <v>0</v>
      </c>
      <c r="J242" s="51"/>
      <c r="K242" s="51">
        <v>100</v>
      </c>
      <c r="L242" s="51">
        <v>171</v>
      </c>
      <c r="M242" s="51">
        <v>50</v>
      </c>
      <c r="N242" s="51">
        <v>0</v>
      </c>
      <c r="O242" s="51"/>
      <c r="P242" s="51"/>
      <c r="Q242" s="51"/>
      <c r="R242" s="511"/>
      <c r="S242" s="51"/>
      <c r="T242" s="51"/>
      <c r="U242" s="51"/>
      <c r="V242" s="51"/>
      <c r="W242" s="131">
        <f>IF(NFI_Expiration=1,IF($A242&lt;VLOOKUP(I$5,NFI,5,0),1,0)*Data_NFI_t[[#This Row],[Hygiene Kit]],0)</f>
        <v>0</v>
      </c>
      <c r="X242" s="131">
        <f>IF(NFI_Expiration=1,IF($A242&lt;VLOOKUP(J$5,NFI,5,0),1,0)*Data_NFI_t[[#This Row],[NFI Core Kit]],0)</f>
        <v>0</v>
      </c>
      <c r="Y242" s="112">
        <f>IF(NFI_Expiration=1,IF($A242&lt;VLOOKUP(K$5,NFI,5,0),1,0)*Data_NFI_t[[#This Row],[Sanitary Kit]],0)</f>
        <v>0</v>
      </c>
      <c r="Z242" s="112">
        <f>IF(NFI_Expiration=1,IF($A242&lt;VLOOKUP(L$5,NFI,5,0),1,0)*Data_NFI_t[[#This Row],[Mosquito net]],0)</f>
        <v>0</v>
      </c>
      <c r="AA242" s="112">
        <f>IF(NFI_Expiration=1,IF($A242&lt;VLOOKUP(M$5,NFI,5,0),1,0)*Data_NFI_t[[#This Row],[Tarpaulin]],0)</f>
        <v>0</v>
      </c>
      <c r="AB242" s="112">
        <f>IF(NFI_Expiration=1,IF($A242&lt;VLOOKUP(N$5,NFI,5,0),1,0)*Data_NFI_t[[#This Row],[Blanket]],0)</f>
        <v>0</v>
      </c>
      <c r="AC242" s="112">
        <f>IF(NFI_Expiration=1,IF($A242&lt;VLOOKUP(O$5,NFI,5,0),1,0)*Data_NFI_t[[#This Row],[Kitchen Set]],0)</f>
        <v>0</v>
      </c>
      <c r="AD242" s="112">
        <f>IF(NFI_Expiration=1,IF($A242&lt;VLOOKUP(P$5,NFI,5,0),1,0)*Data_NFI_t[[#This Row],[Complementary Kit]],0)</f>
        <v>0</v>
      </c>
      <c r="AE242" s="112">
        <f>IF(NFI_Expiration=1,IF($A242&lt;VLOOKUP(Q$5,NFI,5,0),1,0)*Data_NFI_t[[#This Row],[Plastic Bucket]],0)</f>
        <v>0</v>
      </c>
      <c r="AF242" s="112">
        <f>IF(NFI_Expiration=1,IF($A242&lt;VLOOKUP(R$5,NFI,5,0),1,0)*Data_NFI_t[[#This Row],[Jerry Can]],0)</f>
        <v>0</v>
      </c>
      <c r="AG242" s="131">
        <f>IF(NFI_Expiration=1,IF($A242&lt;VLOOKUP(S$5,NFI,5,0),1,0)*Data_NFI_t[[#This Row],[Plastic Mat]],0)*IF(Data_NFI_t[[#This Row],[Distribution Date]]&gt;"01-06-2015",1,2.5)</f>
        <v>0</v>
      </c>
      <c r="AH242" s="915">
        <f>IF(NFI_Expiration=1,IF($A242&lt;VLOOKUP(T$5,NFI,5,0),1,0)*Data_NFI_t[[#This Row],[Adult Clothes]],0)</f>
        <v>0</v>
      </c>
      <c r="AI242" s="131">
        <f>IF(NFI_Expiration=1,IF($A242&lt;VLOOKUP(U$5,NFI,5,0),1,0)*Data_NFI_t[[#This Row],[Children Clothes]],0)</f>
        <v>0</v>
      </c>
      <c r="AJ242" s="131">
        <f>IF(NFI_Expiration=1,IF($A242&lt;VLOOKUP(V$5,NFI,5,0),1,0)*Data_NFI_t[[#This Row],[Sewing Kit]],0)</f>
        <v>0</v>
      </c>
      <c r="AK242" s="131" t="str">
        <f ca="1">IFERROR(OFFSET(Camp_List[P_Code],MATCH(Data_NFI_t[[#This Row],[Camp Name]],Camp_List[Camp Name],0)-1,0,1,1),"")</f>
        <v>MMR012CMP084</v>
      </c>
      <c r="AL242" s="513" t="str">
        <f ca="1">IFERROR(OFFSET(Camp_List[Status],MATCH(Data_NFI_t[[#This Row],[Camp Name]],Camp_List[Camp Name],0)-1,0,1,1),"")</f>
        <v>Open</v>
      </c>
      <c r="AM242" s="131"/>
    </row>
    <row r="243" spans="1:39" s="90" customFormat="1" ht="19.5" customHeight="1" x14ac:dyDescent="0.25">
      <c r="A243" s="242">
        <f>IF(ISBLANK(C243),"",(Report_Date-C243)/30)</f>
        <v>48.766666666666666</v>
      </c>
      <c r="B243" s="242">
        <f>YEAR(Data_NFI_t[[#This Row],[Distribution Date]])</f>
        <v>2013</v>
      </c>
      <c r="C243" s="927">
        <v>41332</v>
      </c>
      <c r="D243" s="489" t="s">
        <v>286</v>
      </c>
      <c r="E243" s="488"/>
      <c r="F243" s="489" t="s">
        <v>7</v>
      </c>
      <c r="G243" s="794" t="s">
        <v>19</v>
      </c>
      <c r="H243" s="794" t="s">
        <v>65</v>
      </c>
      <c r="I243" s="794">
        <v>0</v>
      </c>
      <c r="J243" s="51">
        <v>800</v>
      </c>
      <c r="K243" s="51"/>
      <c r="L243" s="51">
        <v>1600</v>
      </c>
      <c r="M243" s="51">
        <v>800</v>
      </c>
      <c r="N243" s="51">
        <v>1600</v>
      </c>
      <c r="O243" s="51">
        <v>800</v>
      </c>
      <c r="P243" s="51">
        <v>800</v>
      </c>
      <c r="Q243" s="51">
        <v>800</v>
      </c>
      <c r="R243" s="511"/>
      <c r="S243" s="51">
        <v>1600</v>
      </c>
      <c r="T243" s="51"/>
      <c r="U243" s="51"/>
      <c r="V243" s="51"/>
      <c r="W243" s="131">
        <f>IF(NFI_Expiration=1,IF($A243&lt;VLOOKUP(I$5,NFI,5,0),1,0)*Data_NFI_t[[#This Row],[Hygiene Kit]],0)</f>
        <v>0</v>
      </c>
      <c r="X243" s="131">
        <f>IF(NFI_Expiration=1,IF($A243&lt;VLOOKUP(J$5,NFI,5,0),1,0)*Data_NFI_t[[#This Row],[NFI Core Kit]],0)</f>
        <v>0</v>
      </c>
      <c r="Y243" s="112">
        <f>IF(NFI_Expiration=1,IF($A243&lt;VLOOKUP(K$5,NFI,5,0),1,0)*Data_NFI_t[[#This Row],[Sanitary Kit]],0)</f>
        <v>0</v>
      </c>
      <c r="Z243" s="112">
        <f>IF(NFI_Expiration=1,IF($A243&lt;VLOOKUP(L$5,NFI,5,0),1,0)*Data_NFI_t[[#This Row],[Mosquito net]],0)</f>
        <v>0</v>
      </c>
      <c r="AA243" s="112">
        <f>IF(NFI_Expiration=1,IF($A243&lt;VLOOKUP(M$5,NFI,5,0),1,0)*Data_NFI_t[[#This Row],[Tarpaulin]],0)</f>
        <v>0</v>
      </c>
      <c r="AB243" s="112">
        <f>IF(NFI_Expiration=1,IF($A243&lt;VLOOKUP(N$5,NFI,5,0),1,0)*Data_NFI_t[[#This Row],[Blanket]],0)</f>
        <v>0</v>
      </c>
      <c r="AC243" s="112">
        <f>IF(NFI_Expiration=1,IF($A243&lt;VLOOKUP(O$5,NFI,5,0),1,0)*Data_NFI_t[[#This Row],[Kitchen Set]],0)</f>
        <v>0</v>
      </c>
      <c r="AD243" s="112">
        <f>IF(NFI_Expiration=1,IF($A243&lt;VLOOKUP(P$5,NFI,5,0),1,0)*Data_NFI_t[[#This Row],[Complementary Kit]],0)</f>
        <v>0</v>
      </c>
      <c r="AE243" s="112">
        <f>IF(NFI_Expiration=1,IF($A243&lt;VLOOKUP(Q$5,NFI,5,0),1,0)*Data_NFI_t[[#This Row],[Plastic Bucket]],0)</f>
        <v>0</v>
      </c>
      <c r="AF243" s="112">
        <f>IF(NFI_Expiration=1,IF($A243&lt;VLOOKUP(R$5,NFI,5,0),1,0)*Data_NFI_t[[#This Row],[Jerry Can]],0)</f>
        <v>0</v>
      </c>
      <c r="AG243" s="131">
        <f>IF(NFI_Expiration=1,IF($A243&lt;VLOOKUP(S$5,NFI,5,0),1,0)*Data_NFI_t[[#This Row],[Plastic Mat]],0)*IF(Data_NFI_t[[#This Row],[Distribution Date]]&gt;"01-06-2015",1,2.5)</f>
        <v>0</v>
      </c>
      <c r="AH243" s="915">
        <f>IF(NFI_Expiration=1,IF($A243&lt;VLOOKUP(T$5,NFI,5,0),1,0)*Data_NFI_t[[#This Row],[Adult Clothes]],0)</f>
        <v>0</v>
      </c>
      <c r="AI243" s="131">
        <f>IF(NFI_Expiration=1,IF($A243&lt;VLOOKUP(U$5,NFI,5,0),1,0)*Data_NFI_t[[#This Row],[Children Clothes]],0)</f>
        <v>0</v>
      </c>
      <c r="AJ243" s="131">
        <f>IF(NFI_Expiration=1,IF($A243&lt;VLOOKUP(V$5,NFI,5,0),1,0)*Data_NFI_t[[#This Row],[Sewing Kit]],0)</f>
        <v>0</v>
      </c>
      <c r="AK243" s="131" t="str">
        <f ca="1">IFERROR(OFFSET(Camp_List[P_Code],MATCH(Data_NFI_t[[#This Row],[Camp Name]],Camp_List[Camp Name],0)-1,0,1,1),"")</f>
        <v>MMR012CMP043</v>
      </c>
      <c r="AL243" s="513" t="str">
        <f ca="1">IFERROR(OFFSET(Camp_List[Status],MATCH(Data_NFI_t[[#This Row],[Camp Name]],Camp_List[Camp Name],0)-1,0,1,1),"")</f>
        <v>Close</v>
      </c>
      <c r="AM243" s="131"/>
    </row>
    <row r="244" spans="1:39" s="90" customFormat="1" ht="19.5" customHeight="1" x14ac:dyDescent="0.25">
      <c r="A244" s="242">
        <f>IF(ISBLANK(C244),"",(Report_Date-C244)/30)</f>
        <v>48.766666666666666</v>
      </c>
      <c r="B244" s="242">
        <f>YEAR(Data_NFI_t[[#This Row],[Distribution Date]])</f>
        <v>2013</v>
      </c>
      <c r="C244" s="927">
        <v>41332</v>
      </c>
      <c r="D244" s="489" t="s">
        <v>286</v>
      </c>
      <c r="E244" s="488"/>
      <c r="F244" s="489" t="s">
        <v>7</v>
      </c>
      <c r="G244" s="794" t="s">
        <v>19</v>
      </c>
      <c r="H244" s="794" t="s">
        <v>65</v>
      </c>
      <c r="I244" s="794">
        <v>0</v>
      </c>
      <c r="J244" s="51"/>
      <c r="K244" s="51"/>
      <c r="L244" s="51"/>
      <c r="M244" s="51"/>
      <c r="N244" s="51"/>
      <c r="O244" s="51"/>
      <c r="P244" s="51"/>
      <c r="Q244" s="51"/>
      <c r="R244" s="511"/>
      <c r="S244" s="51"/>
      <c r="T244" s="51"/>
      <c r="U244" s="51"/>
      <c r="V244" s="51"/>
      <c r="W244" s="131">
        <f>IF(NFI_Expiration=1,IF($A244&lt;VLOOKUP(I$5,NFI,5,0),1,0)*Data_NFI_t[[#This Row],[Hygiene Kit]],0)</f>
        <v>0</v>
      </c>
      <c r="X244" s="131">
        <f>IF(NFI_Expiration=1,IF($A244&lt;VLOOKUP(J$5,NFI,5,0),1,0)*Data_NFI_t[[#This Row],[NFI Core Kit]],0)</f>
        <v>0</v>
      </c>
      <c r="Y244" s="112">
        <f>IF(NFI_Expiration=1,IF($A244&lt;VLOOKUP(K$5,NFI,5,0),1,0)*Data_NFI_t[[#This Row],[Sanitary Kit]],0)</f>
        <v>0</v>
      </c>
      <c r="Z244" s="112">
        <f>IF(NFI_Expiration=1,IF($A244&lt;VLOOKUP(L$5,NFI,5,0),1,0)*Data_NFI_t[[#This Row],[Mosquito net]],0)</f>
        <v>0</v>
      </c>
      <c r="AA244" s="112">
        <f>IF(NFI_Expiration=1,IF($A244&lt;VLOOKUP(M$5,NFI,5,0),1,0)*Data_NFI_t[[#This Row],[Tarpaulin]],0)</f>
        <v>0</v>
      </c>
      <c r="AB244" s="112">
        <f>IF(NFI_Expiration=1,IF($A244&lt;VLOOKUP(N$5,NFI,5,0),1,0)*Data_NFI_t[[#This Row],[Blanket]],0)</f>
        <v>0</v>
      </c>
      <c r="AC244" s="112">
        <f>IF(NFI_Expiration=1,IF($A244&lt;VLOOKUP(O$5,NFI,5,0),1,0)*Data_NFI_t[[#This Row],[Kitchen Set]],0)</f>
        <v>0</v>
      </c>
      <c r="AD244" s="112">
        <f>IF(NFI_Expiration=1,IF($A244&lt;VLOOKUP(P$5,NFI,5,0),1,0)*Data_NFI_t[[#This Row],[Complementary Kit]],0)</f>
        <v>0</v>
      </c>
      <c r="AE244" s="112">
        <f>IF(NFI_Expiration=1,IF($A244&lt;VLOOKUP(Q$5,NFI,5,0),1,0)*Data_NFI_t[[#This Row],[Plastic Bucket]],0)</f>
        <v>0</v>
      </c>
      <c r="AF244" s="112">
        <f>IF(NFI_Expiration=1,IF($A244&lt;VLOOKUP(R$5,NFI,5,0),1,0)*Data_NFI_t[[#This Row],[Jerry Can]],0)</f>
        <v>0</v>
      </c>
      <c r="AG244" s="131">
        <f>IF(NFI_Expiration=1,IF($A244&lt;VLOOKUP(S$5,NFI,5,0),1,0)*Data_NFI_t[[#This Row],[Plastic Mat]],0)*IF(Data_NFI_t[[#This Row],[Distribution Date]]&gt;"01-06-2015",1,2.5)</f>
        <v>0</v>
      </c>
      <c r="AH244" s="915">
        <f>IF(NFI_Expiration=1,IF($A244&lt;VLOOKUP(T$5,NFI,5,0),1,0)*Data_NFI_t[[#This Row],[Adult Clothes]],0)</f>
        <v>0</v>
      </c>
      <c r="AI244" s="131">
        <f>IF(NFI_Expiration=1,IF($A244&lt;VLOOKUP(U$5,NFI,5,0),1,0)*Data_NFI_t[[#This Row],[Children Clothes]],0)</f>
        <v>0</v>
      </c>
      <c r="AJ244" s="131">
        <f>IF(NFI_Expiration=1,IF($A244&lt;VLOOKUP(V$5,NFI,5,0),1,0)*Data_NFI_t[[#This Row],[Sewing Kit]],0)</f>
        <v>0</v>
      </c>
      <c r="AK244" s="131" t="str">
        <f ca="1">IFERROR(OFFSET(Camp_List[P_Code],MATCH(Data_NFI_t[[#This Row],[Camp Name]],Camp_List[Camp Name],0)-1,0,1,1),"")</f>
        <v>MMR012CMP043</v>
      </c>
      <c r="AL244" s="513" t="str">
        <f ca="1">IFERROR(OFFSET(Camp_List[Status],MATCH(Data_NFI_t[[#This Row],[Camp Name]],Camp_List[Camp Name],0)-1,0,1,1),"")</f>
        <v>Close</v>
      </c>
      <c r="AM244" s="131"/>
    </row>
    <row r="245" spans="1:39" s="90" customFormat="1" ht="19.5" customHeight="1" x14ac:dyDescent="0.25">
      <c r="A245" s="242">
        <f>IF(ISBLANK(C245),"",(Report_Date-C245)/30)</f>
        <v>48.766666666666666</v>
      </c>
      <c r="B245" s="242">
        <f>YEAR(Data_NFI_t[[#This Row],[Distribution Date]])</f>
        <v>2013</v>
      </c>
      <c r="C245" s="927">
        <v>41332</v>
      </c>
      <c r="D245" s="489" t="s">
        <v>286</v>
      </c>
      <c r="E245" s="488"/>
      <c r="F245" s="489" t="s">
        <v>7</v>
      </c>
      <c r="G245" s="794" t="s">
        <v>19</v>
      </c>
      <c r="H245" s="794" t="s">
        <v>78</v>
      </c>
      <c r="I245" s="794">
        <v>0</v>
      </c>
      <c r="J245" s="51">
        <v>200</v>
      </c>
      <c r="K245" s="51"/>
      <c r="L245" s="51">
        <v>400</v>
      </c>
      <c r="M245" s="51">
        <v>200</v>
      </c>
      <c r="N245" s="51">
        <v>400</v>
      </c>
      <c r="O245" s="51">
        <v>200</v>
      </c>
      <c r="P245" s="51">
        <v>200</v>
      </c>
      <c r="Q245" s="51">
        <v>200</v>
      </c>
      <c r="R245" s="511"/>
      <c r="S245" s="51">
        <v>400</v>
      </c>
      <c r="T245" s="51"/>
      <c r="U245" s="51"/>
      <c r="V245" s="51"/>
      <c r="W245" s="131">
        <f>IF(NFI_Expiration=1,IF($A245&lt;VLOOKUP(I$5,NFI,5,0),1,0)*Data_NFI_t[[#This Row],[Hygiene Kit]],0)</f>
        <v>0</v>
      </c>
      <c r="X245" s="131">
        <f>IF(NFI_Expiration=1,IF($A245&lt;VLOOKUP(J$5,NFI,5,0),1,0)*Data_NFI_t[[#This Row],[NFI Core Kit]],0)</f>
        <v>0</v>
      </c>
      <c r="Y245" s="112">
        <f>IF(NFI_Expiration=1,IF($A245&lt;VLOOKUP(K$5,NFI,5,0),1,0)*Data_NFI_t[[#This Row],[Sanitary Kit]],0)</f>
        <v>0</v>
      </c>
      <c r="Z245" s="112">
        <f>IF(NFI_Expiration=1,IF($A245&lt;VLOOKUP(L$5,NFI,5,0),1,0)*Data_NFI_t[[#This Row],[Mosquito net]],0)</f>
        <v>0</v>
      </c>
      <c r="AA245" s="112">
        <f>IF(NFI_Expiration=1,IF($A245&lt;VLOOKUP(M$5,NFI,5,0),1,0)*Data_NFI_t[[#This Row],[Tarpaulin]],0)</f>
        <v>0</v>
      </c>
      <c r="AB245" s="112">
        <f>IF(NFI_Expiration=1,IF($A245&lt;VLOOKUP(N$5,NFI,5,0),1,0)*Data_NFI_t[[#This Row],[Blanket]],0)</f>
        <v>0</v>
      </c>
      <c r="AC245" s="112">
        <f>IF(NFI_Expiration=1,IF($A245&lt;VLOOKUP(O$5,NFI,5,0),1,0)*Data_NFI_t[[#This Row],[Kitchen Set]],0)</f>
        <v>0</v>
      </c>
      <c r="AD245" s="112">
        <f>IF(NFI_Expiration=1,IF($A245&lt;VLOOKUP(P$5,NFI,5,0),1,0)*Data_NFI_t[[#This Row],[Complementary Kit]],0)</f>
        <v>0</v>
      </c>
      <c r="AE245" s="112">
        <f>IF(NFI_Expiration=1,IF($A245&lt;VLOOKUP(Q$5,NFI,5,0),1,0)*Data_NFI_t[[#This Row],[Plastic Bucket]],0)</f>
        <v>0</v>
      </c>
      <c r="AF245" s="112">
        <f>IF(NFI_Expiration=1,IF($A245&lt;VLOOKUP(R$5,NFI,5,0),1,0)*Data_NFI_t[[#This Row],[Jerry Can]],0)</f>
        <v>0</v>
      </c>
      <c r="AG245" s="131">
        <f>IF(NFI_Expiration=1,IF($A245&lt;VLOOKUP(S$5,NFI,5,0),1,0)*Data_NFI_t[[#This Row],[Plastic Mat]],0)*IF(Data_NFI_t[[#This Row],[Distribution Date]]&gt;"01-06-2015",1,2.5)</f>
        <v>0</v>
      </c>
      <c r="AH245" s="915">
        <f>IF(NFI_Expiration=1,IF($A245&lt;VLOOKUP(T$5,NFI,5,0),1,0)*Data_NFI_t[[#This Row],[Adult Clothes]],0)</f>
        <v>0</v>
      </c>
      <c r="AI245" s="131">
        <f>IF(NFI_Expiration=1,IF($A245&lt;VLOOKUP(U$5,NFI,5,0),1,0)*Data_NFI_t[[#This Row],[Children Clothes]],0)</f>
        <v>0</v>
      </c>
      <c r="AJ245" s="131">
        <f>IF(NFI_Expiration=1,IF($A245&lt;VLOOKUP(V$5,NFI,5,0),1,0)*Data_NFI_t[[#This Row],[Sewing Kit]],0)</f>
        <v>0</v>
      </c>
      <c r="AK245" s="131" t="str">
        <f ca="1">IFERROR(OFFSET(Camp_List[P_Code],MATCH(Data_NFI_t[[#This Row],[Camp Name]],Camp_List[Camp Name],0)-1,0,1,1),"")</f>
        <v>MMR012CMP056</v>
      </c>
      <c r="AL245" s="513" t="str">
        <f ca="1">IFERROR(OFFSET(Camp_List[Status],MATCH(Data_NFI_t[[#This Row],[Camp Name]],Camp_List[Camp Name],0)-1,0,1,1),"")</f>
        <v>Relocated</v>
      </c>
      <c r="AM245" s="131"/>
    </row>
    <row r="246" spans="1:39" s="90" customFormat="1" ht="19.5" customHeight="1" x14ac:dyDescent="0.25">
      <c r="A246" s="242">
        <f>IF(ISBLANK(C246),"",(Report_Date-C246)/30)</f>
        <v>48.766666666666666</v>
      </c>
      <c r="B246" s="242">
        <f>YEAR(Data_NFI_t[[#This Row],[Distribution Date]])</f>
        <v>2013</v>
      </c>
      <c r="C246" s="927">
        <v>41332</v>
      </c>
      <c r="D246" s="489" t="s">
        <v>286</v>
      </c>
      <c r="E246" s="488"/>
      <c r="F246" s="489" t="s">
        <v>7</v>
      </c>
      <c r="G246" s="794" t="s">
        <v>19</v>
      </c>
      <c r="H246" s="794" t="s">
        <v>78</v>
      </c>
      <c r="I246" s="794">
        <v>0</v>
      </c>
      <c r="J246" s="51"/>
      <c r="K246" s="51"/>
      <c r="L246" s="51"/>
      <c r="M246" s="51"/>
      <c r="N246" s="51"/>
      <c r="O246" s="51"/>
      <c r="P246" s="51"/>
      <c r="Q246" s="51"/>
      <c r="R246" s="511"/>
      <c r="S246" s="51"/>
      <c r="T246" s="51"/>
      <c r="U246" s="51"/>
      <c r="V246" s="51"/>
      <c r="W246" s="131">
        <f>IF(NFI_Expiration=1,IF($A246&lt;VLOOKUP(I$5,NFI,5,0),1,0)*Data_NFI_t[[#This Row],[Hygiene Kit]],0)</f>
        <v>0</v>
      </c>
      <c r="X246" s="131">
        <f>IF(NFI_Expiration=1,IF($A246&lt;VLOOKUP(J$5,NFI,5,0),1,0)*Data_NFI_t[[#This Row],[NFI Core Kit]],0)</f>
        <v>0</v>
      </c>
      <c r="Y246" s="112">
        <f>IF(NFI_Expiration=1,IF($A246&lt;VLOOKUP(K$5,NFI,5,0),1,0)*Data_NFI_t[[#This Row],[Sanitary Kit]],0)</f>
        <v>0</v>
      </c>
      <c r="Z246" s="112">
        <f>IF(NFI_Expiration=1,IF($A246&lt;VLOOKUP(L$5,NFI,5,0),1,0)*Data_NFI_t[[#This Row],[Mosquito net]],0)</f>
        <v>0</v>
      </c>
      <c r="AA246" s="112">
        <f>IF(NFI_Expiration=1,IF($A246&lt;VLOOKUP(M$5,NFI,5,0),1,0)*Data_NFI_t[[#This Row],[Tarpaulin]],0)</f>
        <v>0</v>
      </c>
      <c r="AB246" s="112">
        <f>IF(NFI_Expiration=1,IF($A246&lt;VLOOKUP(N$5,NFI,5,0),1,0)*Data_NFI_t[[#This Row],[Blanket]],0)</f>
        <v>0</v>
      </c>
      <c r="AC246" s="112">
        <f>IF(NFI_Expiration=1,IF($A246&lt;VLOOKUP(O$5,NFI,5,0),1,0)*Data_NFI_t[[#This Row],[Kitchen Set]],0)</f>
        <v>0</v>
      </c>
      <c r="AD246" s="112">
        <f>IF(NFI_Expiration=1,IF($A246&lt;VLOOKUP(P$5,NFI,5,0),1,0)*Data_NFI_t[[#This Row],[Complementary Kit]],0)</f>
        <v>0</v>
      </c>
      <c r="AE246" s="112">
        <f>IF(NFI_Expiration=1,IF($A246&lt;VLOOKUP(Q$5,NFI,5,0),1,0)*Data_NFI_t[[#This Row],[Plastic Bucket]],0)</f>
        <v>0</v>
      </c>
      <c r="AF246" s="112">
        <f>IF(NFI_Expiration=1,IF($A246&lt;VLOOKUP(R$5,NFI,5,0),1,0)*Data_NFI_t[[#This Row],[Jerry Can]],0)</f>
        <v>0</v>
      </c>
      <c r="AG246" s="131">
        <f>IF(NFI_Expiration=1,IF($A246&lt;VLOOKUP(S$5,NFI,5,0),1,0)*Data_NFI_t[[#This Row],[Plastic Mat]],0)*IF(Data_NFI_t[[#This Row],[Distribution Date]]&gt;"01-06-2015",1,2.5)</f>
        <v>0</v>
      </c>
      <c r="AH246" s="915">
        <f>IF(NFI_Expiration=1,IF($A246&lt;VLOOKUP(T$5,NFI,5,0),1,0)*Data_NFI_t[[#This Row],[Adult Clothes]],0)</f>
        <v>0</v>
      </c>
      <c r="AI246" s="131">
        <f>IF(NFI_Expiration=1,IF($A246&lt;VLOOKUP(U$5,NFI,5,0),1,0)*Data_NFI_t[[#This Row],[Children Clothes]],0)</f>
        <v>0</v>
      </c>
      <c r="AJ246" s="131">
        <f>IF(NFI_Expiration=1,IF($A246&lt;VLOOKUP(V$5,NFI,5,0),1,0)*Data_NFI_t[[#This Row],[Sewing Kit]],0)</f>
        <v>0</v>
      </c>
      <c r="AK246" s="131" t="str">
        <f ca="1">IFERROR(OFFSET(Camp_List[P_Code],MATCH(Data_NFI_t[[#This Row],[Camp Name]],Camp_List[Camp Name],0)-1,0,1,1),"")</f>
        <v>MMR012CMP056</v>
      </c>
      <c r="AL246" s="513" t="str">
        <f ca="1">IFERROR(OFFSET(Camp_List[Status],MATCH(Data_NFI_t[[#This Row],[Camp Name]],Camp_List[Camp Name],0)-1,0,1,1),"")</f>
        <v>Relocated</v>
      </c>
      <c r="AM246" s="131"/>
    </row>
    <row r="247" spans="1:39" s="90" customFormat="1" ht="19.5" customHeight="1" x14ac:dyDescent="0.25">
      <c r="A247" s="242">
        <f>IF(ISBLANK(C247),"",(Report_Date-C247)/30)</f>
        <v>48.93333333333333</v>
      </c>
      <c r="B247" s="242">
        <f>YEAR(Data_NFI_t[[#This Row],[Distribution Date]])</f>
        <v>2013</v>
      </c>
      <c r="C247" s="927">
        <v>41327</v>
      </c>
      <c r="D247" s="489" t="s">
        <v>287</v>
      </c>
      <c r="E247" s="488"/>
      <c r="F247" s="489" t="s">
        <v>7</v>
      </c>
      <c r="G247" s="794" t="s">
        <v>14</v>
      </c>
      <c r="H247" s="794" t="s">
        <v>39</v>
      </c>
      <c r="I247" s="794">
        <v>23</v>
      </c>
      <c r="J247" s="51">
        <v>0</v>
      </c>
      <c r="K247" s="51"/>
      <c r="L247" s="51"/>
      <c r="M247" s="51"/>
      <c r="N247" s="51"/>
      <c r="O247" s="51"/>
      <c r="P247" s="51"/>
      <c r="Q247" s="51"/>
      <c r="R247" s="511"/>
      <c r="S247" s="51"/>
      <c r="T247" s="51"/>
      <c r="U247" s="51"/>
      <c r="V247" s="51"/>
      <c r="W247" s="131">
        <f>IF(NFI_Expiration=1,IF($A247&lt;VLOOKUP(I$5,NFI,5,0),1,0)*Data_NFI_t[[#This Row],[Hygiene Kit]],0)</f>
        <v>0</v>
      </c>
      <c r="X247" s="131">
        <f>IF(NFI_Expiration=1,IF($A247&lt;VLOOKUP(J$5,NFI,5,0),1,0)*Data_NFI_t[[#This Row],[NFI Core Kit]],0)</f>
        <v>0</v>
      </c>
      <c r="Y247" s="112">
        <f>IF(NFI_Expiration=1,IF($A247&lt;VLOOKUP(K$5,NFI,5,0),1,0)*Data_NFI_t[[#This Row],[Sanitary Kit]],0)</f>
        <v>0</v>
      </c>
      <c r="Z247" s="112">
        <f>IF(NFI_Expiration=1,IF($A247&lt;VLOOKUP(L$5,NFI,5,0),1,0)*Data_NFI_t[[#This Row],[Mosquito net]],0)</f>
        <v>0</v>
      </c>
      <c r="AA247" s="112">
        <f>IF(NFI_Expiration=1,IF($A247&lt;VLOOKUP(M$5,NFI,5,0),1,0)*Data_NFI_t[[#This Row],[Tarpaulin]],0)</f>
        <v>0</v>
      </c>
      <c r="AB247" s="112">
        <f>IF(NFI_Expiration=1,IF($A247&lt;VLOOKUP(N$5,NFI,5,0),1,0)*Data_NFI_t[[#This Row],[Blanket]],0)</f>
        <v>0</v>
      </c>
      <c r="AC247" s="112">
        <f>IF(NFI_Expiration=1,IF($A247&lt;VLOOKUP(O$5,NFI,5,0),1,0)*Data_NFI_t[[#This Row],[Kitchen Set]],0)</f>
        <v>0</v>
      </c>
      <c r="AD247" s="112">
        <f>IF(NFI_Expiration=1,IF($A247&lt;VLOOKUP(P$5,NFI,5,0),1,0)*Data_NFI_t[[#This Row],[Complementary Kit]],0)</f>
        <v>0</v>
      </c>
      <c r="AE247" s="112">
        <f>IF(NFI_Expiration=1,IF($A247&lt;VLOOKUP(Q$5,NFI,5,0),1,0)*Data_NFI_t[[#This Row],[Plastic Bucket]],0)</f>
        <v>0</v>
      </c>
      <c r="AF247" s="112">
        <f>IF(NFI_Expiration=1,IF($A247&lt;VLOOKUP(R$5,NFI,5,0),1,0)*Data_NFI_t[[#This Row],[Jerry Can]],0)</f>
        <v>0</v>
      </c>
      <c r="AG247" s="131">
        <f>IF(NFI_Expiration=1,IF($A247&lt;VLOOKUP(S$5,NFI,5,0),1,0)*Data_NFI_t[[#This Row],[Plastic Mat]],0)*IF(Data_NFI_t[[#This Row],[Distribution Date]]&gt;"01-06-2015",1,2.5)</f>
        <v>0</v>
      </c>
      <c r="AH247" s="915">
        <f>IF(NFI_Expiration=1,IF($A247&lt;VLOOKUP(T$5,NFI,5,0),1,0)*Data_NFI_t[[#This Row],[Adult Clothes]],0)</f>
        <v>0</v>
      </c>
      <c r="AI247" s="131">
        <f>IF(NFI_Expiration=1,IF($A247&lt;VLOOKUP(U$5,NFI,5,0),1,0)*Data_NFI_t[[#This Row],[Children Clothes]],0)</f>
        <v>0</v>
      </c>
      <c r="AJ247" s="131">
        <f>IF(NFI_Expiration=1,IF($A247&lt;VLOOKUP(V$5,NFI,5,0),1,0)*Data_NFI_t[[#This Row],[Sewing Kit]],0)</f>
        <v>0</v>
      </c>
      <c r="AK247" s="131" t="str">
        <f ca="1">IFERROR(OFFSET(Camp_List[P_Code],MATCH(Data_NFI_t[[#This Row],[Camp Name]],Camp_List[Camp Name],0)-1,0,1,1),"")</f>
        <v>MMR012CMP015</v>
      </c>
      <c r="AL247" s="513" t="str">
        <f ca="1">IFERROR(OFFSET(Camp_List[Status],MATCH(Data_NFI_t[[#This Row],[Camp Name]],Camp_List[Camp Name],0)-1,0,1,1),"")</f>
        <v>Relocated</v>
      </c>
      <c r="AM247" s="131"/>
    </row>
    <row r="248" spans="1:39" s="90" customFormat="1" ht="19.5" customHeight="1" x14ac:dyDescent="0.25">
      <c r="A248" s="242">
        <f>IF(ISBLANK(C248),"",(Report_Date-C248)/30)</f>
        <v>48.93333333333333</v>
      </c>
      <c r="B248" s="242">
        <f>YEAR(Data_NFI_t[[#This Row],[Distribution Date]])</f>
        <v>2013</v>
      </c>
      <c r="C248" s="927">
        <v>41327</v>
      </c>
      <c r="D248" s="489" t="s">
        <v>287</v>
      </c>
      <c r="E248" s="488"/>
      <c r="F248" s="489" t="s">
        <v>7</v>
      </c>
      <c r="G248" s="794" t="s">
        <v>14</v>
      </c>
      <c r="H248" s="794" t="s">
        <v>41</v>
      </c>
      <c r="I248" s="794">
        <v>1306</v>
      </c>
      <c r="J248" s="51">
        <v>0</v>
      </c>
      <c r="K248" s="51"/>
      <c r="L248" s="51"/>
      <c r="M248" s="51"/>
      <c r="N248" s="51"/>
      <c r="O248" s="51"/>
      <c r="P248" s="51"/>
      <c r="Q248" s="51"/>
      <c r="R248" s="511"/>
      <c r="S248" s="51"/>
      <c r="T248" s="51"/>
      <c r="U248" s="51"/>
      <c r="V248" s="51"/>
      <c r="W248" s="131">
        <f>IF(NFI_Expiration=1,IF($A248&lt;VLOOKUP(I$5,NFI,5,0),1,0)*Data_NFI_t[[#This Row],[Hygiene Kit]],0)</f>
        <v>0</v>
      </c>
      <c r="X248" s="131">
        <f>IF(NFI_Expiration=1,IF($A248&lt;VLOOKUP(J$5,NFI,5,0),1,0)*Data_NFI_t[[#This Row],[NFI Core Kit]],0)</f>
        <v>0</v>
      </c>
      <c r="Y248" s="112">
        <f>IF(NFI_Expiration=1,IF($A248&lt;VLOOKUP(K$5,NFI,5,0),1,0)*Data_NFI_t[[#This Row],[Sanitary Kit]],0)</f>
        <v>0</v>
      </c>
      <c r="Z248" s="112">
        <f>IF(NFI_Expiration=1,IF($A248&lt;VLOOKUP(L$5,NFI,5,0),1,0)*Data_NFI_t[[#This Row],[Mosquito net]],0)</f>
        <v>0</v>
      </c>
      <c r="AA248" s="112">
        <f>IF(NFI_Expiration=1,IF($A248&lt;VLOOKUP(M$5,NFI,5,0),1,0)*Data_NFI_t[[#This Row],[Tarpaulin]],0)</f>
        <v>0</v>
      </c>
      <c r="AB248" s="112">
        <f>IF(NFI_Expiration=1,IF($A248&lt;VLOOKUP(N$5,NFI,5,0),1,0)*Data_NFI_t[[#This Row],[Blanket]],0)</f>
        <v>0</v>
      </c>
      <c r="AC248" s="112">
        <f>IF(NFI_Expiration=1,IF($A248&lt;VLOOKUP(O$5,NFI,5,0),1,0)*Data_NFI_t[[#This Row],[Kitchen Set]],0)</f>
        <v>0</v>
      </c>
      <c r="AD248" s="112">
        <f>IF(NFI_Expiration=1,IF($A248&lt;VLOOKUP(P$5,NFI,5,0),1,0)*Data_NFI_t[[#This Row],[Complementary Kit]],0)</f>
        <v>0</v>
      </c>
      <c r="AE248" s="112">
        <f>IF(NFI_Expiration=1,IF($A248&lt;VLOOKUP(Q$5,NFI,5,0),1,0)*Data_NFI_t[[#This Row],[Plastic Bucket]],0)</f>
        <v>0</v>
      </c>
      <c r="AF248" s="112">
        <f>IF(NFI_Expiration=1,IF($A248&lt;VLOOKUP(R$5,NFI,5,0),1,0)*Data_NFI_t[[#This Row],[Jerry Can]],0)</f>
        <v>0</v>
      </c>
      <c r="AG248" s="131">
        <f>IF(NFI_Expiration=1,IF($A248&lt;VLOOKUP(S$5,NFI,5,0),1,0)*Data_NFI_t[[#This Row],[Plastic Mat]],0)*IF(Data_NFI_t[[#This Row],[Distribution Date]]&gt;"01-06-2015",1,2.5)</f>
        <v>0</v>
      </c>
      <c r="AH248" s="915">
        <f>IF(NFI_Expiration=1,IF($A248&lt;VLOOKUP(T$5,NFI,5,0),1,0)*Data_NFI_t[[#This Row],[Adult Clothes]],0)</f>
        <v>0</v>
      </c>
      <c r="AI248" s="131">
        <f>IF(NFI_Expiration=1,IF($A248&lt;VLOOKUP(U$5,NFI,5,0),1,0)*Data_NFI_t[[#This Row],[Children Clothes]],0)</f>
        <v>0</v>
      </c>
      <c r="AJ248" s="131">
        <f>IF(NFI_Expiration=1,IF($A248&lt;VLOOKUP(V$5,NFI,5,0),1,0)*Data_NFI_t[[#This Row],[Sewing Kit]],0)</f>
        <v>0</v>
      </c>
      <c r="AK248" s="131" t="str">
        <f ca="1">IFERROR(OFFSET(Camp_List[P_Code],MATCH(Data_NFI_t[[#This Row],[Camp Name]],Camp_List[Camp Name],0)-1,0,1,1),"")</f>
        <v/>
      </c>
      <c r="AL248" s="513" t="str">
        <f ca="1">IFERROR(OFFSET(Camp_List[Status],MATCH(Data_NFI_t[[#This Row],[Camp Name]],Camp_List[Camp Name],0)-1,0,1,1),"")</f>
        <v/>
      </c>
      <c r="AM248" s="131"/>
    </row>
    <row r="249" spans="1:39" s="90" customFormat="1" ht="19.5" customHeight="1" x14ac:dyDescent="0.25">
      <c r="A249" s="242">
        <f>IF(ISBLANK(C249),"",(Report_Date-C249)/30)</f>
        <v>48.93333333333333</v>
      </c>
      <c r="B249" s="242">
        <f>YEAR(Data_NFI_t[[#This Row],[Distribution Date]])</f>
        <v>2013</v>
      </c>
      <c r="C249" s="927">
        <v>41327</v>
      </c>
      <c r="D249" s="489" t="s">
        <v>285</v>
      </c>
      <c r="E249" s="488"/>
      <c r="F249" s="489" t="s">
        <v>7</v>
      </c>
      <c r="G249" s="794" t="s">
        <v>20</v>
      </c>
      <c r="H249" s="794" t="s">
        <v>103</v>
      </c>
      <c r="I249" s="794">
        <v>0</v>
      </c>
      <c r="J249" s="51">
        <v>15</v>
      </c>
      <c r="K249" s="51"/>
      <c r="L249" s="51">
        <v>30</v>
      </c>
      <c r="M249" s="51">
        <v>15</v>
      </c>
      <c r="N249" s="51">
        <v>30</v>
      </c>
      <c r="O249" s="51">
        <v>15</v>
      </c>
      <c r="P249" s="51">
        <v>15</v>
      </c>
      <c r="Q249" s="51">
        <v>15</v>
      </c>
      <c r="R249" s="511"/>
      <c r="S249" s="51">
        <v>30</v>
      </c>
      <c r="T249" s="51"/>
      <c r="U249" s="51"/>
      <c r="V249" s="51"/>
      <c r="W249" s="131">
        <f>IF(NFI_Expiration=1,IF($A249&lt;VLOOKUP(I$5,NFI,5,0),1,0)*Data_NFI_t[[#This Row],[Hygiene Kit]],0)</f>
        <v>0</v>
      </c>
      <c r="X249" s="131">
        <f>IF(NFI_Expiration=1,IF($A249&lt;VLOOKUP(J$5,NFI,5,0),1,0)*Data_NFI_t[[#This Row],[NFI Core Kit]],0)</f>
        <v>0</v>
      </c>
      <c r="Y249" s="112">
        <f>IF(NFI_Expiration=1,IF($A249&lt;VLOOKUP(K$5,NFI,5,0),1,0)*Data_NFI_t[[#This Row],[Sanitary Kit]],0)</f>
        <v>0</v>
      </c>
      <c r="Z249" s="112">
        <f>IF(NFI_Expiration=1,IF($A249&lt;VLOOKUP(L$5,NFI,5,0),1,0)*Data_NFI_t[[#This Row],[Mosquito net]],0)</f>
        <v>0</v>
      </c>
      <c r="AA249" s="112">
        <f>IF(NFI_Expiration=1,IF($A249&lt;VLOOKUP(M$5,NFI,5,0),1,0)*Data_NFI_t[[#This Row],[Tarpaulin]],0)</f>
        <v>0</v>
      </c>
      <c r="AB249" s="112">
        <f>IF(NFI_Expiration=1,IF($A249&lt;VLOOKUP(N$5,NFI,5,0),1,0)*Data_NFI_t[[#This Row],[Blanket]],0)</f>
        <v>0</v>
      </c>
      <c r="AC249" s="112">
        <f>IF(NFI_Expiration=1,IF($A249&lt;VLOOKUP(O$5,NFI,5,0),1,0)*Data_NFI_t[[#This Row],[Kitchen Set]],0)</f>
        <v>0</v>
      </c>
      <c r="AD249" s="112">
        <f>IF(NFI_Expiration=1,IF($A249&lt;VLOOKUP(P$5,NFI,5,0),1,0)*Data_NFI_t[[#This Row],[Complementary Kit]],0)</f>
        <v>0</v>
      </c>
      <c r="AE249" s="112">
        <f>IF(NFI_Expiration=1,IF($A249&lt;VLOOKUP(Q$5,NFI,5,0),1,0)*Data_NFI_t[[#This Row],[Plastic Bucket]],0)</f>
        <v>0</v>
      </c>
      <c r="AF249" s="112">
        <f>IF(NFI_Expiration=1,IF($A249&lt;VLOOKUP(R$5,NFI,5,0),1,0)*Data_NFI_t[[#This Row],[Jerry Can]],0)</f>
        <v>0</v>
      </c>
      <c r="AG249" s="131">
        <f>IF(NFI_Expiration=1,IF($A249&lt;VLOOKUP(S$5,NFI,5,0),1,0)*Data_NFI_t[[#This Row],[Plastic Mat]],0)*IF(Data_NFI_t[[#This Row],[Distribution Date]]&gt;"01-06-2015",1,2.5)</f>
        <v>0</v>
      </c>
      <c r="AH249" s="915">
        <f>IF(NFI_Expiration=1,IF($A249&lt;VLOOKUP(T$5,NFI,5,0),1,0)*Data_NFI_t[[#This Row],[Adult Clothes]],0)</f>
        <v>0</v>
      </c>
      <c r="AI249" s="131">
        <f>IF(NFI_Expiration=1,IF($A249&lt;VLOOKUP(U$5,NFI,5,0),1,0)*Data_NFI_t[[#This Row],[Children Clothes]],0)</f>
        <v>0</v>
      </c>
      <c r="AJ249" s="131">
        <f>IF(NFI_Expiration=1,IF($A249&lt;VLOOKUP(V$5,NFI,5,0),1,0)*Data_NFI_t[[#This Row],[Sewing Kit]],0)</f>
        <v>0</v>
      </c>
      <c r="AK249" s="131" t="str">
        <f ca="1">IFERROR(OFFSET(Camp_List[P_Code],MATCH(Data_NFI_t[[#This Row],[Camp Name]],Camp_List[Camp Name],0)-1,0,1,1),"")</f>
        <v>MMR012CMP082</v>
      </c>
      <c r="AL249" s="513" t="str">
        <f ca="1">IFERROR(OFFSET(Camp_List[Status],MATCH(Data_NFI_t[[#This Row],[Camp Name]],Camp_List[Camp Name],0)-1,0,1,1),"")</f>
        <v>Returned</v>
      </c>
      <c r="AM249" s="131"/>
    </row>
    <row r="250" spans="1:39" s="90" customFormat="1" ht="19.5" customHeight="1" x14ac:dyDescent="0.25">
      <c r="A250" s="242">
        <f>IF(ISBLANK(C250),"",(Report_Date-C250)/30)</f>
        <v>48.93333333333333</v>
      </c>
      <c r="B250" s="242">
        <f>YEAR(Data_NFI_t[[#This Row],[Distribution Date]])</f>
        <v>2013</v>
      </c>
      <c r="C250" s="927">
        <v>41327</v>
      </c>
      <c r="D250" s="489" t="s">
        <v>285</v>
      </c>
      <c r="E250" s="488"/>
      <c r="F250" s="489" t="s">
        <v>7</v>
      </c>
      <c r="G250" s="794" t="s">
        <v>20</v>
      </c>
      <c r="H250" s="794" t="s">
        <v>103</v>
      </c>
      <c r="I250" s="794">
        <v>0</v>
      </c>
      <c r="J250" s="51"/>
      <c r="K250" s="51">
        <v>30</v>
      </c>
      <c r="L250" s="51">
        <v>52</v>
      </c>
      <c r="M250" s="51">
        <v>15</v>
      </c>
      <c r="N250" s="51">
        <v>0</v>
      </c>
      <c r="O250" s="51"/>
      <c r="P250" s="51"/>
      <c r="Q250" s="51"/>
      <c r="R250" s="511"/>
      <c r="S250" s="51"/>
      <c r="T250" s="51"/>
      <c r="U250" s="51"/>
      <c r="V250" s="51"/>
      <c r="W250" s="131">
        <f>IF(NFI_Expiration=1,IF($A250&lt;VLOOKUP(I$5,NFI,5,0),1,0)*Data_NFI_t[[#This Row],[Hygiene Kit]],0)</f>
        <v>0</v>
      </c>
      <c r="X250" s="131">
        <f>IF(NFI_Expiration=1,IF($A250&lt;VLOOKUP(J$5,NFI,5,0),1,0)*Data_NFI_t[[#This Row],[NFI Core Kit]],0)</f>
        <v>0</v>
      </c>
      <c r="Y250" s="112">
        <f>IF(NFI_Expiration=1,IF($A250&lt;VLOOKUP(K$5,NFI,5,0),1,0)*Data_NFI_t[[#This Row],[Sanitary Kit]],0)</f>
        <v>0</v>
      </c>
      <c r="Z250" s="112">
        <f>IF(NFI_Expiration=1,IF($A250&lt;VLOOKUP(L$5,NFI,5,0),1,0)*Data_NFI_t[[#This Row],[Mosquito net]],0)</f>
        <v>0</v>
      </c>
      <c r="AA250" s="112">
        <f>IF(NFI_Expiration=1,IF($A250&lt;VLOOKUP(M$5,NFI,5,0),1,0)*Data_NFI_t[[#This Row],[Tarpaulin]],0)</f>
        <v>0</v>
      </c>
      <c r="AB250" s="112">
        <f>IF(NFI_Expiration=1,IF($A250&lt;VLOOKUP(N$5,NFI,5,0),1,0)*Data_NFI_t[[#This Row],[Blanket]],0)</f>
        <v>0</v>
      </c>
      <c r="AC250" s="112">
        <f>IF(NFI_Expiration=1,IF($A250&lt;VLOOKUP(O$5,NFI,5,0),1,0)*Data_NFI_t[[#This Row],[Kitchen Set]],0)</f>
        <v>0</v>
      </c>
      <c r="AD250" s="112">
        <f>IF(NFI_Expiration=1,IF($A250&lt;VLOOKUP(P$5,NFI,5,0),1,0)*Data_NFI_t[[#This Row],[Complementary Kit]],0)</f>
        <v>0</v>
      </c>
      <c r="AE250" s="112">
        <f>IF(NFI_Expiration=1,IF($A250&lt;VLOOKUP(Q$5,NFI,5,0),1,0)*Data_NFI_t[[#This Row],[Plastic Bucket]],0)</f>
        <v>0</v>
      </c>
      <c r="AF250" s="112">
        <f>IF(NFI_Expiration=1,IF($A250&lt;VLOOKUP(R$5,NFI,5,0),1,0)*Data_NFI_t[[#This Row],[Jerry Can]],0)</f>
        <v>0</v>
      </c>
      <c r="AG250" s="131">
        <f>IF(NFI_Expiration=1,IF($A250&lt;VLOOKUP(S$5,NFI,5,0),1,0)*Data_NFI_t[[#This Row],[Plastic Mat]],0)*IF(Data_NFI_t[[#This Row],[Distribution Date]]&gt;"01-06-2015",1,2.5)</f>
        <v>0</v>
      </c>
      <c r="AH250" s="915">
        <f>IF(NFI_Expiration=1,IF($A250&lt;VLOOKUP(T$5,NFI,5,0),1,0)*Data_NFI_t[[#This Row],[Adult Clothes]],0)</f>
        <v>0</v>
      </c>
      <c r="AI250" s="131">
        <f>IF(NFI_Expiration=1,IF($A250&lt;VLOOKUP(U$5,NFI,5,0),1,0)*Data_NFI_t[[#This Row],[Children Clothes]],0)</f>
        <v>0</v>
      </c>
      <c r="AJ250" s="131">
        <f>IF(NFI_Expiration=1,IF($A250&lt;VLOOKUP(V$5,NFI,5,0),1,0)*Data_NFI_t[[#This Row],[Sewing Kit]],0)</f>
        <v>0</v>
      </c>
      <c r="AK250" s="131" t="str">
        <f ca="1">IFERROR(OFFSET(Camp_List[P_Code],MATCH(Data_NFI_t[[#This Row],[Camp Name]],Camp_List[Camp Name],0)-1,0,1,1),"")</f>
        <v>MMR012CMP082</v>
      </c>
      <c r="AL250" s="513" t="str">
        <f ca="1">IFERROR(OFFSET(Camp_List[Status],MATCH(Data_NFI_t[[#This Row],[Camp Name]],Camp_List[Camp Name],0)-1,0,1,1),"")</f>
        <v>Returned</v>
      </c>
      <c r="AM250" s="131"/>
    </row>
    <row r="251" spans="1:39" s="90" customFormat="1" ht="19.5" customHeight="1" x14ac:dyDescent="0.25">
      <c r="A251" s="242">
        <f>IF(ISBLANK(C251),"",(Report_Date-C251)/30)</f>
        <v>48.966666666666669</v>
      </c>
      <c r="B251" s="242">
        <f>YEAR(Data_NFI_t[[#This Row],[Distribution Date]])</f>
        <v>2013</v>
      </c>
      <c r="C251" s="927">
        <v>41326</v>
      </c>
      <c r="D251" s="489" t="s">
        <v>518</v>
      </c>
      <c r="E251" s="488" t="s">
        <v>292</v>
      </c>
      <c r="F251" s="489" t="s">
        <v>7</v>
      </c>
      <c r="G251" s="794" t="s">
        <v>19</v>
      </c>
      <c r="H251" s="794" t="s">
        <v>68</v>
      </c>
      <c r="I251" s="794">
        <v>1542</v>
      </c>
      <c r="J251" s="51"/>
      <c r="K251" s="51"/>
      <c r="L251" s="51"/>
      <c r="M251" s="51"/>
      <c r="N251" s="51"/>
      <c r="O251" s="51"/>
      <c r="P251" s="51"/>
      <c r="Q251" s="51"/>
      <c r="R251" s="511"/>
      <c r="S251" s="51"/>
      <c r="T251" s="51"/>
      <c r="U251" s="51"/>
      <c r="V251" s="51"/>
      <c r="W251" s="131">
        <f>IF(NFI_Expiration=1,IF($A251&lt;VLOOKUP(I$5,NFI,5,0),1,0)*Data_NFI_t[[#This Row],[Hygiene Kit]],0)</f>
        <v>0</v>
      </c>
      <c r="X251" s="131">
        <f>IF(NFI_Expiration=1,IF($A251&lt;VLOOKUP(J$5,NFI,5,0),1,0)*Data_NFI_t[[#This Row],[NFI Core Kit]],0)</f>
        <v>0</v>
      </c>
      <c r="Y251" s="112">
        <f>IF(NFI_Expiration=1,IF($A251&lt;VLOOKUP(K$5,NFI,5,0),1,0)*Data_NFI_t[[#This Row],[Sanitary Kit]],0)</f>
        <v>0</v>
      </c>
      <c r="Z251" s="112">
        <f>IF(NFI_Expiration=1,IF($A251&lt;VLOOKUP(L$5,NFI,5,0),1,0)*Data_NFI_t[[#This Row],[Mosquito net]],0)</f>
        <v>0</v>
      </c>
      <c r="AA251" s="112">
        <f>IF(NFI_Expiration=1,IF($A251&lt;VLOOKUP(M$5,NFI,5,0),1,0)*Data_NFI_t[[#This Row],[Tarpaulin]],0)</f>
        <v>0</v>
      </c>
      <c r="AB251" s="112">
        <f>IF(NFI_Expiration=1,IF($A251&lt;VLOOKUP(N$5,NFI,5,0),1,0)*Data_NFI_t[[#This Row],[Blanket]],0)</f>
        <v>0</v>
      </c>
      <c r="AC251" s="112">
        <f>IF(NFI_Expiration=1,IF($A251&lt;VLOOKUP(O$5,NFI,5,0),1,0)*Data_NFI_t[[#This Row],[Kitchen Set]],0)</f>
        <v>0</v>
      </c>
      <c r="AD251" s="112">
        <f>IF(NFI_Expiration=1,IF($A251&lt;VLOOKUP(P$5,NFI,5,0),1,0)*Data_NFI_t[[#This Row],[Complementary Kit]],0)</f>
        <v>0</v>
      </c>
      <c r="AE251" s="112">
        <f>IF(NFI_Expiration=1,IF($A251&lt;VLOOKUP(Q$5,NFI,5,0),1,0)*Data_NFI_t[[#This Row],[Plastic Bucket]],0)</f>
        <v>0</v>
      </c>
      <c r="AF251" s="112">
        <f>IF(NFI_Expiration=1,IF($A251&lt;VLOOKUP(R$5,NFI,5,0),1,0)*Data_NFI_t[[#This Row],[Jerry Can]],0)</f>
        <v>0</v>
      </c>
      <c r="AG251" s="131">
        <f>IF(NFI_Expiration=1,IF($A251&lt;VLOOKUP(S$5,NFI,5,0),1,0)*Data_NFI_t[[#This Row],[Plastic Mat]],0)*IF(Data_NFI_t[[#This Row],[Distribution Date]]&gt;"01-06-2015",1,2.5)</f>
        <v>0</v>
      </c>
      <c r="AH251" s="915">
        <f>IF(NFI_Expiration=1,IF($A251&lt;VLOOKUP(T$5,NFI,5,0),1,0)*Data_NFI_t[[#This Row],[Adult Clothes]],0)</f>
        <v>0</v>
      </c>
      <c r="AI251" s="131">
        <f>IF(NFI_Expiration=1,IF($A251&lt;VLOOKUP(U$5,NFI,5,0),1,0)*Data_NFI_t[[#This Row],[Children Clothes]],0)</f>
        <v>0</v>
      </c>
      <c r="AJ251" s="131">
        <f>IF(NFI_Expiration=1,IF($A251&lt;VLOOKUP(V$5,NFI,5,0),1,0)*Data_NFI_t[[#This Row],[Sewing Kit]],0)</f>
        <v>0</v>
      </c>
      <c r="AK251" s="131" t="str">
        <f ca="1">IFERROR(OFFSET(Camp_List[P_Code],MATCH(Data_NFI_t[[#This Row],[Camp Name]],Camp_List[Camp Name],0)-1,0,1,1),"")</f>
        <v>MMR012CMP046</v>
      </c>
      <c r="AL251" s="513" t="str">
        <f ca="1">IFERROR(OFFSET(Camp_List[Status],MATCH(Data_NFI_t[[#This Row],[Camp Name]],Camp_List[Camp Name],0)-1,0,1,1),"")</f>
        <v>Open</v>
      </c>
      <c r="AM251" s="131"/>
    </row>
    <row r="252" spans="1:39" s="90" customFormat="1" ht="19.5" customHeight="1" x14ac:dyDescent="0.25">
      <c r="A252" s="242">
        <f>IF(ISBLANK(C252),"",(Report_Date-C252)/30)</f>
        <v>49.166666666666664</v>
      </c>
      <c r="B252" s="242">
        <f>YEAR(Data_NFI_t[[#This Row],[Distribution Date]])</f>
        <v>2013</v>
      </c>
      <c r="C252" s="927">
        <v>41320</v>
      </c>
      <c r="D252" s="489" t="s">
        <v>287</v>
      </c>
      <c r="E252" s="488"/>
      <c r="F252" s="489" t="s">
        <v>7</v>
      </c>
      <c r="G252" s="794" t="s">
        <v>11</v>
      </c>
      <c r="H252" s="794" t="s">
        <v>30</v>
      </c>
      <c r="I252" s="794">
        <v>90</v>
      </c>
      <c r="J252" s="51"/>
      <c r="K252" s="51"/>
      <c r="L252" s="51"/>
      <c r="M252" s="51"/>
      <c r="N252" s="51"/>
      <c r="O252" s="51"/>
      <c r="P252" s="51"/>
      <c r="Q252" s="51"/>
      <c r="R252" s="511"/>
      <c r="S252" s="51"/>
      <c r="T252" s="51"/>
      <c r="U252" s="51"/>
      <c r="V252" s="51"/>
      <c r="W252" s="131">
        <f>IF(NFI_Expiration=1,IF($A252&lt;VLOOKUP(I$5,NFI,5,0),1,0)*Data_NFI_t[[#This Row],[Hygiene Kit]],0)</f>
        <v>0</v>
      </c>
      <c r="X252" s="131">
        <f>IF(NFI_Expiration=1,IF($A252&lt;VLOOKUP(J$5,NFI,5,0),1,0)*Data_NFI_t[[#This Row],[NFI Core Kit]],0)</f>
        <v>0</v>
      </c>
      <c r="Y252" s="112">
        <f>IF(NFI_Expiration=1,IF($A252&lt;VLOOKUP(K$5,NFI,5,0),1,0)*Data_NFI_t[[#This Row],[Sanitary Kit]],0)</f>
        <v>0</v>
      </c>
      <c r="Z252" s="112">
        <f>IF(NFI_Expiration=1,IF($A252&lt;VLOOKUP(L$5,NFI,5,0),1,0)*Data_NFI_t[[#This Row],[Mosquito net]],0)</f>
        <v>0</v>
      </c>
      <c r="AA252" s="112">
        <f>IF(NFI_Expiration=1,IF($A252&lt;VLOOKUP(M$5,NFI,5,0),1,0)*Data_NFI_t[[#This Row],[Tarpaulin]],0)</f>
        <v>0</v>
      </c>
      <c r="AB252" s="112">
        <f>IF(NFI_Expiration=1,IF($A252&lt;VLOOKUP(N$5,NFI,5,0),1,0)*Data_NFI_t[[#This Row],[Blanket]],0)</f>
        <v>0</v>
      </c>
      <c r="AC252" s="112">
        <f>IF(NFI_Expiration=1,IF($A252&lt;VLOOKUP(O$5,NFI,5,0),1,0)*Data_NFI_t[[#This Row],[Kitchen Set]],0)</f>
        <v>0</v>
      </c>
      <c r="AD252" s="112">
        <f>IF(NFI_Expiration=1,IF($A252&lt;VLOOKUP(P$5,NFI,5,0),1,0)*Data_NFI_t[[#This Row],[Complementary Kit]],0)</f>
        <v>0</v>
      </c>
      <c r="AE252" s="112">
        <f>IF(NFI_Expiration=1,IF($A252&lt;VLOOKUP(Q$5,NFI,5,0),1,0)*Data_NFI_t[[#This Row],[Plastic Bucket]],0)</f>
        <v>0</v>
      </c>
      <c r="AF252" s="112">
        <f>IF(NFI_Expiration=1,IF($A252&lt;VLOOKUP(R$5,NFI,5,0),1,0)*Data_NFI_t[[#This Row],[Jerry Can]],0)</f>
        <v>0</v>
      </c>
      <c r="AG252" s="131">
        <f>IF(NFI_Expiration=1,IF($A252&lt;VLOOKUP(S$5,NFI,5,0),1,0)*Data_NFI_t[[#This Row],[Plastic Mat]],0)*IF(Data_NFI_t[[#This Row],[Distribution Date]]&gt;"01-06-2015",1,2.5)</f>
        <v>0</v>
      </c>
      <c r="AH252" s="915">
        <f>IF(NFI_Expiration=1,IF($A252&lt;VLOOKUP(T$5,NFI,5,0),1,0)*Data_NFI_t[[#This Row],[Adult Clothes]],0)</f>
        <v>0</v>
      </c>
      <c r="AI252" s="131">
        <f>IF(NFI_Expiration=1,IF($A252&lt;VLOOKUP(U$5,NFI,5,0),1,0)*Data_NFI_t[[#This Row],[Children Clothes]],0)</f>
        <v>0</v>
      </c>
      <c r="AJ252" s="131">
        <f>IF(NFI_Expiration=1,IF($A252&lt;VLOOKUP(V$5,NFI,5,0),1,0)*Data_NFI_t[[#This Row],[Sewing Kit]],0)</f>
        <v>0</v>
      </c>
      <c r="AK252" s="131" t="str">
        <f ca="1">IFERROR(OFFSET(Camp_List[P_Code],MATCH(Data_NFI_t[[#This Row],[Camp Name]],Camp_List[Camp Name],0)-1,0,1,1),"")</f>
        <v>MMR012CMP006</v>
      </c>
      <c r="AL252" s="513" t="str">
        <f ca="1">IFERROR(OFFSET(Camp_List[Status],MATCH(Data_NFI_t[[#This Row],[Camp Name]],Camp_List[Camp Name],0)-1,0,1,1),"")</f>
        <v>Returned</v>
      </c>
      <c r="AM252" s="131"/>
    </row>
    <row r="253" spans="1:39" s="90" customFormat="1" ht="19.5" customHeight="1" x14ac:dyDescent="0.25">
      <c r="A253" s="242">
        <f>IF(ISBLANK(C253),"",(Report_Date-C253)/30)</f>
        <v>49.166666666666664</v>
      </c>
      <c r="B253" s="242">
        <f>YEAR(Data_NFI_t[[#This Row],[Distribution Date]])</f>
        <v>2013</v>
      </c>
      <c r="C253" s="927">
        <v>41320</v>
      </c>
      <c r="D253" s="489" t="s">
        <v>287</v>
      </c>
      <c r="E253" s="488"/>
      <c r="F253" s="489" t="s">
        <v>7</v>
      </c>
      <c r="G253" s="794" t="s">
        <v>1003</v>
      </c>
      <c r="H253" s="794" t="s">
        <v>35</v>
      </c>
      <c r="I253" s="794">
        <v>35</v>
      </c>
      <c r="J253" s="51"/>
      <c r="K253" s="51"/>
      <c r="L253" s="51"/>
      <c r="M253" s="51"/>
      <c r="N253" s="51"/>
      <c r="O253" s="51"/>
      <c r="P253" s="51"/>
      <c r="Q253" s="51"/>
      <c r="R253" s="511"/>
      <c r="S253" s="51"/>
      <c r="T253" s="51"/>
      <c r="U253" s="51"/>
      <c r="V253" s="51"/>
      <c r="W253" s="131">
        <f>IF(NFI_Expiration=1,IF($A253&lt;VLOOKUP(I$5,NFI,5,0),1,0)*Data_NFI_t[[#This Row],[Hygiene Kit]],0)</f>
        <v>0</v>
      </c>
      <c r="X253" s="131">
        <f>IF(NFI_Expiration=1,IF($A253&lt;VLOOKUP(J$5,NFI,5,0),1,0)*Data_NFI_t[[#This Row],[NFI Core Kit]],0)</f>
        <v>0</v>
      </c>
      <c r="Y253" s="112">
        <f>IF(NFI_Expiration=1,IF($A253&lt;VLOOKUP(K$5,NFI,5,0),1,0)*Data_NFI_t[[#This Row],[Sanitary Kit]],0)</f>
        <v>0</v>
      </c>
      <c r="Z253" s="112">
        <f>IF(NFI_Expiration=1,IF($A253&lt;VLOOKUP(L$5,NFI,5,0),1,0)*Data_NFI_t[[#This Row],[Mosquito net]],0)</f>
        <v>0</v>
      </c>
      <c r="AA253" s="112">
        <f>IF(NFI_Expiration=1,IF($A253&lt;VLOOKUP(M$5,NFI,5,0),1,0)*Data_NFI_t[[#This Row],[Tarpaulin]],0)</f>
        <v>0</v>
      </c>
      <c r="AB253" s="112">
        <f>IF(NFI_Expiration=1,IF($A253&lt;VLOOKUP(N$5,NFI,5,0),1,0)*Data_NFI_t[[#This Row],[Blanket]],0)</f>
        <v>0</v>
      </c>
      <c r="AC253" s="112">
        <f>IF(NFI_Expiration=1,IF($A253&lt;VLOOKUP(O$5,NFI,5,0),1,0)*Data_NFI_t[[#This Row],[Kitchen Set]],0)</f>
        <v>0</v>
      </c>
      <c r="AD253" s="112">
        <f>IF(NFI_Expiration=1,IF($A253&lt;VLOOKUP(P$5,NFI,5,0),1,0)*Data_NFI_t[[#This Row],[Complementary Kit]],0)</f>
        <v>0</v>
      </c>
      <c r="AE253" s="112">
        <f>IF(NFI_Expiration=1,IF($A253&lt;VLOOKUP(Q$5,NFI,5,0),1,0)*Data_NFI_t[[#This Row],[Plastic Bucket]],0)</f>
        <v>0</v>
      </c>
      <c r="AF253" s="112">
        <f>IF(NFI_Expiration=1,IF($A253&lt;VLOOKUP(R$5,NFI,5,0),1,0)*Data_NFI_t[[#This Row],[Jerry Can]],0)</f>
        <v>0</v>
      </c>
      <c r="AG253" s="131">
        <f>IF(NFI_Expiration=1,IF($A253&lt;VLOOKUP(S$5,NFI,5,0),1,0)*Data_NFI_t[[#This Row],[Plastic Mat]],0)*IF(Data_NFI_t[[#This Row],[Distribution Date]]&gt;"01-06-2015",1,2.5)</f>
        <v>0</v>
      </c>
      <c r="AH253" s="915">
        <f>IF(NFI_Expiration=1,IF($A253&lt;VLOOKUP(T$5,NFI,5,0),1,0)*Data_NFI_t[[#This Row],[Adult Clothes]],0)</f>
        <v>0</v>
      </c>
      <c r="AI253" s="131">
        <f>IF(NFI_Expiration=1,IF($A253&lt;VLOOKUP(U$5,NFI,5,0),1,0)*Data_NFI_t[[#This Row],[Children Clothes]],0)</f>
        <v>0</v>
      </c>
      <c r="AJ253" s="131">
        <f>IF(NFI_Expiration=1,IF($A253&lt;VLOOKUP(V$5,NFI,5,0),1,0)*Data_NFI_t[[#This Row],[Sewing Kit]],0)</f>
        <v>0</v>
      </c>
      <c r="AK253" s="131" t="str">
        <f ca="1">IFERROR(OFFSET(Camp_List[P_Code],MATCH(Data_NFI_t[[#This Row],[Camp Name]],Camp_List[Camp Name],0)-1,0,1,1),"")</f>
        <v>MMR012CMP011</v>
      </c>
      <c r="AL253" s="513" t="str">
        <f ca="1">IFERROR(OFFSET(Camp_List[Status],MATCH(Data_NFI_t[[#This Row],[Camp Name]],Camp_List[Camp Name],0)-1,0,1,1),"")</f>
        <v>Close</v>
      </c>
      <c r="AM253" s="131"/>
    </row>
    <row r="254" spans="1:39" s="90" customFormat="1" ht="19.5" customHeight="1" x14ac:dyDescent="0.25">
      <c r="A254" s="242">
        <f>IF(ISBLANK(C254),"",(Report_Date-C254)/30)</f>
        <v>49.166666666666664</v>
      </c>
      <c r="B254" s="242">
        <f>YEAR(Data_NFI_t[[#This Row],[Distribution Date]])</f>
        <v>2013</v>
      </c>
      <c r="C254" s="927">
        <v>41320</v>
      </c>
      <c r="D254" s="489" t="s">
        <v>287</v>
      </c>
      <c r="E254" s="488"/>
      <c r="F254" s="489" t="s">
        <v>7</v>
      </c>
      <c r="G254" s="794" t="s">
        <v>11</v>
      </c>
      <c r="H254" s="794" t="s">
        <v>28</v>
      </c>
      <c r="I254" s="794">
        <v>230</v>
      </c>
      <c r="J254" s="51"/>
      <c r="K254" s="51"/>
      <c r="L254" s="51"/>
      <c r="M254" s="51"/>
      <c r="N254" s="51"/>
      <c r="O254" s="51"/>
      <c r="P254" s="51"/>
      <c r="Q254" s="51"/>
      <c r="R254" s="511"/>
      <c r="S254" s="51"/>
      <c r="T254" s="51"/>
      <c r="U254" s="51"/>
      <c r="V254" s="51"/>
      <c r="W254" s="131">
        <f>IF(NFI_Expiration=1,IF($A254&lt;VLOOKUP(I$5,NFI,5,0),1,0)*Data_NFI_t[[#This Row],[Hygiene Kit]],0)</f>
        <v>0</v>
      </c>
      <c r="X254" s="131">
        <f>IF(NFI_Expiration=1,IF($A254&lt;VLOOKUP(J$5,NFI,5,0),1,0)*Data_NFI_t[[#This Row],[NFI Core Kit]],0)</f>
        <v>0</v>
      </c>
      <c r="Y254" s="112">
        <f>IF(NFI_Expiration=1,IF($A254&lt;VLOOKUP(K$5,NFI,5,0),1,0)*Data_NFI_t[[#This Row],[Sanitary Kit]],0)</f>
        <v>0</v>
      </c>
      <c r="Z254" s="112">
        <f>IF(NFI_Expiration=1,IF($A254&lt;VLOOKUP(L$5,NFI,5,0),1,0)*Data_NFI_t[[#This Row],[Mosquito net]],0)</f>
        <v>0</v>
      </c>
      <c r="AA254" s="112">
        <f>IF(NFI_Expiration=1,IF($A254&lt;VLOOKUP(M$5,NFI,5,0),1,0)*Data_NFI_t[[#This Row],[Tarpaulin]],0)</f>
        <v>0</v>
      </c>
      <c r="AB254" s="112">
        <f>IF(NFI_Expiration=1,IF($A254&lt;VLOOKUP(N$5,NFI,5,0),1,0)*Data_NFI_t[[#This Row],[Blanket]],0)</f>
        <v>0</v>
      </c>
      <c r="AC254" s="112">
        <f>IF(NFI_Expiration=1,IF($A254&lt;VLOOKUP(O$5,NFI,5,0),1,0)*Data_NFI_t[[#This Row],[Kitchen Set]],0)</f>
        <v>0</v>
      </c>
      <c r="AD254" s="112">
        <f>IF(NFI_Expiration=1,IF($A254&lt;VLOOKUP(P$5,NFI,5,0),1,0)*Data_NFI_t[[#This Row],[Complementary Kit]],0)</f>
        <v>0</v>
      </c>
      <c r="AE254" s="112">
        <f>IF(NFI_Expiration=1,IF($A254&lt;VLOOKUP(Q$5,NFI,5,0),1,0)*Data_NFI_t[[#This Row],[Plastic Bucket]],0)</f>
        <v>0</v>
      </c>
      <c r="AF254" s="112">
        <f>IF(NFI_Expiration=1,IF($A254&lt;VLOOKUP(R$5,NFI,5,0),1,0)*Data_NFI_t[[#This Row],[Jerry Can]],0)</f>
        <v>0</v>
      </c>
      <c r="AG254" s="131">
        <f>IF(NFI_Expiration=1,IF($A254&lt;VLOOKUP(S$5,NFI,5,0),1,0)*Data_NFI_t[[#This Row],[Plastic Mat]],0)*IF(Data_NFI_t[[#This Row],[Distribution Date]]&gt;"01-06-2015",1,2.5)</f>
        <v>0</v>
      </c>
      <c r="AH254" s="915">
        <f>IF(NFI_Expiration=1,IF($A254&lt;VLOOKUP(T$5,NFI,5,0),1,0)*Data_NFI_t[[#This Row],[Adult Clothes]],0)</f>
        <v>0</v>
      </c>
      <c r="AI254" s="131">
        <f>IF(NFI_Expiration=1,IF($A254&lt;VLOOKUP(U$5,NFI,5,0),1,0)*Data_NFI_t[[#This Row],[Children Clothes]],0)</f>
        <v>0</v>
      </c>
      <c r="AJ254" s="131">
        <f>IF(NFI_Expiration=1,IF($A254&lt;VLOOKUP(V$5,NFI,5,0),1,0)*Data_NFI_t[[#This Row],[Sewing Kit]],0)</f>
        <v>0</v>
      </c>
      <c r="AK254" s="131" t="str">
        <f ca="1">IFERROR(OFFSET(Camp_List[P_Code],MATCH(Data_NFI_t[[#This Row],[Camp Name]],Camp_List[Camp Name],0)-1,0,1,1),"")</f>
        <v>MMR012CMP004</v>
      </c>
      <c r="AL254" s="513" t="str">
        <f ca="1">IFERROR(OFFSET(Camp_List[Status],MATCH(Data_NFI_t[[#This Row],[Camp Name]],Camp_List[Camp Name],0)-1,0,1,1),"")</f>
        <v>Close</v>
      </c>
      <c r="AM254" s="131"/>
    </row>
    <row r="255" spans="1:39" s="90" customFormat="1" ht="19.5" customHeight="1" x14ac:dyDescent="0.25">
      <c r="A255" s="242">
        <f>IF(ISBLANK(C255),"",(Report_Date-C255)/30)</f>
        <v>49.166666666666664</v>
      </c>
      <c r="B255" s="242">
        <f>YEAR(Data_NFI_t[[#This Row],[Distribution Date]])</f>
        <v>2013</v>
      </c>
      <c r="C255" s="927">
        <v>41320</v>
      </c>
      <c r="D255" s="489" t="s">
        <v>287</v>
      </c>
      <c r="E255" s="488"/>
      <c r="F255" s="489" t="s">
        <v>7</v>
      </c>
      <c r="G255" s="794" t="s">
        <v>1003</v>
      </c>
      <c r="H255" s="794" t="s">
        <v>33</v>
      </c>
      <c r="I255" s="794">
        <v>245</v>
      </c>
      <c r="J255" s="51"/>
      <c r="K255" s="51"/>
      <c r="L255" s="51"/>
      <c r="M255" s="51"/>
      <c r="N255" s="51"/>
      <c r="O255" s="51"/>
      <c r="P255" s="51"/>
      <c r="Q255" s="51"/>
      <c r="R255" s="511"/>
      <c r="S255" s="51"/>
      <c r="T255" s="51"/>
      <c r="U255" s="51"/>
      <c r="V255" s="51"/>
      <c r="W255" s="131">
        <f>IF(NFI_Expiration=1,IF($A255&lt;VLOOKUP(I$5,NFI,5,0),1,0)*Data_NFI_t[[#This Row],[Hygiene Kit]],0)</f>
        <v>0</v>
      </c>
      <c r="X255" s="131">
        <f>IF(NFI_Expiration=1,IF($A255&lt;VLOOKUP(J$5,NFI,5,0),1,0)*Data_NFI_t[[#This Row],[NFI Core Kit]],0)</f>
        <v>0</v>
      </c>
      <c r="Y255" s="112">
        <f>IF(NFI_Expiration=1,IF($A255&lt;VLOOKUP(K$5,NFI,5,0),1,0)*Data_NFI_t[[#This Row],[Sanitary Kit]],0)</f>
        <v>0</v>
      </c>
      <c r="Z255" s="112">
        <f>IF(NFI_Expiration=1,IF($A255&lt;VLOOKUP(L$5,NFI,5,0),1,0)*Data_NFI_t[[#This Row],[Mosquito net]],0)</f>
        <v>0</v>
      </c>
      <c r="AA255" s="112">
        <f>IF(NFI_Expiration=1,IF($A255&lt;VLOOKUP(M$5,NFI,5,0),1,0)*Data_NFI_t[[#This Row],[Tarpaulin]],0)</f>
        <v>0</v>
      </c>
      <c r="AB255" s="112">
        <f>IF(NFI_Expiration=1,IF($A255&lt;VLOOKUP(N$5,NFI,5,0),1,0)*Data_NFI_t[[#This Row],[Blanket]],0)</f>
        <v>0</v>
      </c>
      <c r="AC255" s="112">
        <f>IF(NFI_Expiration=1,IF($A255&lt;VLOOKUP(O$5,NFI,5,0),1,0)*Data_NFI_t[[#This Row],[Kitchen Set]],0)</f>
        <v>0</v>
      </c>
      <c r="AD255" s="112">
        <f>IF(NFI_Expiration=1,IF($A255&lt;VLOOKUP(P$5,NFI,5,0),1,0)*Data_NFI_t[[#This Row],[Complementary Kit]],0)</f>
        <v>0</v>
      </c>
      <c r="AE255" s="112">
        <f>IF(NFI_Expiration=1,IF($A255&lt;VLOOKUP(Q$5,NFI,5,0),1,0)*Data_NFI_t[[#This Row],[Plastic Bucket]],0)</f>
        <v>0</v>
      </c>
      <c r="AF255" s="112">
        <f>IF(NFI_Expiration=1,IF($A255&lt;VLOOKUP(R$5,NFI,5,0),1,0)*Data_NFI_t[[#This Row],[Jerry Can]],0)</f>
        <v>0</v>
      </c>
      <c r="AG255" s="131">
        <f>IF(NFI_Expiration=1,IF($A255&lt;VLOOKUP(S$5,NFI,5,0),1,0)*Data_NFI_t[[#This Row],[Plastic Mat]],0)*IF(Data_NFI_t[[#This Row],[Distribution Date]]&gt;"01-06-2015",1,2.5)</f>
        <v>0</v>
      </c>
      <c r="AH255" s="915">
        <f>IF(NFI_Expiration=1,IF($A255&lt;VLOOKUP(T$5,NFI,5,0),1,0)*Data_NFI_t[[#This Row],[Adult Clothes]],0)</f>
        <v>0</v>
      </c>
      <c r="AI255" s="131">
        <f>IF(NFI_Expiration=1,IF($A255&lt;VLOOKUP(U$5,NFI,5,0),1,0)*Data_NFI_t[[#This Row],[Children Clothes]],0)</f>
        <v>0</v>
      </c>
      <c r="AJ255" s="131">
        <f>IF(NFI_Expiration=1,IF($A255&lt;VLOOKUP(V$5,NFI,5,0),1,0)*Data_NFI_t[[#This Row],[Sewing Kit]],0)</f>
        <v>0</v>
      </c>
      <c r="AK255" s="131" t="str">
        <f ca="1">IFERROR(OFFSET(Camp_List[P_Code],MATCH(Data_NFI_t[[#This Row],[Camp Name]],Camp_List[Camp Name],0)-1,0,1,1),"")</f>
        <v>MMR012CMP009</v>
      </c>
      <c r="AL255" s="513" t="str">
        <f ca="1">IFERROR(OFFSET(Camp_List[Status],MATCH(Data_NFI_t[[#This Row],[Camp Name]],Camp_List[Camp Name],0)-1,0,1,1),"")</f>
        <v>Returned</v>
      </c>
      <c r="AM255" s="131"/>
    </row>
    <row r="256" spans="1:39" s="90" customFormat="1" ht="19.5" customHeight="1" x14ac:dyDescent="0.25">
      <c r="A256" s="242">
        <f>IF(ISBLANK(C256),"",(Report_Date-C256)/30)</f>
        <v>49.166666666666664</v>
      </c>
      <c r="B256" s="242">
        <f>YEAR(Data_NFI_t[[#This Row],[Distribution Date]])</f>
        <v>2013</v>
      </c>
      <c r="C256" s="927">
        <v>41320</v>
      </c>
      <c r="D256" s="489" t="s">
        <v>287</v>
      </c>
      <c r="E256" s="488"/>
      <c r="F256" s="489" t="s">
        <v>7</v>
      </c>
      <c r="G256" s="794" t="s">
        <v>11</v>
      </c>
      <c r="H256" s="794" t="s">
        <v>25</v>
      </c>
      <c r="I256" s="794">
        <v>20</v>
      </c>
      <c r="J256" s="51"/>
      <c r="K256" s="51"/>
      <c r="L256" s="51"/>
      <c r="M256" s="51"/>
      <c r="N256" s="51"/>
      <c r="O256" s="51"/>
      <c r="P256" s="51"/>
      <c r="Q256" s="51"/>
      <c r="R256" s="511"/>
      <c r="S256" s="51"/>
      <c r="T256" s="51"/>
      <c r="U256" s="51"/>
      <c r="V256" s="51"/>
      <c r="W256" s="131">
        <f>IF(NFI_Expiration=1,IF($A256&lt;VLOOKUP(I$5,NFI,5,0),1,0)*Data_NFI_t[[#This Row],[Hygiene Kit]],0)</f>
        <v>0</v>
      </c>
      <c r="X256" s="131">
        <f>IF(NFI_Expiration=1,IF($A256&lt;VLOOKUP(J$5,NFI,5,0),1,0)*Data_NFI_t[[#This Row],[NFI Core Kit]],0)</f>
        <v>0</v>
      </c>
      <c r="Y256" s="112">
        <f>IF(NFI_Expiration=1,IF($A256&lt;VLOOKUP(K$5,NFI,5,0),1,0)*Data_NFI_t[[#This Row],[Sanitary Kit]],0)</f>
        <v>0</v>
      </c>
      <c r="Z256" s="112">
        <f>IF(NFI_Expiration=1,IF($A256&lt;VLOOKUP(L$5,NFI,5,0),1,0)*Data_NFI_t[[#This Row],[Mosquito net]],0)</f>
        <v>0</v>
      </c>
      <c r="AA256" s="112">
        <f>IF(NFI_Expiration=1,IF($A256&lt;VLOOKUP(M$5,NFI,5,0),1,0)*Data_NFI_t[[#This Row],[Tarpaulin]],0)</f>
        <v>0</v>
      </c>
      <c r="AB256" s="112">
        <f>IF(NFI_Expiration=1,IF($A256&lt;VLOOKUP(N$5,NFI,5,0),1,0)*Data_NFI_t[[#This Row],[Blanket]],0)</f>
        <v>0</v>
      </c>
      <c r="AC256" s="112">
        <f>IF(NFI_Expiration=1,IF($A256&lt;VLOOKUP(O$5,NFI,5,0),1,0)*Data_NFI_t[[#This Row],[Kitchen Set]],0)</f>
        <v>0</v>
      </c>
      <c r="AD256" s="112">
        <f>IF(NFI_Expiration=1,IF($A256&lt;VLOOKUP(P$5,NFI,5,0),1,0)*Data_NFI_t[[#This Row],[Complementary Kit]],0)</f>
        <v>0</v>
      </c>
      <c r="AE256" s="112">
        <f>IF(NFI_Expiration=1,IF($A256&lt;VLOOKUP(Q$5,NFI,5,0),1,0)*Data_NFI_t[[#This Row],[Plastic Bucket]],0)</f>
        <v>0</v>
      </c>
      <c r="AF256" s="112">
        <f>IF(NFI_Expiration=1,IF($A256&lt;VLOOKUP(R$5,NFI,5,0),1,0)*Data_NFI_t[[#This Row],[Jerry Can]],0)</f>
        <v>0</v>
      </c>
      <c r="AG256" s="131">
        <f>IF(NFI_Expiration=1,IF($A256&lt;VLOOKUP(S$5,NFI,5,0),1,0)*Data_NFI_t[[#This Row],[Plastic Mat]],0)*IF(Data_NFI_t[[#This Row],[Distribution Date]]&gt;"01-06-2015",1,2.5)</f>
        <v>0</v>
      </c>
      <c r="AH256" s="915">
        <f>IF(NFI_Expiration=1,IF($A256&lt;VLOOKUP(T$5,NFI,5,0),1,0)*Data_NFI_t[[#This Row],[Adult Clothes]],0)</f>
        <v>0</v>
      </c>
      <c r="AI256" s="131">
        <f>IF(NFI_Expiration=1,IF($A256&lt;VLOOKUP(U$5,NFI,5,0),1,0)*Data_NFI_t[[#This Row],[Children Clothes]],0)</f>
        <v>0</v>
      </c>
      <c r="AJ256" s="131">
        <f>IF(NFI_Expiration=1,IF($A256&lt;VLOOKUP(V$5,NFI,5,0),1,0)*Data_NFI_t[[#This Row],[Sewing Kit]],0)</f>
        <v>0</v>
      </c>
      <c r="AK256" s="131" t="str">
        <f ca="1">IFERROR(OFFSET(Camp_List[P_Code],MATCH(Data_NFI_t[[#This Row],[Camp Name]],Camp_List[Camp Name],0)-1,0,1,1),"")</f>
        <v>MMR012CMP001</v>
      </c>
      <c r="AL256" s="513" t="str">
        <f ca="1">IFERROR(OFFSET(Camp_List[Status],MATCH(Data_NFI_t[[#This Row],[Camp Name]],Camp_List[Camp Name],0)-1,0,1,1),"")</f>
        <v>Returned</v>
      </c>
      <c r="AM256" s="131"/>
    </row>
    <row r="257" spans="1:39" s="90" customFormat="1" ht="19.5" customHeight="1" x14ac:dyDescent="0.25">
      <c r="A257" s="242">
        <f>IF(ISBLANK(C257),"",(Report_Date-C257)/30)</f>
        <v>49.166666666666664</v>
      </c>
      <c r="B257" s="242">
        <f>YEAR(Data_NFI_t[[#This Row],[Distribution Date]])</f>
        <v>2013</v>
      </c>
      <c r="C257" s="927">
        <v>41320</v>
      </c>
      <c r="D257" s="489" t="s">
        <v>287</v>
      </c>
      <c r="E257" s="488"/>
      <c r="F257" s="489" t="s">
        <v>7</v>
      </c>
      <c r="G257" s="794" t="s">
        <v>11</v>
      </c>
      <c r="H257" s="794" t="s">
        <v>32</v>
      </c>
      <c r="I257" s="794">
        <v>230</v>
      </c>
      <c r="J257" s="51"/>
      <c r="K257" s="51"/>
      <c r="L257" s="51"/>
      <c r="M257" s="51"/>
      <c r="N257" s="51"/>
      <c r="O257" s="51"/>
      <c r="P257" s="51"/>
      <c r="Q257" s="51"/>
      <c r="R257" s="511"/>
      <c r="S257" s="51"/>
      <c r="T257" s="51"/>
      <c r="U257" s="51"/>
      <c r="V257" s="51"/>
      <c r="W257" s="131">
        <f>IF(NFI_Expiration=1,IF($A257&lt;VLOOKUP(I$5,NFI,5,0),1,0)*Data_NFI_t[[#This Row],[Hygiene Kit]],0)</f>
        <v>0</v>
      </c>
      <c r="X257" s="131">
        <f>IF(NFI_Expiration=1,IF($A257&lt;VLOOKUP(J$5,NFI,5,0),1,0)*Data_NFI_t[[#This Row],[NFI Core Kit]],0)</f>
        <v>0</v>
      </c>
      <c r="Y257" s="112">
        <f>IF(NFI_Expiration=1,IF($A257&lt;VLOOKUP(K$5,NFI,5,0),1,0)*Data_NFI_t[[#This Row],[Sanitary Kit]],0)</f>
        <v>0</v>
      </c>
      <c r="Z257" s="112">
        <f>IF(NFI_Expiration=1,IF($A257&lt;VLOOKUP(L$5,NFI,5,0),1,0)*Data_NFI_t[[#This Row],[Mosquito net]],0)</f>
        <v>0</v>
      </c>
      <c r="AA257" s="112">
        <f>IF(NFI_Expiration=1,IF($A257&lt;VLOOKUP(M$5,NFI,5,0),1,0)*Data_NFI_t[[#This Row],[Tarpaulin]],0)</f>
        <v>0</v>
      </c>
      <c r="AB257" s="112">
        <f>IF(NFI_Expiration=1,IF($A257&lt;VLOOKUP(N$5,NFI,5,0),1,0)*Data_NFI_t[[#This Row],[Blanket]],0)</f>
        <v>0</v>
      </c>
      <c r="AC257" s="112">
        <f>IF(NFI_Expiration=1,IF($A257&lt;VLOOKUP(O$5,NFI,5,0),1,0)*Data_NFI_t[[#This Row],[Kitchen Set]],0)</f>
        <v>0</v>
      </c>
      <c r="AD257" s="112">
        <f>IF(NFI_Expiration=1,IF($A257&lt;VLOOKUP(P$5,NFI,5,0),1,0)*Data_NFI_t[[#This Row],[Complementary Kit]],0)</f>
        <v>0</v>
      </c>
      <c r="AE257" s="112">
        <f>IF(NFI_Expiration=1,IF($A257&lt;VLOOKUP(Q$5,NFI,5,0),1,0)*Data_NFI_t[[#This Row],[Plastic Bucket]],0)</f>
        <v>0</v>
      </c>
      <c r="AF257" s="112">
        <f>IF(NFI_Expiration=1,IF($A257&lt;VLOOKUP(R$5,NFI,5,0),1,0)*Data_NFI_t[[#This Row],[Jerry Can]],0)</f>
        <v>0</v>
      </c>
      <c r="AG257" s="131">
        <f>IF(NFI_Expiration=1,IF($A257&lt;VLOOKUP(S$5,NFI,5,0),1,0)*Data_NFI_t[[#This Row],[Plastic Mat]],0)*IF(Data_NFI_t[[#This Row],[Distribution Date]]&gt;"01-06-2015",1,2.5)</f>
        <v>0</v>
      </c>
      <c r="AH257" s="915">
        <f>IF(NFI_Expiration=1,IF($A257&lt;VLOOKUP(T$5,NFI,5,0),1,0)*Data_NFI_t[[#This Row],[Adult Clothes]],0)</f>
        <v>0</v>
      </c>
      <c r="AI257" s="131">
        <f>IF(NFI_Expiration=1,IF($A257&lt;VLOOKUP(U$5,NFI,5,0),1,0)*Data_NFI_t[[#This Row],[Children Clothes]],0)</f>
        <v>0</v>
      </c>
      <c r="AJ257" s="131">
        <f>IF(NFI_Expiration=1,IF($A257&lt;VLOOKUP(V$5,NFI,5,0),1,0)*Data_NFI_t[[#This Row],[Sewing Kit]],0)</f>
        <v>0</v>
      </c>
      <c r="AK257" s="131" t="str">
        <f ca="1">IFERROR(OFFSET(Camp_List[P_Code],MATCH(Data_NFI_t[[#This Row],[Camp Name]],Camp_List[Camp Name],0)-1,0,1,1),"")</f>
        <v>MMR012CMP008</v>
      </c>
      <c r="AL257" s="513" t="str">
        <f ca="1">IFERROR(OFFSET(Camp_List[Status],MATCH(Data_NFI_t[[#This Row],[Camp Name]],Camp_List[Camp Name],0)-1,0,1,1),"")</f>
        <v>Returned</v>
      </c>
      <c r="AM257" s="131"/>
    </row>
    <row r="258" spans="1:39" s="90" customFormat="1" ht="19.5" customHeight="1" x14ac:dyDescent="0.25">
      <c r="A258" s="242">
        <f>IF(ISBLANK(C258),"",(Report_Date-C258)/30)</f>
        <v>49.166666666666664</v>
      </c>
      <c r="B258" s="242">
        <f>YEAR(Data_NFI_t[[#This Row],[Distribution Date]])</f>
        <v>2013</v>
      </c>
      <c r="C258" s="927">
        <v>41320</v>
      </c>
      <c r="D258" s="489" t="s">
        <v>287</v>
      </c>
      <c r="E258" s="488"/>
      <c r="F258" s="489" t="s">
        <v>7</v>
      </c>
      <c r="G258" s="794" t="s">
        <v>11</v>
      </c>
      <c r="H258" s="794" t="s">
        <v>27</v>
      </c>
      <c r="I258" s="794">
        <v>90</v>
      </c>
      <c r="J258" s="51"/>
      <c r="K258" s="51"/>
      <c r="L258" s="51"/>
      <c r="M258" s="51"/>
      <c r="N258" s="51"/>
      <c r="O258" s="51"/>
      <c r="P258" s="51"/>
      <c r="Q258" s="51"/>
      <c r="R258" s="511"/>
      <c r="S258" s="51"/>
      <c r="T258" s="51"/>
      <c r="U258" s="51"/>
      <c r="V258" s="51"/>
      <c r="W258" s="131">
        <f>IF(NFI_Expiration=1,IF($A258&lt;VLOOKUP(I$5,NFI,5,0),1,0)*Data_NFI_t[[#This Row],[Hygiene Kit]],0)</f>
        <v>0</v>
      </c>
      <c r="X258" s="131">
        <f>IF(NFI_Expiration=1,IF($A258&lt;VLOOKUP(J$5,NFI,5,0),1,0)*Data_NFI_t[[#This Row],[NFI Core Kit]],0)</f>
        <v>0</v>
      </c>
      <c r="Y258" s="112">
        <f>IF(NFI_Expiration=1,IF($A258&lt;VLOOKUP(K$5,NFI,5,0),1,0)*Data_NFI_t[[#This Row],[Sanitary Kit]],0)</f>
        <v>0</v>
      </c>
      <c r="Z258" s="112">
        <f>IF(NFI_Expiration=1,IF($A258&lt;VLOOKUP(L$5,NFI,5,0),1,0)*Data_NFI_t[[#This Row],[Mosquito net]],0)</f>
        <v>0</v>
      </c>
      <c r="AA258" s="112">
        <f>IF(NFI_Expiration=1,IF($A258&lt;VLOOKUP(M$5,NFI,5,0),1,0)*Data_NFI_t[[#This Row],[Tarpaulin]],0)</f>
        <v>0</v>
      </c>
      <c r="AB258" s="112">
        <f>IF(NFI_Expiration=1,IF($A258&lt;VLOOKUP(N$5,NFI,5,0),1,0)*Data_NFI_t[[#This Row],[Blanket]],0)</f>
        <v>0</v>
      </c>
      <c r="AC258" s="112">
        <f>IF(NFI_Expiration=1,IF($A258&lt;VLOOKUP(O$5,NFI,5,0),1,0)*Data_NFI_t[[#This Row],[Kitchen Set]],0)</f>
        <v>0</v>
      </c>
      <c r="AD258" s="112">
        <f>IF(NFI_Expiration=1,IF($A258&lt;VLOOKUP(P$5,NFI,5,0),1,0)*Data_NFI_t[[#This Row],[Complementary Kit]],0)</f>
        <v>0</v>
      </c>
      <c r="AE258" s="112">
        <f>IF(NFI_Expiration=1,IF($A258&lt;VLOOKUP(Q$5,NFI,5,0),1,0)*Data_NFI_t[[#This Row],[Plastic Bucket]],0)</f>
        <v>0</v>
      </c>
      <c r="AF258" s="112">
        <f>IF(NFI_Expiration=1,IF($A258&lt;VLOOKUP(R$5,NFI,5,0),1,0)*Data_NFI_t[[#This Row],[Jerry Can]],0)</f>
        <v>0</v>
      </c>
      <c r="AG258" s="131">
        <f>IF(NFI_Expiration=1,IF($A258&lt;VLOOKUP(S$5,NFI,5,0),1,0)*Data_NFI_t[[#This Row],[Plastic Mat]],0)*IF(Data_NFI_t[[#This Row],[Distribution Date]]&gt;"01-06-2015",1,2.5)</f>
        <v>0</v>
      </c>
      <c r="AH258" s="915">
        <f>IF(NFI_Expiration=1,IF($A258&lt;VLOOKUP(T$5,NFI,5,0),1,0)*Data_NFI_t[[#This Row],[Adult Clothes]],0)</f>
        <v>0</v>
      </c>
      <c r="AI258" s="131">
        <f>IF(NFI_Expiration=1,IF($A258&lt;VLOOKUP(U$5,NFI,5,0),1,0)*Data_NFI_t[[#This Row],[Children Clothes]],0)</f>
        <v>0</v>
      </c>
      <c r="AJ258" s="131">
        <f>IF(NFI_Expiration=1,IF($A258&lt;VLOOKUP(V$5,NFI,5,0),1,0)*Data_NFI_t[[#This Row],[Sewing Kit]],0)</f>
        <v>0</v>
      </c>
      <c r="AK258" s="131" t="str">
        <f ca="1">IFERROR(OFFSET(Camp_List[P_Code],MATCH(Data_NFI_t[[#This Row],[Camp Name]],Camp_List[Camp Name],0)-1,0,1,1),"")</f>
        <v>MMR012CMP003</v>
      </c>
      <c r="AL258" s="513" t="str">
        <f ca="1">IFERROR(OFFSET(Camp_List[Status],MATCH(Data_NFI_t[[#This Row],[Camp Name]],Camp_List[Camp Name],0)-1,0,1,1),"")</f>
        <v>Returned</v>
      </c>
      <c r="AM258" s="131"/>
    </row>
    <row r="259" spans="1:39" s="90" customFormat="1" ht="19.5" customHeight="1" x14ac:dyDescent="0.25">
      <c r="A259" s="242">
        <f>IF(ISBLANK(C259),"",(Report_Date-C259)/30)</f>
        <v>49.166666666666664</v>
      </c>
      <c r="B259" s="242">
        <f>YEAR(Data_NFI_t[[#This Row],[Distribution Date]])</f>
        <v>2013</v>
      </c>
      <c r="C259" s="927">
        <v>41320</v>
      </c>
      <c r="D259" s="489" t="s">
        <v>287</v>
      </c>
      <c r="E259" s="488"/>
      <c r="F259" s="489" t="s">
        <v>7</v>
      </c>
      <c r="G259" s="794" t="s">
        <v>11</v>
      </c>
      <c r="H259" s="794" t="s">
        <v>26</v>
      </c>
      <c r="I259" s="794">
        <v>205</v>
      </c>
      <c r="J259" s="51"/>
      <c r="K259" s="51"/>
      <c r="L259" s="51"/>
      <c r="M259" s="51"/>
      <c r="N259" s="51"/>
      <c r="O259" s="51"/>
      <c r="P259" s="51"/>
      <c r="Q259" s="51"/>
      <c r="R259" s="511"/>
      <c r="S259" s="51"/>
      <c r="T259" s="51"/>
      <c r="U259" s="51"/>
      <c r="V259" s="51"/>
      <c r="W259" s="131">
        <f>IF(NFI_Expiration=1,IF($A259&lt;VLOOKUP(I$5,NFI,5,0),1,0)*Data_NFI_t[[#This Row],[Hygiene Kit]],0)</f>
        <v>0</v>
      </c>
      <c r="X259" s="131">
        <f>IF(NFI_Expiration=1,IF($A259&lt;VLOOKUP(J$5,NFI,5,0),1,0)*Data_NFI_t[[#This Row],[NFI Core Kit]],0)</f>
        <v>0</v>
      </c>
      <c r="Y259" s="112">
        <f>IF(NFI_Expiration=1,IF($A259&lt;VLOOKUP(K$5,NFI,5,0),1,0)*Data_NFI_t[[#This Row],[Sanitary Kit]],0)</f>
        <v>0</v>
      </c>
      <c r="Z259" s="112">
        <f>IF(NFI_Expiration=1,IF($A259&lt;VLOOKUP(L$5,NFI,5,0),1,0)*Data_NFI_t[[#This Row],[Mosquito net]],0)</f>
        <v>0</v>
      </c>
      <c r="AA259" s="112">
        <f>IF(NFI_Expiration=1,IF($A259&lt;VLOOKUP(M$5,NFI,5,0),1,0)*Data_NFI_t[[#This Row],[Tarpaulin]],0)</f>
        <v>0</v>
      </c>
      <c r="AB259" s="112">
        <f>IF(NFI_Expiration=1,IF($A259&lt;VLOOKUP(N$5,NFI,5,0),1,0)*Data_NFI_t[[#This Row],[Blanket]],0)</f>
        <v>0</v>
      </c>
      <c r="AC259" s="112">
        <f>IF(NFI_Expiration=1,IF($A259&lt;VLOOKUP(O$5,NFI,5,0),1,0)*Data_NFI_t[[#This Row],[Kitchen Set]],0)</f>
        <v>0</v>
      </c>
      <c r="AD259" s="112">
        <f>IF(NFI_Expiration=1,IF($A259&lt;VLOOKUP(P$5,NFI,5,0),1,0)*Data_NFI_t[[#This Row],[Complementary Kit]],0)</f>
        <v>0</v>
      </c>
      <c r="AE259" s="112">
        <f>IF(NFI_Expiration=1,IF($A259&lt;VLOOKUP(Q$5,NFI,5,0),1,0)*Data_NFI_t[[#This Row],[Plastic Bucket]],0)</f>
        <v>0</v>
      </c>
      <c r="AF259" s="112">
        <f>IF(NFI_Expiration=1,IF($A259&lt;VLOOKUP(R$5,NFI,5,0),1,0)*Data_NFI_t[[#This Row],[Jerry Can]],0)</f>
        <v>0</v>
      </c>
      <c r="AG259" s="131">
        <f>IF(NFI_Expiration=1,IF($A259&lt;VLOOKUP(S$5,NFI,5,0),1,0)*Data_NFI_t[[#This Row],[Plastic Mat]],0)*IF(Data_NFI_t[[#This Row],[Distribution Date]]&gt;"01-06-2015",1,2.5)</f>
        <v>0</v>
      </c>
      <c r="AH259" s="915">
        <f>IF(NFI_Expiration=1,IF($A259&lt;VLOOKUP(T$5,NFI,5,0),1,0)*Data_NFI_t[[#This Row],[Adult Clothes]],0)</f>
        <v>0</v>
      </c>
      <c r="AI259" s="131">
        <f>IF(NFI_Expiration=1,IF($A259&lt;VLOOKUP(U$5,NFI,5,0),1,0)*Data_NFI_t[[#This Row],[Children Clothes]],0)</f>
        <v>0</v>
      </c>
      <c r="AJ259" s="131">
        <f>IF(NFI_Expiration=1,IF($A259&lt;VLOOKUP(V$5,NFI,5,0),1,0)*Data_NFI_t[[#This Row],[Sewing Kit]],0)</f>
        <v>0</v>
      </c>
      <c r="AK259" s="131" t="str">
        <f ca="1">IFERROR(OFFSET(Camp_List[P_Code],MATCH(Data_NFI_t[[#This Row],[Camp Name]],Camp_List[Camp Name],0)-1,0,1,1),"")</f>
        <v>MMR012CMP002</v>
      </c>
      <c r="AL259" s="513" t="str">
        <f ca="1">IFERROR(OFFSET(Camp_List[Status],MATCH(Data_NFI_t[[#This Row],[Camp Name]],Camp_List[Camp Name],0)-1,0,1,1),"")</f>
        <v>Returned</v>
      </c>
      <c r="AM259" s="131"/>
    </row>
    <row r="260" spans="1:39" s="90" customFormat="1" ht="19.5" customHeight="1" x14ac:dyDescent="0.25">
      <c r="A260" s="242">
        <f>IF(ISBLANK(C260),"",(Report_Date-C260)/30)</f>
        <v>49.166666666666664</v>
      </c>
      <c r="B260" s="242">
        <f>YEAR(Data_NFI_t[[#This Row],[Distribution Date]])</f>
        <v>2013</v>
      </c>
      <c r="C260" s="927">
        <v>41320</v>
      </c>
      <c r="D260" s="489" t="s">
        <v>287</v>
      </c>
      <c r="E260" s="488"/>
      <c r="F260" s="489" t="s">
        <v>7</v>
      </c>
      <c r="G260" s="794" t="s">
        <v>11</v>
      </c>
      <c r="H260" s="794" t="s">
        <v>31</v>
      </c>
      <c r="I260" s="794">
        <v>35</v>
      </c>
      <c r="J260" s="51"/>
      <c r="K260" s="51"/>
      <c r="L260" s="51"/>
      <c r="M260" s="51"/>
      <c r="N260" s="51"/>
      <c r="O260" s="51"/>
      <c r="P260" s="51"/>
      <c r="Q260" s="51"/>
      <c r="R260" s="511"/>
      <c r="S260" s="51"/>
      <c r="T260" s="51"/>
      <c r="U260" s="51"/>
      <c r="V260" s="51"/>
      <c r="W260" s="131">
        <f>IF(NFI_Expiration=1,IF($A260&lt;VLOOKUP(I$5,NFI,5,0),1,0)*Data_NFI_t[[#This Row],[Hygiene Kit]],0)</f>
        <v>0</v>
      </c>
      <c r="X260" s="131">
        <f>IF(NFI_Expiration=1,IF($A260&lt;VLOOKUP(J$5,NFI,5,0),1,0)*Data_NFI_t[[#This Row],[NFI Core Kit]],0)</f>
        <v>0</v>
      </c>
      <c r="Y260" s="112">
        <f>IF(NFI_Expiration=1,IF($A260&lt;VLOOKUP(K$5,NFI,5,0),1,0)*Data_NFI_t[[#This Row],[Sanitary Kit]],0)</f>
        <v>0</v>
      </c>
      <c r="Z260" s="112">
        <f>IF(NFI_Expiration=1,IF($A260&lt;VLOOKUP(L$5,NFI,5,0),1,0)*Data_NFI_t[[#This Row],[Mosquito net]],0)</f>
        <v>0</v>
      </c>
      <c r="AA260" s="112">
        <f>IF(NFI_Expiration=1,IF($A260&lt;VLOOKUP(M$5,NFI,5,0),1,0)*Data_NFI_t[[#This Row],[Tarpaulin]],0)</f>
        <v>0</v>
      </c>
      <c r="AB260" s="112">
        <f>IF(NFI_Expiration=1,IF($A260&lt;VLOOKUP(N$5,NFI,5,0),1,0)*Data_NFI_t[[#This Row],[Blanket]],0)</f>
        <v>0</v>
      </c>
      <c r="AC260" s="112">
        <f>IF(NFI_Expiration=1,IF($A260&lt;VLOOKUP(O$5,NFI,5,0),1,0)*Data_NFI_t[[#This Row],[Kitchen Set]],0)</f>
        <v>0</v>
      </c>
      <c r="AD260" s="112">
        <f>IF(NFI_Expiration=1,IF($A260&lt;VLOOKUP(P$5,NFI,5,0),1,0)*Data_NFI_t[[#This Row],[Complementary Kit]],0)</f>
        <v>0</v>
      </c>
      <c r="AE260" s="112">
        <f>IF(NFI_Expiration=1,IF($A260&lt;VLOOKUP(Q$5,NFI,5,0),1,0)*Data_NFI_t[[#This Row],[Plastic Bucket]],0)</f>
        <v>0</v>
      </c>
      <c r="AF260" s="112">
        <f>IF(NFI_Expiration=1,IF($A260&lt;VLOOKUP(R$5,NFI,5,0),1,0)*Data_NFI_t[[#This Row],[Jerry Can]],0)</f>
        <v>0</v>
      </c>
      <c r="AG260" s="131">
        <f>IF(NFI_Expiration=1,IF($A260&lt;VLOOKUP(S$5,NFI,5,0),1,0)*Data_NFI_t[[#This Row],[Plastic Mat]],0)*IF(Data_NFI_t[[#This Row],[Distribution Date]]&gt;"01-06-2015",1,2.5)</f>
        <v>0</v>
      </c>
      <c r="AH260" s="915">
        <f>IF(NFI_Expiration=1,IF($A260&lt;VLOOKUP(T$5,NFI,5,0),1,0)*Data_NFI_t[[#This Row],[Adult Clothes]],0)</f>
        <v>0</v>
      </c>
      <c r="AI260" s="131">
        <f>IF(NFI_Expiration=1,IF($A260&lt;VLOOKUP(U$5,NFI,5,0),1,0)*Data_NFI_t[[#This Row],[Children Clothes]],0)</f>
        <v>0</v>
      </c>
      <c r="AJ260" s="131">
        <f>IF(NFI_Expiration=1,IF($A260&lt;VLOOKUP(V$5,NFI,5,0),1,0)*Data_NFI_t[[#This Row],[Sewing Kit]],0)</f>
        <v>0</v>
      </c>
      <c r="AK260" s="131" t="str">
        <f ca="1">IFERROR(OFFSET(Camp_List[P_Code],MATCH(Data_NFI_t[[#This Row],[Camp Name]],Camp_List[Camp Name],0)-1,0,1,1),"")</f>
        <v>MMR012CMP007</v>
      </c>
      <c r="AL260" s="513" t="str">
        <f ca="1">IFERROR(OFFSET(Camp_List[Status],MATCH(Data_NFI_t[[#This Row],[Camp Name]],Camp_List[Camp Name],0)-1,0,1,1),"")</f>
        <v>Close</v>
      </c>
      <c r="AM260" s="131"/>
    </row>
    <row r="261" spans="1:39" s="90" customFormat="1" ht="19.5" customHeight="1" x14ac:dyDescent="0.25">
      <c r="A261" s="242">
        <f>IF(ISBLANK(C261),"",(Report_Date-C261)/30)</f>
        <v>49.166666666666664</v>
      </c>
      <c r="B261" s="242">
        <f>YEAR(Data_NFI_t[[#This Row],[Distribution Date]])</f>
        <v>2013</v>
      </c>
      <c r="C261" s="927">
        <v>41320</v>
      </c>
      <c r="D261" s="489" t="s">
        <v>287</v>
      </c>
      <c r="E261" s="488"/>
      <c r="F261" s="489" t="s">
        <v>7</v>
      </c>
      <c r="G261" s="794" t="s">
        <v>1003</v>
      </c>
      <c r="H261" s="794" t="s">
        <v>34</v>
      </c>
      <c r="I261" s="794">
        <v>360</v>
      </c>
      <c r="J261" s="51"/>
      <c r="K261" s="51"/>
      <c r="L261" s="51"/>
      <c r="M261" s="51"/>
      <c r="N261" s="51"/>
      <c r="O261" s="51"/>
      <c r="P261" s="51"/>
      <c r="Q261" s="51"/>
      <c r="R261" s="511"/>
      <c r="S261" s="51"/>
      <c r="T261" s="51"/>
      <c r="U261" s="51"/>
      <c r="V261" s="51"/>
      <c r="W261" s="131">
        <f>IF(NFI_Expiration=1,IF($A261&lt;VLOOKUP(I$5,NFI,5,0),1,0)*Data_NFI_t[[#This Row],[Hygiene Kit]],0)</f>
        <v>0</v>
      </c>
      <c r="X261" s="131">
        <f>IF(NFI_Expiration=1,IF($A261&lt;VLOOKUP(J$5,NFI,5,0),1,0)*Data_NFI_t[[#This Row],[NFI Core Kit]],0)</f>
        <v>0</v>
      </c>
      <c r="Y261" s="112">
        <f>IF(NFI_Expiration=1,IF($A261&lt;VLOOKUP(K$5,NFI,5,0),1,0)*Data_NFI_t[[#This Row],[Sanitary Kit]],0)</f>
        <v>0</v>
      </c>
      <c r="Z261" s="112">
        <f>IF(NFI_Expiration=1,IF($A261&lt;VLOOKUP(L$5,NFI,5,0),1,0)*Data_NFI_t[[#This Row],[Mosquito net]],0)</f>
        <v>0</v>
      </c>
      <c r="AA261" s="112">
        <f>IF(NFI_Expiration=1,IF($A261&lt;VLOOKUP(M$5,NFI,5,0),1,0)*Data_NFI_t[[#This Row],[Tarpaulin]],0)</f>
        <v>0</v>
      </c>
      <c r="AB261" s="112">
        <f>IF(NFI_Expiration=1,IF($A261&lt;VLOOKUP(N$5,NFI,5,0),1,0)*Data_NFI_t[[#This Row],[Blanket]],0)</f>
        <v>0</v>
      </c>
      <c r="AC261" s="112">
        <f>IF(NFI_Expiration=1,IF($A261&lt;VLOOKUP(O$5,NFI,5,0),1,0)*Data_NFI_t[[#This Row],[Kitchen Set]],0)</f>
        <v>0</v>
      </c>
      <c r="AD261" s="112">
        <f>IF(NFI_Expiration=1,IF($A261&lt;VLOOKUP(P$5,NFI,5,0),1,0)*Data_NFI_t[[#This Row],[Complementary Kit]],0)</f>
        <v>0</v>
      </c>
      <c r="AE261" s="112">
        <f>IF(NFI_Expiration=1,IF($A261&lt;VLOOKUP(Q$5,NFI,5,0),1,0)*Data_NFI_t[[#This Row],[Plastic Bucket]],0)</f>
        <v>0</v>
      </c>
      <c r="AF261" s="112">
        <f>IF(NFI_Expiration=1,IF($A261&lt;VLOOKUP(R$5,NFI,5,0),1,0)*Data_NFI_t[[#This Row],[Jerry Can]],0)</f>
        <v>0</v>
      </c>
      <c r="AG261" s="131">
        <f>IF(NFI_Expiration=1,IF($A261&lt;VLOOKUP(S$5,NFI,5,0),1,0)*Data_NFI_t[[#This Row],[Plastic Mat]],0)*IF(Data_NFI_t[[#This Row],[Distribution Date]]&gt;"01-06-2015",1,2.5)</f>
        <v>0</v>
      </c>
      <c r="AH261" s="915">
        <f>IF(NFI_Expiration=1,IF($A261&lt;VLOOKUP(T$5,NFI,5,0),1,0)*Data_NFI_t[[#This Row],[Adult Clothes]],0)</f>
        <v>0</v>
      </c>
      <c r="AI261" s="131">
        <f>IF(NFI_Expiration=1,IF($A261&lt;VLOOKUP(U$5,NFI,5,0),1,0)*Data_NFI_t[[#This Row],[Children Clothes]],0)</f>
        <v>0</v>
      </c>
      <c r="AJ261" s="131">
        <f>IF(NFI_Expiration=1,IF($A261&lt;VLOOKUP(V$5,NFI,5,0),1,0)*Data_NFI_t[[#This Row],[Sewing Kit]],0)</f>
        <v>0</v>
      </c>
      <c r="AK261" s="131" t="str">
        <f ca="1">IFERROR(OFFSET(Camp_List[P_Code],MATCH(Data_NFI_t[[#This Row],[Camp Name]],Camp_List[Camp Name],0)-1,0,1,1),"")</f>
        <v>MMR012CMP010</v>
      </c>
      <c r="AL261" s="513" t="str">
        <f ca="1">IFERROR(OFFSET(Camp_List[Status],MATCH(Data_NFI_t[[#This Row],[Camp Name]],Camp_List[Camp Name],0)-1,0,1,1),"")</f>
        <v>Returned</v>
      </c>
      <c r="AM261" s="131"/>
    </row>
    <row r="262" spans="1:39" s="90" customFormat="1" ht="19.5" customHeight="1" x14ac:dyDescent="0.25">
      <c r="A262" s="242">
        <f>IF(ISBLANK(C262),"",(Report_Date-C262)/30)</f>
        <v>49.2</v>
      </c>
      <c r="B262" s="242">
        <f>YEAR(Data_NFI_t[[#This Row],[Distribution Date]])</f>
        <v>2013</v>
      </c>
      <c r="C262" s="927">
        <v>41319</v>
      </c>
      <c r="D262" s="489" t="s">
        <v>285</v>
      </c>
      <c r="E262" s="488"/>
      <c r="F262" s="489" t="s">
        <v>7</v>
      </c>
      <c r="G262" s="794" t="s">
        <v>20</v>
      </c>
      <c r="H262" s="794" t="s">
        <v>106</v>
      </c>
      <c r="I262" s="794"/>
      <c r="J262" s="51">
        <v>20</v>
      </c>
      <c r="K262" s="51"/>
      <c r="L262" s="51">
        <v>40</v>
      </c>
      <c r="M262" s="51">
        <v>20</v>
      </c>
      <c r="N262" s="51">
        <v>40</v>
      </c>
      <c r="O262" s="51">
        <v>20</v>
      </c>
      <c r="P262" s="51">
        <v>20</v>
      </c>
      <c r="Q262" s="51">
        <v>20</v>
      </c>
      <c r="R262" s="511"/>
      <c r="S262" s="51">
        <v>40</v>
      </c>
      <c r="T262" s="51"/>
      <c r="U262" s="51"/>
      <c r="V262" s="51"/>
      <c r="W262" s="131">
        <f>IF(NFI_Expiration=1,IF($A262&lt;VLOOKUP(I$5,NFI,5,0),1,0)*Data_NFI_t[[#This Row],[Hygiene Kit]],0)</f>
        <v>0</v>
      </c>
      <c r="X262" s="131">
        <f>IF(NFI_Expiration=1,IF($A262&lt;VLOOKUP(J$5,NFI,5,0),1,0)*Data_NFI_t[[#This Row],[NFI Core Kit]],0)</f>
        <v>0</v>
      </c>
      <c r="Y262" s="112">
        <f>IF(NFI_Expiration=1,IF($A262&lt;VLOOKUP(K$5,NFI,5,0),1,0)*Data_NFI_t[[#This Row],[Sanitary Kit]],0)</f>
        <v>0</v>
      </c>
      <c r="Z262" s="112">
        <f>IF(NFI_Expiration=1,IF($A262&lt;VLOOKUP(L$5,NFI,5,0),1,0)*Data_NFI_t[[#This Row],[Mosquito net]],0)</f>
        <v>0</v>
      </c>
      <c r="AA262" s="112">
        <f>IF(NFI_Expiration=1,IF($A262&lt;VLOOKUP(M$5,NFI,5,0),1,0)*Data_NFI_t[[#This Row],[Tarpaulin]],0)</f>
        <v>0</v>
      </c>
      <c r="AB262" s="112">
        <f>IF(NFI_Expiration=1,IF($A262&lt;VLOOKUP(N$5,NFI,5,0),1,0)*Data_NFI_t[[#This Row],[Blanket]],0)</f>
        <v>0</v>
      </c>
      <c r="AC262" s="112">
        <f>IF(NFI_Expiration=1,IF($A262&lt;VLOOKUP(O$5,NFI,5,0),1,0)*Data_NFI_t[[#This Row],[Kitchen Set]],0)</f>
        <v>0</v>
      </c>
      <c r="AD262" s="112">
        <f>IF(NFI_Expiration=1,IF($A262&lt;VLOOKUP(P$5,NFI,5,0),1,0)*Data_NFI_t[[#This Row],[Complementary Kit]],0)</f>
        <v>0</v>
      </c>
      <c r="AE262" s="112">
        <f>IF(NFI_Expiration=1,IF($A262&lt;VLOOKUP(Q$5,NFI,5,0),1,0)*Data_NFI_t[[#This Row],[Plastic Bucket]],0)</f>
        <v>0</v>
      </c>
      <c r="AF262" s="112">
        <f>IF(NFI_Expiration=1,IF($A262&lt;VLOOKUP(R$5,NFI,5,0),1,0)*Data_NFI_t[[#This Row],[Jerry Can]],0)</f>
        <v>0</v>
      </c>
      <c r="AG262" s="131">
        <f>IF(NFI_Expiration=1,IF($A262&lt;VLOOKUP(S$5,NFI,5,0),1,0)*Data_NFI_t[[#This Row],[Plastic Mat]],0)*IF(Data_NFI_t[[#This Row],[Distribution Date]]&gt;"01-06-2015",1,2.5)</f>
        <v>0</v>
      </c>
      <c r="AH262" s="915">
        <f>IF(NFI_Expiration=1,IF($A262&lt;VLOOKUP(T$5,NFI,5,0),1,0)*Data_NFI_t[[#This Row],[Adult Clothes]],0)</f>
        <v>0</v>
      </c>
      <c r="AI262" s="131">
        <f>IF(NFI_Expiration=1,IF($A262&lt;VLOOKUP(U$5,NFI,5,0),1,0)*Data_NFI_t[[#This Row],[Children Clothes]],0)</f>
        <v>0</v>
      </c>
      <c r="AJ262" s="131">
        <f>IF(NFI_Expiration=1,IF($A262&lt;VLOOKUP(V$5,NFI,5,0),1,0)*Data_NFI_t[[#This Row],[Sewing Kit]],0)</f>
        <v>0</v>
      </c>
      <c r="AK262" s="131" t="str">
        <f ca="1">IFERROR(OFFSET(Camp_List[P_Code],MATCH(Data_NFI_t[[#This Row],[Camp Name]],Camp_List[Camp Name],0)-1,0,1,1),"")</f>
        <v>MMR012CMP085</v>
      </c>
      <c r="AL262" s="513" t="str">
        <f ca="1">IFERROR(OFFSET(Camp_List[Status],MATCH(Data_NFI_t[[#This Row],[Camp Name]],Camp_List[Camp Name],0)-1,0,1,1),"")</f>
        <v>Open</v>
      </c>
      <c r="AM262" s="131"/>
    </row>
    <row r="263" spans="1:39" s="90" customFormat="1" ht="19.5" customHeight="1" x14ac:dyDescent="0.25">
      <c r="A263" s="242">
        <f>IF(ISBLANK(C263),"",(Report_Date-C263)/30)</f>
        <v>49.2</v>
      </c>
      <c r="B263" s="242">
        <f>YEAR(Data_NFI_t[[#This Row],[Distribution Date]])</f>
        <v>2013</v>
      </c>
      <c r="C263" s="927">
        <v>41319</v>
      </c>
      <c r="D263" s="489" t="s">
        <v>285</v>
      </c>
      <c r="E263" s="488"/>
      <c r="F263" s="489" t="s">
        <v>7</v>
      </c>
      <c r="G263" s="794" t="s">
        <v>20</v>
      </c>
      <c r="H263" s="794" t="s">
        <v>106</v>
      </c>
      <c r="I263" s="794"/>
      <c r="J263" s="51"/>
      <c r="K263" s="51">
        <v>40</v>
      </c>
      <c r="L263" s="51">
        <v>81</v>
      </c>
      <c r="M263" s="51">
        <v>20</v>
      </c>
      <c r="N263" s="51"/>
      <c r="O263" s="51"/>
      <c r="P263" s="51"/>
      <c r="Q263" s="51"/>
      <c r="R263" s="511"/>
      <c r="S263" s="51"/>
      <c r="T263" s="51"/>
      <c r="U263" s="51"/>
      <c r="V263" s="51"/>
      <c r="W263" s="131">
        <f>IF(NFI_Expiration=1,IF($A263&lt;VLOOKUP(I$5,NFI,5,0),1,0)*Data_NFI_t[[#This Row],[Hygiene Kit]],0)</f>
        <v>0</v>
      </c>
      <c r="X263" s="131">
        <f>IF(NFI_Expiration=1,IF($A263&lt;VLOOKUP(J$5,NFI,5,0),1,0)*Data_NFI_t[[#This Row],[NFI Core Kit]],0)</f>
        <v>0</v>
      </c>
      <c r="Y263" s="112">
        <f>IF(NFI_Expiration=1,IF($A263&lt;VLOOKUP(K$5,NFI,5,0),1,0)*Data_NFI_t[[#This Row],[Sanitary Kit]],0)</f>
        <v>0</v>
      </c>
      <c r="Z263" s="112">
        <f>IF(NFI_Expiration=1,IF($A263&lt;VLOOKUP(L$5,NFI,5,0),1,0)*Data_NFI_t[[#This Row],[Mosquito net]],0)</f>
        <v>0</v>
      </c>
      <c r="AA263" s="112">
        <f>IF(NFI_Expiration=1,IF($A263&lt;VLOOKUP(M$5,NFI,5,0),1,0)*Data_NFI_t[[#This Row],[Tarpaulin]],0)</f>
        <v>0</v>
      </c>
      <c r="AB263" s="112">
        <f>IF(NFI_Expiration=1,IF($A263&lt;VLOOKUP(N$5,NFI,5,0),1,0)*Data_NFI_t[[#This Row],[Blanket]],0)</f>
        <v>0</v>
      </c>
      <c r="AC263" s="112">
        <f>IF(NFI_Expiration=1,IF($A263&lt;VLOOKUP(O$5,NFI,5,0),1,0)*Data_NFI_t[[#This Row],[Kitchen Set]],0)</f>
        <v>0</v>
      </c>
      <c r="AD263" s="112">
        <f>IF(NFI_Expiration=1,IF($A263&lt;VLOOKUP(P$5,NFI,5,0),1,0)*Data_NFI_t[[#This Row],[Complementary Kit]],0)</f>
        <v>0</v>
      </c>
      <c r="AE263" s="112">
        <f>IF(NFI_Expiration=1,IF($A263&lt;VLOOKUP(Q$5,NFI,5,0),1,0)*Data_NFI_t[[#This Row],[Plastic Bucket]],0)</f>
        <v>0</v>
      </c>
      <c r="AF263" s="112">
        <f>IF(NFI_Expiration=1,IF($A263&lt;VLOOKUP(R$5,NFI,5,0),1,0)*Data_NFI_t[[#This Row],[Jerry Can]],0)</f>
        <v>0</v>
      </c>
      <c r="AG263" s="131">
        <f>IF(NFI_Expiration=1,IF($A263&lt;VLOOKUP(S$5,NFI,5,0),1,0)*Data_NFI_t[[#This Row],[Plastic Mat]],0)*IF(Data_NFI_t[[#This Row],[Distribution Date]]&gt;"01-06-2015",1,2.5)</f>
        <v>0</v>
      </c>
      <c r="AH263" s="915">
        <f>IF(NFI_Expiration=1,IF($A263&lt;VLOOKUP(T$5,NFI,5,0),1,0)*Data_NFI_t[[#This Row],[Adult Clothes]],0)</f>
        <v>0</v>
      </c>
      <c r="AI263" s="131">
        <f>IF(NFI_Expiration=1,IF($A263&lt;VLOOKUP(U$5,NFI,5,0),1,0)*Data_NFI_t[[#This Row],[Children Clothes]],0)</f>
        <v>0</v>
      </c>
      <c r="AJ263" s="131">
        <f>IF(NFI_Expiration=1,IF($A263&lt;VLOOKUP(V$5,NFI,5,0),1,0)*Data_NFI_t[[#This Row],[Sewing Kit]],0)</f>
        <v>0</v>
      </c>
      <c r="AK263" s="131" t="str">
        <f ca="1">IFERROR(OFFSET(Camp_List[P_Code],MATCH(Data_NFI_t[[#This Row],[Camp Name]],Camp_List[Camp Name],0)-1,0,1,1),"")</f>
        <v>MMR012CMP085</v>
      </c>
      <c r="AL263" s="513" t="str">
        <f ca="1">IFERROR(OFFSET(Camp_List[Status],MATCH(Data_NFI_t[[#This Row],[Camp Name]],Camp_List[Camp Name],0)-1,0,1,1),"")</f>
        <v>Open</v>
      </c>
      <c r="AM263" s="131"/>
    </row>
    <row r="264" spans="1:39" s="90" customFormat="1" ht="19.5" customHeight="1" x14ac:dyDescent="0.25">
      <c r="A264" s="242">
        <f>IF(ISBLANK(C264),"",(Report_Date-C264)/30)</f>
        <v>49.4</v>
      </c>
      <c r="B264" s="242">
        <f>YEAR(Data_NFI_t[[#This Row],[Distribution Date]])</f>
        <v>2013</v>
      </c>
      <c r="C264" s="927">
        <v>41313</v>
      </c>
      <c r="D264" s="489" t="s">
        <v>287</v>
      </c>
      <c r="E264" s="488"/>
      <c r="F264" s="489" t="s">
        <v>7</v>
      </c>
      <c r="G264" s="794" t="s">
        <v>608</v>
      </c>
      <c r="H264" s="794" t="s">
        <v>474</v>
      </c>
      <c r="I264" s="794">
        <v>71</v>
      </c>
      <c r="J264" s="51"/>
      <c r="K264" s="51"/>
      <c r="L264" s="51"/>
      <c r="M264" s="51"/>
      <c r="N264" s="51"/>
      <c r="O264" s="51"/>
      <c r="P264" s="51"/>
      <c r="Q264" s="51"/>
      <c r="R264" s="511"/>
      <c r="S264" s="51"/>
      <c r="T264" s="51"/>
      <c r="U264" s="51"/>
      <c r="V264" s="51"/>
      <c r="W264" s="131">
        <f>IF(NFI_Expiration=1,IF($A264&lt;VLOOKUP(I$5,NFI,5,0),1,0)*Data_NFI_t[[#This Row],[Hygiene Kit]],0)</f>
        <v>0</v>
      </c>
      <c r="X264" s="131">
        <f>IF(NFI_Expiration=1,IF($A264&lt;VLOOKUP(J$5,NFI,5,0),1,0)*Data_NFI_t[[#This Row],[NFI Core Kit]],0)</f>
        <v>0</v>
      </c>
      <c r="Y264" s="112">
        <f>IF(NFI_Expiration=1,IF($A264&lt;VLOOKUP(K$5,NFI,5,0),1,0)*Data_NFI_t[[#This Row],[Sanitary Kit]],0)</f>
        <v>0</v>
      </c>
      <c r="Z264" s="112">
        <f>IF(NFI_Expiration=1,IF($A264&lt;VLOOKUP(L$5,NFI,5,0),1,0)*Data_NFI_t[[#This Row],[Mosquito net]],0)</f>
        <v>0</v>
      </c>
      <c r="AA264" s="112">
        <f>IF(NFI_Expiration=1,IF($A264&lt;VLOOKUP(M$5,NFI,5,0),1,0)*Data_NFI_t[[#This Row],[Tarpaulin]],0)</f>
        <v>0</v>
      </c>
      <c r="AB264" s="112">
        <f>IF(NFI_Expiration=1,IF($A264&lt;VLOOKUP(N$5,NFI,5,0),1,0)*Data_NFI_t[[#This Row],[Blanket]],0)</f>
        <v>0</v>
      </c>
      <c r="AC264" s="112">
        <f>IF(NFI_Expiration=1,IF($A264&lt;VLOOKUP(O$5,NFI,5,0),1,0)*Data_NFI_t[[#This Row],[Kitchen Set]],0)</f>
        <v>0</v>
      </c>
      <c r="AD264" s="112">
        <f>IF(NFI_Expiration=1,IF($A264&lt;VLOOKUP(P$5,NFI,5,0),1,0)*Data_NFI_t[[#This Row],[Complementary Kit]],0)</f>
        <v>0</v>
      </c>
      <c r="AE264" s="112">
        <f>IF(NFI_Expiration=1,IF($A264&lt;VLOOKUP(Q$5,NFI,5,0),1,0)*Data_NFI_t[[#This Row],[Plastic Bucket]],0)</f>
        <v>0</v>
      </c>
      <c r="AF264" s="112">
        <f>IF(NFI_Expiration=1,IF($A264&lt;VLOOKUP(R$5,NFI,5,0),1,0)*Data_NFI_t[[#This Row],[Jerry Can]],0)</f>
        <v>0</v>
      </c>
      <c r="AG264" s="131">
        <f>IF(NFI_Expiration=1,IF($A264&lt;VLOOKUP(S$5,NFI,5,0),1,0)*Data_NFI_t[[#This Row],[Plastic Mat]],0)*IF(Data_NFI_t[[#This Row],[Distribution Date]]&gt;"01-06-2015",1,2.5)</f>
        <v>0</v>
      </c>
      <c r="AH264" s="915">
        <f>IF(NFI_Expiration=1,IF($A264&lt;VLOOKUP(T$5,NFI,5,0),1,0)*Data_NFI_t[[#This Row],[Adult Clothes]],0)</f>
        <v>0</v>
      </c>
      <c r="AI264" s="131">
        <f>IF(NFI_Expiration=1,IF($A264&lt;VLOOKUP(U$5,NFI,5,0),1,0)*Data_NFI_t[[#This Row],[Children Clothes]],0)</f>
        <v>0</v>
      </c>
      <c r="AJ264" s="131">
        <f>IF(NFI_Expiration=1,IF($A264&lt;VLOOKUP(V$5,NFI,5,0),1,0)*Data_NFI_t[[#This Row],[Sewing Kit]],0)</f>
        <v>0</v>
      </c>
      <c r="AK264" s="131" t="str">
        <f ca="1">IFERROR(OFFSET(Camp_List[P_Code],MATCH(Data_NFI_t[[#This Row],[Camp Name]],Camp_List[Camp Name],0)-1,0,1,1),"")</f>
        <v>MMR012CMP036</v>
      </c>
      <c r="AL264" s="513" t="str">
        <f ca="1">IFERROR(OFFSET(Camp_List[Status],MATCH(Data_NFI_t[[#This Row],[Camp Name]],Camp_List[Camp Name],0)-1,0,1,1),"")</f>
        <v>Open</v>
      </c>
      <c r="AM264" s="131"/>
    </row>
    <row r="265" spans="1:39" s="90" customFormat="1" ht="19.5" customHeight="1" x14ac:dyDescent="0.25">
      <c r="A265" s="242">
        <f>IF(ISBLANK(C265),"",(Report_Date-C265)/30)</f>
        <v>49.4</v>
      </c>
      <c r="B265" s="242">
        <f>YEAR(Data_NFI_t[[#This Row],[Distribution Date]])</f>
        <v>2013</v>
      </c>
      <c r="C265" s="927">
        <v>41313</v>
      </c>
      <c r="D265" s="489" t="s">
        <v>287</v>
      </c>
      <c r="E265" s="488"/>
      <c r="F265" s="489" t="s">
        <v>7</v>
      </c>
      <c r="G265" s="794" t="s">
        <v>867</v>
      </c>
      <c r="H265" s="794" t="s">
        <v>37</v>
      </c>
      <c r="I265" s="794">
        <v>45</v>
      </c>
      <c r="J265" s="51"/>
      <c r="K265" s="51"/>
      <c r="L265" s="51"/>
      <c r="M265" s="51"/>
      <c r="N265" s="51"/>
      <c r="O265" s="51"/>
      <c r="P265" s="51"/>
      <c r="Q265" s="51"/>
      <c r="R265" s="511"/>
      <c r="S265" s="51"/>
      <c r="T265" s="51"/>
      <c r="U265" s="51"/>
      <c r="V265" s="51"/>
      <c r="W265" s="131">
        <f>IF(NFI_Expiration=1,IF($A265&lt;VLOOKUP(I$5,NFI,5,0),1,0)*Data_NFI_t[[#This Row],[Hygiene Kit]],0)</f>
        <v>0</v>
      </c>
      <c r="X265" s="131">
        <f>IF(NFI_Expiration=1,IF($A265&lt;VLOOKUP(J$5,NFI,5,0),1,0)*Data_NFI_t[[#This Row],[NFI Core Kit]],0)</f>
        <v>0</v>
      </c>
      <c r="Y265" s="112">
        <f>IF(NFI_Expiration=1,IF($A265&lt;VLOOKUP(K$5,NFI,5,0),1,0)*Data_NFI_t[[#This Row],[Sanitary Kit]],0)</f>
        <v>0</v>
      </c>
      <c r="Z265" s="112">
        <f>IF(NFI_Expiration=1,IF($A265&lt;VLOOKUP(L$5,NFI,5,0),1,0)*Data_NFI_t[[#This Row],[Mosquito net]],0)</f>
        <v>0</v>
      </c>
      <c r="AA265" s="112">
        <f>IF(NFI_Expiration=1,IF($A265&lt;VLOOKUP(M$5,NFI,5,0),1,0)*Data_NFI_t[[#This Row],[Tarpaulin]],0)</f>
        <v>0</v>
      </c>
      <c r="AB265" s="112">
        <f>IF(NFI_Expiration=1,IF($A265&lt;VLOOKUP(N$5,NFI,5,0),1,0)*Data_NFI_t[[#This Row],[Blanket]],0)</f>
        <v>0</v>
      </c>
      <c r="AC265" s="112">
        <f>IF(NFI_Expiration=1,IF($A265&lt;VLOOKUP(O$5,NFI,5,0),1,0)*Data_NFI_t[[#This Row],[Kitchen Set]],0)</f>
        <v>0</v>
      </c>
      <c r="AD265" s="112">
        <f>IF(NFI_Expiration=1,IF($A265&lt;VLOOKUP(P$5,NFI,5,0),1,0)*Data_NFI_t[[#This Row],[Complementary Kit]],0)</f>
        <v>0</v>
      </c>
      <c r="AE265" s="112">
        <f>IF(NFI_Expiration=1,IF($A265&lt;VLOOKUP(Q$5,NFI,5,0),1,0)*Data_NFI_t[[#This Row],[Plastic Bucket]],0)</f>
        <v>0</v>
      </c>
      <c r="AF265" s="112">
        <f>IF(NFI_Expiration=1,IF($A265&lt;VLOOKUP(R$5,NFI,5,0),1,0)*Data_NFI_t[[#This Row],[Jerry Can]],0)</f>
        <v>0</v>
      </c>
      <c r="AG265" s="131">
        <f>IF(NFI_Expiration=1,IF($A265&lt;VLOOKUP(S$5,NFI,5,0),1,0)*Data_NFI_t[[#This Row],[Plastic Mat]],0)*IF(Data_NFI_t[[#This Row],[Distribution Date]]&gt;"01-06-2015",1,2.5)</f>
        <v>0</v>
      </c>
      <c r="AH265" s="915">
        <f>IF(NFI_Expiration=1,IF($A265&lt;VLOOKUP(T$5,NFI,5,0),1,0)*Data_NFI_t[[#This Row],[Adult Clothes]],0)</f>
        <v>0</v>
      </c>
      <c r="AI265" s="131">
        <f>IF(NFI_Expiration=1,IF($A265&lt;VLOOKUP(U$5,NFI,5,0),1,0)*Data_NFI_t[[#This Row],[Children Clothes]],0)</f>
        <v>0</v>
      </c>
      <c r="AJ265" s="131">
        <f>IF(NFI_Expiration=1,IF($A265&lt;VLOOKUP(V$5,NFI,5,0),1,0)*Data_NFI_t[[#This Row],[Sewing Kit]],0)</f>
        <v>0</v>
      </c>
      <c r="AK265" s="131" t="str">
        <f ca="1">IFERROR(OFFSET(Camp_List[P_Code],MATCH(Data_NFI_t[[#This Row],[Camp Name]],Camp_List[Camp Name],0)-1,0,1,1),"")</f>
        <v>MMR012CMP013</v>
      </c>
      <c r="AL265" s="513" t="str">
        <f ca="1">IFERROR(OFFSET(Camp_List[Status],MATCH(Data_NFI_t[[#This Row],[Camp Name]],Camp_List[Camp Name],0)-1,0,1,1),"")</f>
        <v>Relocated</v>
      </c>
      <c r="AM265" s="131"/>
    </row>
    <row r="266" spans="1:39" s="90" customFormat="1" ht="19.5" customHeight="1" x14ac:dyDescent="0.25">
      <c r="A266" s="242">
        <f>IF(ISBLANK(C266),"",(Report_Date-C266)/30)</f>
        <v>49.4</v>
      </c>
      <c r="B266" s="242">
        <f>YEAR(Data_NFI_t[[#This Row],[Distribution Date]])</f>
        <v>2013</v>
      </c>
      <c r="C266" s="927">
        <v>41313</v>
      </c>
      <c r="D266" s="489" t="s">
        <v>287</v>
      </c>
      <c r="E266" s="488"/>
      <c r="F266" s="489" t="s">
        <v>7</v>
      </c>
      <c r="G266" s="794" t="s">
        <v>608</v>
      </c>
      <c r="H266" s="794" t="s">
        <v>58</v>
      </c>
      <c r="I266" s="794">
        <v>418</v>
      </c>
      <c r="J266" s="51"/>
      <c r="K266" s="51"/>
      <c r="L266" s="51"/>
      <c r="M266" s="51"/>
      <c r="N266" s="51"/>
      <c r="O266" s="51"/>
      <c r="P266" s="51"/>
      <c r="Q266" s="51"/>
      <c r="R266" s="511"/>
      <c r="S266" s="51"/>
      <c r="T266" s="51"/>
      <c r="U266" s="51"/>
      <c r="V266" s="51"/>
      <c r="W266" s="131">
        <f>IF(NFI_Expiration=1,IF($A266&lt;VLOOKUP(I$5,NFI,5,0),1,0)*Data_NFI_t[[#This Row],[Hygiene Kit]],0)</f>
        <v>0</v>
      </c>
      <c r="X266" s="131">
        <f>IF(NFI_Expiration=1,IF($A266&lt;VLOOKUP(J$5,NFI,5,0),1,0)*Data_NFI_t[[#This Row],[NFI Core Kit]],0)</f>
        <v>0</v>
      </c>
      <c r="Y266" s="112">
        <f>IF(NFI_Expiration=1,IF($A266&lt;VLOOKUP(K$5,NFI,5,0),1,0)*Data_NFI_t[[#This Row],[Sanitary Kit]],0)</f>
        <v>0</v>
      </c>
      <c r="Z266" s="112">
        <f>IF(NFI_Expiration=1,IF($A266&lt;VLOOKUP(L$5,NFI,5,0),1,0)*Data_NFI_t[[#This Row],[Mosquito net]],0)</f>
        <v>0</v>
      </c>
      <c r="AA266" s="112">
        <f>IF(NFI_Expiration=1,IF($A266&lt;VLOOKUP(M$5,NFI,5,0),1,0)*Data_NFI_t[[#This Row],[Tarpaulin]],0)</f>
        <v>0</v>
      </c>
      <c r="AB266" s="112">
        <f>IF(NFI_Expiration=1,IF($A266&lt;VLOOKUP(N$5,NFI,5,0),1,0)*Data_NFI_t[[#This Row],[Blanket]],0)</f>
        <v>0</v>
      </c>
      <c r="AC266" s="112">
        <f>IF(NFI_Expiration=1,IF($A266&lt;VLOOKUP(O$5,NFI,5,0),1,0)*Data_NFI_t[[#This Row],[Kitchen Set]],0)</f>
        <v>0</v>
      </c>
      <c r="AD266" s="112">
        <f>IF(NFI_Expiration=1,IF($A266&lt;VLOOKUP(P$5,NFI,5,0),1,0)*Data_NFI_t[[#This Row],[Complementary Kit]],0)</f>
        <v>0</v>
      </c>
      <c r="AE266" s="112">
        <f>IF(NFI_Expiration=1,IF($A266&lt;VLOOKUP(Q$5,NFI,5,0),1,0)*Data_NFI_t[[#This Row],[Plastic Bucket]],0)</f>
        <v>0</v>
      </c>
      <c r="AF266" s="112">
        <f>IF(NFI_Expiration=1,IF($A266&lt;VLOOKUP(R$5,NFI,5,0),1,0)*Data_NFI_t[[#This Row],[Jerry Can]],0)</f>
        <v>0</v>
      </c>
      <c r="AG266" s="131">
        <f>IF(NFI_Expiration=1,IF($A266&lt;VLOOKUP(S$5,NFI,5,0),1,0)*Data_NFI_t[[#This Row],[Plastic Mat]],0)*IF(Data_NFI_t[[#This Row],[Distribution Date]]&gt;"01-06-2015",1,2.5)</f>
        <v>0</v>
      </c>
      <c r="AH266" s="915">
        <f>IF(NFI_Expiration=1,IF($A266&lt;VLOOKUP(T$5,NFI,5,0),1,0)*Data_NFI_t[[#This Row],[Adult Clothes]],0)</f>
        <v>0</v>
      </c>
      <c r="AI266" s="131">
        <f>IF(NFI_Expiration=1,IF($A266&lt;VLOOKUP(U$5,NFI,5,0),1,0)*Data_NFI_t[[#This Row],[Children Clothes]],0)</f>
        <v>0</v>
      </c>
      <c r="AJ266" s="131">
        <f>IF(NFI_Expiration=1,IF($A266&lt;VLOOKUP(V$5,NFI,5,0),1,0)*Data_NFI_t[[#This Row],[Sewing Kit]],0)</f>
        <v>0</v>
      </c>
      <c r="AK266" s="131" t="str">
        <f ca="1">IFERROR(OFFSET(Camp_List[P_Code],MATCH(Data_NFI_t[[#This Row],[Camp Name]],Camp_List[Camp Name],0)-1,0,1,1),"")</f>
        <v>MMR012CMP035</v>
      </c>
      <c r="AL266" s="513" t="str">
        <f ca="1">IFERROR(OFFSET(Camp_List[Status],MATCH(Data_NFI_t[[#This Row],[Camp Name]],Camp_List[Camp Name],0)-1,0,1,1),"")</f>
        <v>Open</v>
      </c>
      <c r="AM266" s="131"/>
    </row>
    <row r="267" spans="1:39" s="90" customFormat="1" ht="19.5" customHeight="1" x14ac:dyDescent="0.25">
      <c r="A267" s="242">
        <f>IF(ISBLANK(C267),"",(Report_Date-C267)/30)</f>
        <v>49.4</v>
      </c>
      <c r="B267" s="242">
        <f>YEAR(Data_NFI_t[[#This Row],[Distribution Date]])</f>
        <v>2013</v>
      </c>
      <c r="C267" s="927">
        <v>41313</v>
      </c>
      <c r="D267" s="489" t="s">
        <v>287</v>
      </c>
      <c r="E267" s="488"/>
      <c r="F267" s="489" t="s">
        <v>7</v>
      </c>
      <c r="G267" s="794" t="s">
        <v>18</v>
      </c>
      <c r="H267" s="794" t="s">
        <v>60</v>
      </c>
      <c r="I267" s="794">
        <v>24</v>
      </c>
      <c r="J267" s="51"/>
      <c r="K267" s="51"/>
      <c r="L267" s="51"/>
      <c r="M267" s="51"/>
      <c r="N267" s="51"/>
      <c r="O267" s="51"/>
      <c r="P267" s="51"/>
      <c r="Q267" s="51"/>
      <c r="R267" s="511"/>
      <c r="S267" s="51"/>
      <c r="T267" s="51"/>
      <c r="U267" s="51"/>
      <c r="V267" s="51"/>
      <c r="W267" s="131">
        <f>IF(NFI_Expiration=1,IF($A267&lt;VLOOKUP(I$5,NFI,5,0),1,0)*Data_NFI_t[[#This Row],[Hygiene Kit]],0)</f>
        <v>0</v>
      </c>
      <c r="X267" s="131">
        <f>IF(NFI_Expiration=1,IF($A267&lt;VLOOKUP(J$5,NFI,5,0),1,0)*Data_NFI_t[[#This Row],[NFI Core Kit]],0)</f>
        <v>0</v>
      </c>
      <c r="Y267" s="112">
        <f>IF(NFI_Expiration=1,IF($A267&lt;VLOOKUP(K$5,NFI,5,0),1,0)*Data_NFI_t[[#This Row],[Sanitary Kit]],0)</f>
        <v>0</v>
      </c>
      <c r="Z267" s="112">
        <f>IF(NFI_Expiration=1,IF($A267&lt;VLOOKUP(L$5,NFI,5,0),1,0)*Data_NFI_t[[#This Row],[Mosquito net]],0)</f>
        <v>0</v>
      </c>
      <c r="AA267" s="112">
        <f>IF(NFI_Expiration=1,IF($A267&lt;VLOOKUP(M$5,NFI,5,0),1,0)*Data_NFI_t[[#This Row],[Tarpaulin]],0)</f>
        <v>0</v>
      </c>
      <c r="AB267" s="112">
        <f>IF(NFI_Expiration=1,IF($A267&lt;VLOOKUP(N$5,NFI,5,0),1,0)*Data_NFI_t[[#This Row],[Blanket]],0)</f>
        <v>0</v>
      </c>
      <c r="AC267" s="112">
        <f>IF(NFI_Expiration=1,IF($A267&lt;VLOOKUP(O$5,NFI,5,0),1,0)*Data_NFI_t[[#This Row],[Kitchen Set]],0)</f>
        <v>0</v>
      </c>
      <c r="AD267" s="112">
        <f>IF(NFI_Expiration=1,IF($A267&lt;VLOOKUP(P$5,NFI,5,0),1,0)*Data_NFI_t[[#This Row],[Complementary Kit]],0)</f>
        <v>0</v>
      </c>
      <c r="AE267" s="112">
        <f>IF(NFI_Expiration=1,IF($A267&lt;VLOOKUP(Q$5,NFI,5,0),1,0)*Data_NFI_t[[#This Row],[Plastic Bucket]],0)</f>
        <v>0</v>
      </c>
      <c r="AF267" s="112">
        <f>IF(NFI_Expiration=1,IF($A267&lt;VLOOKUP(R$5,NFI,5,0),1,0)*Data_NFI_t[[#This Row],[Jerry Can]],0)</f>
        <v>0</v>
      </c>
      <c r="AG267" s="131">
        <f>IF(NFI_Expiration=1,IF($A267&lt;VLOOKUP(S$5,NFI,5,0),1,0)*Data_NFI_t[[#This Row],[Plastic Mat]],0)*IF(Data_NFI_t[[#This Row],[Distribution Date]]&gt;"01-06-2015",1,2.5)</f>
        <v>0</v>
      </c>
      <c r="AH267" s="915">
        <f>IF(NFI_Expiration=1,IF($A267&lt;VLOOKUP(T$5,NFI,5,0),1,0)*Data_NFI_t[[#This Row],[Adult Clothes]],0)</f>
        <v>0</v>
      </c>
      <c r="AI267" s="131">
        <f>IF(NFI_Expiration=1,IF($A267&lt;VLOOKUP(U$5,NFI,5,0),1,0)*Data_NFI_t[[#This Row],[Children Clothes]],0)</f>
        <v>0</v>
      </c>
      <c r="AJ267" s="131">
        <f>IF(NFI_Expiration=1,IF($A267&lt;VLOOKUP(V$5,NFI,5,0),1,0)*Data_NFI_t[[#This Row],[Sewing Kit]],0)</f>
        <v>0</v>
      </c>
      <c r="AK267" s="131" t="str">
        <f ca="1">IFERROR(OFFSET(Camp_List[P_Code],MATCH(Data_NFI_t[[#This Row],[Camp Name]],Camp_List[Camp Name],0)-1,0,1,1),"")</f>
        <v>MMR012CMP038</v>
      </c>
      <c r="AL267" s="513" t="str">
        <f ca="1">IFERROR(OFFSET(Camp_List[Status],MATCH(Data_NFI_t[[#This Row],[Camp Name]],Camp_List[Camp Name],0)-1,0,1,1),"")</f>
        <v>Open</v>
      </c>
      <c r="AM267" s="131"/>
    </row>
    <row r="268" spans="1:39" s="90" customFormat="1" ht="19.5" customHeight="1" x14ac:dyDescent="0.25">
      <c r="A268" s="242">
        <f>IF(ISBLANK(C268),"",(Report_Date-C268)/30)</f>
        <v>49.4</v>
      </c>
      <c r="B268" s="242">
        <f>YEAR(Data_NFI_t[[#This Row],[Distribution Date]])</f>
        <v>2013</v>
      </c>
      <c r="C268" s="927">
        <v>41313</v>
      </c>
      <c r="D268" s="489" t="s">
        <v>287</v>
      </c>
      <c r="E268" s="488"/>
      <c r="F268" s="489" t="s">
        <v>7</v>
      </c>
      <c r="G268" s="794" t="s">
        <v>18</v>
      </c>
      <c r="H268" s="794" t="s">
        <v>59</v>
      </c>
      <c r="I268" s="794">
        <v>97</v>
      </c>
      <c r="J268" s="51"/>
      <c r="K268" s="51"/>
      <c r="L268" s="51"/>
      <c r="M268" s="51"/>
      <c r="N268" s="51"/>
      <c r="O268" s="51"/>
      <c r="P268" s="51"/>
      <c r="Q268" s="51"/>
      <c r="R268" s="511"/>
      <c r="S268" s="51"/>
      <c r="T268" s="51"/>
      <c r="U268" s="51"/>
      <c r="V268" s="51"/>
      <c r="W268" s="131">
        <f>IF(NFI_Expiration=1,IF($A268&lt;VLOOKUP(I$5,NFI,5,0),1,0)*Data_NFI_t[[#This Row],[Hygiene Kit]],0)</f>
        <v>0</v>
      </c>
      <c r="X268" s="131">
        <f>IF(NFI_Expiration=1,IF($A268&lt;VLOOKUP(J$5,NFI,5,0),1,0)*Data_NFI_t[[#This Row],[NFI Core Kit]],0)</f>
        <v>0</v>
      </c>
      <c r="Y268" s="112">
        <f>IF(NFI_Expiration=1,IF($A268&lt;VLOOKUP(K$5,NFI,5,0),1,0)*Data_NFI_t[[#This Row],[Sanitary Kit]],0)</f>
        <v>0</v>
      </c>
      <c r="Z268" s="112">
        <f>IF(NFI_Expiration=1,IF($A268&lt;VLOOKUP(L$5,NFI,5,0),1,0)*Data_NFI_t[[#This Row],[Mosquito net]],0)</f>
        <v>0</v>
      </c>
      <c r="AA268" s="112">
        <f>IF(NFI_Expiration=1,IF($A268&lt;VLOOKUP(M$5,NFI,5,0),1,0)*Data_NFI_t[[#This Row],[Tarpaulin]],0)</f>
        <v>0</v>
      </c>
      <c r="AB268" s="112">
        <f>IF(NFI_Expiration=1,IF($A268&lt;VLOOKUP(N$5,NFI,5,0),1,0)*Data_NFI_t[[#This Row],[Blanket]],0)</f>
        <v>0</v>
      </c>
      <c r="AC268" s="112">
        <f>IF(NFI_Expiration=1,IF($A268&lt;VLOOKUP(O$5,NFI,5,0),1,0)*Data_NFI_t[[#This Row],[Kitchen Set]],0)</f>
        <v>0</v>
      </c>
      <c r="AD268" s="112">
        <f>IF(NFI_Expiration=1,IF($A268&lt;VLOOKUP(P$5,NFI,5,0),1,0)*Data_NFI_t[[#This Row],[Complementary Kit]],0)</f>
        <v>0</v>
      </c>
      <c r="AE268" s="112">
        <f>IF(NFI_Expiration=1,IF($A268&lt;VLOOKUP(Q$5,NFI,5,0),1,0)*Data_NFI_t[[#This Row],[Plastic Bucket]],0)</f>
        <v>0</v>
      </c>
      <c r="AF268" s="112">
        <f>IF(NFI_Expiration=1,IF($A268&lt;VLOOKUP(R$5,NFI,5,0),1,0)*Data_NFI_t[[#This Row],[Jerry Can]],0)</f>
        <v>0</v>
      </c>
      <c r="AG268" s="131">
        <f>IF(NFI_Expiration=1,IF($A268&lt;VLOOKUP(S$5,NFI,5,0),1,0)*Data_NFI_t[[#This Row],[Plastic Mat]],0)*IF(Data_NFI_t[[#This Row],[Distribution Date]]&gt;"01-06-2015",1,2.5)</f>
        <v>0</v>
      </c>
      <c r="AH268" s="915">
        <f>IF(NFI_Expiration=1,IF($A268&lt;VLOOKUP(T$5,NFI,5,0),1,0)*Data_NFI_t[[#This Row],[Adult Clothes]],0)</f>
        <v>0</v>
      </c>
      <c r="AI268" s="131">
        <f>IF(NFI_Expiration=1,IF($A268&lt;VLOOKUP(U$5,NFI,5,0),1,0)*Data_NFI_t[[#This Row],[Children Clothes]],0)</f>
        <v>0</v>
      </c>
      <c r="AJ268" s="131">
        <f>IF(NFI_Expiration=1,IF($A268&lt;VLOOKUP(V$5,NFI,5,0),1,0)*Data_NFI_t[[#This Row],[Sewing Kit]],0)</f>
        <v>0</v>
      </c>
      <c r="AK268" s="131" t="str">
        <f ca="1">IFERROR(OFFSET(Camp_List[P_Code],MATCH(Data_NFI_t[[#This Row],[Camp Name]],Camp_List[Camp Name],0)-1,0,1,1),"")</f>
        <v>MMR012CMP037</v>
      </c>
      <c r="AL268" s="513" t="str">
        <f ca="1">IFERROR(OFFSET(Camp_List[Status],MATCH(Data_NFI_t[[#This Row],[Camp Name]],Camp_List[Camp Name],0)-1,0,1,1),"")</f>
        <v>Open</v>
      </c>
      <c r="AM268" s="131"/>
    </row>
    <row r="269" spans="1:39" s="90" customFormat="1" ht="19.5" customHeight="1" x14ac:dyDescent="0.25">
      <c r="A269" s="242">
        <f>IF(ISBLANK(C269),"",(Report_Date-C269)/30)</f>
        <v>49.4</v>
      </c>
      <c r="B269" s="242">
        <f>YEAR(Data_NFI_t[[#This Row],[Distribution Date]])</f>
        <v>2013</v>
      </c>
      <c r="C269" s="927">
        <v>41313</v>
      </c>
      <c r="D269" s="489" t="s">
        <v>287</v>
      </c>
      <c r="E269" s="488"/>
      <c r="F269" s="489" t="s">
        <v>7</v>
      </c>
      <c r="G269" s="794" t="s">
        <v>867</v>
      </c>
      <c r="H269" s="794" t="s">
        <v>38</v>
      </c>
      <c r="I269" s="794">
        <v>705</v>
      </c>
      <c r="J269" s="51"/>
      <c r="K269" s="51"/>
      <c r="L269" s="51"/>
      <c r="M269" s="51"/>
      <c r="N269" s="51"/>
      <c r="O269" s="51"/>
      <c r="P269" s="51"/>
      <c r="Q269" s="51"/>
      <c r="R269" s="511"/>
      <c r="S269" s="51"/>
      <c r="T269" s="51"/>
      <c r="U269" s="51"/>
      <c r="V269" s="51"/>
      <c r="W269" s="131">
        <f>IF(NFI_Expiration=1,IF($A269&lt;VLOOKUP(I$5,NFI,5,0),1,0)*Data_NFI_t[[#This Row],[Hygiene Kit]],0)</f>
        <v>0</v>
      </c>
      <c r="X269" s="131">
        <f>IF(NFI_Expiration=1,IF($A269&lt;VLOOKUP(J$5,NFI,5,0),1,0)*Data_NFI_t[[#This Row],[NFI Core Kit]],0)</f>
        <v>0</v>
      </c>
      <c r="Y269" s="112">
        <f>IF(NFI_Expiration=1,IF($A269&lt;VLOOKUP(K$5,NFI,5,0),1,0)*Data_NFI_t[[#This Row],[Sanitary Kit]],0)</f>
        <v>0</v>
      </c>
      <c r="Z269" s="112">
        <f>IF(NFI_Expiration=1,IF($A269&lt;VLOOKUP(L$5,NFI,5,0),1,0)*Data_NFI_t[[#This Row],[Mosquito net]],0)</f>
        <v>0</v>
      </c>
      <c r="AA269" s="112">
        <f>IF(NFI_Expiration=1,IF($A269&lt;VLOOKUP(M$5,NFI,5,0),1,0)*Data_NFI_t[[#This Row],[Tarpaulin]],0)</f>
        <v>0</v>
      </c>
      <c r="AB269" s="112">
        <f>IF(NFI_Expiration=1,IF($A269&lt;VLOOKUP(N$5,NFI,5,0),1,0)*Data_NFI_t[[#This Row],[Blanket]],0)</f>
        <v>0</v>
      </c>
      <c r="AC269" s="112">
        <f>IF(NFI_Expiration=1,IF($A269&lt;VLOOKUP(O$5,NFI,5,0),1,0)*Data_NFI_t[[#This Row],[Kitchen Set]],0)</f>
        <v>0</v>
      </c>
      <c r="AD269" s="112">
        <f>IF(NFI_Expiration=1,IF($A269&lt;VLOOKUP(P$5,NFI,5,0),1,0)*Data_NFI_t[[#This Row],[Complementary Kit]],0)</f>
        <v>0</v>
      </c>
      <c r="AE269" s="112">
        <f>IF(NFI_Expiration=1,IF($A269&lt;VLOOKUP(Q$5,NFI,5,0),1,0)*Data_NFI_t[[#This Row],[Plastic Bucket]],0)</f>
        <v>0</v>
      </c>
      <c r="AF269" s="112">
        <f>IF(NFI_Expiration=1,IF($A269&lt;VLOOKUP(R$5,NFI,5,0),1,0)*Data_NFI_t[[#This Row],[Jerry Can]],0)</f>
        <v>0</v>
      </c>
      <c r="AG269" s="131">
        <f>IF(NFI_Expiration=1,IF($A269&lt;VLOOKUP(S$5,NFI,5,0),1,0)*Data_NFI_t[[#This Row],[Plastic Mat]],0)*IF(Data_NFI_t[[#This Row],[Distribution Date]]&gt;"01-06-2015",1,2.5)</f>
        <v>0</v>
      </c>
      <c r="AH269" s="915">
        <f>IF(NFI_Expiration=1,IF($A269&lt;VLOOKUP(T$5,NFI,5,0),1,0)*Data_NFI_t[[#This Row],[Adult Clothes]],0)</f>
        <v>0</v>
      </c>
      <c r="AI269" s="131">
        <f>IF(NFI_Expiration=1,IF($A269&lt;VLOOKUP(U$5,NFI,5,0),1,0)*Data_NFI_t[[#This Row],[Children Clothes]],0)</f>
        <v>0</v>
      </c>
      <c r="AJ269" s="131">
        <f>IF(NFI_Expiration=1,IF($A269&lt;VLOOKUP(V$5,NFI,5,0),1,0)*Data_NFI_t[[#This Row],[Sewing Kit]],0)</f>
        <v>0</v>
      </c>
      <c r="AK269" s="131" t="str">
        <f ca="1">IFERROR(OFFSET(Camp_List[P_Code],MATCH(Data_NFI_t[[#This Row],[Camp Name]],Camp_List[Camp Name],0)-1,0,1,1),"")</f>
        <v>MMR012CMP014</v>
      </c>
      <c r="AL269" s="513" t="str">
        <f ca="1">IFERROR(OFFSET(Camp_List[Status],MATCH(Data_NFI_t[[#This Row],[Camp Name]],Camp_List[Camp Name],0)-1,0,1,1),"")</f>
        <v>Open</v>
      </c>
      <c r="AM269" s="131"/>
    </row>
    <row r="270" spans="1:39" s="90" customFormat="1" ht="19.5" customHeight="1" x14ac:dyDescent="0.25">
      <c r="A270" s="242">
        <f>IF(ISBLANK(C270),"",(Report_Date-C270)/30)</f>
        <v>49.633333333333333</v>
      </c>
      <c r="B270" s="242">
        <f>YEAR(Data_NFI_t[[#This Row],[Distribution Date]])</f>
        <v>2013</v>
      </c>
      <c r="C270" s="927">
        <v>41306</v>
      </c>
      <c r="D270" s="489" t="s">
        <v>515</v>
      </c>
      <c r="E270" s="488" t="s">
        <v>515</v>
      </c>
      <c r="F270" s="489" t="s">
        <v>7</v>
      </c>
      <c r="G270" s="794" t="s">
        <v>14</v>
      </c>
      <c r="H270" s="794" t="s">
        <v>40</v>
      </c>
      <c r="I270" s="794">
        <v>803</v>
      </c>
      <c r="J270" s="51"/>
      <c r="K270" s="51"/>
      <c r="L270" s="51"/>
      <c r="M270" s="51"/>
      <c r="N270" s="51"/>
      <c r="O270" s="51"/>
      <c r="P270" s="51"/>
      <c r="Q270" s="51"/>
      <c r="R270" s="511"/>
      <c r="S270" s="51"/>
      <c r="T270" s="51"/>
      <c r="U270" s="51"/>
      <c r="V270" s="51"/>
      <c r="W270" s="131">
        <f>IF(NFI_Expiration=1,IF($A270&lt;VLOOKUP(I$5,NFI,5,0),1,0)*Data_NFI_t[[#This Row],[Hygiene Kit]],0)</f>
        <v>0</v>
      </c>
      <c r="X270" s="131">
        <f>IF(NFI_Expiration=1,IF($A270&lt;VLOOKUP(J$5,NFI,5,0),1,0)*Data_NFI_t[[#This Row],[NFI Core Kit]],0)</f>
        <v>0</v>
      </c>
      <c r="Y270" s="112">
        <f>IF(NFI_Expiration=1,IF($A270&lt;VLOOKUP(K$5,NFI,5,0),1,0)*Data_NFI_t[[#This Row],[Sanitary Kit]],0)</f>
        <v>0</v>
      </c>
      <c r="Z270" s="112">
        <f>IF(NFI_Expiration=1,IF($A270&lt;VLOOKUP(L$5,NFI,5,0),1,0)*Data_NFI_t[[#This Row],[Mosquito net]],0)</f>
        <v>0</v>
      </c>
      <c r="AA270" s="112">
        <f>IF(NFI_Expiration=1,IF($A270&lt;VLOOKUP(M$5,NFI,5,0),1,0)*Data_NFI_t[[#This Row],[Tarpaulin]],0)</f>
        <v>0</v>
      </c>
      <c r="AB270" s="112">
        <f>IF(NFI_Expiration=1,IF($A270&lt;VLOOKUP(N$5,NFI,5,0),1,0)*Data_NFI_t[[#This Row],[Blanket]],0)</f>
        <v>0</v>
      </c>
      <c r="AC270" s="112">
        <f>IF(NFI_Expiration=1,IF($A270&lt;VLOOKUP(O$5,NFI,5,0),1,0)*Data_NFI_t[[#This Row],[Kitchen Set]],0)</f>
        <v>0</v>
      </c>
      <c r="AD270" s="112">
        <f>IF(NFI_Expiration=1,IF($A270&lt;VLOOKUP(P$5,NFI,5,0),1,0)*Data_NFI_t[[#This Row],[Complementary Kit]],0)</f>
        <v>0</v>
      </c>
      <c r="AE270" s="112">
        <f>IF(NFI_Expiration=1,IF($A270&lt;VLOOKUP(Q$5,NFI,5,0),1,0)*Data_NFI_t[[#This Row],[Plastic Bucket]],0)</f>
        <v>0</v>
      </c>
      <c r="AF270" s="112">
        <f>IF(NFI_Expiration=1,IF($A270&lt;VLOOKUP(R$5,NFI,5,0),1,0)*Data_NFI_t[[#This Row],[Jerry Can]],0)</f>
        <v>0</v>
      </c>
      <c r="AG270" s="131">
        <f>IF(NFI_Expiration=1,IF($A270&lt;VLOOKUP(S$5,NFI,5,0),1,0)*Data_NFI_t[[#This Row],[Plastic Mat]],0)*IF(Data_NFI_t[[#This Row],[Distribution Date]]&gt;"01-06-2015",1,2.5)</f>
        <v>0</v>
      </c>
      <c r="AH270" s="915">
        <f>IF(NFI_Expiration=1,IF($A270&lt;VLOOKUP(T$5,NFI,5,0),1,0)*Data_NFI_t[[#This Row],[Adult Clothes]],0)</f>
        <v>0</v>
      </c>
      <c r="AI270" s="131">
        <f>IF(NFI_Expiration=1,IF($A270&lt;VLOOKUP(U$5,NFI,5,0),1,0)*Data_NFI_t[[#This Row],[Children Clothes]],0)</f>
        <v>0</v>
      </c>
      <c r="AJ270" s="131">
        <f>IF(NFI_Expiration=1,IF($A270&lt;VLOOKUP(V$5,NFI,5,0),1,0)*Data_NFI_t[[#This Row],[Sewing Kit]],0)</f>
        <v>0</v>
      </c>
      <c r="AK270" s="131" t="str">
        <f ca="1">IFERROR(OFFSET(Camp_List[P_Code],MATCH(Data_NFI_t[[#This Row],[Camp Name]],Camp_List[Camp Name],0)-1,0,1,1),"")</f>
        <v>MMR012CMP016</v>
      </c>
      <c r="AL270" s="513" t="str">
        <f ca="1">IFERROR(OFFSET(Camp_List[Status],MATCH(Data_NFI_t[[#This Row],[Camp Name]],Camp_List[Camp Name],0)-1,0,1,1),"")</f>
        <v>Open</v>
      </c>
      <c r="AM270" s="131"/>
    </row>
    <row r="271" spans="1:39" s="90" customFormat="1" ht="19.5" customHeight="1" x14ac:dyDescent="0.25">
      <c r="A271" s="242">
        <f>IF(ISBLANK(C271),"",(Report_Date-C271)/30)</f>
        <v>49.633333333333333</v>
      </c>
      <c r="B271" s="242">
        <f>YEAR(Data_NFI_t[[#This Row],[Distribution Date]])</f>
        <v>2013</v>
      </c>
      <c r="C271" s="927">
        <v>41306</v>
      </c>
      <c r="D271" s="489" t="s">
        <v>515</v>
      </c>
      <c r="E271" s="488" t="s">
        <v>515</v>
      </c>
      <c r="F271" s="489" t="s">
        <v>7</v>
      </c>
      <c r="G271" s="794" t="s">
        <v>14</v>
      </c>
      <c r="H271" s="794" t="s">
        <v>42</v>
      </c>
      <c r="I271" s="794">
        <v>858</v>
      </c>
      <c r="J271" s="51"/>
      <c r="K271" s="51"/>
      <c r="L271" s="51"/>
      <c r="M271" s="51"/>
      <c r="N271" s="51"/>
      <c r="O271" s="51"/>
      <c r="P271" s="51"/>
      <c r="Q271" s="51"/>
      <c r="R271" s="511"/>
      <c r="S271" s="51"/>
      <c r="T271" s="51"/>
      <c r="U271" s="51"/>
      <c r="V271" s="51"/>
      <c r="W271" s="131">
        <f>IF(NFI_Expiration=1,IF($A271&lt;VLOOKUP(I$5,NFI,5,0),1,0)*Data_NFI_t[[#This Row],[Hygiene Kit]],0)</f>
        <v>0</v>
      </c>
      <c r="X271" s="131">
        <f>IF(NFI_Expiration=1,IF($A271&lt;VLOOKUP(J$5,NFI,5,0),1,0)*Data_NFI_t[[#This Row],[NFI Core Kit]],0)</f>
        <v>0</v>
      </c>
      <c r="Y271" s="112">
        <f>IF(NFI_Expiration=1,IF($A271&lt;VLOOKUP(K$5,NFI,5,0),1,0)*Data_NFI_t[[#This Row],[Sanitary Kit]],0)</f>
        <v>0</v>
      </c>
      <c r="Z271" s="112">
        <f>IF(NFI_Expiration=1,IF($A271&lt;VLOOKUP(L$5,NFI,5,0),1,0)*Data_NFI_t[[#This Row],[Mosquito net]],0)</f>
        <v>0</v>
      </c>
      <c r="AA271" s="112">
        <f>IF(NFI_Expiration=1,IF($A271&lt;VLOOKUP(M$5,NFI,5,0),1,0)*Data_NFI_t[[#This Row],[Tarpaulin]],0)</f>
        <v>0</v>
      </c>
      <c r="AB271" s="112">
        <f>IF(NFI_Expiration=1,IF($A271&lt;VLOOKUP(N$5,NFI,5,0),1,0)*Data_NFI_t[[#This Row],[Blanket]],0)</f>
        <v>0</v>
      </c>
      <c r="AC271" s="112">
        <f>IF(NFI_Expiration=1,IF($A271&lt;VLOOKUP(O$5,NFI,5,0),1,0)*Data_NFI_t[[#This Row],[Kitchen Set]],0)</f>
        <v>0</v>
      </c>
      <c r="AD271" s="112">
        <f>IF(NFI_Expiration=1,IF($A271&lt;VLOOKUP(P$5,NFI,5,0),1,0)*Data_NFI_t[[#This Row],[Complementary Kit]],0)</f>
        <v>0</v>
      </c>
      <c r="AE271" s="112">
        <f>IF(NFI_Expiration=1,IF($A271&lt;VLOOKUP(Q$5,NFI,5,0),1,0)*Data_NFI_t[[#This Row],[Plastic Bucket]],0)</f>
        <v>0</v>
      </c>
      <c r="AF271" s="112">
        <f>IF(NFI_Expiration=1,IF($A271&lt;VLOOKUP(R$5,NFI,5,0),1,0)*Data_NFI_t[[#This Row],[Jerry Can]],0)</f>
        <v>0</v>
      </c>
      <c r="AG271" s="131">
        <f>IF(NFI_Expiration=1,IF($A271&lt;VLOOKUP(S$5,NFI,5,0),1,0)*Data_NFI_t[[#This Row],[Plastic Mat]],0)*IF(Data_NFI_t[[#This Row],[Distribution Date]]&gt;"01-06-2015",1,2.5)</f>
        <v>0</v>
      </c>
      <c r="AH271" s="915">
        <f>IF(NFI_Expiration=1,IF($A271&lt;VLOOKUP(T$5,NFI,5,0),1,0)*Data_NFI_t[[#This Row],[Adult Clothes]],0)</f>
        <v>0</v>
      </c>
      <c r="AI271" s="131">
        <f>IF(NFI_Expiration=1,IF($A271&lt;VLOOKUP(U$5,NFI,5,0),1,0)*Data_NFI_t[[#This Row],[Children Clothes]],0)</f>
        <v>0</v>
      </c>
      <c r="AJ271" s="131">
        <f>IF(NFI_Expiration=1,IF($A271&lt;VLOOKUP(V$5,NFI,5,0),1,0)*Data_NFI_t[[#This Row],[Sewing Kit]],0)</f>
        <v>0</v>
      </c>
      <c r="AK271" s="131" t="str">
        <f ca="1">IFERROR(OFFSET(Camp_List[P_Code],MATCH(Data_NFI_t[[#This Row],[Camp Name]],Camp_List[Camp Name],0)-1,0,1,1),"")</f>
        <v>MMR012CMP018</v>
      </c>
      <c r="AL271" s="513" t="str">
        <f ca="1">IFERROR(OFFSET(Camp_List[Status],MATCH(Data_NFI_t[[#This Row],[Camp Name]],Camp_List[Camp Name],0)-1,0,1,1),"")</f>
        <v>Open</v>
      </c>
      <c r="AM271" s="131"/>
    </row>
    <row r="272" spans="1:39" s="90" customFormat="1" ht="19.5" customHeight="1" x14ac:dyDescent="0.25">
      <c r="A272" s="242">
        <f>IF(ISBLANK(C272),"",(Report_Date-C272)/30)</f>
        <v>49.7</v>
      </c>
      <c r="B272" s="242">
        <f>YEAR(Data_NFI_t[[#This Row],[Distribution Date]])</f>
        <v>2013</v>
      </c>
      <c r="C272" s="927">
        <v>41304</v>
      </c>
      <c r="D272" s="489" t="s">
        <v>515</v>
      </c>
      <c r="E272" s="488" t="s">
        <v>515</v>
      </c>
      <c r="F272" s="489" t="s">
        <v>7</v>
      </c>
      <c r="G272" s="794" t="s">
        <v>14</v>
      </c>
      <c r="H272" s="794" t="s">
        <v>43</v>
      </c>
      <c r="I272" s="794">
        <v>810</v>
      </c>
      <c r="J272" s="51"/>
      <c r="K272" s="51"/>
      <c r="L272" s="51"/>
      <c r="M272" s="51"/>
      <c r="N272" s="51"/>
      <c r="O272" s="51"/>
      <c r="P272" s="51"/>
      <c r="Q272" s="51"/>
      <c r="R272" s="511"/>
      <c r="S272" s="51"/>
      <c r="T272" s="51"/>
      <c r="U272" s="51"/>
      <c r="V272" s="51"/>
      <c r="W272" s="131">
        <f>IF(NFI_Expiration=1,IF($A272&lt;VLOOKUP(I$5,NFI,5,0),1,0)*Data_NFI_t[[#This Row],[Hygiene Kit]],0)</f>
        <v>0</v>
      </c>
      <c r="X272" s="131">
        <f>IF(NFI_Expiration=1,IF($A272&lt;VLOOKUP(J$5,NFI,5,0),1,0)*Data_NFI_t[[#This Row],[NFI Core Kit]],0)</f>
        <v>0</v>
      </c>
      <c r="Y272" s="112">
        <f>IF(NFI_Expiration=1,IF($A272&lt;VLOOKUP(K$5,NFI,5,0),1,0)*Data_NFI_t[[#This Row],[Sanitary Kit]],0)</f>
        <v>0</v>
      </c>
      <c r="Z272" s="112">
        <f>IF(NFI_Expiration=1,IF($A272&lt;VLOOKUP(L$5,NFI,5,0),1,0)*Data_NFI_t[[#This Row],[Mosquito net]],0)</f>
        <v>0</v>
      </c>
      <c r="AA272" s="112">
        <f>IF(NFI_Expiration=1,IF($A272&lt;VLOOKUP(M$5,NFI,5,0),1,0)*Data_NFI_t[[#This Row],[Tarpaulin]],0)</f>
        <v>0</v>
      </c>
      <c r="AB272" s="112">
        <f>IF(NFI_Expiration=1,IF($A272&lt;VLOOKUP(N$5,NFI,5,0),1,0)*Data_NFI_t[[#This Row],[Blanket]],0)</f>
        <v>0</v>
      </c>
      <c r="AC272" s="112">
        <f>IF(NFI_Expiration=1,IF($A272&lt;VLOOKUP(O$5,NFI,5,0),1,0)*Data_NFI_t[[#This Row],[Kitchen Set]],0)</f>
        <v>0</v>
      </c>
      <c r="AD272" s="112">
        <f>IF(NFI_Expiration=1,IF($A272&lt;VLOOKUP(P$5,NFI,5,0),1,0)*Data_NFI_t[[#This Row],[Complementary Kit]],0)</f>
        <v>0</v>
      </c>
      <c r="AE272" s="112">
        <f>IF(NFI_Expiration=1,IF($A272&lt;VLOOKUP(Q$5,NFI,5,0),1,0)*Data_NFI_t[[#This Row],[Plastic Bucket]],0)</f>
        <v>0</v>
      </c>
      <c r="AF272" s="112">
        <f>IF(NFI_Expiration=1,IF($A272&lt;VLOOKUP(R$5,NFI,5,0),1,0)*Data_NFI_t[[#This Row],[Jerry Can]],0)</f>
        <v>0</v>
      </c>
      <c r="AG272" s="131">
        <f>IF(NFI_Expiration=1,IF($A272&lt;VLOOKUP(S$5,NFI,5,0),1,0)*Data_NFI_t[[#This Row],[Plastic Mat]],0)*IF(Data_NFI_t[[#This Row],[Distribution Date]]&gt;"01-06-2015",1,2.5)</f>
        <v>0</v>
      </c>
      <c r="AH272" s="915">
        <f>IF(NFI_Expiration=1,IF($A272&lt;VLOOKUP(T$5,NFI,5,0),1,0)*Data_NFI_t[[#This Row],[Adult Clothes]],0)</f>
        <v>0</v>
      </c>
      <c r="AI272" s="131">
        <f>IF(NFI_Expiration=1,IF($A272&lt;VLOOKUP(U$5,NFI,5,0),1,0)*Data_NFI_t[[#This Row],[Children Clothes]],0)</f>
        <v>0</v>
      </c>
      <c r="AJ272" s="131">
        <f>IF(NFI_Expiration=1,IF($A272&lt;VLOOKUP(V$5,NFI,5,0),1,0)*Data_NFI_t[[#This Row],[Sewing Kit]],0)</f>
        <v>0</v>
      </c>
      <c r="AK272" s="131" t="str">
        <f ca="1">IFERROR(OFFSET(Camp_List[P_Code],MATCH(Data_NFI_t[[#This Row],[Camp Name]],Camp_List[Camp Name],0)-1,0,1,1),"")</f>
        <v>MMR012CMP019</v>
      </c>
      <c r="AL272" s="513" t="str">
        <f ca="1">IFERROR(OFFSET(Camp_List[Status],MATCH(Data_NFI_t[[#This Row],[Camp Name]],Camp_List[Camp Name],0)-1,0,1,1),"")</f>
        <v>Open</v>
      </c>
      <c r="AM272" s="131"/>
    </row>
    <row r="273" spans="1:39" s="90" customFormat="1" ht="19.5" customHeight="1" x14ac:dyDescent="0.25">
      <c r="A273" s="242">
        <f>IF(ISBLANK(C273),"",(Report_Date-C273)/30)</f>
        <v>49.9</v>
      </c>
      <c r="B273" s="242">
        <f>YEAR(Data_NFI_t[[#This Row],[Distribution Date]])</f>
        <v>2013</v>
      </c>
      <c r="C273" s="927">
        <v>41298</v>
      </c>
      <c r="D273" s="489" t="s">
        <v>515</v>
      </c>
      <c r="E273" s="488" t="s">
        <v>515</v>
      </c>
      <c r="F273" s="489" t="s">
        <v>7</v>
      </c>
      <c r="G273" s="794" t="s">
        <v>19</v>
      </c>
      <c r="H273" s="794" t="s">
        <v>70</v>
      </c>
      <c r="I273" s="794">
        <v>3100</v>
      </c>
      <c r="J273" s="51"/>
      <c r="K273" s="51"/>
      <c r="L273" s="51"/>
      <c r="M273" s="51"/>
      <c r="N273" s="51"/>
      <c r="O273" s="51"/>
      <c r="P273" s="51"/>
      <c r="Q273" s="51"/>
      <c r="R273" s="511"/>
      <c r="S273" s="51"/>
      <c r="T273" s="51"/>
      <c r="U273" s="51"/>
      <c r="V273" s="51"/>
      <c r="W273" s="131">
        <f>IF(NFI_Expiration=1,IF($A273&lt;VLOOKUP(I$5,NFI,5,0),1,0)*Data_NFI_t[[#This Row],[Hygiene Kit]],0)</f>
        <v>0</v>
      </c>
      <c r="X273" s="131">
        <f>IF(NFI_Expiration=1,IF($A273&lt;VLOOKUP(J$5,NFI,5,0),1,0)*Data_NFI_t[[#This Row],[NFI Core Kit]],0)</f>
        <v>0</v>
      </c>
      <c r="Y273" s="112">
        <f>IF(NFI_Expiration=1,IF($A273&lt;VLOOKUP(K$5,NFI,5,0),1,0)*Data_NFI_t[[#This Row],[Sanitary Kit]],0)</f>
        <v>0</v>
      </c>
      <c r="Z273" s="112">
        <f>IF(NFI_Expiration=1,IF($A273&lt;VLOOKUP(L$5,NFI,5,0),1,0)*Data_NFI_t[[#This Row],[Mosquito net]],0)</f>
        <v>0</v>
      </c>
      <c r="AA273" s="112">
        <f>IF(NFI_Expiration=1,IF($A273&lt;VLOOKUP(M$5,NFI,5,0),1,0)*Data_NFI_t[[#This Row],[Tarpaulin]],0)</f>
        <v>0</v>
      </c>
      <c r="AB273" s="112">
        <f>IF(NFI_Expiration=1,IF($A273&lt;VLOOKUP(N$5,NFI,5,0),1,0)*Data_NFI_t[[#This Row],[Blanket]],0)</f>
        <v>0</v>
      </c>
      <c r="AC273" s="112">
        <f>IF(NFI_Expiration=1,IF($A273&lt;VLOOKUP(O$5,NFI,5,0),1,0)*Data_NFI_t[[#This Row],[Kitchen Set]],0)</f>
        <v>0</v>
      </c>
      <c r="AD273" s="112">
        <f>IF(NFI_Expiration=1,IF($A273&lt;VLOOKUP(P$5,NFI,5,0),1,0)*Data_NFI_t[[#This Row],[Complementary Kit]],0)</f>
        <v>0</v>
      </c>
      <c r="AE273" s="112">
        <f>IF(NFI_Expiration=1,IF($A273&lt;VLOOKUP(Q$5,NFI,5,0),1,0)*Data_NFI_t[[#This Row],[Plastic Bucket]],0)</f>
        <v>0</v>
      </c>
      <c r="AF273" s="112">
        <f>IF(NFI_Expiration=1,IF($A273&lt;VLOOKUP(R$5,NFI,5,0),1,0)*Data_NFI_t[[#This Row],[Jerry Can]],0)</f>
        <v>0</v>
      </c>
      <c r="AG273" s="131">
        <f>IF(NFI_Expiration=1,IF($A273&lt;VLOOKUP(S$5,NFI,5,0),1,0)*Data_NFI_t[[#This Row],[Plastic Mat]],0)*IF(Data_NFI_t[[#This Row],[Distribution Date]]&gt;"01-06-2015",1,2.5)</f>
        <v>0</v>
      </c>
      <c r="AH273" s="915">
        <f>IF(NFI_Expiration=1,IF($A273&lt;VLOOKUP(T$5,NFI,5,0),1,0)*Data_NFI_t[[#This Row],[Adult Clothes]],0)</f>
        <v>0</v>
      </c>
      <c r="AI273" s="131">
        <f>IF(NFI_Expiration=1,IF($A273&lt;VLOOKUP(U$5,NFI,5,0),1,0)*Data_NFI_t[[#This Row],[Children Clothes]],0)</f>
        <v>0</v>
      </c>
      <c r="AJ273" s="131">
        <f>IF(NFI_Expiration=1,IF($A273&lt;VLOOKUP(V$5,NFI,5,0),1,0)*Data_NFI_t[[#This Row],[Sewing Kit]],0)</f>
        <v>0</v>
      </c>
      <c r="AK273" s="131" t="str">
        <f ca="1">IFERROR(OFFSET(Camp_List[P_Code],MATCH(Data_NFI_t[[#This Row],[Camp Name]],Camp_List[Camp Name],0)-1,0,1,1),"")</f>
        <v>MMR012CMP048</v>
      </c>
      <c r="AL273" s="513" t="str">
        <f ca="1">IFERROR(OFFSET(Camp_List[Status],MATCH(Data_NFI_t[[#This Row],[Camp Name]],Camp_List[Camp Name],0)-1,0,1,1),"")</f>
        <v>Open</v>
      </c>
      <c r="AM273" s="131"/>
    </row>
    <row r="274" spans="1:39" s="90" customFormat="1" ht="19.5" customHeight="1" x14ac:dyDescent="0.25">
      <c r="A274" s="242">
        <f>IF(ISBLANK(C274),"",(Report_Date-C274)/30)</f>
        <v>50</v>
      </c>
      <c r="B274" s="242">
        <f>YEAR(Data_NFI_t[[#This Row],[Distribution Date]])</f>
        <v>2013</v>
      </c>
      <c r="C274" s="927">
        <v>41295</v>
      </c>
      <c r="D274" s="489" t="s">
        <v>289</v>
      </c>
      <c r="E274" s="488" t="s">
        <v>285</v>
      </c>
      <c r="F274" s="489" t="s">
        <v>7</v>
      </c>
      <c r="G274" s="794" t="s">
        <v>19</v>
      </c>
      <c r="H274" s="794" t="s">
        <v>244</v>
      </c>
      <c r="I274" s="794"/>
      <c r="J274" s="51"/>
      <c r="K274" s="51"/>
      <c r="L274" s="51"/>
      <c r="M274" s="51"/>
      <c r="N274" s="51">
        <v>38</v>
      </c>
      <c r="O274" s="51"/>
      <c r="P274" s="51"/>
      <c r="Q274" s="51"/>
      <c r="R274" s="511"/>
      <c r="S274" s="51"/>
      <c r="T274" s="51"/>
      <c r="U274" s="51"/>
      <c r="V274" s="51"/>
      <c r="W274" s="131">
        <f>IF(NFI_Expiration=1,IF($A274&lt;VLOOKUP(I$5,NFI,5,0),1,0)*Data_NFI_t[[#This Row],[Hygiene Kit]],0)</f>
        <v>0</v>
      </c>
      <c r="X274" s="131">
        <f>IF(NFI_Expiration=1,IF($A274&lt;VLOOKUP(J$5,NFI,5,0),1,0)*Data_NFI_t[[#This Row],[NFI Core Kit]],0)</f>
        <v>0</v>
      </c>
      <c r="Y274" s="112">
        <f>IF(NFI_Expiration=1,IF($A274&lt;VLOOKUP(K$5,NFI,5,0),1,0)*Data_NFI_t[[#This Row],[Sanitary Kit]],0)</f>
        <v>0</v>
      </c>
      <c r="Z274" s="112">
        <f>IF(NFI_Expiration=1,IF($A274&lt;VLOOKUP(L$5,NFI,5,0),1,0)*Data_NFI_t[[#This Row],[Mosquito net]],0)</f>
        <v>0</v>
      </c>
      <c r="AA274" s="112">
        <f>IF(NFI_Expiration=1,IF($A274&lt;VLOOKUP(M$5,NFI,5,0),1,0)*Data_NFI_t[[#This Row],[Tarpaulin]],0)</f>
        <v>0</v>
      </c>
      <c r="AB274" s="112">
        <f>IF(NFI_Expiration=1,IF($A274&lt;VLOOKUP(N$5,NFI,5,0),1,0)*Data_NFI_t[[#This Row],[Blanket]],0)</f>
        <v>0</v>
      </c>
      <c r="AC274" s="112">
        <f>IF(NFI_Expiration=1,IF($A274&lt;VLOOKUP(O$5,NFI,5,0),1,0)*Data_NFI_t[[#This Row],[Kitchen Set]],0)</f>
        <v>0</v>
      </c>
      <c r="AD274" s="112">
        <f>IF(NFI_Expiration=1,IF($A274&lt;VLOOKUP(P$5,NFI,5,0),1,0)*Data_NFI_t[[#This Row],[Complementary Kit]],0)</f>
        <v>0</v>
      </c>
      <c r="AE274" s="112">
        <f>IF(NFI_Expiration=1,IF($A274&lt;VLOOKUP(Q$5,NFI,5,0),1,0)*Data_NFI_t[[#This Row],[Plastic Bucket]],0)</f>
        <v>0</v>
      </c>
      <c r="AF274" s="112">
        <f>IF(NFI_Expiration=1,IF($A274&lt;VLOOKUP(R$5,NFI,5,0),1,0)*Data_NFI_t[[#This Row],[Jerry Can]],0)</f>
        <v>0</v>
      </c>
      <c r="AG274" s="131">
        <f>IF(NFI_Expiration=1,IF($A274&lt;VLOOKUP(S$5,NFI,5,0),1,0)*Data_NFI_t[[#This Row],[Plastic Mat]],0)*IF(Data_NFI_t[[#This Row],[Distribution Date]]&gt;"01-06-2015",1,2.5)</f>
        <v>0</v>
      </c>
      <c r="AH274" s="915">
        <f>IF(NFI_Expiration=1,IF($A274&lt;VLOOKUP(T$5,NFI,5,0),1,0)*Data_NFI_t[[#This Row],[Adult Clothes]],0)</f>
        <v>0</v>
      </c>
      <c r="AI274" s="131">
        <f>IF(NFI_Expiration=1,IF($A274&lt;VLOOKUP(U$5,NFI,5,0),1,0)*Data_NFI_t[[#This Row],[Children Clothes]],0)</f>
        <v>0</v>
      </c>
      <c r="AJ274" s="131">
        <f>IF(NFI_Expiration=1,IF($A274&lt;VLOOKUP(V$5,NFI,5,0),1,0)*Data_NFI_t[[#This Row],[Sewing Kit]],0)</f>
        <v>0</v>
      </c>
      <c r="AK274" s="131" t="str">
        <f ca="1">IFERROR(OFFSET(Camp_List[P_Code],MATCH(Data_NFI_t[[#This Row],[Camp Name]],Camp_List[Camp Name],0)-1,0,1,1),"")</f>
        <v>MMR012CMP090</v>
      </c>
      <c r="AL274" s="513" t="str">
        <f ca="1">IFERROR(OFFSET(Camp_List[Status],MATCH(Data_NFI_t[[#This Row],[Camp Name]],Camp_List[Camp Name],0)-1,0,1,1),"")</f>
        <v>Close</v>
      </c>
      <c r="AM274" s="131"/>
    </row>
    <row r="275" spans="1:39" s="90" customFormat="1" ht="19.5" customHeight="1" x14ac:dyDescent="0.25">
      <c r="A275" s="242">
        <f>IF(ISBLANK(C275),"",(Report_Date-C275)/30)</f>
        <v>50.1</v>
      </c>
      <c r="B275" s="242">
        <f>YEAR(Data_NFI_t[[#This Row],[Distribution Date]])</f>
        <v>2013</v>
      </c>
      <c r="C275" s="927">
        <v>41292</v>
      </c>
      <c r="D275" s="489" t="s">
        <v>285</v>
      </c>
      <c r="E275" s="488"/>
      <c r="F275" s="489" t="s">
        <v>7</v>
      </c>
      <c r="G275" s="794" t="s">
        <v>20</v>
      </c>
      <c r="H275" s="794" t="s">
        <v>109</v>
      </c>
      <c r="I275" s="794"/>
      <c r="J275" s="51">
        <v>63</v>
      </c>
      <c r="K275" s="51"/>
      <c r="L275" s="51">
        <v>126</v>
      </c>
      <c r="M275" s="51">
        <v>63</v>
      </c>
      <c r="N275" s="51">
        <v>126</v>
      </c>
      <c r="O275" s="51">
        <v>63</v>
      </c>
      <c r="P275" s="51">
        <v>63</v>
      </c>
      <c r="Q275" s="51">
        <v>63</v>
      </c>
      <c r="R275" s="511"/>
      <c r="S275" s="51">
        <v>126</v>
      </c>
      <c r="T275" s="51"/>
      <c r="U275" s="51"/>
      <c r="V275" s="51"/>
      <c r="W275" s="131">
        <f>IF(NFI_Expiration=1,IF($A275&lt;VLOOKUP(I$5,NFI,5,0),1,0)*Data_NFI_t[[#This Row],[Hygiene Kit]],0)</f>
        <v>0</v>
      </c>
      <c r="X275" s="131">
        <f>IF(NFI_Expiration=1,IF($A275&lt;VLOOKUP(J$5,NFI,5,0),1,0)*Data_NFI_t[[#This Row],[NFI Core Kit]],0)</f>
        <v>0</v>
      </c>
      <c r="Y275" s="112">
        <f>IF(NFI_Expiration=1,IF($A275&lt;VLOOKUP(K$5,NFI,5,0),1,0)*Data_NFI_t[[#This Row],[Sanitary Kit]],0)</f>
        <v>0</v>
      </c>
      <c r="Z275" s="112">
        <f>IF(NFI_Expiration=1,IF($A275&lt;VLOOKUP(L$5,NFI,5,0),1,0)*Data_NFI_t[[#This Row],[Mosquito net]],0)</f>
        <v>0</v>
      </c>
      <c r="AA275" s="112">
        <f>IF(NFI_Expiration=1,IF($A275&lt;VLOOKUP(M$5,NFI,5,0),1,0)*Data_NFI_t[[#This Row],[Tarpaulin]],0)</f>
        <v>0</v>
      </c>
      <c r="AB275" s="112">
        <f>IF(NFI_Expiration=1,IF($A275&lt;VLOOKUP(N$5,NFI,5,0),1,0)*Data_NFI_t[[#This Row],[Blanket]],0)</f>
        <v>0</v>
      </c>
      <c r="AC275" s="112">
        <f>IF(NFI_Expiration=1,IF($A275&lt;VLOOKUP(O$5,NFI,5,0),1,0)*Data_NFI_t[[#This Row],[Kitchen Set]],0)</f>
        <v>0</v>
      </c>
      <c r="AD275" s="112">
        <f>IF(NFI_Expiration=1,IF($A275&lt;VLOOKUP(P$5,NFI,5,0),1,0)*Data_NFI_t[[#This Row],[Complementary Kit]],0)</f>
        <v>0</v>
      </c>
      <c r="AE275" s="112">
        <f>IF(NFI_Expiration=1,IF($A275&lt;VLOOKUP(Q$5,NFI,5,0),1,0)*Data_NFI_t[[#This Row],[Plastic Bucket]],0)</f>
        <v>0</v>
      </c>
      <c r="AF275" s="112">
        <f>IF(NFI_Expiration=1,IF($A275&lt;VLOOKUP(R$5,NFI,5,0),1,0)*Data_NFI_t[[#This Row],[Jerry Can]],0)</f>
        <v>0</v>
      </c>
      <c r="AG275" s="131">
        <f>IF(NFI_Expiration=1,IF($A275&lt;VLOOKUP(S$5,NFI,5,0),1,0)*Data_NFI_t[[#This Row],[Plastic Mat]],0)*IF(Data_NFI_t[[#This Row],[Distribution Date]]&gt;"01-06-2015",1,2.5)</f>
        <v>0</v>
      </c>
      <c r="AH275" s="915">
        <f>IF(NFI_Expiration=1,IF($A275&lt;VLOOKUP(T$5,NFI,5,0),1,0)*Data_NFI_t[[#This Row],[Adult Clothes]],0)</f>
        <v>0</v>
      </c>
      <c r="AI275" s="131">
        <f>IF(NFI_Expiration=1,IF($A275&lt;VLOOKUP(U$5,NFI,5,0),1,0)*Data_NFI_t[[#This Row],[Children Clothes]],0)</f>
        <v>0</v>
      </c>
      <c r="AJ275" s="131">
        <f>IF(NFI_Expiration=1,IF($A275&lt;VLOOKUP(V$5,NFI,5,0),1,0)*Data_NFI_t[[#This Row],[Sewing Kit]],0)</f>
        <v>0</v>
      </c>
      <c r="AK275" s="131" t="str">
        <f ca="1">IFERROR(OFFSET(Camp_List[P_Code],MATCH(Data_NFI_t[[#This Row],[Camp Name]],Camp_List[Camp Name],0)-1,0,1,1),"")</f>
        <v>MMR012CMP088</v>
      </c>
      <c r="AL275" s="513" t="str">
        <f ca="1">IFERROR(OFFSET(Camp_List[Status],MATCH(Data_NFI_t[[#This Row],[Camp Name]],Camp_List[Camp Name],0)-1,0,1,1),"")</f>
        <v>Open</v>
      </c>
      <c r="AM275" s="131"/>
    </row>
    <row r="276" spans="1:39" s="90" customFormat="1" ht="19.5" customHeight="1" x14ac:dyDescent="0.25">
      <c r="A276" s="242">
        <f>IF(ISBLANK(C276),"",(Report_Date-C276)/30)</f>
        <v>50.1</v>
      </c>
      <c r="B276" s="242">
        <f>YEAR(Data_NFI_t[[#This Row],[Distribution Date]])</f>
        <v>2013</v>
      </c>
      <c r="C276" s="927">
        <v>41292</v>
      </c>
      <c r="D276" s="489" t="s">
        <v>285</v>
      </c>
      <c r="E276" s="488"/>
      <c r="F276" s="489" t="s">
        <v>7</v>
      </c>
      <c r="G276" s="794" t="s">
        <v>20</v>
      </c>
      <c r="H276" s="794" t="s">
        <v>109</v>
      </c>
      <c r="I276" s="794"/>
      <c r="J276" s="51"/>
      <c r="K276" s="51">
        <v>63</v>
      </c>
      <c r="L276" s="51">
        <v>126</v>
      </c>
      <c r="M276" s="51">
        <v>63</v>
      </c>
      <c r="N276" s="51">
        <v>0</v>
      </c>
      <c r="O276" s="51"/>
      <c r="P276" s="51"/>
      <c r="Q276" s="51"/>
      <c r="R276" s="511"/>
      <c r="S276" s="51"/>
      <c r="T276" s="51"/>
      <c r="U276" s="51"/>
      <c r="V276" s="51"/>
      <c r="W276" s="131">
        <f>IF(NFI_Expiration=1,IF($A276&lt;VLOOKUP(I$5,NFI,5,0),1,0)*Data_NFI_t[[#This Row],[Hygiene Kit]],0)</f>
        <v>0</v>
      </c>
      <c r="X276" s="131">
        <f>IF(NFI_Expiration=1,IF($A276&lt;VLOOKUP(J$5,NFI,5,0),1,0)*Data_NFI_t[[#This Row],[NFI Core Kit]],0)</f>
        <v>0</v>
      </c>
      <c r="Y276" s="112">
        <f>IF(NFI_Expiration=1,IF($A276&lt;VLOOKUP(K$5,NFI,5,0),1,0)*Data_NFI_t[[#This Row],[Sanitary Kit]],0)</f>
        <v>0</v>
      </c>
      <c r="Z276" s="112">
        <f>IF(NFI_Expiration=1,IF($A276&lt;VLOOKUP(L$5,NFI,5,0),1,0)*Data_NFI_t[[#This Row],[Mosquito net]],0)</f>
        <v>0</v>
      </c>
      <c r="AA276" s="112">
        <f>IF(NFI_Expiration=1,IF($A276&lt;VLOOKUP(M$5,NFI,5,0),1,0)*Data_NFI_t[[#This Row],[Tarpaulin]],0)</f>
        <v>0</v>
      </c>
      <c r="AB276" s="112">
        <f>IF(NFI_Expiration=1,IF($A276&lt;VLOOKUP(N$5,NFI,5,0),1,0)*Data_NFI_t[[#This Row],[Blanket]],0)</f>
        <v>0</v>
      </c>
      <c r="AC276" s="112">
        <f>IF(NFI_Expiration=1,IF($A276&lt;VLOOKUP(O$5,NFI,5,0),1,0)*Data_NFI_t[[#This Row],[Kitchen Set]],0)</f>
        <v>0</v>
      </c>
      <c r="AD276" s="112">
        <f>IF(NFI_Expiration=1,IF($A276&lt;VLOOKUP(P$5,NFI,5,0),1,0)*Data_NFI_t[[#This Row],[Complementary Kit]],0)</f>
        <v>0</v>
      </c>
      <c r="AE276" s="112">
        <f>IF(NFI_Expiration=1,IF($A276&lt;VLOOKUP(Q$5,NFI,5,0),1,0)*Data_NFI_t[[#This Row],[Plastic Bucket]],0)</f>
        <v>0</v>
      </c>
      <c r="AF276" s="112">
        <f>IF(NFI_Expiration=1,IF($A276&lt;VLOOKUP(R$5,NFI,5,0),1,0)*Data_NFI_t[[#This Row],[Jerry Can]],0)</f>
        <v>0</v>
      </c>
      <c r="AG276" s="131">
        <f>IF(NFI_Expiration=1,IF($A276&lt;VLOOKUP(S$5,NFI,5,0),1,0)*Data_NFI_t[[#This Row],[Plastic Mat]],0)*IF(Data_NFI_t[[#This Row],[Distribution Date]]&gt;"01-06-2015",1,2.5)</f>
        <v>0</v>
      </c>
      <c r="AH276" s="915">
        <f>IF(NFI_Expiration=1,IF($A276&lt;VLOOKUP(T$5,NFI,5,0),1,0)*Data_NFI_t[[#This Row],[Adult Clothes]],0)</f>
        <v>0</v>
      </c>
      <c r="AI276" s="131">
        <f>IF(NFI_Expiration=1,IF($A276&lt;VLOOKUP(U$5,NFI,5,0),1,0)*Data_NFI_t[[#This Row],[Children Clothes]],0)</f>
        <v>0</v>
      </c>
      <c r="AJ276" s="131">
        <f>IF(NFI_Expiration=1,IF($A276&lt;VLOOKUP(V$5,NFI,5,0),1,0)*Data_NFI_t[[#This Row],[Sewing Kit]],0)</f>
        <v>0</v>
      </c>
      <c r="AK276" s="131" t="str">
        <f ca="1">IFERROR(OFFSET(Camp_List[P_Code],MATCH(Data_NFI_t[[#This Row],[Camp Name]],Camp_List[Camp Name],0)-1,0,1,1),"")</f>
        <v>MMR012CMP088</v>
      </c>
      <c r="AL276" s="513" t="str">
        <f ca="1">IFERROR(OFFSET(Camp_List[Status],MATCH(Data_NFI_t[[#This Row],[Camp Name]],Camp_List[Camp Name],0)-1,0,1,1),"")</f>
        <v>Open</v>
      </c>
      <c r="AM276" s="131"/>
    </row>
    <row r="277" spans="1:39" s="90" customFormat="1" ht="19.5" customHeight="1" x14ac:dyDescent="0.25">
      <c r="A277" s="242">
        <f>IF(ISBLANK(C277),"",(Report_Date-C277)/30)</f>
        <v>50.1</v>
      </c>
      <c r="B277" s="242">
        <f>YEAR(Data_NFI_t[[#This Row],[Distribution Date]])</f>
        <v>2013</v>
      </c>
      <c r="C277" s="927">
        <v>41292</v>
      </c>
      <c r="D277" s="489" t="s">
        <v>289</v>
      </c>
      <c r="E277" s="488" t="s">
        <v>285</v>
      </c>
      <c r="F277" s="489" t="s">
        <v>7</v>
      </c>
      <c r="G277" s="794" t="s">
        <v>19</v>
      </c>
      <c r="H277" s="794" t="s">
        <v>244</v>
      </c>
      <c r="I277" s="794"/>
      <c r="J277" s="51"/>
      <c r="K277" s="51"/>
      <c r="L277" s="51"/>
      <c r="M277" s="51"/>
      <c r="N277" s="51">
        <v>50</v>
      </c>
      <c r="O277" s="51"/>
      <c r="P277" s="51"/>
      <c r="Q277" s="51"/>
      <c r="R277" s="511"/>
      <c r="S277" s="51"/>
      <c r="T277" s="51"/>
      <c r="U277" s="51"/>
      <c r="V277" s="51"/>
      <c r="W277" s="131">
        <f>IF(NFI_Expiration=1,IF($A277&lt;VLOOKUP(I$5,NFI,5,0),1,0)*Data_NFI_t[[#This Row],[Hygiene Kit]],0)</f>
        <v>0</v>
      </c>
      <c r="X277" s="131">
        <f>IF(NFI_Expiration=1,IF($A277&lt;VLOOKUP(J$5,NFI,5,0),1,0)*Data_NFI_t[[#This Row],[NFI Core Kit]],0)</f>
        <v>0</v>
      </c>
      <c r="Y277" s="112">
        <f>IF(NFI_Expiration=1,IF($A277&lt;VLOOKUP(K$5,NFI,5,0),1,0)*Data_NFI_t[[#This Row],[Sanitary Kit]],0)</f>
        <v>0</v>
      </c>
      <c r="Z277" s="112">
        <f>IF(NFI_Expiration=1,IF($A277&lt;VLOOKUP(L$5,NFI,5,0),1,0)*Data_NFI_t[[#This Row],[Mosquito net]],0)</f>
        <v>0</v>
      </c>
      <c r="AA277" s="112">
        <f>IF(NFI_Expiration=1,IF($A277&lt;VLOOKUP(M$5,NFI,5,0),1,0)*Data_NFI_t[[#This Row],[Tarpaulin]],0)</f>
        <v>0</v>
      </c>
      <c r="AB277" s="112">
        <f>IF(NFI_Expiration=1,IF($A277&lt;VLOOKUP(N$5,NFI,5,0),1,0)*Data_NFI_t[[#This Row],[Blanket]],0)</f>
        <v>0</v>
      </c>
      <c r="AC277" s="112">
        <f>IF(NFI_Expiration=1,IF($A277&lt;VLOOKUP(O$5,NFI,5,0),1,0)*Data_NFI_t[[#This Row],[Kitchen Set]],0)</f>
        <v>0</v>
      </c>
      <c r="AD277" s="112">
        <f>IF(NFI_Expiration=1,IF($A277&lt;VLOOKUP(P$5,NFI,5,0),1,0)*Data_NFI_t[[#This Row],[Complementary Kit]],0)</f>
        <v>0</v>
      </c>
      <c r="AE277" s="112">
        <f>IF(NFI_Expiration=1,IF($A277&lt;VLOOKUP(Q$5,NFI,5,0),1,0)*Data_NFI_t[[#This Row],[Plastic Bucket]],0)</f>
        <v>0</v>
      </c>
      <c r="AF277" s="112">
        <f>IF(NFI_Expiration=1,IF($A277&lt;VLOOKUP(R$5,NFI,5,0),1,0)*Data_NFI_t[[#This Row],[Jerry Can]],0)</f>
        <v>0</v>
      </c>
      <c r="AG277" s="131">
        <f>IF(NFI_Expiration=1,IF($A277&lt;VLOOKUP(S$5,NFI,5,0),1,0)*Data_NFI_t[[#This Row],[Plastic Mat]],0)*IF(Data_NFI_t[[#This Row],[Distribution Date]]&gt;"01-06-2015",1,2.5)</f>
        <v>0</v>
      </c>
      <c r="AH277" s="915">
        <f>IF(NFI_Expiration=1,IF($A277&lt;VLOOKUP(T$5,NFI,5,0),1,0)*Data_NFI_t[[#This Row],[Adult Clothes]],0)</f>
        <v>0</v>
      </c>
      <c r="AI277" s="131">
        <f>IF(NFI_Expiration=1,IF($A277&lt;VLOOKUP(U$5,NFI,5,0),1,0)*Data_NFI_t[[#This Row],[Children Clothes]],0)</f>
        <v>0</v>
      </c>
      <c r="AJ277" s="131">
        <f>IF(NFI_Expiration=1,IF($A277&lt;VLOOKUP(V$5,NFI,5,0),1,0)*Data_NFI_t[[#This Row],[Sewing Kit]],0)</f>
        <v>0</v>
      </c>
      <c r="AK277" s="131" t="str">
        <f ca="1">IFERROR(OFFSET(Camp_List[P_Code],MATCH(Data_NFI_t[[#This Row],[Camp Name]],Camp_List[Camp Name],0)-1,0,1,1),"")</f>
        <v>MMR012CMP090</v>
      </c>
      <c r="AL277" s="513" t="str">
        <f ca="1">IFERROR(OFFSET(Camp_List[Status],MATCH(Data_NFI_t[[#This Row],[Camp Name]],Camp_List[Camp Name],0)-1,0,1,1),"")</f>
        <v>Close</v>
      </c>
      <c r="AM277" s="131"/>
    </row>
    <row r="278" spans="1:39" s="90" customFormat="1" ht="19.5" customHeight="1" x14ac:dyDescent="0.25">
      <c r="A278" s="242">
        <f>IF(ISBLANK(C278),"",(Report_Date-C278)/30)</f>
        <v>50.133333333333333</v>
      </c>
      <c r="B278" s="242">
        <f>YEAR(Data_NFI_t[[#This Row],[Distribution Date]])</f>
        <v>2013</v>
      </c>
      <c r="C278" s="927">
        <v>41291</v>
      </c>
      <c r="D278" s="489" t="s">
        <v>289</v>
      </c>
      <c r="E278" s="488" t="s">
        <v>285</v>
      </c>
      <c r="F278" s="489" t="s">
        <v>7</v>
      </c>
      <c r="G278" s="794" t="s">
        <v>19</v>
      </c>
      <c r="H278" s="794" t="s">
        <v>244</v>
      </c>
      <c r="I278" s="794"/>
      <c r="J278" s="51"/>
      <c r="K278" s="51"/>
      <c r="L278" s="51"/>
      <c r="M278" s="51"/>
      <c r="N278" s="51">
        <v>50</v>
      </c>
      <c r="O278" s="51"/>
      <c r="P278" s="51"/>
      <c r="Q278" s="51"/>
      <c r="R278" s="511"/>
      <c r="S278" s="51"/>
      <c r="T278" s="51"/>
      <c r="U278" s="51"/>
      <c r="V278" s="51"/>
      <c r="W278" s="131">
        <f>IF(NFI_Expiration=1,IF($A278&lt;VLOOKUP(I$5,NFI,5,0),1,0)*Data_NFI_t[[#This Row],[Hygiene Kit]],0)</f>
        <v>0</v>
      </c>
      <c r="X278" s="131">
        <f>IF(NFI_Expiration=1,IF($A278&lt;VLOOKUP(J$5,NFI,5,0),1,0)*Data_NFI_t[[#This Row],[NFI Core Kit]],0)</f>
        <v>0</v>
      </c>
      <c r="Y278" s="112">
        <f>IF(NFI_Expiration=1,IF($A278&lt;VLOOKUP(K$5,NFI,5,0),1,0)*Data_NFI_t[[#This Row],[Sanitary Kit]],0)</f>
        <v>0</v>
      </c>
      <c r="Z278" s="112">
        <f>IF(NFI_Expiration=1,IF($A278&lt;VLOOKUP(L$5,NFI,5,0),1,0)*Data_NFI_t[[#This Row],[Mosquito net]],0)</f>
        <v>0</v>
      </c>
      <c r="AA278" s="112">
        <f>IF(NFI_Expiration=1,IF($A278&lt;VLOOKUP(M$5,NFI,5,0),1,0)*Data_NFI_t[[#This Row],[Tarpaulin]],0)</f>
        <v>0</v>
      </c>
      <c r="AB278" s="112">
        <f>IF(NFI_Expiration=1,IF($A278&lt;VLOOKUP(N$5,NFI,5,0),1,0)*Data_NFI_t[[#This Row],[Blanket]],0)</f>
        <v>0</v>
      </c>
      <c r="AC278" s="112">
        <f>IF(NFI_Expiration=1,IF($A278&lt;VLOOKUP(O$5,NFI,5,0),1,0)*Data_NFI_t[[#This Row],[Kitchen Set]],0)</f>
        <v>0</v>
      </c>
      <c r="AD278" s="112">
        <f>IF(NFI_Expiration=1,IF($A278&lt;VLOOKUP(P$5,NFI,5,0),1,0)*Data_NFI_t[[#This Row],[Complementary Kit]],0)</f>
        <v>0</v>
      </c>
      <c r="AE278" s="112">
        <f>IF(NFI_Expiration=1,IF($A278&lt;VLOOKUP(Q$5,NFI,5,0),1,0)*Data_NFI_t[[#This Row],[Plastic Bucket]],0)</f>
        <v>0</v>
      </c>
      <c r="AF278" s="112">
        <f>IF(NFI_Expiration=1,IF($A278&lt;VLOOKUP(R$5,NFI,5,0),1,0)*Data_NFI_t[[#This Row],[Jerry Can]],0)</f>
        <v>0</v>
      </c>
      <c r="AG278" s="131">
        <f>IF(NFI_Expiration=1,IF($A278&lt;VLOOKUP(S$5,NFI,5,0),1,0)*Data_NFI_t[[#This Row],[Plastic Mat]],0)*IF(Data_NFI_t[[#This Row],[Distribution Date]]&gt;"01-06-2015",1,2.5)</f>
        <v>0</v>
      </c>
      <c r="AH278" s="915">
        <f>IF(NFI_Expiration=1,IF($A278&lt;VLOOKUP(T$5,NFI,5,0),1,0)*Data_NFI_t[[#This Row],[Adult Clothes]],0)</f>
        <v>0</v>
      </c>
      <c r="AI278" s="131">
        <f>IF(NFI_Expiration=1,IF($A278&lt;VLOOKUP(U$5,NFI,5,0),1,0)*Data_NFI_t[[#This Row],[Children Clothes]],0)</f>
        <v>0</v>
      </c>
      <c r="AJ278" s="131">
        <f>IF(NFI_Expiration=1,IF($A278&lt;VLOOKUP(V$5,NFI,5,0),1,0)*Data_NFI_t[[#This Row],[Sewing Kit]],0)</f>
        <v>0</v>
      </c>
      <c r="AK278" s="131" t="str">
        <f ca="1">IFERROR(OFFSET(Camp_List[P_Code],MATCH(Data_NFI_t[[#This Row],[Camp Name]],Camp_List[Camp Name],0)-1,0,1,1),"")</f>
        <v>MMR012CMP090</v>
      </c>
      <c r="AL278" s="513" t="str">
        <f ca="1">IFERROR(OFFSET(Camp_List[Status],MATCH(Data_NFI_t[[#This Row],[Camp Name]],Camp_List[Camp Name],0)-1,0,1,1),"")</f>
        <v>Close</v>
      </c>
      <c r="AM278" s="131"/>
    </row>
    <row r="279" spans="1:39" s="90" customFormat="1" ht="19.5" customHeight="1" x14ac:dyDescent="0.25">
      <c r="A279" s="242">
        <f>IF(ISBLANK(C279),"",(Report_Date-C279)/30)</f>
        <v>50.366666666666667</v>
      </c>
      <c r="B279" s="242">
        <f>YEAR(Data_NFI_t[[#This Row],[Distribution Date]])</f>
        <v>2013</v>
      </c>
      <c r="C279" s="927">
        <v>41284</v>
      </c>
      <c r="D279" s="489" t="s">
        <v>285</v>
      </c>
      <c r="E279" s="488"/>
      <c r="F279" s="489" t="s">
        <v>7</v>
      </c>
      <c r="G279" s="794" t="s">
        <v>20</v>
      </c>
      <c r="H279" s="794" t="s">
        <v>108</v>
      </c>
      <c r="I279" s="794"/>
      <c r="J279" s="51">
        <v>56</v>
      </c>
      <c r="K279" s="51"/>
      <c r="L279" s="51">
        <v>112</v>
      </c>
      <c r="M279" s="51">
        <v>56</v>
      </c>
      <c r="N279" s="51">
        <v>112</v>
      </c>
      <c r="O279" s="51">
        <v>56</v>
      </c>
      <c r="P279" s="51">
        <v>56</v>
      </c>
      <c r="Q279" s="51">
        <v>56</v>
      </c>
      <c r="R279" s="511"/>
      <c r="S279" s="51">
        <v>112</v>
      </c>
      <c r="T279" s="51"/>
      <c r="U279" s="51"/>
      <c r="V279" s="51"/>
      <c r="W279" s="131">
        <f>IF(NFI_Expiration=1,IF($A279&lt;VLOOKUP(I$5,NFI,5,0),1,0)*Data_NFI_t[[#This Row],[Hygiene Kit]],0)</f>
        <v>0</v>
      </c>
      <c r="X279" s="131">
        <f>IF(NFI_Expiration=1,IF($A279&lt;VLOOKUP(J$5,NFI,5,0),1,0)*Data_NFI_t[[#This Row],[NFI Core Kit]],0)</f>
        <v>0</v>
      </c>
      <c r="Y279" s="112">
        <f>IF(NFI_Expiration=1,IF($A279&lt;VLOOKUP(K$5,NFI,5,0),1,0)*Data_NFI_t[[#This Row],[Sanitary Kit]],0)</f>
        <v>0</v>
      </c>
      <c r="Z279" s="112">
        <f>IF(NFI_Expiration=1,IF($A279&lt;VLOOKUP(L$5,NFI,5,0),1,0)*Data_NFI_t[[#This Row],[Mosquito net]],0)</f>
        <v>0</v>
      </c>
      <c r="AA279" s="112">
        <f>IF(NFI_Expiration=1,IF($A279&lt;VLOOKUP(M$5,NFI,5,0),1,0)*Data_NFI_t[[#This Row],[Tarpaulin]],0)</f>
        <v>0</v>
      </c>
      <c r="AB279" s="112">
        <f>IF(NFI_Expiration=1,IF($A279&lt;VLOOKUP(N$5,NFI,5,0),1,0)*Data_NFI_t[[#This Row],[Blanket]],0)</f>
        <v>0</v>
      </c>
      <c r="AC279" s="112">
        <f>IF(NFI_Expiration=1,IF($A279&lt;VLOOKUP(O$5,NFI,5,0),1,0)*Data_NFI_t[[#This Row],[Kitchen Set]],0)</f>
        <v>0</v>
      </c>
      <c r="AD279" s="112">
        <f>IF(NFI_Expiration=1,IF($A279&lt;VLOOKUP(P$5,NFI,5,0),1,0)*Data_NFI_t[[#This Row],[Complementary Kit]],0)</f>
        <v>0</v>
      </c>
      <c r="AE279" s="112">
        <f>IF(NFI_Expiration=1,IF($A279&lt;VLOOKUP(Q$5,NFI,5,0),1,0)*Data_NFI_t[[#This Row],[Plastic Bucket]],0)</f>
        <v>0</v>
      </c>
      <c r="AF279" s="112">
        <f>IF(NFI_Expiration=1,IF($A279&lt;VLOOKUP(R$5,NFI,5,0),1,0)*Data_NFI_t[[#This Row],[Jerry Can]],0)</f>
        <v>0</v>
      </c>
      <c r="AG279" s="131">
        <f>IF(NFI_Expiration=1,IF($A279&lt;VLOOKUP(S$5,NFI,5,0),1,0)*Data_NFI_t[[#This Row],[Plastic Mat]],0)*IF(Data_NFI_t[[#This Row],[Distribution Date]]&gt;"01-06-2015",1,2.5)</f>
        <v>0</v>
      </c>
      <c r="AH279" s="915">
        <f>IF(NFI_Expiration=1,IF($A279&lt;VLOOKUP(T$5,NFI,5,0),1,0)*Data_NFI_t[[#This Row],[Adult Clothes]],0)</f>
        <v>0</v>
      </c>
      <c r="AI279" s="131">
        <f>IF(NFI_Expiration=1,IF($A279&lt;VLOOKUP(U$5,NFI,5,0),1,0)*Data_NFI_t[[#This Row],[Children Clothes]],0)</f>
        <v>0</v>
      </c>
      <c r="AJ279" s="131">
        <f>IF(NFI_Expiration=1,IF($A279&lt;VLOOKUP(V$5,NFI,5,0),1,0)*Data_NFI_t[[#This Row],[Sewing Kit]],0)</f>
        <v>0</v>
      </c>
      <c r="AK279" s="131" t="str">
        <f ca="1">IFERROR(OFFSET(Camp_List[P_Code],MATCH(Data_NFI_t[[#This Row],[Camp Name]],Camp_List[Camp Name],0)-1,0,1,1),"")</f>
        <v>MMR012CMP087</v>
      </c>
      <c r="AL279" s="513" t="str">
        <f ca="1">IFERROR(OFFSET(Camp_List[Status],MATCH(Data_NFI_t[[#This Row],[Camp Name]],Camp_List[Camp Name],0)-1,0,1,1),"")</f>
        <v>Close</v>
      </c>
      <c r="AM279" s="131"/>
    </row>
    <row r="280" spans="1:39" s="90" customFormat="1" ht="19.5" customHeight="1" x14ac:dyDescent="0.25">
      <c r="A280" s="242">
        <f>IF(ISBLANK(C280),"",(Report_Date-C280)/30)</f>
        <v>50.366666666666667</v>
      </c>
      <c r="B280" s="242">
        <f>YEAR(Data_NFI_t[[#This Row],[Distribution Date]])</f>
        <v>2013</v>
      </c>
      <c r="C280" s="927">
        <v>41284</v>
      </c>
      <c r="D280" s="489" t="s">
        <v>285</v>
      </c>
      <c r="E280" s="488"/>
      <c r="F280" s="489" t="s">
        <v>7</v>
      </c>
      <c r="G280" s="794" t="s">
        <v>20</v>
      </c>
      <c r="H280" s="794" t="s">
        <v>108</v>
      </c>
      <c r="I280" s="794"/>
      <c r="J280" s="51"/>
      <c r="K280" s="51">
        <v>112</v>
      </c>
      <c r="L280" s="51">
        <v>112</v>
      </c>
      <c r="M280" s="51">
        <v>56</v>
      </c>
      <c r="N280" s="51">
        <v>0</v>
      </c>
      <c r="O280" s="51"/>
      <c r="P280" s="51"/>
      <c r="Q280" s="51"/>
      <c r="R280" s="511"/>
      <c r="S280" s="51"/>
      <c r="T280" s="51"/>
      <c r="U280" s="51"/>
      <c r="V280" s="51"/>
      <c r="W280" s="131">
        <f>IF(NFI_Expiration=1,IF($A280&lt;VLOOKUP(I$5,NFI,5,0),1,0)*Data_NFI_t[[#This Row],[Hygiene Kit]],0)</f>
        <v>0</v>
      </c>
      <c r="X280" s="131">
        <f>IF(NFI_Expiration=1,IF($A280&lt;VLOOKUP(J$5,NFI,5,0),1,0)*Data_NFI_t[[#This Row],[NFI Core Kit]],0)</f>
        <v>0</v>
      </c>
      <c r="Y280" s="112">
        <f>IF(NFI_Expiration=1,IF($A280&lt;VLOOKUP(K$5,NFI,5,0),1,0)*Data_NFI_t[[#This Row],[Sanitary Kit]],0)</f>
        <v>0</v>
      </c>
      <c r="Z280" s="112">
        <f>IF(NFI_Expiration=1,IF($A280&lt;VLOOKUP(L$5,NFI,5,0),1,0)*Data_NFI_t[[#This Row],[Mosquito net]],0)</f>
        <v>0</v>
      </c>
      <c r="AA280" s="112">
        <f>IF(NFI_Expiration=1,IF($A280&lt;VLOOKUP(M$5,NFI,5,0),1,0)*Data_NFI_t[[#This Row],[Tarpaulin]],0)</f>
        <v>0</v>
      </c>
      <c r="AB280" s="112">
        <f>IF(NFI_Expiration=1,IF($A280&lt;VLOOKUP(N$5,NFI,5,0),1,0)*Data_NFI_t[[#This Row],[Blanket]],0)</f>
        <v>0</v>
      </c>
      <c r="AC280" s="112">
        <f>IF(NFI_Expiration=1,IF($A280&lt;VLOOKUP(O$5,NFI,5,0),1,0)*Data_NFI_t[[#This Row],[Kitchen Set]],0)</f>
        <v>0</v>
      </c>
      <c r="AD280" s="112">
        <f>IF(NFI_Expiration=1,IF($A280&lt;VLOOKUP(P$5,NFI,5,0),1,0)*Data_NFI_t[[#This Row],[Complementary Kit]],0)</f>
        <v>0</v>
      </c>
      <c r="AE280" s="112">
        <f>IF(NFI_Expiration=1,IF($A280&lt;VLOOKUP(Q$5,NFI,5,0),1,0)*Data_NFI_t[[#This Row],[Plastic Bucket]],0)</f>
        <v>0</v>
      </c>
      <c r="AF280" s="112">
        <f>IF(NFI_Expiration=1,IF($A280&lt;VLOOKUP(R$5,NFI,5,0),1,0)*Data_NFI_t[[#This Row],[Jerry Can]],0)</f>
        <v>0</v>
      </c>
      <c r="AG280" s="131">
        <f>IF(NFI_Expiration=1,IF($A280&lt;VLOOKUP(S$5,NFI,5,0),1,0)*Data_NFI_t[[#This Row],[Plastic Mat]],0)*IF(Data_NFI_t[[#This Row],[Distribution Date]]&gt;"01-06-2015",1,2.5)</f>
        <v>0</v>
      </c>
      <c r="AH280" s="915">
        <f>IF(NFI_Expiration=1,IF($A280&lt;VLOOKUP(T$5,NFI,5,0),1,0)*Data_NFI_t[[#This Row],[Adult Clothes]],0)</f>
        <v>0</v>
      </c>
      <c r="AI280" s="131">
        <f>IF(NFI_Expiration=1,IF($A280&lt;VLOOKUP(U$5,NFI,5,0),1,0)*Data_NFI_t[[#This Row],[Children Clothes]],0)</f>
        <v>0</v>
      </c>
      <c r="AJ280" s="131">
        <f>IF(NFI_Expiration=1,IF($A280&lt;VLOOKUP(V$5,NFI,5,0),1,0)*Data_NFI_t[[#This Row],[Sewing Kit]],0)</f>
        <v>0</v>
      </c>
      <c r="AK280" s="131" t="str">
        <f ca="1">IFERROR(OFFSET(Camp_List[P_Code],MATCH(Data_NFI_t[[#This Row],[Camp Name]],Camp_List[Camp Name],0)-1,0,1,1),"")</f>
        <v>MMR012CMP087</v>
      </c>
      <c r="AL280" s="513" t="str">
        <f ca="1">IFERROR(OFFSET(Camp_List[Status],MATCH(Data_NFI_t[[#This Row],[Camp Name]],Camp_List[Camp Name],0)-1,0,1,1),"")</f>
        <v>Close</v>
      </c>
      <c r="AM280" s="131"/>
    </row>
    <row r="281" spans="1:39" s="90" customFormat="1" ht="19.5" customHeight="1" x14ac:dyDescent="0.25">
      <c r="A281" s="242">
        <f>IF(ISBLANK(C281),"",(Report_Date-C281)/30)</f>
        <v>50.366666666666667</v>
      </c>
      <c r="B281" s="242">
        <f>YEAR(Data_NFI_t[[#This Row],[Distribution Date]])</f>
        <v>2013</v>
      </c>
      <c r="C281" s="927">
        <v>41284</v>
      </c>
      <c r="D281" s="489" t="s">
        <v>289</v>
      </c>
      <c r="E281" s="488" t="s">
        <v>285</v>
      </c>
      <c r="F281" s="489" t="s">
        <v>7</v>
      </c>
      <c r="G281" s="794" t="s">
        <v>19</v>
      </c>
      <c r="H281" s="794" t="s">
        <v>244</v>
      </c>
      <c r="I281" s="794"/>
      <c r="J281" s="51"/>
      <c r="K281" s="51"/>
      <c r="L281" s="51"/>
      <c r="M281" s="51"/>
      <c r="N281" s="51">
        <v>45</v>
      </c>
      <c r="O281" s="51"/>
      <c r="P281" s="51"/>
      <c r="Q281" s="51"/>
      <c r="R281" s="511"/>
      <c r="S281" s="51"/>
      <c r="T281" s="51"/>
      <c r="U281" s="51"/>
      <c r="V281" s="51"/>
      <c r="W281" s="131">
        <f>IF(NFI_Expiration=1,IF($A281&lt;VLOOKUP(I$5,NFI,5,0),1,0)*Data_NFI_t[[#This Row],[Hygiene Kit]],0)</f>
        <v>0</v>
      </c>
      <c r="X281" s="131">
        <f>IF(NFI_Expiration=1,IF($A281&lt;VLOOKUP(J$5,NFI,5,0),1,0)*Data_NFI_t[[#This Row],[NFI Core Kit]],0)</f>
        <v>0</v>
      </c>
      <c r="Y281" s="112">
        <f>IF(NFI_Expiration=1,IF($A281&lt;VLOOKUP(K$5,NFI,5,0),1,0)*Data_NFI_t[[#This Row],[Sanitary Kit]],0)</f>
        <v>0</v>
      </c>
      <c r="Z281" s="112">
        <f>IF(NFI_Expiration=1,IF($A281&lt;VLOOKUP(L$5,NFI,5,0),1,0)*Data_NFI_t[[#This Row],[Mosquito net]],0)</f>
        <v>0</v>
      </c>
      <c r="AA281" s="112">
        <f>IF(NFI_Expiration=1,IF($A281&lt;VLOOKUP(M$5,NFI,5,0),1,0)*Data_NFI_t[[#This Row],[Tarpaulin]],0)</f>
        <v>0</v>
      </c>
      <c r="AB281" s="112">
        <f>IF(NFI_Expiration=1,IF($A281&lt;VLOOKUP(N$5,NFI,5,0),1,0)*Data_NFI_t[[#This Row],[Blanket]],0)</f>
        <v>0</v>
      </c>
      <c r="AC281" s="112">
        <f>IF(NFI_Expiration=1,IF($A281&lt;VLOOKUP(O$5,NFI,5,0),1,0)*Data_NFI_t[[#This Row],[Kitchen Set]],0)</f>
        <v>0</v>
      </c>
      <c r="AD281" s="112">
        <f>IF(NFI_Expiration=1,IF($A281&lt;VLOOKUP(P$5,NFI,5,0),1,0)*Data_NFI_t[[#This Row],[Complementary Kit]],0)</f>
        <v>0</v>
      </c>
      <c r="AE281" s="112">
        <f>IF(NFI_Expiration=1,IF($A281&lt;VLOOKUP(Q$5,NFI,5,0),1,0)*Data_NFI_t[[#This Row],[Plastic Bucket]],0)</f>
        <v>0</v>
      </c>
      <c r="AF281" s="112">
        <f>IF(NFI_Expiration=1,IF($A281&lt;VLOOKUP(R$5,NFI,5,0),1,0)*Data_NFI_t[[#This Row],[Jerry Can]],0)</f>
        <v>0</v>
      </c>
      <c r="AG281" s="131">
        <f>IF(NFI_Expiration=1,IF($A281&lt;VLOOKUP(S$5,NFI,5,0),1,0)*Data_NFI_t[[#This Row],[Plastic Mat]],0)*IF(Data_NFI_t[[#This Row],[Distribution Date]]&gt;"01-06-2015",1,2.5)</f>
        <v>0</v>
      </c>
      <c r="AH281" s="915">
        <f>IF(NFI_Expiration=1,IF($A281&lt;VLOOKUP(T$5,NFI,5,0),1,0)*Data_NFI_t[[#This Row],[Adult Clothes]],0)</f>
        <v>0</v>
      </c>
      <c r="AI281" s="131">
        <f>IF(NFI_Expiration=1,IF($A281&lt;VLOOKUP(U$5,NFI,5,0),1,0)*Data_NFI_t[[#This Row],[Children Clothes]],0)</f>
        <v>0</v>
      </c>
      <c r="AJ281" s="131">
        <f>IF(NFI_Expiration=1,IF($A281&lt;VLOOKUP(V$5,NFI,5,0),1,0)*Data_NFI_t[[#This Row],[Sewing Kit]],0)</f>
        <v>0</v>
      </c>
      <c r="AK281" s="131" t="str">
        <f ca="1">IFERROR(OFFSET(Camp_List[P_Code],MATCH(Data_NFI_t[[#This Row],[Camp Name]],Camp_List[Camp Name],0)-1,0,1,1),"")</f>
        <v>MMR012CMP090</v>
      </c>
      <c r="AL281" s="513" t="str">
        <f ca="1">IFERROR(OFFSET(Camp_List[Status],MATCH(Data_NFI_t[[#This Row],[Camp Name]],Camp_List[Camp Name],0)-1,0,1,1),"")</f>
        <v>Close</v>
      </c>
      <c r="AM281" s="131"/>
    </row>
    <row r="282" spans="1:39" s="90" customFormat="1" ht="19.5" customHeight="1" x14ac:dyDescent="0.25">
      <c r="A282" s="242">
        <f>IF(ISBLANK(C282),"",(Report_Date-C282)/30)</f>
        <v>50.4</v>
      </c>
      <c r="B282" s="242">
        <f>YEAR(Data_NFI_t[[#This Row],[Distribution Date]])</f>
        <v>2013</v>
      </c>
      <c r="C282" s="927">
        <v>41283</v>
      </c>
      <c r="D282" s="489" t="s">
        <v>289</v>
      </c>
      <c r="E282" s="488" t="s">
        <v>285</v>
      </c>
      <c r="F282" s="489" t="s">
        <v>7</v>
      </c>
      <c r="G282" s="794" t="s">
        <v>19</v>
      </c>
      <c r="H282" s="794" t="s">
        <v>244</v>
      </c>
      <c r="I282" s="794"/>
      <c r="J282" s="51"/>
      <c r="K282" s="51"/>
      <c r="L282" s="51"/>
      <c r="M282" s="51"/>
      <c r="N282" s="51">
        <v>50</v>
      </c>
      <c r="O282" s="51"/>
      <c r="P282" s="51"/>
      <c r="Q282" s="51"/>
      <c r="R282" s="511"/>
      <c r="S282" s="51"/>
      <c r="T282" s="51"/>
      <c r="U282" s="51"/>
      <c r="V282" s="51"/>
      <c r="W282" s="131">
        <f>IF(NFI_Expiration=1,IF($A282&lt;VLOOKUP(I$5,NFI,5,0),1,0)*Data_NFI_t[[#This Row],[Hygiene Kit]],0)</f>
        <v>0</v>
      </c>
      <c r="X282" s="131">
        <f>IF(NFI_Expiration=1,IF($A282&lt;VLOOKUP(J$5,NFI,5,0),1,0)*Data_NFI_t[[#This Row],[NFI Core Kit]],0)</f>
        <v>0</v>
      </c>
      <c r="Y282" s="112">
        <f>IF(NFI_Expiration=1,IF($A282&lt;VLOOKUP(K$5,NFI,5,0),1,0)*Data_NFI_t[[#This Row],[Sanitary Kit]],0)</f>
        <v>0</v>
      </c>
      <c r="Z282" s="112">
        <f>IF(NFI_Expiration=1,IF($A282&lt;VLOOKUP(L$5,NFI,5,0),1,0)*Data_NFI_t[[#This Row],[Mosquito net]],0)</f>
        <v>0</v>
      </c>
      <c r="AA282" s="112">
        <f>IF(NFI_Expiration=1,IF($A282&lt;VLOOKUP(M$5,NFI,5,0),1,0)*Data_NFI_t[[#This Row],[Tarpaulin]],0)</f>
        <v>0</v>
      </c>
      <c r="AB282" s="112">
        <f>IF(NFI_Expiration=1,IF($A282&lt;VLOOKUP(N$5,NFI,5,0),1,0)*Data_NFI_t[[#This Row],[Blanket]],0)</f>
        <v>0</v>
      </c>
      <c r="AC282" s="112">
        <f>IF(NFI_Expiration=1,IF($A282&lt;VLOOKUP(O$5,NFI,5,0),1,0)*Data_NFI_t[[#This Row],[Kitchen Set]],0)</f>
        <v>0</v>
      </c>
      <c r="AD282" s="112">
        <f>IF(NFI_Expiration=1,IF($A282&lt;VLOOKUP(P$5,NFI,5,0),1,0)*Data_NFI_t[[#This Row],[Complementary Kit]],0)</f>
        <v>0</v>
      </c>
      <c r="AE282" s="112">
        <f>IF(NFI_Expiration=1,IF($A282&lt;VLOOKUP(Q$5,NFI,5,0),1,0)*Data_NFI_t[[#This Row],[Plastic Bucket]],0)</f>
        <v>0</v>
      </c>
      <c r="AF282" s="112">
        <f>IF(NFI_Expiration=1,IF($A282&lt;VLOOKUP(R$5,NFI,5,0),1,0)*Data_NFI_t[[#This Row],[Jerry Can]],0)</f>
        <v>0</v>
      </c>
      <c r="AG282" s="131">
        <f>IF(NFI_Expiration=1,IF($A282&lt;VLOOKUP(S$5,NFI,5,0),1,0)*Data_NFI_t[[#This Row],[Plastic Mat]],0)*IF(Data_NFI_t[[#This Row],[Distribution Date]]&gt;"01-06-2015",1,2.5)</f>
        <v>0</v>
      </c>
      <c r="AH282" s="915">
        <f>IF(NFI_Expiration=1,IF($A282&lt;VLOOKUP(T$5,NFI,5,0),1,0)*Data_NFI_t[[#This Row],[Adult Clothes]],0)</f>
        <v>0</v>
      </c>
      <c r="AI282" s="131">
        <f>IF(NFI_Expiration=1,IF($A282&lt;VLOOKUP(U$5,NFI,5,0),1,0)*Data_NFI_t[[#This Row],[Children Clothes]],0)</f>
        <v>0</v>
      </c>
      <c r="AJ282" s="131">
        <f>IF(NFI_Expiration=1,IF($A282&lt;VLOOKUP(V$5,NFI,5,0),1,0)*Data_NFI_t[[#This Row],[Sewing Kit]],0)</f>
        <v>0</v>
      </c>
      <c r="AK282" s="131" t="str">
        <f ca="1">IFERROR(OFFSET(Camp_List[P_Code],MATCH(Data_NFI_t[[#This Row],[Camp Name]],Camp_List[Camp Name],0)-1,0,1,1),"")</f>
        <v>MMR012CMP090</v>
      </c>
      <c r="AL282" s="513" t="str">
        <f ca="1">IFERROR(OFFSET(Camp_List[Status],MATCH(Data_NFI_t[[#This Row],[Camp Name]],Camp_List[Camp Name],0)-1,0,1,1),"")</f>
        <v>Close</v>
      </c>
      <c r="AM282" s="131"/>
    </row>
    <row r="283" spans="1:39" s="90" customFormat="1" ht="19.5" customHeight="1" x14ac:dyDescent="0.25">
      <c r="A283" s="242">
        <f>IF(ISBLANK(C283),"",(Report_Date-C283)/30)</f>
        <v>50.466666666666669</v>
      </c>
      <c r="B283" s="242">
        <f>YEAR(Data_NFI_t[[#This Row],[Distribution Date]])</f>
        <v>2013</v>
      </c>
      <c r="C283" s="927">
        <v>41281</v>
      </c>
      <c r="D283" s="489" t="s">
        <v>285</v>
      </c>
      <c r="E283" s="488"/>
      <c r="F283" s="489" t="s">
        <v>7</v>
      </c>
      <c r="G283" s="794" t="s">
        <v>16</v>
      </c>
      <c r="H283" s="794" t="s">
        <v>57</v>
      </c>
      <c r="I283" s="794"/>
      <c r="J283" s="51">
        <v>228</v>
      </c>
      <c r="K283" s="51"/>
      <c r="L283" s="51">
        <v>456</v>
      </c>
      <c r="M283" s="51">
        <v>228</v>
      </c>
      <c r="N283" s="51">
        <v>456</v>
      </c>
      <c r="O283" s="51">
        <v>228</v>
      </c>
      <c r="P283" s="51">
        <v>228</v>
      </c>
      <c r="Q283" s="51">
        <v>228</v>
      </c>
      <c r="R283" s="511"/>
      <c r="S283" s="51">
        <v>456</v>
      </c>
      <c r="T283" s="51"/>
      <c r="U283" s="51"/>
      <c r="V283" s="51"/>
      <c r="W283" s="131">
        <f>IF(NFI_Expiration=1,IF($A283&lt;VLOOKUP(I$5,NFI,5,0),1,0)*Data_NFI_t[[#This Row],[Hygiene Kit]],0)</f>
        <v>0</v>
      </c>
      <c r="X283" s="131">
        <f>IF(NFI_Expiration=1,IF($A283&lt;VLOOKUP(J$5,NFI,5,0),1,0)*Data_NFI_t[[#This Row],[NFI Core Kit]],0)</f>
        <v>0</v>
      </c>
      <c r="Y283" s="112">
        <f>IF(NFI_Expiration=1,IF($A283&lt;VLOOKUP(K$5,NFI,5,0),1,0)*Data_NFI_t[[#This Row],[Sanitary Kit]],0)</f>
        <v>0</v>
      </c>
      <c r="Z283" s="112">
        <f>IF(NFI_Expiration=1,IF($A283&lt;VLOOKUP(L$5,NFI,5,0),1,0)*Data_NFI_t[[#This Row],[Mosquito net]],0)</f>
        <v>0</v>
      </c>
      <c r="AA283" s="112">
        <f>IF(NFI_Expiration=1,IF($A283&lt;VLOOKUP(M$5,NFI,5,0),1,0)*Data_NFI_t[[#This Row],[Tarpaulin]],0)</f>
        <v>0</v>
      </c>
      <c r="AB283" s="112">
        <f>IF(NFI_Expiration=1,IF($A283&lt;VLOOKUP(N$5,NFI,5,0),1,0)*Data_NFI_t[[#This Row],[Blanket]],0)</f>
        <v>0</v>
      </c>
      <c r="AC283" s="112">
        <f>IF(NFI_Expiration=1,IF($A283&lt;VLOOKUP(O$5,NFI,5,0),1,0)*Data_NFI_t[[#This Row],[Kitchen Set]],0)</f>
        <v>0</v>
      </c>
      <c r="AD283" s="112">
        <f>IF(NFI_Expiration=1,IF($A283&lt;VLOOKUP(P$5,NFI,5,0),1,0)*Data_NFI_t[[#This Row],[Complementary Kit]],0)</f>
        <v>0</v>
      </c>
      <c r="AE283" s="112">
        <f>IF(NFI_Expiration=1,IF($A283&lt;VLOOKUP(Q$5,NFI,5,0),1,0)*Data_NFI_t[[#This Row],[Plastic Bucket]],0)</f>
        <v>0</v>
      </c>
      <c r="AF283" s="112">
        <f>IF(NFI_Expiration=1,IF($A283&lt;VLOOKUP(R$5,NFI,5,0),1,0)*Data_NFI_t[[#This Row],[Jerry Can]],0)</f>
        <v>0</v>
      </c>
      <c r="AG283" s="131">
        <f>IF(NFI_Expiration=1,IF($A283&lt;VLOOKUP(S$5,NFI,5,0),1,0)*Data_NFI_t[[#This Row],[Plastic Mat]],0)*IF(Data_NFI_t[[#This Row],[Distribution Date]]&gt;"01-06-2015",1,2.5)</f>
        <v>0</v>
      </c>
      <c r="AH283" s="915">
        <f>IF(NFI_Expiration=1,IF($A283&lt;VLOOKUP(T$5,NFI,5,0),1,0)*Data_NFI_t[[#This Row],[Adult Clothes]],0)</f>
        <v>0</v>
      </c>
      <c r="AI283" s="131">
        <f>IF(NFI_Expiration=1,IF($A283&lt;VLOOKUP(U$5,NFI,5,0),1,0)*Data_NFI_t[[#This Row],[Children Clothes]],0)</f>
        <v>0</v>
      </c>
      <c r="AJ283" s="131">
        <f>IF(NFI_Expiration=1,IF($A283&lt;VLOOKUP(V$5,NFI,5,0),1,0)*Data_NFI_t[[#This Row],[Sewing Kit]],0)</f>
        <v>0</v>
      </c>
      <c r="AK283" s="131" t="str">
        <f ca="1">IFERROR(OFFSET(Camp_List[P_Code],MATCH(Data_NFI_t[[#This Row],[Camp Name]],Camp_List[Camp Name],0)-1,0,1,1),"")</f>
        <v>MMR012CMP034</v>
      </c>
      <c r="AL283" s="513" t="str">
        <f ca="1">IFERROR(OFFSET(Camp_List[Status],MATCH(Data_NFI_t[[#This Row],[Camp Name]],Camp_List[Camp Name],0)-1,0,1,1),"")</f>
        <v>Open</v>
      </c>
      <c r="AM283" s="131"/>
    </row>
    <row r="284" spans="1:39" s="90" customFormat="1" ht="19.5" customHeight="1" x14ac:dyDescent="0.25">
      <c r="A284" s="242">
        <f>IF(ISBLANK(C284),"",(Report_Date-C284)/30)</f>
        <v>50.466666666666669</v>
      </c>
      <c r="B284" s="242">
        <f>YEAR(Data_NFI_t[[#This Row],[Distribution Date]])</f>
        <v>2013</v>
      </c>
      <c r="C284" s="927">
        <v>41281</v>
      </c>
      <c r="D284" s="489" t="s">
        <v>285</v>
      </c>
      <c r="E284" s="488"/>
      <c r="F284" s="489" t="s">
        <v>7</v>
      </c>
      <c r="G284" s="794" t="s">
        <v>16</v>
      </c>
      <c r="H284" s="794" t="s">
        <v>57</v>
      </c>
      <c r="I284" s="794"/>
      <c r="J284" s="51"/>
      <c r="K284" s="51">
        <v>228</v>
      </c>
      <c r="L284" s="51">
        <v>443</v>
      </c>
      <c r="M284" s="51">
        <v>228</v>
      </c>
      <c r="N284" s="51">
        <v>0</v>
      </c>
      <c r="O284" s="51"/>
      <c r="P284" s="51"/>
      <c r="Q284" s="51"/>
      <c r="R284" s="511"/>
      <c r="S284" s="51"/>
      <c r="T284" s="51"/>
      <c r="U284" s="51"/>
      <c r="V284" s="51"/>
      <c r="W284" s="131">
        <f>IF(NFI_Expiration=1,IF($A284&lt;VLOOKUP(I$5,NFI,5,0),1,0)*Data_NFI_t[[#This Row],[Hygiene Kit]],0)</f>
        <v>0</v>
      </c>
      <c r="X284" s="131">
        <f>IF(NFI_Expiration=1,IF($A284&lt;VLOOKUP(J$5,NFI,5,0),1,0)*Data_NFI_t[[#This Row],[NFI Core Kit]],0)</f>
        <v>0</v>
      </c>
      <c r="Y284" s="112">
        <f>IF(NFI_Expiration=1,IF($A284&lt;VLOOKUP(K$5,NFI,5,0),1,0)*Data_NFI_t[[#This Row],[Sanitary Kit]],0)</f>
        <v>0</v>
      </c>
      <c r="Z284" s="112">
        <f>IF(NFI_Expiration=1,IF($A284&lt;VLOOKUP(L$5,NFI,5,0),1,0)*Data_NFI_t[[#This Row],[Mosquito net]],0)</f>
        <v>0</v>
      </c>
      <c r="AA284" s="112">
        <f>IF(NFI_Expiration=1,IF($A284&lt;VLOOKUP(M$5,NFI,5,0),1,0)*Data_NFI_t[[#This Row],[Tarpaulin]],0)</f>
        <v>0</v>
      </c>
      <c r="AB284" s="112">
        <f>IF(NFI_Expiration=1,IF($A284&lt;VLOOKUP(N$5,NFI,5,0),1,0)*Data_NFI_t[[#This Row],[Blanket]],0)</f>
        <v>0</v>
      </c>
      <c r="AC284" s="112">
        <f>IF(NFI_Expiration=1,IF($A284&lt;VLOOKUP(O$5,NFI,5,0),1,0)*Data_NFI_t[[#This Row],[Kitchen Set]],0)</f>
        <v>0</v>
      </c>
      <c r="AD284" s="112">
        <f>IF(NFI_Expiration=1,IF($A284&lt;VLOOKUP(P$5,NFI,5,0),1,0)*Data_NFI_t[[#This Row],[Complementary Kit]],0)</f>
        <v>0</v>
      </c>
      <c r="AE284" s="112">
        <f>IF(NFI_Expiration=1,IF($A284&lt;VLOOKUP(Q$5,NFI,5,0),1,0)*Data_NFI_t[[#This Row],[Plastic Bucket]],0)</f>
        <v>0</v>
      </c>
      <c r="AF284" s="112">
        <f>IF(NFI_Expiration=1,IF($A284&lt;VLOOKUP(R$5,NFI,5,0),1,0)*Data_NFI_t[[#This Row],[Jerry Can]],0)</f>
        <v>0</v>
      </c>
      <c r="AG284" s="131">
        <f>IF(NFI_Expiration=1,IF($A284&lt;VLOOKUP(S$5,NFI,5,0),1,0)*Data_NFI_t[[#This Row],[Plastic Mat]],0)*IF(Data_NFI_t[[#This Row],[Distribution Date]]&gt;"01-06-2015",1,2.5)</f>
        <v>0</v>
      </c>
      <c r="AH284" s="915">
        <f>IF(NFI_Expiration=1,IF($A284&lt;VLOOKUP(T$5,NFI,5,0),1,0)*Data_NFI_t[[#This Row],[Adult Clothes]],0)</f>
        <v>0</v>
      </c>
      <c r="AI284" s="131">
        <f>IF(NFI_Expiration=1,IF($A284&lt;VLOOKUP(U$5,NFI,5,0),1,0)*Data_NFI_t[[#This Row],[Children Clothes]],0)</f>
        <v>0</v>
      </c>
      <c r="AJ284" s="131">
        <f>IF(NFI_Expiration=1,IF($A284&lt;VLOOKUP(V$5,NFI,5,0),1,0)*Data_NFI_t[[#This Row],[Sewing Kit]],0)</f>
        <v>0</v>
      </c>
      <c r="AK284" s="131" t="str">
        <f ca="1">IFERROR(OFFSET(Camp_List[P_Code],MATCH(Data_NFI_t[[#This Row],[Camp Name]],Camp_List[Camp Name],0)-1,0,1,1),"")</f>
        <v>MMR012CMP034</v>
      </c>
      <c r="AL284" s="513" t="str">
        <f ca="1">IFERROR(OFFSET(Camp_List[Status],MATCH(Data_NFI_t[[#This Row],[Camp Name]],Camp_List[Camp Name],0)-1,0,1,1),"")</f>
        <v>Open</v>
      </c>
      <c r="AM284" s="131"/>
    </row>
    <row r="285" spans="1:39" s="90" customFormat="1" ht="19.5" customHeight="1" x14ac:dyDescent="0.25">
      <c r="A285" s="242">
        <f>IF(ISBLANK(C285),"",(Report_Date-C285)/30)</f>
        <v>50.466666666666669</v>
      </c>
      <c r="B285" s="242">
        <f>YEAR(Data_NFI_t[[#This Row],[Distribution Date]])</f>
        <v>2013</v>
      </c>
      <c r="C285" s="927">
        <v>41281</v>
      </c>
      <c r="D285" s="489" t="s">
        <v>285</v>
      </c>
      <c r="E285" s="488"/>
      <c r="F285" s="489" t="s">
        <v>7</v>
      </c>
      <c r="G285" s="794" t="s">
        <v>20</v>
      </c>
      <c r="H285" s="794" t="s">
        <v>104</v>
      </c>
      <c r="I285" s="794"/>
      <c r="J285" s="51">
        <v>93</v>
      </c>
      <c r="K285" s="51"/>
      <c r="L285" s="51">
        <v>186</v>
      </c>
      <c r="M285" s="51">
        <v>93</v>
      </c>
      <c r="N285" s="51">
        <v>186</v>
      </c>
      <c r="O285" s="51">
        <v>93</v>
      </c>
      <c r="P285" s="51">
        <v>93</v>
      </c>
      <c r="Q285" s="51">
        <v>93</v>
      </c>
      <c r="R285" s="511"/>
      <c r="S285" s="51">
        <v>186</v>
      </c>
      <c r="T285" s="51"/>
      <c r="U285" s="51"/>
      <c r="V285" s="51"/>
      <c r="W285" s="131">
        <f>IF(NFI_Expiration=1,IF($A285&lt;VLOOKUP(I$5,NFI,5,0),1,0)*Data_NFI_t[[#This Row],[Hygiene Kit]],0)</f>
        <v>0</v>
      </c>
      <c r="X285" s="131">
        <f>IF(NFI_Expiration=1,IF($A285&lt;VLOOKUP(J$5,NFI,5,0),1,0)*Data_NFI_t[[#This Row],[NFI Core Kit]],0)</f>
        <v>0</v>
      </c>
      <c r="Y285" s="112">
        <f>IF(NFI_Expiration=1,IF($A285&lt;VLOOKUP(K$5,NFI,5,0),1,0)*Data_NFI_t[[#This Row],[Sanitary Kit]],0)</f>
        <v>0</v>
      </c>
      <c r="Z285" s="112">
        <f>IF(NFI_Expiration=1,IF($A285&lt;VLOOKUP(L$5,NFI,5,0),1,0)*Data_NFI_t[[#This Row],[Mosquito net]],0)</f>
        <v>0</v>
      </c>
      <c r="AA285" s="112">
        <f>IF(NFI_Expiration=1,IF($A285&lt;VLOOKUP(M$5,NFI,5,0),1,0)*Data_NFI_t[[#This Row],[Tarpaulin]],0)</f>
        <v>0</v>
      </c>
      <c r="AB285" s="112">
        <f>IF(NFI_Expiration=1,IF($A285&lt;VLOOKUP(N$5,NFI,5,0),1,0)*Data_NFI_t[[#This Row],[Blanket]],0)</f>
        <v>0</v>
      </c>
      <c r="AC285" s="112">
        <f>IF(NFI_Expiration=1,IF($A285&lt;VLOOKUP(O$5,NFI,5,0),1,0)*Data_NFI_t[[#This Row],[Kitchen Set]],0)</f>
        <v>0</v>
      </c>
      <c r="AD285" s="112">
        <f>IF(NFI_Expiration=1,IF($A285&lt;VLOOKUP(P$5,NFI,5,0),1,0)*Data_NFI_t[[#This Row],[Complementary Kit]],0)</f>
        <v>0</v>
      </c>
      <c r="AE285" s="112">
        <f>IF(NFI_Expiration=1,IF($A285&lt;VLOOKUP(Q$5,NFI,5,0),1,0)*Data_NFI_t[[#This Row],[Plastic Bucket]],0)</f>
        <v>0</v>
      </c>
      <c r="AF285" s="112">
        <f>IF(NFI_Expiration=1,IF($A285&lt;VLOOKUP(R$5,NFI,5,0),1,0)*Data_NFI_t[[#This Row],[Jerry Can]],0)</f>
        <v>0</v>
      </c>
      <c r="AG285" s="131">
        <f>IF(NFI_Expiration=1,IF($A285&lt;VLOOKUP(S$5,NFI,5,0),1,0)*Data_NFI_t[[#This Row],[Plastic Mat]],0)*IF(Data_NFI_t[[#This Row],[Distribution Date]]&gt;"01-06-2015",1,2.5)</f>
        <v>0</v>
      </c>
      <c r="AH285" s="915">
        <f>IF(NFI_Expiration=1,IF($A285&lt;VLOOKUP(T$5,NFI,5,0),1,0)*Data_NFI_t[[#This Row],[Adult Clothes]],0)</f>
        <v>0</v>
      </c>
      <c r="AI285" s="131">
        <f>IF(NFI_Expiration=1,IF($A285&lt;VLOOKUP(U$5,NFI,5,0),1,0)*Data_NFI_t[[#This Row],[Children Clothes]],0)</f>
        <v>0</v>
      </c>
      <c r="AJ285" s="131">
        <f>IF(NFI_Expiration=1,IF($A285&lt;VLOOKUP(V$5,NFI,5,0),1,0)*Data_NFI_t[[#This Row],[Sewing Kit]],0)</f>
        <v>0</v>
      </c>
      <c r="AK285" s="131" t="str">
        <f ca="1">IFERROR(OFFSET(Camp_List[P_Code],MATCH(Data_NFI_t[[#This Row],[Camp Name]],Camp_List[Camp Name],0)-1,0,1,1),"")</f>
        <v/>
      </c>
      <c r="AL285" s="513" t="str">
        <f ca="1">IFERROR(OFFSET(Camp_List[Status],MATCH(Data_NFI_t[[#This Row],[Camp Name]],Camp_List[Camp Name],0)-1,0,1,1),"")</f>
        <v/>
      </c>
      <c r="AM285" s="131"/>
    </row>
    <row r="286" spans="1:39" s="90" customFormat="1" ht="19.5" customHeight="1" x14ac:dyDescent="0.25">
      <c r="A286" s="242">
        <f>IF(ISBLANK(C286),"",(Report_Date-C286)/30)</f>
        <v>50.466666666666669</v>
      </c>
      <c r="B286" s="242">
        <f>YEAR(Data_NFI_t[[#This Row],[Distribution Date]])</f>
        <v>2013</v>
      </c>
      <c r="C286" s="927">
        <v>41281</v>
      </c>
      <c r="D286" s="489" t="s">
        <v>285</v>
      </c>
      <c r="E286" s="488"/>
      <c r="F286" s="489" t="s">
        <v>7</v>
      </c>
      <c r="G286" s="794" t="s">
        <v>20</v>
      </c>
      <c r="H286" s="794" t="s">
        <v>104</v>
      </c>
      <c r="I286" s="794"/>
      <c r="J286" s="51"/>
      <c r="K286" s="51">
        <v>186</v>
      </c>
      <c r="L286" s="51">
        <v>186</v>
      </c>
      <c r="M286" s="51">
        <v>93</v>
      </c>
      <c r="N286" s="51">
        <v>0</v>
      </c>
      <c r="O286" s="51"/>
      <c r="P286" s="51"/>
      <c r="Q286" s="51"/>
      <c r="R286" s="511"/>
      <c r="S286" s="51"/>
      <c r="T286" s="51"/>
      <c r="U286" s="51"/>
      <c r="V286" s="51"/>
      <c r="W286" s="131">
        <f>IF(NFI_Expiration=1,IF($A286&lt;VLOOKUP(I$5,NFI,5,0),1,0)*Data_NFI_t[[#This Row],[Hygiene Kit]],0)</f>
        <v>0</v>
      </c>
      <c r="X286" s="131">
        <f>IF(NFI_Expiration=1,IF($A286&lt;VLOOKUP(J$5,NFI,5,0),1,0)*Data_NFI_t[[#This Row],[NFI Core Kit]],0)</f>
        <v>0</v>
      </c>
      <c r="Y286" s="112">
        <f>IF(NFI_Expiration=1,IF($A286&lt;VLOOKUP(K$5,NFI,5,0),1,0)*Data_NFI_t[[#This Row],[Sanitary Kit]],0)</f>
        <v>0</v>
      </c>
      <c r="Z286" s="112">
        <f>IF(NFI_Expiration=1,IF($A286&lt;VLOOKUP(L$5,NFI,5,0),1,0)*Data_NFI_t[[#This Row],[Mosquito net]],0)</f>
        <v>0</v>
      </c>
      <c r="AA286" s="112">
        <f>IF(NFI_Expiration=1,IF($A286&lt;VLOOKUP(M$5,NFI,5,0),1,0)*Data_NFI_t[[#This Row],[Tarpaulin]],0)</f>
        <v>0</v>
      </c>
      <c r="AB286" s="112">
        <f>IF(NFI_Expiration=1,IF($A286&lt;VLOOKUP(N$5,NFI,5,0),1,0)*Data_NFI_t[[#This Row],[Blanket]],0)</f>
        <v>0</v>
      </c>
      <c r="AC286" s="112">
        <f>IF(NFI_Expiration=1,IF($A286&lt;VLOOKUP(O$5,NFI,5,0),1,0)*Data_NFI_t[[#This Row],[Kitchen Set]],0)</f>
        <v>0</v>
      </c>
      <c r="AD286" s="112">
        <f>IF(NFI_Expiration=1,IF($A286&lt;VLOOKUP(P$5,NFI,5,0),1,0)*Data_NFI_t[[#This Row],[Complementary Kit]],0)</f>
        <v>0</v>
      </c>
      <c r="AE286" s="112">
        <f>IF(NFI_Expiration=1,IF($A286&lt;VLOOKUP(Q$5,NFI,5,0),1,0)*Data_NFI_t[[#This Row],[Plastic Bucket]],0)</f>
        <v>0</v>
      </c>
      <c r="AF286" s="112">
        <f>IF(NFI_Expiration=1,IF($A286&lt;VLOOKUP(R$5,NFI,5,0),1,0)*Data_NFI_t[[#This Row],[Jerry Can]],0)</f>
        <v>0</v>
      </c>
      <c r="AG286" s="131">
        <f>IF(NFI_Expiration=1,IF($A286&lt;VLOOKUP(S$5,NFI,5,0),1,0)*Data_NFI_t[[#This Row],[Plastic Mat]],0)*IF(Data_NFI_t[[#This Row],[Distribution Date]]&gt;"01-06-2015",1,2.5)</f>
        <v>0</v>
      </c>
      <c r="AH286" s="915">
        <f>IF(NFI_Expiration=1,IF($A286&lt;VLOOKUP(T$5,NFI,5,0),1,0)*Data_NFI_t[[#This Row],[Adult Clothes]],0)</f>
        <v>0</v>
      </c>
      <c r="AI286" s="131">
        <f>IF(NFI_Expiration=1,IF($A286&lt;VLOOKUP(U$5,NFI,5,0),1,0)*Data_NFI_t[[#This Row],[Children Clothes]],0)</f>
        <v>0</v>
      </c>
      <c r="AJ286" s="131">
        <f>IF(NFI_Expiration=1,IF($A286&lt;VLOOKUP(V$5,NFI,5,0),1,0)*Data_NFI_t[[#This Row],[Sewing Kit]],0)</f>
        <v>0</v>
      </c>
      <c r="AK286" s="131" t="str">
        <f ca="1">IFERROR(OFFSET(Camp_List[P_Code],MATCH(Data_NFI_t[[#This Row],[Camp Name]],Camp_List[Camp Name],0)-1,0,1,1),"")</f>
        <v/>
      </c>
      <c r="AL286" s="513" t="str">
        <f ca="1">IFERROR(OFFSET(Camp_List[Status],MATCH(Data_NFI_t[[#This Row],[Camp Name]],Camp_List[Camp Name],0)-1,0,1,1),"")</f>
        <v/>
      </c>
      <c r="AM286" s="131"/>
    </row>
    <row r="287" spans="1:39" s="90" customFormat="1" ht="19.5" customHeight="1" x14ac:dyDescent="0.25">
      <c r="A287" s="242">
        <f>IF(ISBLANK(C287),"",(Report_Date-C287)/30)</f>
        <v>50.666666666666664</v>
      </c>
      <c r="B287" s="242">
        <f>YEAR(Data_NFI_t[[#This Row],[Distribution Date]])</f>
        <v>2013</v>
      </c>
      <c r="C287" s="927">
        <v>41275</v>
      </c>
      <c r="D287" s="489" t="s">
        <v>519</v>
      </c>
      <c r="E287" s="488" t="s">
        <v>519</v>
      </c>
      <c r="F287" s="489" t="s">
        <v>7</v>
      </c>
      <c r="G287" s="794" t="s">
        <v>19</v>
      </c>
      <c r="H287" s="794" t="s">
        <v>61</v>
      </c>
      <c r="I287" s="794">
        <v>20</v>
      </c>
      <c r="J287" s="51"/>
      <c r="K287" s="51"/>
      <c r="L287" s="51"/>
      <c r="M287" s="51"/>
      <c r="N287" s="51"/>
      <c r="O287" s="51"/>
      <c r="P287" s="51"/>
      <c r="Q287" s="51"/>
      <c r="R287" s="511"/>
      <c r="S287" s="51"/>
      <c r="T287" s="51"/>
      <c r="U287" s="51"/>
      <c r="V287" s="51"/>
      <c r="W287" s="131">
        <f>IF(NFI_Expiration=1,IF($A287&lt;VLOOKUP(I$5,NFI,5,0),1,0)*Data_NFI_t[[#This Row],[Hygiene Kit]],0)</f>
        <v>0</v>
      </c>
      <c r="X287" s="131">
        <f>IF(NFI_Expiration=1,IF($A287&lt;VLOOKUP(J$5,NFI,5,0),1,0)*Data_NFI_t[[#This Row],[NFI Core Kit]],0)</f>
        <v>0</v>
      </c>
      <c r="Y287" s="112">
        <f>IF(NFI_Expiration=1,IF($A287&lt;VLOOKUP(K$5,NFI,5,0),1,0)*Data_NFI_t[[#This Row],[Sanitary Kit]],0)</f>
        <v>0</v>
      </c>
      <c r="Z287" s="112">
        <f>IF(NFI_Expiration=1,IF($A287&lt;VLOOKUP(L$5,NFI,5,0),1,0)*Data_NFI_t[[#This Row],[Mosquito net]],0)</f>
        <v>0</v>
      </c>
      <c r="AA287" s="112">
        <f>IF(NFI_Expiration=1,IF($A287&lt;VLOOKUP(M$5,NFI,5,0),1,0)*Data_NFI_t[[#This Row],[Tarpaulin]],0)</f>
        <v>0</v>
      </c>
      <c r="AB287" s="112">
        <f>IF(NFI_Expiration=1,IF($A287&lt;VLOOKUP(N$5,NFI,5,0),1,0)*Data_NFI_t[[#This Row],[Blanket]],0)</f>
        <v>0</v>
      </c>
      <c r="AC287" s="112">
        <f>IF(NFI_Expiration=1,IF($A287&lt;VLOOKUP(O$5,NFI,5,0),1,0)*Data_NFI_t[[#This Row],[Kitchen Set]],0)</f>
        <v>0</v>
      </c>
      <c r="AD287" s="112">
        <f>IF(NFI_Expiration=1,IF($A287&lt;VLOOKUP(P$5,NFI,5,0),1,0)*Data_NFI_t[[#This Row],[Complementary Kit]],0)</f>
        <v>0</v>
      </c>
      <c r="AE287" s="112">
        <f>IF(NFI_Expiration=1,IF($A287&lt;VLOOKUP(Q$5,NFI,5,0),1,0)*Data_NFI_t[[#This Row],[Plastic Bucket]],0)</f>
        <v>0</v>
      </c>
      <c r="AF287" s="112">
        <f>IF(NFI_Expiration=1,IF($A287&lt;VLOOKUP(R$5,NFI,5,0),1,0)*Data_NFI_t[[#This Row],[Jerry Can]],0)</f>
        <v>0</v>
      </c>
      <c r="AG287" s="131">
        <f>IF(NFI_Expiration=1,IF($A287&lt;VLOOKUP(S$5,NFI,5,0),1,0)*Data_NFI_t[[#This Row],[Plastic Mat]],0)*IF(Data_NFI_t[[#This Row],[Distribution Date]]&gt;"01-06-2015",1,2.5)</f>
        <v>0</v>
      </c>
      <c r="AH287" s="915">
        <f>IF(NFI_Expiration=1,IF($A287&lt;VLOOKUP(T$5,NFI,5,0),1,0)*Data_NFI_t[[#This Row],[Adult Clothes]],0)</f>
        <v>0</v>
      </c>
      <c r="AI287" s="131">
        <f>IF(NFI_Expiration=1,IF($A287&lt;VLOOKUP(U$5,NFI,5,0),1,0)*Data_NFI_t[[#This Row],[Children Clothes]],0)</f>
        <v>0</v>
      </c>
      <c r="AJ287" s="131">
        <f>IF(NFI_Expiration=1,IF($A287&lt;VLOOKUP(V$5,NFI,5,0),1,0)*Data_NFI_t[[#This Row],[Sewing Kit]],0)</f>
        <v>0</v>
      </c>
      <c r="AK287" s="131" t="str">
        <f ca="1">IFERROR(OFFSET(Camp_List[P_Code],MATCH(Data_NFI_t[[#This Row],[Camp Name]],Camp_List[Camp Name],0)-1,0,1,1),"")</f>
        <v>MMR012CMP039</v>
      </c>
      <c r="AL287" s="513" t="str">
        <f ca="1">IFERROR(OFFSET(Camp_List[Status],MATCH(Data_NFI_t[[#This Row],[Camp Name]],Camp_List[Camp Name],0)-1,0,1,1),"")</f>
        <v>Open</v>
      </c>
      <c r="AM287" s="131"/>
    </row>
    <row r="288" spans="1:39" s="90" customFormat="1" ht="19.5" customHeight="1" x14ac:dyDescent="0.25">
      <c r="A288" s="242">
        <f>IF(ISBLANK(C288),"",(Report_Date-C288)/30)</f>
        <v>50.666666666666664</v>
      </c>
      <c r="B288" s="242">
        <f>YEAR(Data_NFI_t[[#This Row],[Distribution Date]])</f>
        <v>2013</v>
      </c>
      <c r="C288" s="927">
        <v>41275</v>
      </c>
      <c r="D288" s="489" t="s">
        <v>518</v>
      </c>
      <c r="E288" s="488" t="s">
        <v>292</v>
      </c>
      <c r="F288" s="489" t="s">
        <v>7</v>
      </c>
      <c r="G288" s="794" t="s">
        <v>19</v>
      </c>
      <c r="H288" s="794" t="s">
        <v>62</v>
      </c>
      <c r="I288" s="794">
        <v>4390</v>
      </c>
      <c r="J288" s="51"/>
      <c r="K288" s="51"/>
      <c r="L288" s="51"/>
      <c r="M288" s="51"/>
      <c r="N288" s="51"/>
      <c r="O288" s="51"/>
      <c r="P288" s="51"/>
      <c r="Q288" s="51"/>
      <c r="R288" s="511"/>
      <c r="S288" s="51"/>
      <c r="T288" s="51"/>
      <c r="U288" s="51"/>
      <c r="V288" s="51"/>
      <c r="W288" s="131">
        <f>IF(NFI_Expiration=1,IF($A288&lt;VLOOKUP(I$5,NFI,5,0),1,0)*Data_NFI_t[[#This Row],[Hygiene Kit]],0)</f>
        <v>0</v>
      </c>
      <c r="X288" s="131">
        <f>IF(NFI_Expiration=1,IF($A288&lt;VLOOKUP(J$5,NFI,5,0),1,0)*Data_NFI_t[[#This Row],[NFI Core Kit]],0)</f>
        <v>0</v>
      </c>
      <c r="Y288" s="112">
        <f>IF(NFI_Expiration=1,IF($A288&lt;VLOOKUP(K$5,NFI,5,0),1,0)*Data_NFI_t[[#This Row],[Sanitary Kit]],0)</f>
        <v>0</v>
      </c>
      <c r="Z288" s="112">
        <f>IF(NFI_Expiration=1,IF($A288&lt;VLOOKUP(L$5,NFI,5,0),1,0)*Data_NFI_t[[#This Row],[Mosquito net]],0)</f>
        <v>0</v>
      </c>
      <c r="AA288" s="112">
        <f>IF(NFI_Expiration=1,IF($A288&lt;VLOOKUP(M$5,NFI,5,0),1,0)*Data_NFI_t[[#This Row],[Tarpaulin]],0)</f>
        <v>0</v>
      </c>
      <c r="AB288" s="112">
        <f>IF(NFI_Expiration=1,IF($A288&lt;VLOOKUP(N$5,NFI,5,0),1,0)*Data_NFI_t[[#This Row],[Blanket]],0)</f>
        <v>0</v>
      </c>
      <c r="AC288" s="112">
        <f>IF(NFI_Expiration=1,IF($A288&lt;VLOOKUP(O$5,NFI,5,0),1,0)*Data_NFI_t[[#This Row],[Kitchen Set]],0)</f>
        <v>0</v>
      </c>
      <c r="AD288" s="112">
        <f>IF(NFI_Expiration=1,IF($A288&lt;VLOOKUP(P$5,NFI,5,0),1,0)*Data_NFI_t[[#This Row],[Complementary Kit]],0)</f>
        <v>0</v>
      </c>
      <c r="AE288" s="112">
        <f>IF(NFI_Expiration=1,IF($A288&lt;VLOOKUP(Q$5,NFI,5,0),1,0)*Data_NFI_t[[#This Row],[Plastic Bucket]],0)</f>
        <v>0</v>
      </c>
      <c r="AF288" s="112">
        <f>IF(NFI_Expiration=1,IF($A288&lt;VLOOKUP(R$5,NFI,5,0),1,0)*Data_NFI_t[[#This Row],[Jerry Can]],0)</f>
        <v>0</v>
      </c>
      <c r="AG288" s="131">
        <f>IF(NFI_Expiration=1,IF($A288&lt;VLOOKUP(S$5,NFI,5,0),1,0)*Data_NFI_t[[#This Row],[Plastic Mat]],0)*IF(Data_NFI_t[[#This Row],[Distribution Date]]&gt;"01-06-2015",1,2.5)</f>
        <v>0</v>
      </c>
      <c r="AH288" s="915">
        <f>IF(NFI_Expiration=1,IF($A288&lt;VLOOKUP(T$5,NFI,5,0),1,0)*Data_NFI_t[[#This Row],[Adult Clothes]],0)</f>
        <v>0</v>
      </c>
      <c r="AI288" s="131">
        <f>IF(NFI_Expiration=1,IF($A288&lt;VLOOKUP(U$5,NFI,5,0),1,0)*Data_NFI_t[[#This Row],[Children Clothes]],0)</f>
        <v>0</v>
      </c>
      <c r="AJ288" s="131">
        <f>IF(NFI_Expiration=1,IF($A288&lt;VLOOKUP(V$5,NFI,5,0),1,0)*Data_NFI_t[[#This Row],[Sewing Kit]],0)</f>
        <v>0</v>
      </c>
      <c r="AK288" s="131" t="str">
        <f ca="1">IFERROR(OFFSET(Camp_List[P_Code],MATCH(Data_NFI_t[[#This Row],[Camp Name]],Camp_List[Camp Name],0)-1,0,1,1),"")</f>
        <v>MMR012CMP040</v>
      </c>
      <c r="AL288" s="513" t="str">
        <f ca="1">IFERROR(OFFSET(Camp_List[Status],MATCH(Data_NFI_t[[#This Row],[Camp Name]],Camp_List[Camp Name],0)-1,0,1,1),"")</f>
        <v>Close</v>
      </c>
      <c r="AM288" s="131"/>
    </row>
    <row r="289" spans="1:39" s="90" customFormat="1" ht="19.5" customHeight="1" x14ac:dyDescent="0.25">
      <c r="A289" s="242">
        <f>IF(ISBLANK(C289),"",(Report_Date-C289)/30)</f>
        <v>50.666666666666664</v>
      </c>
      <c r="B289" s="242">
        <f>YEAR(Data_NFI_t[[#This Row],[Distribution Date]])</f>
        <v>2013</v>
      </c>
      <c r="C289" s="927">
        <v>41275</v>
      </c>
      <c r="D289" s="489" t="s">
        <v>518</v>
      </c>
      <c r="E289" s="488" t="s">
        <v>292</v>
      </c>
      <c r="F289" s="489" t="s">
        <v>7</v>
      </c>
      <c r="G289" s="794" t="s">
        <v>19</v>
      </c>
      <c r="H289" s="794" t="s">
        <v>63</v>
      </c>
      <c r="I289" s="794">
        <v>3758</v>
      </c>
      <c r="J289" s="51"/>
      <c r="K289" s="51"/>
      <c r="L289" s="51"/>
      <c r="M289" s="51"/>
      <c r="N289" s="51"/>
      <c r="O289" s="51"/>
      <c r="P289" s="51"/>
      <c r="Q289" s="51"/>
      <c r="R289" s="511"/>
      <c r="S289" s="51"/>
      <c r="T289" s="51"/>
      <c r="U289" s="51"/>
      <c r="V289" s="51"/>
      <c r="W289" s="131">
        <f>IF(NFI_Expiration=1,IF($A289&lt;VLOOKUP(I$5,NFI,5,0),1,0)*Data_NFI_t[[#This Row],[Hygiene Kit]],0)</f>
        <v>0</v>
      </c>
      <c r="X289" s="131">
        <f>IF(NFI_Expiration=1,IF($A289&lt;VLOOKUP(J$5,NFI,5,0),1,0)*Data_NFI_t[[#This Row],[NFI Core Kit]],0)</f>
        <v>0</v>
      </c>
      <c r="Y289" s="112">
        <f>IF(NFI_Expiration=1,IF($A289&lt;VLOOKUP(K$5,NFI,5,0),1,0)*Data_NFI_t[[#This Row],[Sanitary Kit]],0)</f>
        <v>0</v>
      </c>
      <c r="Z289" s="112">
        <f>IF(NFI_Expiration=1,IF($A289&lt;VLOOKUP(L$5,NFI,5,0),1,0)*Data_NFI_t[[#This Row],[Mosquito net]],0)</f>
        <v>0</v>
      </c>
      <c r="AA289" s="112">
        <f>IF(NFI_Expiration=1,IF($A289&lt;VLOOKUP(M$5,NFI,5,0),1,0)*Data_NFI_t[[#This Row],[Tarpaulin]],0)</f>
        <v>0</v>
      </c>
      <c r="AB289" s="112">
        <f>IF(NFI_Expiration=1,IF($A289&lt;VLOOKUP(N$5,NFI,5,0),1,0)*Data_NFI_t[[#This Row],[Blanket]],0)</f>
        <v>0</v>
      </c>
      <c r="AC289" s="112">
        <f>IF(NFI_Expiration=1,IF($A289&lt;VLOOKUP(O$5,NFI,5,0),1,0)*Data_NFI_t[[#This Row],[Kitchen Set]],0)</f>
        <v>0</v>
      </c>
      <c r="AD289" s="112">
        <f>IF(NFI_Expiration=1,IF($A289&lt;VLOOKUP(P$5,NFI,5,0),1,0)*Data_NFI_t[[#This Row],[Complementary Kit]],0)</f>
        <v>0</v>
      </c>
      <c r="AE289" s="112">
        <f>IF(NFI_Expiration=1,IF($A289&lt;VLOOKUP(Q$5,NFI,5,0),1,0)*Data_NFI_t[[#This Row],[Plastic Bucket]],0)</f>
        <v>0</v>
      </c>
      <c r="AF289" s="112">
        <f>IF(NFI_Expiration=1,IF($A289&lt;VLOOKUP(R$5,NFI,5,0),1,0)*Data_NFI_t[[#This Row],[Jerry Can]],0)</f>
        <v>0</v>
      </c>
      <c r="AG289" s="131">
        <f>IF(NFI_Expiration=1,IF($A289&lt;VLOOKUP(S$5,NFI,5,0),1,0)*Data_NFI_t[[#This Row],[Plastic Mat]],0)*IF(Data_NFI_t[[#This Row],[Distribution Date]]&gt;"01-06-2015",1,2.5)</f>
        <v>0</v>
      </c>
      <c r="AH289" s="915">
        <f>IF(NFI_Expiration=1,IF($A289&lt;VLOOKUP(T$5,NFI,5,0),1,0)*Data_NFI_t[[#This Row],[Adult Clothes]],0)</f>
        <v>0</v>
      </c>
      <c r="AI289" s="131">
        <f>IF(NFI_Expiration=1,IF($A289&lt;VLOOKUP(U$5,NFI,5,0),1,0)*Data_NFI_t[[#This Row],[Children Clothes]],0)</f>
        <v>0</v>
      </c>
      <c r="AJ289" s="131">
        <f>IF(NFI_Expiration=1,IF($A289&lt;VLOOKUP(V$5,NFI,5,0),1,0)*Data_NFI_t[[#This Row],[Sewing Kit]],0)</f>
        <v>0</v>
      </c>
      <c r="AK289" s="131" t="str">
        <f ca="1">IFERROR(OFFSET(Camp_List[P_Code],MATCH(Data_NFI_t[[#This Row],[Camp Name]],Camp_List[Camp Name],0)-1,0,1,1),"")</f>
        <v>MMR012CMP041</v>
      </c>
      <c r="AL289" s="513" t="str">
        <f ca="1">IFERROR(OFFSET(Camp_List[Status],MATCH(Data_NFI_t[[#This Row],[Camp Name]],Camp_List[Camp Name],0)-1,0,1,1),"")</f>
        <v>Open</v>
      </c>
      <c r="AM289" s="131"/>
    </row>
    <row r="290" spans="1:39" s="90" customFormat="1" ht="19.5" customHeight="1" x14ac:dyDescent="0.25">
      <c r="A290" s="242">
        <f>IF(ISBLANK(C290),"",(Report_Date-C290)/30)</f>
        <v>50.666666666666664</v>
      </c>
      <c r="B290" s="242">
        <f>YEAR(Data_NFI_t[[#This Row],[Distribution Date]])</f>
        <v>2013</v>
      </c>
      <c r="C290" s="927">
        <v>41275</v>
      </c>
      <c r="D290" s="489" t="s">
        <v>519</v>
      </c>
      <c r="E290" s="488" t="s">
        <v>519</v>
      </c>
      <c r="F290" s="489" t="s">
        <v>7</v>
      </c>
      <c r="G290" s="794" t="s">
        <v>19</v>
      </c>
      <c r="H290" s="794" t="s">
        <v>64</v>
      </c>
      <c r="I290" s="794">
        <v>722</v>
      </c>
      <c r="J290" s="51"/>
      <c r="K290" s="51"/>
      <c r="L290" s="51"/>
      <c r="M290" s="51"/>
      <c r="N290" s="51"/>
      <c r="O290" s="51"/>
      <c r="P290" s="51"/>
      <c r="Q290" s="51"/>
      <c r="R290" s="511"/>
      <c r="S290" s="51"/>
      <c r="T290" s="51"/>
      <c r="U290" s="51"/>
      <c r="V290" s="51"/>
      <c r="W290" s="131">
        <f>IF(NFI_Expiration=1,IF($A290&lt;VLOOKUP(I$5,NFI,5,0),1,0)*Data_NFI_t[[#This Row],[Hygiene Kit]],0)</f>
        <v>0</v>
      </c>
      <c r="X290" s="131">
        <f>IF(NFI_Expiration=1,IF($A290&lt;VLOOKUP(J$5,NFI,5,0),1,0)*Data_NFI_t[[#This Row],[NFI Core Kit]],0)</f>
        <v>0</v>
      </c>
      <c r="Y290" s="112">
        <f>IF(NFI_Expiration=1,IF($A290&lt;VLOOKUP(K$5,NFI,5,0),1,0)*Data_NFI_t[[#This Row],[Sanitary Kit]],0)</f>
        <v>0</v>
      </c>
      <c r="Z290" s="112">
        <f>IF(NFI_Expiration=1,IF($A290&lt;VLOOKUP(L$5,NFI,5,0),1,0)*Data_NFI_t[[#This Row],[Mosquito net]],0)</f>
        <v>0</v>
      </c>
      <c r="AA290" s="112">
        <f>IF(NFI_Expiration=1,IF($A290&lt;VLOOKUP(M$5,NFI,5,0),1,0)*Data_NFI_t[[#This Row],[Tarpaulin]],0)</f>
        <v>0</v>
      </c>
      <c r="AB290" s="112">
        <f>IF(NFI_Expiration=1,IF($A290&lt;VLOOKUP(N$5,NFI,5,0),1,0)*Data_NFI_t[[#This Row],[Blanket]],0)</f>
        <v>0</v>
      </c>
      <c r="AC290" s="112">
        <f>IF(NFI_Expiration=1,IF($A290&lt;VLOOKUP(O$5,NFI,5,0),1,0)*Data_NFI_t[[#This Row],[Kitchen Set]],0)</f>
        <v>0</v>
      </c>
      <c r="AD290" s="112">
        <f>IF(NFI_Expiration=1,IF($A290&lt;VLOOKUP(P$5,NFI,5,0),1,0)*Data_NFI_t[[#This Row],[Complementary Kit]],0)</f>
        <v>0</v>
      </c>
      <c r="AE290" s="112">
        <f>IF(NFI_Expiration=1,IF($A290&lt;VLOOKUP(Q$5,NFI,5,0),1,0)*Data_NFI_t[[#This Row],[Plastic Bucket]],0)</f>
        <v>0</v>
      </c>
      <c r="AF290" s="112">
        <f>IF(NFI_Expiration=1,IF($A290&lt;VLOOKUP(R$5,NFI,5,0),1,0)*Data_NFI_t[[#This Row],[Jerry Can]],0)</f>
        <v>0</v>
      </c>
      <c r="AG290" s="131">
        <f>IF(NFI_Expiration=1,IF($A290&lt;VLOOKUP(S$5,NFI,5,0),1,0)*Data_NFI_t[[#This Row],[Plastic Mat]],0)*IF(Data_NFI_t[[#This Row],[Distribution Date]]&gt;"01-06-2015",1,2.5)</f>
        <v>0</v>
      </c>
      <c r="AH290" s="915">
        <f>IF(NFI_Expiration=1,IF($A290&lt;VLOOKUP(T$5,NFI,5,0),1,0)*Data_NFI_t[[#This Row],[Adult Clothes]],0)</f>
        <v>0</v>
      </c>
      <c r="AI290" s="131">
        <f>IF(NFI_Expiration=1,IF($A290&lt;VLOOKUP(U$5,NFI,5,0),1,0)*Data_NFI_t[[#This Row],[Children Clothes]],0)</f>
        <v>0</v>
      </c>
      <c r="AJ290" s="131">
        <f>IF(NFI_Expiration=1,IF($A290&lt;VLOOKUP(V$5,NFI,5,0),1,0)*Data_NFI_t[[#This Row],[Sewing Kit]],0)</f>
        <v>0</v>
      </c>
      <c r="AK290" s="131" t="str">
        <f ca="1">IFERROR(OFFSET(Camp_List[P_Code],MATCH(Data_NFI_t[[#This Row],[Camp Name]],Camp_List[Camp Name],0)-1,0,1,1),"")</f>
        <v>MMR012CMP042</v>
      </c>
      <c r="AL290" s="513" t="str">
        <f ca="1">IFERROR(OFFSET(Camp_List[Status],MATCH(Data_NFI_t[[#This Row],[Camp Name]],Camp_List[Camp Name],0)-1,0,1,1),"")</f>
        <v>Open</v>
      </c>
      <c r="AM290" s="131"/>
    </row>
    <row r="291" spans="1:39" s="90" customFormat="1" ht="19.5" customHeight="1" x14ac:dyDescent="0.25">
      <c r="A291" s="242">
        <f>IF(ISBLANK(C291),"",(Report_Date-C291)/30)</f>
        <v>50.666666666666664</v>
      </c>
      <c r="B291" s="242">
        <f>YEAR(Data_NFI_t[[#This Row],[Distribution Date]])</f>
        <v>2013</v>
      </c>
      <c r="C291" s="927">
        <v>41275</v>
      </c>
      <c r="D291" s="489" t="s">
        <v>517</v>
      </c>
      <c r="E291" s="488" t="s">
        <v>517</v>
      </c>
      <c r="F291" s="489" t="s">
        <v>7</v>
      </c>
      <c r="G291" s="794" t="s">
        <v>19</v>
      </c>
      <c r="H291" s="794" t="s">
        <v>76</v>
      </c>
      <c r="I291" s="794">
        <v>80</v>
      </c>
      <c r="J291" s="51"/>
      <c r="K291" s="51"/>
      <c r="L291" s="51"/>
      <c r="M291" s="51"/>
      <c r="N291" s="51"/>
      <c r="O291" s="51"/>
      <c r="P291" s="51"/>
      <c r="Q291" s="51"/>
      <c r="R291" s="511"/>
      <c r="S291" s="51"/>
      <c r="T291" s="51"/>
      <c r="U291" s="51"/>
      <c r="V291" s="51"/>
      <c r="W291" s="131">
        <f>IF(NFI_Expiration=1,IF($A291&lt;VLOOKUP(I$5,NFI,5,0),1,0)*Data_NFI_t[[#This Row],[Hygiene Kit]],0)</f>
        <v>0</v>
      </c>
      <c r="X291" s="131">
        <f>IF(NFI_Expiration=1,IF($A291&lt;VLOOKUP(J$5,NFI,5,0),1,0)*Data_NFI_t[[#This Row],[NFI Core Kit]],0)</f>
        <v>0</v>
      </c>
      <c r="Y291" s="112">
        <f>IF(NFI_Expiration=1,IF($A291&lt;VLOOKUP(K$5,NFI,5,0),1,0)*Data_NFI_t[[#This Row],[Sanitary Kit]],0)</f>
        <v>0</v>
      </c>
      <c r="Z291" s="112">
        <f>IF(NFI_Expiration=1,IF($A291&lt;VLOOKUP(L$5,NFI,5,0),1,0)*Data_NFI_t[[#This Row],[Mosquito net]],0)</f>
        <v>0</v>
      </c>
      <c r="AA291" s="112">
        <f>IF(NFI_Expiration=1,IF($A291&lt;VLOOKUP(M$5,NFI,5,0),1,0)*Data_NFI_t[[#This Row],[Tarpaulin]],0)</f>
        <v>0</v>
      </c>
      <c r="AB291" s="112">
        <f>IF(NFI_Expiration=1,IF($A291&lt;VLOOKUP(N$5,NFI,5,0),1,0)*Data_NFI_t[[#This Row],[Blanket]],0)</f>
        <v>0</v>
      </c>
      <c r="AC291" s="112">
        <f>IF(NFI_Expiration=1,IF($A291&lt;VLOOKUP(O$5,NFI,5,0),1,0)*Data_NFI_t[[#This Row],[Kitchen Set]],0)</f>
        <v>0</v>
      </c>
      <c r="AD291" s="112">
        <f>IF(NFI_Expiration=1,IF($A291&lt;VLOOKUP(P$5,NFI,5,0),1,0)*Data_NFI_t[[#This Row],[Complementary Kit]],0)</f>
        <v>0</v>
      </c>
      <c r="AE291" s="112">
        <f>IF(NFI_Expiration=1,IF($A291&lt;VLOOKUP(Q$5,NFI,5,0),1,0)*Data_NFI_t[[#This Row],[Plastic Bucket]],0)</f>
        <v>0</v>
      </c>
      <c r="AF291" s="112">
        <f>IF(NFI_Expiration=1,IF($A291&lt;VLOOKUP(R$5,NFI,5,0),1,0)*Data_NFI_t[[#This Row],[Jerry Can]],0)</f>
        <v>0</v>
      </c>
      <c r="AG291" s="131">
        <f>IF(NFI_Expiration=1,IF($A291&lt;VLOOKUP(S$5,NFI,5,0),1,0)*Data_NFI_t[[#This Row],[Plastic Mat]],0)*IF(Data_NFI_t[[#This Row],[Distribution Date]]&gt;"01-06-2015",1,2.5)</f>
        <v>0</v>
      </c>
      <c r="AH291" s="915">
        <f>IF(NFI_Expiration=1,IF($A291&lt;VLOOKUP(T$5,NFI,5,0),1,0)*Data_NFI_t[[#This Row],[Adult Clothes]],0)</f>
        <v>0</v>
      </c>
      <c r="AI291" s="131">
        <f>IF(NFI_Expiration=1,IF($A291&lt;VLOOKUP(U$5,NFI,5,0),1,0)*Data_NFI_t[[#This Row],[Children Clothes]],0)</f>
        <v>0</v>
      </c>
      <c r="AJ291" s="131">
        <f>IF(NFI_Expiration=1,IF($A291&lt;VLOOKUP(V$5,NFI,5,0),1,0)*Data_NFI_t[[#This Row],[Sewing Kit]],0)</f>
        <v>0</v>
      </c>
      <c r="AK291" s="131" t="str">
        <f ca="1">IFERROR(OFFSET(Camp_List[P_Code],MATCH(Data_NFI_t[[#This Row],[Camp Name]],Camp_List[Camp Name],0)-1,0,1,1),"")</f>
        <v>MMR012CMP054</v>
      </c>
      <c r="AL291" s="513" t="str">
        <f ca="1">IFERROR(OFFSET(Camp_List[Status],MATCH(Data_NFI_t[[#This Row],[Camp Name]],Camp_List[Camp Name],0)-1,0,1,1),"")</f>
        <v>Close</v>
      </c>
      <c r="AM291" s="131"/>
    </row>
    <row r="292" spans="1:39" s="90" customFormat="1" ht="19.5" customHeight="1" x14ac:dyDescent="0.25">
      <c r="A292" s="242">
        <f>IF(ISBLANK(C292),"",(Report_Date-C292)/30)</f>
        <v>50.666666666666664</v>
      </c>
      <c r="B292" s="242">
        <f>YEAR(Data_NFI_t[[#This Row],[Distribution Date]])</f>
        <v>2013</v>
      </c>
      <c r="C292" s="927">
        <v>41275</v>
      </c>
      <c r="D292" s="489" t="s">
        <v>517</v>
      </c>
      <c r="E292" s="488" t="s">
        <v>517</v>
      </c>
      <c r="F292" s="489" t="s">
        <v>7</v>
      </c>
      <c r="G292" s="794" t="s">
        <v>11</v>
      </c>
      <c r="H292" s="794" t="s">
        <v>35</v>
      </c>
      <c r="I292" s="794">
        <v>50</v>
      </c>
      <c r="J292" s="51"/>
      <c r="K292" s="51"/>
      <c r="L292" s="51"/>
      <c r="M292" s="51"/>
      <c r="N292" s="51"/>
      <c r="O292" s="51"/>
      <c r="P292" s="51"/>
      <c r="Q292" s="51"/>
      <c r="R292" s="511"/>
      <c r="S292" s="51"/>
      <c r="T292" s="51"/>
      <c r="U292" s="51"/>
      <c r="V292" s="51"/>
      <c r="W292" s="131">
        <f>IF(NFI_Expiration=1,IF($A292&lt;VLOOKUP(I$5,NFI,5,0),1,0)*Data_NFI_t[[#This Row],[Hygiene Kit]],0)</f>
        <v>0</v>
      </c>
      <c r="X292" s="131">
        <f>IF(NFI_Expiration=1,IF($A292&lt;VLOOKUP(J$5,NFI,5,0),1,0)*Data_NFI_t[[#This Row],[NFI Core Kit]],0)</f>
        <v>0</v>
      </c>
      <c r="Y292" s="112">
        <f>IF(NFI_Expiration=1,IF($A292&lt;VLOOKUP(K$5,NFI,5,0),1,0)*Data_NFI_t[[#This Row],[Sanitary Kit]],0)</f>
        <v>0</v>
      </c>
      <c r="Z292" s="112">
        <f>IF(NFI_Expiration=1,IF($A292&lt;VLOOKUP(L$5,NFI,5,0),1,0)*Data_NFI_t[[#This Row],[Mosquito net]],0)</f>
        <v>0</v>
      </c>
      <c r="AA292" s="112">
        <f>IF(NFI_Expiration=1,IF($A292&lt;VLOOKUP(M$5,NFI,5,0),1,0)*Data_NFI_t[[#This Row],[Tarpaulin]],0)</f>
        <v>0</v>
      </c>
      <c r="AB292" s="112">
        <f>IF(NFI_Expiration=1,IF($A292&lt;VLOOKUP(N$5,NFI,5,0),1,0)*Data_NFI_t[[#This Row],[Blanket]],0)</f>
        <v>0</v>
      </c>
      <c r="AC292" s="112">
        <f>IF(NFI_Expiration=1,IF($A292&lt;VLOOKUP(O$5,NFI,5,0),1,0)*Data_NFI_t[[#This Row],[Kitchen Set]],0)</f>
        <v>0</v>
      </c>
      <c r="AD292" s="112">
        <f>IF(NFI_Expiration=1,IF($A292&lt;VLOOKUP(P$5,NFI,5,0),1,0)*Data_NFI_t[[#This Row],[Complementary Kit]],0)</f>
        <v>0</v>
      </c>
      <c r="AE292" s="112">
        <f>IF(NFI_Expiration=1,IF($A292&lt;VLOOKUP(Q$5,NFI,5,0),1,0)*Data_NFI_t[[#This Row],[Plastic Bucket]],0)</f>
        <v>0</v>
      </c>
      <c r="AF292" s="112">
        <f>IF(NFI_Expiration=1,IF($A292&lt;VLOOKUP(R$5,NFI,5,0),1,0)*Data_NFI_t[[#This Row],[Jerry Can]],0)</f>
        <v>0</v>
      </c>
      <c r="AG292" s="131">
        <f>IF(NFI_Expiration=1,IF($A292&lt;VLOOKUP(S$5,NFI,5,0),1,0)*Data_NFI_t[[#This Row],[Plastic Mat]],0)*IF(Data_NFI_t[[#This Row],[Distribution Date]]&gt;"01-06-2015",1,2.5)</f>
        <v>0</v>
      </c>
      <c r="AH292" s="915">
        <f>IF(NFI_Expiration=1,IF($A292&lt;VLOOKUP(T$5,NFI,5,0),1,0)*Data_NFI_t[[#This Row],[Adult Clothes]],0)</f>
        <v>0</v>
      </c>
      <c r="AI292" s="131">
        <f>IF(NFI_Expiration=1,IF($A292&lt;VLOOKUP(U$5,NFI,5,0),1,0)*Data_NFI_t[[#This Row],[Children Clothes]],0)</f>
        <v>0</v>
      </c>
      <c r="AJ292" s="131">
        <f>IF(NFI_Expiration=1,IF($A292&lt;VLOOKUP(V$5,NFI,5,0),1,0)*Data_NFI_t[[#This Row],[Sewing Kit]],0)</f>
        <v>0</v>
      </c>
      <c r="AK292" s="131" t="str">
        <f ca="1">IFERROR(OFFSET(Camp_List[P_Code],MATCH(Data_NFI_t[[#This Row],[Camp Name]],Camp_List[Camp Name],0)-1,0,1,1),"")</f>
        <v>MMR012CMP011</v>
      </c>
      <c r="AL292" s="513" t="str">
        <f ca="1">IFERROR(OFFSET(Camp_List[Status],MATCH(Data_NFI_t[[#This Row],[Camp Name]],Camp_List[Camp Name],0)-1,0,1,1),"")</f>
        <v>Close</v>
      </c>
      <c r="AM292" s="131"/>
    </row>
    <row r="293" spans="1:39" s="90" customFormat="1" ht="19.5" customHeight="1" x14ac:dyDescent="0.25">
      <c r="A293" s="242">
        <f>IF(ISBLANK(C293),"",(Report_Date-C293)/30)</f>
        <v>50.666666666666664</v>
      </c>
      <c r="B293" s="242">
        <f>YEAR(Data_NFI_t[[#This Row],[Distribution Date]])</f>
        <v>2013</v>
      </c>
      <c r="C293" s="927">
        <v>41275</v>
      </c>
      <c r="D293" s="489" t="s">
        <v>517</v>
      </c>
      <c r="E293" s="488" t="s">
        <v>517</v>
      </c>
      <c r="F293" s="489" t="s">
        <v>7</v>
      </c>
      <c r="G293" s="794" t="s">
        <v>19</v>
      </c>
      <c r="H293" s="794" t="s">
        <v>78</v>
      </c>
      <c r="I293" s="794">
        <v>220</v>
      </c>
      <c r="J293" s="51"/>
      <c r="K293" s="51"/>
      <c r="L293" s="51"/>
      <c r="M293" s="51"/>
      <c r="N293" s="51"/>
      <c r="O293" s="51"/>
      <c r="P293" s="51"/>
      <c r="Q293" s="51"/>
      <c r="R293" s="511"/>
      <c r="S293" s="51"/>
      <c r="T293" s="51"/>
      <c r="U293" s="51"/>
      <c r="V293" s="51"/>
      <c r="W293" s="131">
        <f>IF(NFI_Expiration=1,IF($A293&lt;VLOOKUP(I$5,NFI,5,0),1,0)*Data_NFI_t[[#This Row],[Hygiene Kit]],0)</f>
        <v>0</v>
      </c>
      <c r="X293" s="131">
        <f>IF(NFI_Expiration=1,IF($A293&lt;VLOOKUP(J$5,NFI,5,0),1,0)*Data_NFI_t[[#This Row],[NFI Core Kit]],0)</f>
        <v>0</v>
      </c>
      <c r="Y293" s="112">
        <f>IF(NFI_Expiration=1,IF($A293&lt;VLOOKUP(K$5,NFI,5,0),1,0)*Data_NFI_t[[#This Row],[Sanitary Kit]],0)</f>
        <v>0</v>
      </c>
      <c r="Z293" s="112">
        <f>IF(NFI_Expiration=1,IF($A293&lt;VLOOKUP(L$5,NFI,5,0),1,0)*Data_NFI_t[[#This Row],[Mosquito net]],0)</f>
        <v>0</v>
      </c>
      <c r="AA293" s="112">
        <f>IF(NFI_Expiration=1,IF($A293&lt;VLOOKUP(M$5,NFI,5,0),1,0)*Data_NFI_t[[#This Row],[Tarpaulin]],0)</f>
        <v>0</v>
      </c>
      <c r="AB293" s="112">
        <f>IF(NFI_Expiration=1,IF($A293&lt;VLOOKUP(N$5,NFI,5,0),1,0)*Data_NFI_t[[#This Row],[Blanket]],0)</f>
        <v>0</v>
      </c>
      <c r="AC293" s="112">
        <f>IF(NFI_Expiration=1,IF($A293&lt;VLOOKUP(O$5,NFI,5,0),1,0)*Data_NFI_t[[#This Row],[Kitchen Set]],0)</f>
        <v>0</v>
      </c>
      <c r="AD293" s="112">
        <f>IF(NFI_Expiration=1,IF($A293&lt;VLOOKUP(P$5,NFI,5,0),1,0)*Data_NFI_t[[#This Row],[Complementary Kit]],0)</f>
        <v>0</v>
      </c>
      <c r="AE293" s="112">
        <f>IF(NFI_Expiration=1,IF($A293&lt;VLOOKUP(Q$5,NFI,5,0),1,0)*Data_NFI_t[[#This Row],[Plastic Bucket]],0)</f>
        <v>0</v>
      </c>
      <c r="AF293" s="112">
        <f>IF(NFI_Expiration=1,IF($A293&lt;VLOOKUP(R$5,NFI,5,0),1,0)*Data_NFI_t[[#This Row],[Jerry Can]],0)</f>
        <v>0</v>
      </c>
      <c r="AG293" s="131">
        <f>IF(NFI_Expiration=1,IF($A293&lt;VLOOKUP(S$5,NFI,5,0),1,0)*Data_NFI_t[[#This Row],[Plastic Mat]],0)*IF(Data_NFI_t[[#This Row],[Distribution Date]]&gt;"01-06-2015",1,2.5)</f>
        <v>0</v>
      </c>
      <c r="AH293" s="915">
        <f>IF(NFI_Expiration=1,IF($A293&lt;VLOOKUP(T$5,NFI,5,0),1,0)*Data_NFI_t[[#This Row],[Adult Clothes]],0)</f>
        <v>0</v>
      </c>
      <c r="AI293" s="131">
        <f>IF(NFI_Expiration=1,IF($A293&lt;VLOOKUP(U$5,NFI,5,0),1,0)*Data_NFI_t[[#This Row],[Children Clothes]],0)</f>
        <v>0</v>
      </c>
      <c r="AJ293" s="131">
        <f>IF(NFI_Expiration=1,IF($A293&lt;VLOOKUP(V$5,NFI,5,0),1,0)*Data_NFI_t[[#This Row],[Sewing Kit]],0)</f>
        <v>0</v>
      </c>
      <c r="AK293" s="131" t="str">
        <f ca="1">IFERROR(OFFSET(Camp_List[P_Code],MATCH(Data_NFI_t[[#This Row],[Camp Name]],Camp_List[Camp Name],0)-1,0,1,1),"")</f>
        <v>MMR012CMP056</v>
      </c>
      <c r="AL293" s="513" t="str">
        <f ca="1">IFERROR(OFFSET(Camp_List[Status],MATCH(Data_NFI_t[[#This Row],[Camp Name]],Camp_List[Camp Name],0)-1,0,1,1),"")</f>
        <v>Relocated</v>
      </c>
      <c r="AM293" s="131"/>
    </row>
    <row r="294" spans="1:39" s="90" customFormat="1" ht="19.5" customHeight="1" x14ac:dyDescent="0.25">
      <c r="A294" s="242">
        <f>IF(ISBLANK(C294),"",(Report_Date-C294)/30)</f>
        <v>50.666666666666664</v>
      </c>
      <c r="B294" s="242">
        <f>YEAR(Data_NFI_t[[#This Row],[Distribution Date]])</f>
        <v>2013</v>
      </c>
      <c r="C294" s="927">
        <v>41275</v>
      </c>
      <c r="D294" s="489" t="s">
        <v>518</v>
      </c>
      <c r="E294" s="488" t="s">
        <v>292</v>
      </c>
      <c r="F294" s="489" t="s">
        <v>7</v>
      </c>
      <c r="G294" s="794" t="s">
        <v>19</v>
      </c>
      <c r="H294" s="794" t="s">
        <v>78</v>
      </c>
      <c r="I294" s="794">
        <v>220</v>
      </c>
      <c r="J294" s="51"/>
      <c r="K294" s="51"/>
      <c r="L294" s="51"/>
      <c r="M294" s="51"/>
      <c r="N294" s="51"/>
      <c r="O294" s="51"/>
      <c r="P294" s="51"/>
      <c r="Q294" s="51"/>
      <c r="R294" s="511"/>
      <c r="S294" s="51"/>
      <c r="T294" s="51"/>
      <c r="U294" s="51"/>
      <c r="V294" s="51"/>
      <c r="W294" s="131">
        <f>IF(NFI_Expiration=1,IF($A294&lt;VLOOKUP(I$5,NFI,5,0),1,0)*Data_NFI_t[[#This Row],[Hygiene Kit]],0)</f>
        <v>0</v>
      </c>
      <c r="X294" s="131">
        <f>IF(NFI_Expiration=1,IF($A294&lt;VLOOKUP(J$5,NFI,5,0),1,0)*Data_NFI_t[[#This Row],[NFI Core Kit]],0)</f>
        <v>0</v>
      </c>
      <c r="Y294" s="112">
        <f>IF(NFI_Expiration=1,IF($A294&lt;VLOOKUP(K$5,NFI,5,0),1,0)*Data_NFI_t[[#This Row],[Sanitary Kit]],0)</f>
        <v>0</v>
      </c>
      <c r="Z294" s="112">
        <f>IF(NFI_Expiration=1,IF($A294&lt;VLOOKUP(L$5,NFI,5,0),1,0)*Data_NFI_t[[#This Row],[Mosquito net]],0)</f>
        <v>0</v>
      </c>
      <c r="AA294" s="112">
        <f>IF(NFI_Expiration=1,IF($A294&lt;VLOOKUP(M$5,NFI,5,0),1,0)*Data_NFI_t[[#This Row],[Tarpaulin]],0)</f>
        <v>0</v>
      </c>
      <c r="AB294" s="112">
        <f>IF(NFI_Expiration=1,IF($A294&lt;VLOOKUP(N$5,NFI,5,0),1,0)*Data_NFI_t[[#This Row],[Blanket]],0)</f>
        <v>0</v>
      </c>
      <c r="AC294" s="112">
        <f>IF(NFI_Expiration=1,IF($A294&lt;VLOOKUP(O$5,NFI,5,0),1,0)*Data_NFI_t[[#This Row],[Kitchen Set]],0)</f>
        <v>0</v>
      </c>
      <c r="AD294" s="112">
        <f>IF(NFI_Expiration=1,IF($A294&lt;VLOOKUP(P$5,NFI,5,0),1,0)*Data_NFI_t[[#This Row],[Complementary Kit]],0)</f>
        <v>0</v>
      </c>
      <c r="AE294" s="112">
        <f>IF(NFI_Expiration=1,IF($A294&lt;VLOOKUP(Q$5,NFI,5,0),1,0)*Data_NFI_t[[#This Row],[Plastic Bucket]],0)</f>
        <v>0</v>
      </c>
      <c r="AF294" s="112">
        <f>IF(NFI_Expiration=1,IF($A294&lt;VLOOKUP(R$5,NFI,5,0),1,0)*Data_NFI_t[[#This Row],[Jerry Can]],0)</f>
        <v>0</v>
      </c>
      <c r="AG294" s="131">
        <f>IF(NFI_Expiration=1,IF($A294&lt;VLOOKUP(S$5,NFI,5,0),1,0)*Data_NFI_t[[#This Row],[Plastic Mat]],0)*IF(Data_NFI_t[[#This Row],[Distribution Date]]&gt;"01-06-2015",1,2.5)</f>
        <v>0</v>
      </c>
      <c r="AH294" s="915">
        <f>IF(NFI_Expiration=1,IF($A294&lt;VLOOKUP(T$5,NFI,5,0),1,0)*Data_NFI_t[[#This Row],[Adult Clothes]],0)</f>
        <v>0</v>
      </c>
      <c r="AI294" s="131">
        <f>IF(NFI_Expiration=1,IF($A294&lt;VLOOKUP(U$5,NFI,5,0),1,0)*Data_NFI_t[[#This Row],[Children Clothes]],0)</f>
        <v>0</v>
      </c>
      <c r="AJ294" s="131">
        <f>IF(NFI_Expiration=1,IF($A294&lt;VLOOKUP(V$5,NFI,5,0),1,0)*Data_NFI_t[[#This Row],[Sewing Kit]],0)</f>
        <v>0</v>
      </c>
      <c r="AK294" s="131" t="str">
        <f ca="1">IFERROR(OFFSET(Camp_List[P_Code],MATCH(Data_NFI_t[[#This Row],[Camp Name]],Camp_List[Camp Name],0)-1,0,1,1),"")</f>
        <v>MMR012CMP056</v>
      </c>
      <c r="AL294" s="513" t="str">
        <f ca="1">IFERROR(OFFSET(Camp_List[Status],MATCH(Data_NFI_t[[#This Row],[Camp Name]],Camp_List[Camp Name],0)-1,0,1,1),"")</f>
        <v>Relocated</v>
      </c>
      <c r="AM294" s="131"/>
    </row>
    <row r="295" spans="1:39" s="90" customFormat="1" ht="19.5" customHeight="1" x14ac:dyDescent="0.25">
      <c r="A295" s="242">
        <f>IF(ISBLANK(C295),"",(Report_Date-C295)/30)</f>
        <v>50.666666666666664</v>
      </c>
      <c r="B295" s="242">
        <f>YEAR(Data_NFI_t[[#This Row],[Distribution Date]])</f>
        <v>2013</v>
      </c>
      <c r="C295" s="927">
        <v>41275</v>
      </c>
      <c r="D295" s="489" t="s">
        <v>518</v>
      </c>
      <c r="E295" s="488" t="s">
        <v>292</v>
      </c>
      <c r="F295" s="489" t="s">
        <v>7</v>
      </c>
      <c r="G295" s="794" t="s">
        <v>19</v>
      </c>
      <c r="H295" s="794" t="s">
        <v>68</v>
      </c>
      <c r="I295" s="794">
        <v>2939</v>
      </c>
      <c r="J295" s="51"/>
      <c r="K295" s="51"/>
      <c r="L295" s="51"/>
      <c r="M295" s="51"/>
      <c r="N295" s="51"/>
      <c r="O295" s="51"/>
      <c r="P295" s="51"/>
      <c r="Q295" s="51"/>
      <c r="R295" s="511"/>
      <c r="S295" s="51"/>
      <c r="T295" s="51"/>
      <c r="U295" s="51"/>
      <c r="V295" s="51"/>
      <c r="W295" s="131">
        <f>IF(NFI_Expiration=1,IF($A295&lt;VLOOKUP(I$5,NFI,5,0),1,0)*Data_NFI_t[[#This Row],[Hygiene Kit]],0)</f>
        <v>0</v>
      </c>
      <c r="X295" s="131">
        <f>IF(NFI_Expiration=1,IF($A295&lt;VLOOKUP(J$5,NFI,5,0),1,0)*Data_NFI_t[[#This Row],[NFI Core Kit]],0)</f>
        <v>0</v>
      </c>
      <c r="Y295" s="112">
        <f>IF(NFI_Expiration=1,IF($A295&lt;VLOOKUP(K$5,NFI,5,0),1,0)*Data_NFI_t[[#This Row],[Sanitary Kit]],0)</f>
        <v>0</v>
      </c>
      <c r="Z295" s="112">
        <f>IF(NFI_Expiration=1,IF($A295&lt;VLOOKUP(L$5,NFI,5,0),1,0)*Data_NFI_t[[#This Row],[Mosquito net]],0)</f>
        <v>0</v>
      </c>
      <c r="AA295" s="112">
        <f>IF(NFI_Expiration=1,IF($A295&lt;VLOOKUP(M$5,NFI,5,0),1,0)*Data_NFI_t[[#This Row],[Tarpaulin]],0)</f>
        <v>0</v>
      </c>
      <c r="AB295" s="112">
        <f>IF(NFI_Expiration=1,IF($A295&lt;VLOOKUP(N$5,NFI,5,0),1,0)*Data_NFI_t[[#This Row],[Blanket]],0)</f>
        <v>0</v>
      </c>
      <c r="AC295" s="112">
        <f>IF(NFI_Expiration=1,IF($A295&lt;VLOOKUP(O$5,NFI,5,0),1,0)*Data_NFI_t[[#This Row],[Kitchen Set]],0)</f>
        <v>0</v>
      </c>
      <c r="AD295" s="112">
        <f>IF(NFI_Expiration=1,IF($A295&lt;VLOOKUP(P$5,NFI,5,0),1,0)*Data_NFI_t[[#This Row],[Complementary Kit]],0)</f>
        <v>0</v>
      </c>
      <c r="AE295" s="112">
        <f>IF(NFI_Expiration=1,IF($A295&lt;VLOOKUP(Q$5,NFI,5,0),1,0)*Data_NFI_t[[#This Row],[Plastic Bucket]],0)</f>
        <v>0</v>
      </c>
      <c r="AF295" s="112">
        <f>IF(NFI_Expiration=1,IF($A295&lt;VLOOKUP(R$5,NFI,5,0),1,0)*Data_NFI_t[[#This Row],[Jerry Can]],0)</f>
        <v>0</v>
      </c>
      <c r="AG295" s="131">
        <f>IF(NFI_Expiration=1,IF($A295&lt;VLOOKUP(S$5,NFI,5,0),1,0)*Data_NFI_t[[#This Row],[Plastic Mat]],0)*IF(Data_NFI_t[[#This Row],[Distribution Date]]&gt;"01-06-2015",1,2.5)</f>
        <v>0</v>
      </c>
      <c r="AH295" s="915">
        <f>IF(NFI_Expiration=1,IF($A295&lt;VLOOKUP(T$5,NFI,5,0),1,0)*Data_NFI_t[[#This Row],[Adult Clothes]],0)</f>
        <v>0</v>
      </c>
      <c r="AI295" s="131">
        <f>IF(NFI_Expiration=1,IF($A295&lt;VLOOKUP(U$5,NFI,5,0),1,0)*Data_NFI_t[[#This Row],[Children Clothes]],0)</f>
        <v>0</v>
      </c>
      <c r="AJ295" s="131">
        <f>IF(NFI_Expiration=1,IF($A295&lt;VLOOKUP(V$5,NFI,5,0),1,0)*Data_NFI_t[[#This Row],[Sewing Kit]],0)</f>
        <v>0</v>
      </c>
      <c r="AK295" s="131" t="str">
        <f ca="1">IFERROR(OFFSET(Camp_List[P_Code],MATCH(Data_NFI_t[[#This Row],[Camp Name]],Camp_List[Camp Name],0)-1,0,1,1),"")</f>
        <v>MMR012CMP046</v>
      </c>
      <c r="AL295" s="513" t="str">
        <f ca="1">IFERROR(OFFSET(Camp_List[Status],MATCH(Data_NFI_t[[#This Row],[Camp Name]],Camp_List[Camp Name],0)-1,0,1,1),"")</f>
        <v>Open</v>
      </c>
      <c r="AM295" s="131"/>
    </row>
    <row r="296" spans="1:39" s="90" customFormat="1" ht="19.5" customHeight="1" x14ac:dyDescent="0.25">
      <c r="A296" s="242">
        <f>IF(ISBLANK(C296),"",(Report_Date-C296)/30)</f>
        <v>50.93333333333333</v>
      </c>
      <c r="B296" s="242">
        <f>YEAR(Data_NFI_t[[#This Row],[Distribution Date]])</f>
        <v>2012</v>
      </c>
      <c r="C296" s="927">
        <v>41267</v>
      </c>
      <c r="D296" s="489" t="s">
        <v>285</v>
      </c>
      <c r="E296" s="488"/>
      <c r="F296" s="489" t="s">
        <v>7</v>
      </c>
      <c r="G296" s="794" t="s">
        <v>14</v>
      </c>
      <c r="H296" s="794" t="s">
        <v>40</v>
      </c>
      <c r="I296" s="794"/>
      <c r="J296" s="51"/>
      <c r="K296" s="51"/>
      <c r="L296" s="51"/>
      <c r="M296" s="51">
        <v>758</v>
      </c>
      <c r="N296" s="51"/>
      <c r="O296" s="51"/>
      <c r="P296" s="51"/>
      <c r="Q296" s="51"/>
      <c r="R296" s="511"/>
      <c r="S296" s="51"/>
      <c r="T296" s="51"/>
      <c r="U296" s="51"/>
      <c r="V296" s="51"/>
      <c r="W296" s="131">
        <f>IF(NFI_Expiration=1,IF($A296&lt;VLOOKUP(I$5,NFI,5,0),1,0)*Data_NFI_t[[#This Row],[Hygiene Kit]],0)</f>
        <v>0</v>
      </c>
      <c r="X296" s="131">
        <f>IF(NFI_Expiration=1,IF($A296&lt;VLOOKUP(J$5,NFI,5,0),1,0)*Data_NFI_t[[#This Row],[NFI Core Kit]],0)</f>
        <v>0</v>
      </c>
      <c r="Y296" s="112">
        <f>IF(NFI_Expiration=1,IF($A296&lt;VLOOKUP(K$5,NFI,5,0),1,0)*Data_NFI_t[[#This Row],[Sanitary Kit]],0)</f>
        <v>0</v>
      </c>
      <c r="Z296" s="112">
        <f>IF(NFI_Expiration=1,IF($A296&lt;VLOOKUP(L$5,NFI,5,0),1,0)*Data_NFI_t[[#This Row],[Mosquito net]],0)</f>
        <v>0</v>
      </c>
      <c r="AA296" s="112">
        <f>IF(NFI_Expiration=1,IF($A296&lt;VLOOKUP(M$5,NFI,5,0),1,0)*Data_NFI_t[[#This Row],[Tarpaulin]],0)</f>
        <v>0</v>
      </c>
      <c r="AB296" s="112">
        <f>IF(NFI_Expiration=1,IF($A296&lt;VLOOKUP(N$5,NFI,5,0),1,0)*Data_NFI_t[[#This Row],[Blanket]],0)</f>
        <v>0</v>
      </c>
      <c r="AC296" s="112">
        <f>IF(NFI_Expiration=1,IF($A296&lt;VLOOKUP(O$5,NFI,5,0),1,0)*Data_NFI_t[[#This Row],[Kitchen Set]],0)</f>
        <v>0</v>
      </c>
      <c r="AD296" s="112">
        <f>IF(NFI_Expiration=1,IF($A296&lt;VLOOKUP(P$5,NFI,5,0),1,0)*Data_NFI_t[[#This Row],[Complementary Kit]],0)</f>
        <v>0</v>
      </c>
      <c r="AE296" s="112">
        <f>IF(NFI_Expiration=1,IF($A296&lt;VLOOKUP(Q$5,NFI,5,0),1,0)*Data_NFI_t[[#This Row],[Plastic Bucket]],0)</f>
        <v>0</v>
      </c>
      <c r="AF296" s="112">
        <f>IF(NFI_Expiration=1,IF($A296&lt;VLOOKUP(R$5,NFI,5,0),1,0)*Data_NFI_t[[#This Row],[Jerry Can]],0)</f>
        <v>0</v>
      </c>
      <c r="AG296" s="131">
        <f>IF(NFI_Expiration=1,IF($A296&lt;VLOOKUP(S$5,NFI,5,0),1,0)*Data_NFI_t[[#This Row],[Plastic Mat]],0)*IF(Data_NFI_t[[#This Row],[Distribution Date]]&gt;"01-06-2015",1,2.5)</f>
        <v>0</v>
      </c>
      <c r="AH296" s="915">
        <f>IF(NFI_Expiration=1,IF($A296&lt;VLOOKUP(T$5,NFI,5,0),1,0)*Data_NFI_t[[#This Row],[Adult Clothes]],0)</f>
        <v>0</v>
      </c>
      <c r="AI296" s="131">
        <f>IF(NFI_Expiration=1,IF($A296&lt;VLOOKUP(U$5,NFI,5,0),1,0)*Data_NFI_t[[#This Row],[Children Clothes]],0)</f>
        <v>0</v>
      </c>
      <c r="AJ296" s="131">
        <f>IF(NFI_Expiration=1,IF($A296&lt;VLOOKUP(V$5,NFI,5,0),1,0)*Data_NFI_t[[#This Row],[Sewing Kit]],0)</f>
        <v>0</v>
      </c>
      <c r="AK296" s="131" t="str">
        <f ca="1">IFERROR(OFFSET(Camp_List[P_Code],MATCH(Data_NFI_t[[#This Row],[Camp Name]],Camp_List[Camp Name],0)-1,0,1,1),"")</f>
        <v>MMR012CMP016</v>
      </c>
      <c r="AL296" s="513" t="str">
        <f ca="1">IFERROR(OFFSET(Camp_List[Status],MATCH(Data_NFI_t[[#This Row],[Camp Name]],Camp_List[Camp Name],0)-1,0,1,1),"")</f>
        <v>Open</v>
      </c>
      <c r="AM296" s="131"/>
    </row>
    <row r="297" spans="1:39" s="90" customFormat="1" ht="19.5" customHeight="1" x14ac:dyDescent="0.25">
      <c r="A297" s="242">
        <f>IF(ISBLANK(C297),"",(Report_Date-C297)/30)</f>
        <v>50.93333333333333</v>
      </c>
      <c r="B297" s="242">
        <f>YEAR(Data_NFI_t[[#This Row],[Distribution Date]])</f>
        <v>2012</v>
      </c>
      <c r="C297" s="927">
        <v>41267</v>
      </c>
      <c r="D297" s="489" t="s">
        <v>285</v>
      </c>
      <c r="E297" s="488"/>
      <c r="F297" s="489" t="s">
        <v>7</v>
      </c>
      <c r="G297" s="794" t="s">
        <v>14</v>
      </c>
      <c r="H297" s="794" t="s">
        <v>41</v>
      </c>
      <c r="I297" s="794"/>
      <c r="J297" s="51"/>
      <c r="K297" s="51"/>
      <c r="L297" s="51"/>
      <c r="M297" s="51">
        <v>1306</v>
      </c>
      <c r="N297" s="51"/>
      <c r="O297" s="51"/>
      <c r="P297" s="51"/>
      <c r="Q297" s="51"/>
      <c r="R297" s="511"/>
      <c r="S297" s="51"/>
      <c r="T297" s="51"/>
      <c r="U297" s="51"/>
      <c r="V297" s="51"/>
      <c r="W297" s="131">
        <f>IF(NFI_Expiration=1,IF($A297&lt;VLOOKUP(I$5,NFI,5,0),1,0)*Data_NFI_t[[#This Row],[Hygiene Kit]],0)</f>
        <v>0</v>
      </c>
      <c r="X297" s="131">
        <f>IF(NFI_Expiration=1,IF($A297&lt;VLOOKUP(J$5,NFI,5,0),1,0)*Data_NFI_t[[#This Row],[NFI Core Kit]],0)</f>
        <v>0</v>
      </c>
      <c r="Y297" s="112">
        <f>IF(NFI_Expiration=1,IF($A297&lt;VLOOKUP(K$5,NFI,5,0),1,0)*Data_NFI_t[[#This Row],[Sanitary Kit]],0)</f>
        <v>0</v>
      </c>
      <c r="Z297" s="112">
        <f>IF(NFI_Expiration=1,IF($A297&lt;VLOOKUP(L$5,NFI,5,0),1,0)*Data_NFI_t[[#This Row],[Mosquito net]],0)</f>
        <v>0</v>
      </c>
      <c r="AA297" s="112">
        <f>IF(NFI_Expiration=1,IF($A297&lt;VLOOKUP(M$5,NFI,5,0),1,0)*Data_NFI_t[[#This Row],[Tarpaulin]],0)</f>
        <v>0</v>
      </c>
      <c r="AB297" s="112">
        <f>IF(NFI_Expiration=1,IF($A297&lt;VLOOKUP(N$5,NFI,5,0),1,0)*Data_NFI_t[[#This Row],[Blanket]],0)</f>
        <v>0</v>
      </c>
      <c r="AC297" s="112">
        <f>IF(NFI_Expiration=1,IF($A297&lt;VLOOKUP(O$5,NFI,5,0),1,0)*Data_NFI_t[[#This Row],[Kitchen Set]],0)</f>
        <v>0</v>
      </c>
      <c r="AD297" s="112">
        <f>IF(NFI_Expiration=1,IF($A297&lt;VLOOKUP(P$5,NFI,5,0),1,0)*Data_NFI_t[[#This Row],[Complementary Kit]],0)</f>
        <v>0</v>
      </c>
      <c r="AE297" s="112">
        <f>IF(NFI_Expiration=1,IF($A297&lt;VLOOKUP(Q$5,NFI,5,0),1,0)*Data_NFI_t[[#This Row],[Plastic Bucket]],0)</f>
        <v>0</v>
      </c>
      <c r="AF297" s="112">
        <f>IF(NFI_Expiration=1,IF($A297&lt;VLOOKUP(R$5,NFI,5,0),1,0)*Data_NFI_t[[#This Row],[Jerry Can]],0)</f>
        <v>0</v>
      </c>
      <c r="AG297" s="131">
        <f>IF(NFI_Expiration=1,IF($A297&lt;VLOOKUP(S$5,NFI,5,0),1,0)*Data_NFI_t[[#This Row],[Plastic Mat]],0)*IF(Data_NFI_t[[#This Row],[Distribution Date]]&gt;"01-06-2015",1,2.5)</f>
        <v>0</v>
      </c>
      <c r="AH297" s="915">
        <f>IF(NFI_Expiration=1,IF($A297&lt;VLOOKUP(T$5,NFI,5,0),1,0)*Data_NFI_t[[#This Row],[Adult Clothes]],0)</f>
        <v>0</v>
      </c>
      <c r="AI297" s="131">
        <f>IF(NFI_Expiration=1,IF($A297&lt;VLOOKUP(U$5,NFI,5,0),1,0)*Data_NFI_t[[#This Row],[Children Clothes]],0)</f>
        <v>0</v>
      </c>
      <c r="AJ297" s="131">
        <f>IF(NFI_Expiration=1,IF($A297&lt;VLOOKUP(V$5,NFI,5,0),1,0)*Data_NFI_t[[#This Row],[Sewing Kit]],0)</f>
        <v>0</v>
      </c>
      <c r="AK297" s="131" t="str">
        <f ca="1">IFERROR(OFFSET(Camp_List[P_Code],MATCH(Data_NFI_t[[#This Row],[Camp Name]],Camp_List[Camp Name],0)-1,0,1,1),"")</f>
        <v/>
      </c>
      <c r="AL297" s="513" t="str">
        <f ca="1">IFERROR(OFFSET(Camp_List[Status],MATCH(Data_NFI_t[[#This Row],[Camp Name]],Camp_List[Camp Name],0)-1,0,1,1),"")</f>
        <v/>
      </c>
      <c r="AM297" s="131"/>
    </row>
    <row r="298" spans="1:39" s="90" customFormat="1" ht="19.5" customHeight="1" x14ac:dyDescent="0.25">
      <c r="A298" s="242">
        <f>IF(ISBLANK(C298),"",(Report_Date-C298)/30)</f>
        <v>50.93333333333333</v>
      </c>
      <c r="B298" s="242">
        <f>YEAR(Data_NFI_t[[#This Row],[Distribution Date]])</f>
        <v>2012</v>
      </c>
      <c r="C298" s="927">
        <v>41267</v>
      </c>
      <c r="D298" s="489" t="s">
        <v>285</v>
      </c>
      <c r="E298" s="488"/>
      <c r="F298" s="489" t="s">
        <v>7</v>
      </c>
      <c r="G298" s="794" t="s">
        <v>14</v>
      </c>
      <c r="H298" s="794" t="s">
        <v>43</v>
      </c>
      <c r="I298" s="794"/>
      <c r="J298" s="51"/>
      <c r="K298" s="51"/>
      <c r="L298" s="51"/>
      <c r="M298" s="51">
        <v>796</v>
      </c>
      <c r="N298" s="51"/>
      <c r="O298" s="51"/>
      <c r="P298" s="51"/>
      <c r="Q298" s="51"/>
      <c r="R298" s="511"/>
      <c r="S298" s="51"/>
      <c r="T298" s="51"/>
      <c r="U298" s="51"/>
      <c r="V298" s="51"/>
      <c r="W298" s="131">
        <f>IF(NFI_Expiration=1,IF($A298&lt;VLOOKUP(I$5,NFI,5,0),1,0)*Data_NFI_t[[#This Row],[Hygiene Kit]],0)</f>
        <v>0</v>
      </c>
      <c r="X298" s="131">
        <f>IF(NFI_Expiration=1,IF($A298&lt;VLOOKUP(J$5,NFI,5,0),1,0)*Data_NFI_t[[#This Row],[NFI Core Kit]],0)</f>
        <v>0</v>
      </c>
      <c r="Y298" s="112">
        <f>IF(NFI_Expiration=1,IF($A298&lt;VLOOKUP(K$5,NFI,5,0),1,0)*Data_NFI_t[[#This Row],[Sanitary Kit]],0)</f>
        <v>0</v>
      </c>
      <c r="Z298" s="112">
        <f>IF(NFI_Expiration=1,IF($A298&lt;VLOOKUP(L$5,NFI,5,0),1,0)*Data_NFI_t[[#This Row],[Mosquito net]],0)</f>
        <v>0</v>
      </c>
      <c r="AA298" s="112">
        <f>IF(NFI_Expiration=1,IF($A298&lt;VLOOKUP(M$5,NFI,5,0),1,0)*Data_NFI_t[[#This Row],[Tarpaulin]],0)</f>
        <v>0</v>
      </c>
      <c r="AB298" s="112">
        <f>IF(NFI_Expiration=1,IF($A298&lt;VLOOKUP(N$5,NFI,5,0),1,0)*Data_NFI_t[[#This Row],[Blanket]],0)</f>
        <v>0</v>
      </c>
      <c r="AC298" s="112">
        <f>IF(NFI_Expiration=1,IF($A298&lt;VLOOKUP(O$5,NFI,5,0),1,0)*Data_NFI_t[[#This Row],[Kitchen Set]],0)</f>
        <v>0</v>
      </c>
      <c r="AD298" s="112">
        <f>IF(NFI_Expiration=1,IF($A298&lt;VLOOKUP(P$5,NFI,5,0),1,0)*Data_NFI_t[[#This Row],[Complementary Kit]],0)</f>
        <v>0</v>
      </c>
      <c r="AE298" s="112">
        <f>IF(NFI_Expiration=1,IF($A298&lt;VLOOKUP(Q$5,NFI,5,0),1,0)*Data_NFI_t[[#This Row],[Plastic Bucket]],0)</f>
        <v>0</v>
      </c>
      <c r="AF298" s="112">
        <f>IF(NFI_Expiration=1,IF($A298&lt;VLOOKUP(R$5,NFI,5,0),1,0)*Data_NFI_t[[#This Row],[Jerry Can]],0)</f>
        <v>0</v>
      </c>
      <c r="AG298" s="131">
        <f>IF(NFI_Expiration=1,IF($A298&lt;VLOOKUP(S$5,NFI,5,0),1,0)*Data_NFI_t[[#This Row],[Plastic Mat]],0)*IF(Data_NFI_t[[#This Row],[Distribution Date]]&gt;"01-06-2015",1,2.5)</f>
        <v>0</v>
      </c>
      <c r="AH298" s="915">
        <f>IF(NFI_Expiration=1,IF($A298&lt;VLOOKUP(T$5,NFI,5,0),1,0)*Data_NFI_t[[#This Row],[Adult Clothes]],0)</f>
        <v>0</v>
      </c>
      <c r="AI298" s="131">
        <f>IF(NFI_Expiration=1,IF($A298&lt;VLOOKUP(U$5,NFI,5,0),1,0)*Data_NFI_t[[#This Row],[Children Clothes]],0)</f>
        <v>0</v>
      </c>
      <c r="AJ298" s="131">
        <f>IF(NFI_Expiration=1,IF($A298&lt;VLOOKUP(V$5,NFI,5,0),1,0)*Data_NFI_t[[#This Row],[Sewing Kit]],0)</f>
        <v>0</v>
      </c>
      <c r="AK298" s="131" t="str">
        <f ca="1">IFERROR(OFFSET(Camp_List[P_Code],MATCH(Data_NFI_t[[#This Row],[Camp Name]],Camp_List[Camp Name],0)-1,0,1,1),"")</f>
        <v>MMR012CMP019</v>
      </c>
      <c r="AL298" s="513" t="str">
        <f ca="1">IFERROR(OFFSET(Camp_List[Status],MATCH(Data_NFI_t[[#This Row],[Camp Name]],Camp_List[Camp Name],0)-1,0,1,1),"")</f>
        <v>Open</v>
      </c>
      <c r="AM298" s="131"/>
    </row>
    <row r="299" spans="1:39" s="90" customFormat="1" ht="19.5" customHeight="1" x14ac:dyDescent="0.25">
      <c r="A299" s="242">
        <f>IF(ISBLANK(C299),"",(Report_Date-C299)/30)</f>
        <v>50.966666666666669</v>
      </c>
      <c r="B299" s="242">
        <f>YEAR(Data_NFI_t[[#This Row],[Distribution Date]])</f>
        <v>2012</v>
      </c>
      <c r="C299" s="927">
        <v>41266</v>
      </c>
      <c r="D299" s="489" t="s">
        <v>285</v>
      </c>
      <c r="E299" s="488"/>
      <c r="F299" s="489" t="s">
        <v>7</v>
      </c>
      <c r="G299" s="794" t="s">
        <v>20</v>
      </c>
      <c r="H299" s="794"/>
      <c r="I299" s="794"/>
      <c r="J299" s="51"/>
      <c r="K299" s="51">
        <v>3000</v>
      </c>
      <c r="L299" s="51"/>
      <c r="M299" s="51"/>
      <c r="N299" s="51"/>
      <c r="O299" s="51"/>
      <c r="P299" s="51"/>
      <c r="Q299" s="51"/>
      <c r="R299" s="511"/>
      <c r="S299" s="51"/>
      <c r="T299" s="51"/>
      <c r="U299" s="51"/>
      <c r="V299" s="51"/>
      <c r="W299" s="131">
        <f>IF(NFI_Expiration=1,IF($A299&lt;VLOOKUP(I$5,NFI,5,0),1,0)*Data_NFI_t[[#This Row],[Hygiene Kit]],0)</f>
        <v>0</v>
      </c>
      <c r="X299" s="131">
        <f>IF(NFI_Expiration=1,IF($A299&lt;VLOOKUP(J$5,NFI,5,0),1,0)*Data_NFI_t[[#This Row],[NFI Core Kit]],0)</f>
        <v>0</v>
      </c>
      <c r="Y299" s="112">
        <f>IF(NFI_Expiration=1,IF($A299&lt;VLOOKUP(K$5,NFI,5,0),1,0)*Data_NFI_t[[#This Row],[Sanitary Kit]],0)</f>
        <v>0</v>
      </c>
      <c r="Z299" s="112">
        <f>IF(NFI_Expiration=1,IF($A299&lt;VLOOKUP(L$5,NFI,5,0),1,0)*Data_NFI_t[[#This Row],[Mosquito net]],0)</f>
        <v>0</v>
      </c>
      <c r="AA299" s="112">
        <f>IF(NFI_Expiration=1,IF($A299&lt;VLOOKUP(M$5,NFI,5,0),1,0)*Data_NFI_t[[#This Row],[Tarpaulin]],0)</f>
        <v>0</v>
      </c>
      <c r="AB299" s="112">
        <f>IF(NFI_Expiration=1,IF($A299&lt;VLOOKUP(N$5,NFI,5,0),1,0)*Data_NFI_t[[#This Row],[Blanket]],0)</f>
        <v>0</v>
      </c>
      <c r="AC299" s="112">
        <f>IF(NFI_Expiration=1,IF($A299&lt;VLOOKUP(O$5,NFI,5,0),1,0)*Data_NFI_t[[#This Row],[Kitchen Set]],0)</f>
        <v>0</v>
      </c>
      <c r="AD299" s="112">
        <f>IF(NFI_Expiration=1,IF($A299&lt;VLOOKUP(P$5,NFI,5,0),1,0)*Data_NFI_t[[#This Row],[Complementary Kit]],0)</f>
        <v>0</v>
      </c>
      <c r="AE299" s="112">
        <f>IF(NFI_Expiration=1,IF($A299&lt;VLOOKUP(Q$5,NFI,5,0),1,0)*Data_NFI_t[[#This Row],[Plastic Bucket]],0)</f>
        <v>0</v>
      </c>
      <c r="AF299" s="112">
        <f>IF(NFI_Expiration=1,IF($A299&lt;VLOOKUP(R$5,NFI,5,0),1,0)*Data_NFI_t[[#This Row],[Jerry Can]],0)</f>
        <v>0</v>
      </c>
      <c r="AG299" s="131">
        <f>IF(NFI_Expiration=1,IF($A299&lt;VLOOKUP(S$5,NFI,5,0),1,0)*Data_NFI_t[[#This Row],[Plastic Mat]],0)*IF(Data_NFI_t[[#This Row],[Distribution Date]]&gt;"01-06-2015",1,2.5)</f>
        <v>0</v>
      </c>
      <c r="AH299" s="915">
        <f>IF(NFI_Expiration=1,IF($A299&lt;VLOOKUP(T$5,NFI,5,0),1,0)*Data_NFI_t[[#This Row],[Adult Clothes]],0)</f>
        <v>0</v>
      </c>
      <c r="AI299" s="131">
        <f>IF(NFI_Expiration=1,IF($A299&lt;VLOOKUP(U$5,NFI,5,0),1,0)*Data_NFI_t[[#This Row],[Children Clothes]],0)</f>
        <v>0</v>
      </c>
      <c r="AJ299" s="131">
        <f>IF(NFI_Expiration=1,IF($A299&lt;VLOOKUP(V$5,NFI,5,0),1,0)*Data_NFI_t[[#This Row],[Sewing Kit]],0)</f>
        <v>0</v>
      </c>
      <c r="AK299" s="131" t="str">
        <f ca="1">IFERROR(OFFSET(Camp_List[P_Code],MATCH(Data_NFI_t[[#This Row],[Camp Name]],Camp_List[Camp Name],0)-1,0,1,1),"")</f>
        <v/>
      </c>
      <c r="AL299" s="513" t="str">
        <f ca="1">IFERROR(OFFSET(Camp_List[Status],MATCH(Data_NFI_t[[#This Row],[Camp Name]],Camp_List[Camp Name],0)-1,0,1,1),"")</f>
        <v/>
      </c>
      <c r="AM299" s="131"/>
    </row>
    <row r="300" spans="1:39" s="90" customFormat="1" ht="19.5" customHeight="1" x14ac:dyDescent="0.25">
      <c r="A300" s="242">
        <f>IF(ISBLANK(C300),"",(Report_Date-C300)/30)</f>
        <v>50.966666666666669</v>
      </c>
      <c r="B300" s="242">
        <f>YEAR(Data_NFI_t[[#This Row],[Distribution Date]])</f>
        <v>2012</v>
      </c>
      <c r="C300" s="927">
        <v>41266</v>
      </c>
      <c r="D300" s="489" t="s">
        <v>285</v>
      </c>
      <c r="E300" s="488"/>
      <c r="F300" s="489" t="s">
        <v>7</v>
      </c>
      <c r="G300" s="794" t="s">
        <v>20</v>
      </c>
      <c r="H300" s="794"/>
      <c r="I300" s="794"/>
      <c r="J300" s="51"/>
      <c r="K300" s="51"/>
      <c r="L300" s="51"/>
      <c r="M300" s="51">
        <v>1180</v>
      </c>
      <c r="N300" s="51"/>
      <c r="O300" s="51"/>
      <c r="P300" s="51"/>
      <c r="Q300" s="51"/>
      <c r="R300" s="511"/>
      <c r="S300" s="51"/>
      <c r="T300" s="51"/>
      <c r="U300" s="51"/>
      <c r="V300" s="51"/>
      <c r="W300" s="131">
        <f>IF(NFI_Expiration=1,IF($A300&lt;VLOOKUP(I$5,NFI,5,0),1,0)*Data_NFI_t[[#This Row],[Hygiene Kit]],0)</f>
        <v>0</v>
      </c>
      <c r="X300" s="131">
        <f>IF(NFI_Expiration=1,IF($A300&lt;VLOOKUP(J$5,NFI,5,0),1,0)*Data_NFI_t[[#This Row],[NFI Core Kit]],0)</f>
        <v>0</v>
      </c>
      <c r="Y300" s="112">
        <f>IF(NFI_Expiration=1,IF($A300&lt;VLOOKUP(K$5,NFI,5,0),1,0)*Data_NFI_t[[#This Row],[Sanitary Kit]],0)</f>
        <v>0</v>
      </c>
      <c r="Z300" s="112">
        <f>IF(NFI_Expiration=1,IF($A300&lt;VLOOKUP(L$5,NFI,5,0),1,0)*Data_NFI_t[[#This Row],[Mosquito net]],0)</f>
        <v>0</v>
      </c>
      <c r="AA300" s="112">
        <f>IF(NFI_Expiration=1,IF($A300&lt;VLOOKUP(M$5,NFI,5,0),1,0)*Data_NFI_t[[#This Row],[Tarpaulin]],0)</f>
        <v>0</v>
      </c>
      <c r="AB300" s="112">
        <f>IF(NFI_Expiration=1,IF($A300&lt;VLOOKUP(N$5,NFI,5,0),1,0)*Data_NFI_t[[#This Row],[Blanket]],0)</f>
        <v>0</v>
      </c>
      <c r="AC300" s="112">
        <f>IF(NFI_Expiration=1,IF($A300&lt;VLOOKUP(O$5,NFI,5,0),1,0)*Data_NFI_t[[#This Row],[Kitchen Set]],0)</f>
        <v>0</v>
      </c>
      <c r="AD300" s="112">
        <f>IF(NFI_Expiration=1,IF($A300&lt;VLOOKUP(P$5,NFI,5,0),1,0)*Data_NFI_t[[#This Row],[Complementary Kit]],0)</f>
        <v>0</v>
      </c>
      <c r="AE300" s="112">
        <f>IF(NFI_Expiration=1,IF($A300&lt;VLOOKUP(Q$5,NFI,5,0),1,0)*Data_NFI_t[[#This Row],[Plastic Bucket]],0)</f>
        <v>0</v>
      </c>
      <c r="AF300" s="112">
        <f>IF(NFI_Expiration=1,IF($A300&lt;VLOOKUP(R$5,NFI,5,0),1,0)*Data_NFI_t[[#This Row],[Jerry Can]],0)</f>
        <v>0</v>
      </c>
      <c r="AG300" s="131">
        <f>IF(NFI_Expiration=1,IF($A300&lt;VLOOKUP(S$5,NFI,5,0),1,0)*Data_NFI_t[[#This Row],[Plastic Mat]],0)*IF(Data_NFI_t[[#This Row],[Distribution Date]]&gt;"01-06-2015",1,2.5)</f>
        <v>0</v>
      </c>
      <c r="AH300" s="915">
        <f>IF(NFI_Expiration=1,IF($A300&lt;VLOOKUP(T$5,NFI,5,0),1,0)*Data_NFI_t[[#This Row],[Adult Clothes]],0)</f>
        <v>0</v>
      </c>
      <c r="AI300" s="131">
        <f>IF(NFI_Expiration=1,IF($A300&lt;VLOOKUP(U$5,NFI,5,0),1,0)*Data_NFI_t[[#This Row],[Children Clothes]],0)</f>
        <v>0</v>
      </c>
      <c r="AJ300" s="131">
        <f>IF(NFI_Expiration=1,IF($A300&lt;VLOOKUP(V$5,NFI,5,0),1,0)*Data_NFI_t[[#This Row],[Sewing Kit]],0)</f>
        <v>0</v>
      </c>
      <c r="AK300" s="131" t="str">
        <f ca="1">IFERROR(OFFSET(Camp_List[P_Code],MATCH(Data_NFI_t[[#This Row],[Camp Name]],Camp_List[Camp Name],0)-1,0,1,1),"")</f>
        <v/>
      </c>
      <c r="AL300" s="513" t="str">
        <f ca="1">IFERROR(OFFSET(Camp_List[Status],MATCH(Data_NFI_t[[#This Row],[Camp Name]],Camp_List[Camp Name],0)-1,0,1,1),"")</f>
        <v/>
      </c>
      <c r="AM300" s="131"/>
    </row>
    <row r="301" spans="1:39" s="90" customFormat="1" ht="19.5" customHeight="1" x14ac:dyDescent="0.25">
      <c r="A301" s="242">
        <f>IF(ISBLANK(C301),"",(Report_Date-C301)/30)</f>
        <v>51.133333333333333</v>
      </c>
      <c r="B301" s="242">
        <f>YEAR(Data_NFI_t[[#This Row],[Distribution Date]])</f>
        <v>2012</v>
      </c>
      <c r="C301" s="927">
        <v>41261</v>
      </c>
      <c r="D301" s="489" t="s">
        <v>285</v>
      </c>
      <c r="E301" s="488"/>
      <c r="F301" s="489" t="s">
        <v>7</v>
      </c>
      <c r="G301" s="794" t="s">
        <v>15</v>
      </c>
      <c r="H301" s="794" t="s">
        <v>47</v>
      </c>
      <c r="I301" s="794"/>
      <c r="J301" s="51"/>
      <c r="K301" s="51"/>
      <c r="L301" s="51">
        <v>160</v>
      </c>
      <c r="M301" s="51">
        <v>80</v>
      </c>
      <c r="N301" s="51">
        <v>160</v>
      </c>
      <c r="O301" s="51">
        <v>80</v>
      </c>
      <c r="P301" s="51">
        <v>80</v>
      </c>
      <c r="Q301" s="51"/>
      <c r="R301" s="511"/>
      <c r="S301" s="51"/>
      <c r="T301" s="51"/>
      <c r="U301" s="51"/>
      <c r="V301" s="51"/>
      <c r="W301" s="131">
        <f>IF(NFI_Expiration=1,IF($A301&lt;VLOOKUP(I$5,NFI,5,0),1,0)*Data_NFI_t[[#This Row],[Hygiene Kit]],0)</f>
        <v>0</v>
      </c>
      <c r="X301" s="131">
        <f>IF(NFI_Expiration=1,IF($A301&lt;VLOOKUP(J$5,NFI,5,0),1,0)*Data_NFI_t[[#This Row],[NFI Core Kit]],0)</f>
        <v>0</v>
      </c>
      <c r="Y301" s="112">
        <f>IF(NFI_Expiration=1,IF($A301&lt;VLOOKUP(K$5,NFI,5,0),1,0)*Data_NFI_t[[#This Row],[Sanitary Kit]],0)</f>
        <v>0</v>
      </c>
      <c r="Z301" s="112">
        <f>IF(NFI_Expiration=1,IF($A301&lt;VLOOKUP(L$5,NFI,5,0),1,0)*Data_NFI_t[[#This Row],[Mosquito net]],0)</f>
        <v>0</v>
      </c>
      <c r="AA301" s="112">
        <f>IF(NFI_Expiration=1,IF($A301&lt;VLOOKUP(M$5,NFI,5,0),1,0)*Data_NFI_t[[#This Row],[Tarpaulin]],0)</f>
        <v>0</v>
      </c>
      <c r="AB301" s="112">
        <f>IF(NFI_Expiration=1,IF($A301&lt;VLOOKUP(N$5,NFI,5,0),1,0)*Data_NFI_t[[#This Row],[Blanket]],0)</f>
        <v>0</v>
      </c>
      <c r="AC301" s="112">
        <f>IF(NFI_Expiration=1,IF($A301&lt;VLOOKUP(O$5,NFI,5,0),1,0)*Data_NFI_t[[#This Row],[Kitchen Set]],0)</f>
        <v>0</v>
      </c>
      <c r="AD301" s="112">
        <f>IF(NFI_Expiration=1,IF($A301&lt;VLOOKUP(P$5,NFI,5,0),1,0)*Data_NFI_t[[#This Row],[Complementary Kit]],0)</f>
        <v>0</v>
      </c>
      <c r="AE301" s="112">
        <f>IF(NFI_Expiration=1,IF($A301&lt;VLOOKUP(Q$5,NFI,5,0),1,0)*Data_NFI_t[[#This Row],[Plastic Bucket]],0)</f>
        <v>0</v>
      </c>
      <c r="AF301" s="112">
        <f>IF(NFI_Expiration=1,IF($A301&lt;VLOOKUP(R$5,NFI,5,0),1,0)*Data_NFI_t[[#This Row],[Jerry Can]],0)</f>
        <v>0</v>
      </c>
      <c r="AG301" s="131">
        <f>IF(NFI_Expiration=1,IF($A301&lt;VLOOKUP(S$5,NFI,5,0),1,0)*Data_NFI_t[[#This Row],[Plastic Mat]],0)*IF(Data_NFI_t[[#This Row],[Distribution Date]]&gt;"01-06-2015",1,2.5)</f>
        <v>0</v>
      </c>
      <c r="AH301" s="915">
        <f>IF(NFI_Expiration=1,IF($A301&lt;VLOOKUP(T$5,NFI,5,0),1,0)*Data_NFI_t[[#This Row],[Adult Clothes]],0)</f>
        <v>0</v>
      </c>
      <c r="AI301" s="131">
        <f>IF(NFI_Expiration=1,IF($A301&lt;VLOOKUP(U$5,NFI,5,0),1,0)*Data_NFI_t[[#This Row],[Children Clothes]],0)</f>
        <v>0</v>
      </c>
      <c r="AJ301" s="131">
        <f>IF(NFI_Expiration=1,IF($A301&lt;VLOOKUP(V$5,NFI,5,0),1,0)*Data_NFI_t[[#This Row],[Sewing Kit]],0)</f>
        <v>0</v>
      </c>
      <c r="AK301" s="131" t="str">
        <f ca="1">IFERROR(OFFSET(Camp_List[P_Code],MATCH(Data_NFI_t[[#This Row],[Camp Name]],Camp_List[Camp Name],0)-1,0,1,1),"")</f>
        <v>MMR012CMP023</v>
      </c>
      <c r="AL301" s="513" t="str">
        <f ca="1">IFERROR(OFFSET(Camp_List[Status],MATCH(Data_NFI_t[[#This Row],[Camp Name]],Camp_List[Camp Name],0)-1,0,1,1),"")</f>
        <v>Open</v>
      </c>
      <c r="AM301" s="131"/>
    </row>
    <row r="302" spans="1:39" s="90" customFormat="1" ht="19.5" customHeight="1" x14ac:dyDescent="0.25">
      <c r="A302" s="242">
        <f>IF(ISBLANK(C302),"",(Report_Date-C302)/30)</f>
        <v>51.133333333333333</v>
      </c>
      <c r="B302" s="242">
        <f>YEAR(Data_NFI_t[[#This Row],[Distribution Date]])</f>
        <v>2012</v>
      </c>
      <c r="C302" s="927">
        <v>41261</v>
      </c>
      <c r="D302" s="489" t="s">
        <v>285</v>
      </c>
      <c r="E302" s="488"/>
      <c r="F302" s="489" t="s">
        <v>7</v>
      </c>
      <c r="G302" s="794" t="s">
        <v>15</v>
      </c>
      <c r="H302" s="794" t="s">
        <v>45</v>
      </c>
      <c r="I302" s="794"/>
      <c r="J302" s="51"/>
      <c r="K302" s="51"/>
      <c r="L302" s="51">
        <v>174</v>
      </c>
      <c r="M302" s="51"/>
      <c r="N302" s="51">
        <v>174</v>
      </c>
      <c r="O302" s="51"/>
      <c r="P302" s="51"/>
      <c r="Q302" s="51"/>
      <c r="R302" s="511"/>
      <c r="S302" s="51"/>
      <c r="T302" s="51"/>
      <c r="U302" s="51"/>
      <c r="V302" s="51"/>
      <c r="W302" s="131">
        <f>IF(NFI_Expiration=1,IF($A302&lt;VLOOKUP(I$5,NFI,5,0),1,0)*Data_NFI_t[[#This Row],[Hygiene Kit]],0)</f>
        <v>0</v>
      </c>
      <c r="X302" s="131">
        <f>IF(NFI_Expiration=1,IF($A302&lt;VLOOKUP(J$5,NFI,5,0),1,0)*Data_NFI_t[[#This Row],[NFI Core Kit]],0)</f>
        <v>0</v>
      </c>
      <c r="Y302" s="112">
        <f>IF(NFI_Expiration=1,IF($A302&lt;VLOOKUP(K$5,NFI,5,0),1,0)*Data_NFI_t[[#This Row],[Sanitary Kit]],0)</f>
        <v>0</v>
      </c>
      <c r="Z302" s="112">
        <f>IF(NFI_Expiration=1,IF($A302&lt;VLOOKUP(L$5,NFI,5,0),1,0)*Data_NFI_t[[#This Row],[Mosquito net]],0)</f>
        <v>0</v>
      </c>
      <c r="AA302" s="112">
        <f>IF(NFI_Expiration=1,IF($A302&lt;VLOOKUP(M$5,NFI,5,0),1,0)*Data_NFI_t[[#This Row],[Tarpaulin]],0)</f>
        <v>0</v>
      </c>
      <c r="AB302" s="112">
        <f>IF(NFI_Expiration=1,IF($A302&lt;VLOOKUP(N$5,NFI,5,0),1,0)*Data_NFI_t[[#This Row],[Blanket]],0)</f>
        <v>0</v>
      </c>
      <c r="AC302" s="112">
        <f>IF(NFI_Expiration=1,IF($A302&lt;VLOOKUP(O$5,NFI,5,0),1,0)*Data_NFI_t[[#This Row],[Kitchen Set]],0)</f>
        <v>0</v>
      </c>
      <c r="AD302" s="112">
        <f>IF(NFI_Expiration=1,IF($A302&lt;VLOOKUP(P$5,NFI,5,0),1,0)*Data_NFI_t[[#This Row],[Complementary Kit]],0)</f>
        <v>0</v>
      </c>
      <c r="AE302" s="112">
        <f>IF(NFI_Expiration=1,IF($A302&lt;VLOOKUP(Q$5,NFI,5,0),1,0)*Data_NFI_t[[#This Row],[Plastic Bucket]],0)</f>
        <v>0</v>
      </c>
      <c r="AF302" s="112">
        <f>IF(NFI_Expiration=1,IF($A302&lt;VLOOKUP(R$5,NFI,5,0),1,0)*Data_NFI_t[[#This Row],[Jerry Can]],0)</f>
        <v>0</v>
      </c>
      <c r="AG302" s="131">
        <f>IF(NFI_Expiration=1,IF($A302&lt;VLOOKUP(S$5,NFI,5,0),1,0)*Data_NFI_t[[#This Row],[Plastic Mat]],0)*IF(Data_NFI_t[[#This Row],[Distribution Date]]&gt;"01-06-2015",1,2.5)</f>
        <v>0</v>
      </c>
      <c r="AH302" s="915">
        <f>IF(NFI_Expiration=1,IF($A302&lt;VLOOKUP(T$5,NFI,5,0),1,0)*Data_NFI_t[[#This Row],[Adult Clothes]],0)</f>
        <v>0</v>
      </c>
      <c r="AI302" s="131">
        <f>IF(NFI_Expiration=1,IF($A302&lt;VLOOKUP(U$5,NFI,5,0),1,0)*Data_NFI_t[[#This Row],[Children Clothes]],0)</f>
        <v>0</v>
      </c>
      <c r="AJ302" s="131">
        <f>IF(NFI_Expiration=1,IF($A302&lt;VLOOKUP(V$5,NFI,5,0),1,0)*Data_NFI_t[[#This Row],[Sewing Kit]],0)</f>
        <v>0</v>
      </c>
      <c r="AK302" s="131" t="str">
        <f ca="1">IFERROR(OFFSET(Camp_List[P_Code],MATCH(Data_NFI_t[[#This Row],[Camp Name]],Camp_List[Camp Name],0)-1,0,1,1),"")</f>
        <v>MMR012CMP021</v>
      </c>
      <c r="AL302" s="513" t="str">
        <f ca="1">IFERROR(OFFSET(Camp_List[Status],MATCH(Data_NFI_t[[#This Row],[Camp Name]],Camp_List[Camp Name],0)-1,0,1,1),"")</f>
        <v>Returned</v>
      </c>
      <c r="AM302" s="131"/>
    </row>
    <row r="303" spans="1:39" s="90" customFormat="1" ht="19.5" customHeight="1" x14ac:dyDescent="0.25">
      <c r="A303" s="242">
        <f>IF(ISBLANK(C303),"",(Report_Date-C303)/30)</f>
        <v>51.166666666666664</v>
      </c>
      <c r="B303" s="242">
        <f>YEAR(Data_NFI_t[[#This Row],[Distribution Date]])</f>
        <v>2012</v>
      </c>
      <c r="C303" s="927">
        <v>41260</v>
      </c>
      <c r="D303" s="489" t="s">
        <v>285</v>
      </c>
      <c r="E303" s="488"/>
      <c r="F303" s="489" t="s">
        <v>7</v>
      </c>
      <c r="G303" s="794" t="s">
        <v>867</v>
      </c>
      <c r="H303" s="794" t="s">
        <v>38</v>
      </c>
      <c r="I303" s="794"/>
      <c r="J303" s="51"/>
      <c r="K303" s="51"/>
      <c r="L303" s="51">
        <v>632</v>
      </c>
      <c r="M303" s="51"/>
      <c r="N303" s="51">
        <v>632</v>
      </c>
      <c r="O303" s="51"/>
      <c r="P303" s="51"/>
      <c r="Q303" s="51"/>
      <c r="R303" s="511"/>
      <c r="S303" s="51"/>
      <c r="T303" s="51"/>
      <c r="U303" s="51"/>
      <c r="V303" s="51"/>
      <c r="W303" s="131">
        <f>IF(NFI_Expiration=1,IF($A303&lt;VLOOKUP(I$5,NFI,5,0),1,0)*Data_NFI_t[[#This Row],[Hygiene Kit]],0)</f>
        <v>0</v>
      </c>
      <c r="X303" s="131">
        <f>IF(NFI_Expiration=1,IF($A303&lt;VLOOKUP(J$5,NFI,5,0),1,0)*Data_NFI_t[[#This Row],[NFI Core Kit]],0)</f>
        <v>0</v>
      </c>
      <c r="Y303" s="112">
        <f>IF(NFI_Expiration=1,IF($A303&lt;VLOOKUP(K$5,NFI,5,0),1,0)*Data_NFI_t[[#This Row],[Sanitary Kit]],0)</f>
        <v>0</v>
      </c>
      <c r="Z303" s="112">
        <f>IF(NFI_Expiration=1,IF($A303&lt;VLOOKUP(L$5,NFI,5,0),1,0)*Data_NFI_t[[#This Row],[Mosquito net]],0)</f>
        <v>0</v>
      </c>
      <c r="AA303" s="112">
        <f>IF(NFI_Expiration=1,IF($A303&lt;VLOOKUP(M$5,NFI,5,0),1,0)*Data_NFI_t[[#This Row],[Tarpaulin]],0)</f>
        <v>0</v>
      </c>
      <c r="AB303" s="112">
        <f>IF(NFI_Expiration=1,IF($A303&lt;VLOOKUP(N$5,NFI,5,0),1,0)*Data_NFI_t[[#This Row],[Blanket]],0)</f>
        <v>0</v>
      </c>
      <c r="AC303" s="112">
        <f>IF(NFI_Expiration=1,IF($A303&lt;VLOOKUP(O$5,NFI,5,0),1,0)*Data_NFI_t[[#This Row],[Kitchen Set]],0)</f>
        <v>0</v>
      </c>
      <c r="AD303" s="112">
        <f>IF(NFI_Expiration=1,IF($A303&lt;VLOOKUP(P$5,NFI,5,0),1,0)*Data_NFI_t[[#This Row],[Complementary Kit]],0)</f>
        <v>0</v>
      </c>
      <c r="AE303" s="112">
        <f>IF(NFI_Expiration=1,IF($A303&lt;VLOOKUP(Q$5,NFI,5,0),1,0)*Data_NFI_t[[#This Row],[Plastic Bucket]],0)</f>
        <v>0</v>
      </c>
      <c r="AF303" s="112">
        <f>IF(NFI_Expiration=1,IF($A303&lt;VLOOKUP(R$5,NFI,5,0),1,0)*Data_NFI_t[[#This Row],[Jerry Can]],0)</f>
        <v>0</v>
      </c>
      <c r="AG303" s="131">
        <f>IF(NFI_Expiration=1,IF($A303&lt;VLOOKUP(S$5,NFI,5,0),1,0)*Data_NFI_t[[#This Row],[Plastic Mat]],0)*IF(Data_NFI_t[[#This Row],[Distribution Date]]&gt;"01-06-2015",1,2.5)</f>
        <v>0</v>
      </c>
      <c r="AH303" s="915">
        <f>IF(NFI_Expiration=1,IF($A303&lt;VLOOKUP(T$5,NFI,5,0),1,0)*Data_NFI_t[[#This Row],[Adult Clothes]],0)</f>
        <v>0</v>
      </c>
      <c r="AI303" s="131">
        <f>IF(NFI_Expiration=1,IF($A303&lt;VLOOKUP(U$5,NFI,5,0),1,0)*Data_NFI_t[[#This Row],[Children Clothes]],0)</f>
        <v>0</v>
      </c>
      <c r="AJ303" s="131">
        <f>IF(NFI_Expiration=1,IF($A303&lt;VLOOKUP(V$5,NFI,5,0),1,0)*Data_NFI_t[[#This Row],[Sewing Kit]],0)</f>
        <v>0</v>
      </c>
      <c r="AK303" s="131" t="str">
        <f ca="1">IFERROR(OFFSET(Camp_List[P_Code],MATCH(Data_NFI_t[[#This Row],[Camp Name]],Camp_List[Camp Name],0)-1,0,1,1),"")</f>
        <v>MMR012CMP014</v>
      </c>
      <c r="AL303" s="513" t="str">
        <f ca="1">IFERROR(OFFSET(Camp_List[Status],MATCH(Data_NFI_t[[#This Row],[Camp Name]],Camp_List[Camp Name],0)-1,0,1,1),"")</f>
        <v>Open</v>
      </c>
      <c r="AM303" s="131"/>
    </row>
    <row r="304" spans="1:39" s="90" customFormat="1" ht="19.5" customHeight="1" x14ac:dyDescent="0.25">
      <c r="A304" s="242">
        <f>IF(ISBLANK(C304),"",(Report_Date-C304)/30)</f>
        <v>51.166666666666664</v>
      </c>
      <c r="B304" s="242">
        <f>YEAR(Data_NFI_t[[#This Row],[Distribution Date]])</f>
        <v>2012</v>
      </c>
      <c r="C304" s="927">
        <v>41260</v>
      </c>
      <c r="D304" s="489" t="s">
        <v>285</v>
      </c>
      <c r="E304" s="488"/>
      <c r="F304" s="489" t="s">
        <v>7</v>
      </c>
      <c r="G304" s="794" t="s">
        <v>11</v>
      </c>
      <c r="H304" s="794" t="s">
        <v>26</v>
      </c>
      <c r="I304" s="794"/>
      <c r="J304" s="51"/>
      <c r="K304" s="51"/>
      <c r="L304" s="51">
        <v>406</v>
      </c>
      <c r="M304" s="51"/>
      <c r="N304" s="51"/>
      <c r="O304" s="51"/>
      <c r="P304" s="51"/>
      <c r="Q304" s="51"/>
      <c r="R304" s="511"/>
      <c r="S304" s="51"/>
      <c r="T304" s="51"/>
      <c r="U304" s="51"/>
      <c r="V304" s="51"/>
      <c r="W304" s="131">
        <f>IF(NFI_Expiration=1,IF($A304&lt;VLOOKUP(I$5,NFI,5,0),1,0)*Data_NFI_t[[#This Row],[Hygiene Kit]],0)</f>
        <v>0</v>
      </c>
      <c r="X304" s="131">
        <f>IF(NFI_Expiration=1,IF($A304&lt;VLOOKUP(J$5,NFI,5,0),1,0)*Data_NFI_t[[#This Row],[NFI Core Kit]],0)</f>
        <v>0</v>
      </c>
      <c r="Y304" s="112">
        <f>IF(NFI_Expiration=1,IF($A304&lt;VLOOKUP(K$5,NFI,5,0),1,0)*Data_NFI_t[[#This Row],[Sanitary Kit]],0)</f>
        <v>0</v>
      </c>
      <c r="Z304" s="112">
        <f>IF(NFI_Expiration=1,IF($A304&lt;VLOOKUP(L$5,NFI,5,0),1,0)*Data_NFI_t[[#This Row],[Mosquito net]],0)</f>
        <v>0</v>
      </c>
      <c r="AA304" s="112">
        <f>IF(NFI_Expiration=1,IF($A304&lt;VLOOKUP(M$5,NFI,5,0),1,0)*Data_NFI_t[[#This Row],[Tarpaulin]],0)</f>
        <v>0</v>
      </c>
      <c r="AB304" s="112">
        <f>IF(NFI_Expiration=1,IF($A304&lt;VLOOKUP(N$5,NFI,5,0),1,0)*Data_NFI_t[[#This Row],[Blanket]],0)</f>
        <v>0</v>
      </c>
      <c r="AC304" s="112">
        <f>IF(NFI_Expiration=1,IF($A304&lt;VLOOKUP(O$5,NFI,5,0),1,0)*Data_NFI_t[[#This Row],[Kitchen Set]],0)</f>
        <v>0</v>
      </c>
      <c r="AD304" s="112">
        <f>IF(NFI_Expiration=1,IF($A304&lt;VLOOKUP(P$5,NFI,5,0),1,0)*Data_NFI_t[[#This Row],[Complementary Kit]],0)</f>
        <v>0</v>
      </c>
      <c r="AE304" s="112">
        <f>IF(NFI_Expiration=1,IF($A304&lt;VLOOKUP(Q$5,NFI,5,0),1,0)*Data_NFI_t[[#This Row],[Plastic Bucket]],0)</f>
        <v>0</v>
      </c>
      <c r="AF304" s="112">
        <f>IF(NFI_Expiration=1,IF($A304&lt;VLOOKUP(R$5,NFI,5,0),1,0)*Data_NFI_t[[#This Row],[Jerry Can]],0)</f>
        <v>0</v>
      </c>
      <c r="AG304" s="131">
        <f>IF(NFI_Expiration=1,IF($A304&lt;VLOOKUP(S$5,NFI,5,0),1,0)*Data_NFI_t[[#This Row],[Plastic Mat]],0)*IF(Data_NFI_t[[#This Row],[Distribution Date]]&gt;"01-06-2015",1,2.5)</f>
        <v>0</v>
      </c>
      <c r="AH304" s="915">
        <f>IF(NFI_Expiration=1,IF($A304&lt;VLOOKUP(T$5,NFI,5,0),1,0)*Data_NFI_t[[#This Row],[Adult Clothes]],0)</f>
        <v>0</v>
      </c>
      <c r="AI304" s="131">
        <f>IF(NFI_Expiration=1,IF($A304&lt;VLOOKUP(U$5,NFI,5,0),1,0)*Data_NFI_t[[#This Row],[Children Clothes]],0)</f>
        <v>0</v>
      </c>
      <c r="AJ304" s="131">
        <f>IF(NFI_Expiration=1,IF($A304&lt;VLOOKUP(V$5,NFI,5,0),1,0)*Data_NFI_t[[#This Row],[Sewing Kit]],0)</f>
        <v>0</v>
      </c>
      <c r="AK304" s="131" t="str">
        <f ca="1">IFERROR(OFFSET(Camp_List[P_Code],MATCH(Data_NFI_t[[#This Row],[Camp Name]],Camp_List[Camp Name],0)-1,0,1,1),"")</f>
        <v>MMR012CMP002</v>
      </c>
      <c r="AL304" s="513" t="str">
        <f ca="1">IFERROR(OFFSET(Camp_List[Status],MATCH(Data_NFI_t[[#This Row],[Camp Name]],Camp_List[Camp Name],0)-1,0,1,1),"")</f>
        <v>Returned</v>
      </c>
      <c r="AM304" s="131"/>
    </row>
    <row r="305" spans="1:39" s="90" customFormat="1" ht="19.5" customHeight="1" x14ac:dyDescent="0.25">
      <c r="A305" s="242">
        <f>IF(ISBLANK(C305),"",(Report_Date-C305)/30)</f>
        <v>51.2</v>
      </c>
      <c r="B305" s="242">
        <f>YEAR(Data_NFI_t[[#This Row],[Distribution Date]])</f>
        <v>2012</v>
      </c>
      <c r="C305" s="927">
        <v>41259</v>
      </c>
      <c r="D305" s="489" t="s">
        <v>289</v>
      </c>
      <c r="E305" s="488" t="s">
        <v>285</v>
      </c>
      <c r="F305" s="489" t="s">
        <v>7</v>
      </c>
      <c r="G305" s="794" t="s">
        <v>19</v>
      </c>
      <c r="H305" s="794" t="s">
        <v>71</v>
      </c>
      <c r="I305" s="794"/>
      <c r="J305" s="51"/>
      <c r="K305" s="51"/>
      <c r="L305" s="51"/>
      <c r="M305" s="51"/>
      <c r="N305" s="51">
        <v>49</v>
      </c>
      <c r="O305" s="51"/>
      <c r="P305" s="51"/>
      <c r="Q305" s="51"/>
      <c r="R305" s="511"/>
      <c r="S305" s="51"/>
      <c r="T305" s="51"/>
      <c r="U305" s="51"/>
      <c r="V305" s="51"/>
      <c r="W305" s="131">
        <f>IF(NFI_Expiration=1,IF($A305&lt;VLOOKUP(I$5,NFI,5,0),1,0)*Data_NFI_t[[#This Row],[Hygiene Kit]],0)</f>
        <v>0</v>
      </c>
      <c r="X305" s="131">
        <f>IF(NFI_Expiration=1,IF($A305&lt;VLOOKUP(J$5,NFI,5,0),1,0)*Data_NFI_t[[#This Row],[NFI Core Kit]],0)</f>
        <v>0</v>
      </c>
      <c r="Y305" s="112">
        <f>IF(NFI_Expiration=1,IF($A305&lt;VLOOKUP(K$5,NFI,5,0),1,0)*Data_NFI_t[[#This Row],[Sanitary Kit]],0)</f>
        <v>0</v>
      </c>
      <c r="Z305" s="112">
        <f>IF(NFI_Expiration=1,IF($A305&lt;VLOOKUP(L$5,NFI,5,0),1,0)*Data_NFI_t[[#This Row],[Mosquito net]],0)</f>
        <v>0</v>
      </c>
      <c r="AA305" s="112">
        <f>IF(NFI_Expiration=1,IF($A305&lt;VLOOKUP(M$5,NFI,5,0),1,0)*Data_NFI_t[[#This Row],[Tarpaulin]],0)</f>
        <v>0</v>
      </c>
      <c r="AB305" s="112">
        <f>IF(NFI_Expiration=1,IF($A305&lt;VLOOKUP(N$5,NFI,5,0),1,0)*Data_NFI_t[[#This Row],[Blanket]],0)</f>
        <v>0</v>
      </c>
      <c r="AC305" s="112">
        <f>IF(NFI_Expiration=1,IF($A305&lt;VLOOKUP(O$5,NFI,5,0),1,0)*Data_NFI_t[[#This Row],[Kitchen Set]],0)</f>
        <v>0</v>
      </c>
      <c r="AD305" s="112">
        <f>IF(NFI_Expiration=1,IF($A305&lt;VLOOKUP(P$5,NFI,5,0),1,0)*Data_NFI_t[[#This Row],[Complementary Kit]],0)</f>
        <v>0</v>
      </c>
      <c r="AE305" s="112">
        <f>IF(NFI_Expiration=1,IF($A305&lt;VLOOKUP(Q$5,NFI,5,0),1,0)*Data_NFI_t[[#This Row],[Plastic Bucket]],0)</f>
        <v>0</v>
      </c>
      <c r="AF305" s="112">
        <f>IF(NFI_Expiration=1,IF($A305&lt;VLOOKUP(R$5,NFI,5,0),1,0)*Data_NFI_t[[#This Row],[Jerry Can]],0)</f>
        <v>0</v>
      </c>
      <c r="AG305" s="131">
        <f>IF(NFI_Expiration=1,IF($A305&lt;VLOOKUP(S$5,NFI,5,0),1,0)*Data_NFI_t[[#This Row],[Plastic Mat]],0)*IF(Data_NFI_t[[#This Row],[Distribution Date]]&gt;"01-06-2015",1,2.5)</f>
        <v>0</v>
      </c>
      <c r="AH305" s="915">
        <f>IF(NFI_Expiration=1,IF($A305&lt;VLOOKUP(T$5,NFI,5,0),1,0)*Data_NFI_t[[#This Row],[Adult Clothes]],0)</f>
        <v>0</v>
      </c>
      <c r="AI305" s="131">
        <f>IF(NFI_Expiration=1,IF($A305&lt;VLOOKUP(U$5,NFI,5,0),1,0)*Data_NFI_t[[#This Row],[Children Clothes]],0)</f>
        <v>0</v>
      </c>
      <c r="AJ305" s="131">
        <f>IF(NFI_Expiration=1,IF($A305&lt;VLOOKUP(V$5,NFI,5,0),1,0)*Data_NFI_t[[#This Row],[Sewing Kit]],0)</f>
        <v>0</v>
      </c>
      <c r="AK305" s="131" t="str">
        <f ca="1">IFERROR(OFFSET(Camp_List[P_Code],MATCH(Data_NFI_t[[#This Row],[Camp Name]],Camp_List[Camp Name],0)-1,0,1,1),"")</f>
        <v>MMR012CMP049</v>
      </c>
      <c r="AL305" s="513" t="str">
        <f ca="1">IFERROR(OFFSET(Camp_List[Status],MATCH(Data_NFI_t[[#This Row],[Camp Name]],Camp_List[Camp Name],0)-1,0,1,1),"")</f>
        <v>Close</v>
      </c>
      <c r="AM305" s="131"/>
    </row>
    <row r="306" spans="1:39" s="90" customFormat="1" ht="19.5" customHeight="1" x14ac:dyDescent="0.25">
      <c r="A306" s="242">
        <f>IF(ISBLANK(C306),"",(Report_Date-C306)/30)</f>
        <v>51.2</v>
      </c>
      <c r="B306" s="242">
        <f>YEAR(Data_NFI_t[[#This Row],[Distribution Date]])</f>
        <v>2012</v>
      </c>
      <c r="C306" s="927">
        <v>41259</v>
      </c>
      <c r="D306" s="489" t="s">
        <v>289</v>
      </c>
      <c r="E306" s="488" t="s">
        <v>285</v>
      </c>
      <c r="F306" s="489" t="s">
        <v>7</v>
      </c>
      <c r="G306" s="794" t="s">
        <v>19</v>
      </c>
      <c r="H306" s="794" t="s">
        <v>71</v>
      </c>
      <c r="I306" s="794"/>
      <c r="J306" s="51"/>
      <c r="K306" s="51"/>
      <c r="L306" s="51"/>
      <c r="M306" s="51"/>
      <c r="N306" s="51">
        <v>11</v>
      </c>
      <c r="O306" s="51"/>
      <c r="P306" s="51"/>
      <c r="Q306" s="51"/>
      <c r="R306" s="511"/>
      <c r="S306" s="51"/>
      <c r="T306" s="51"/>
      <c r="U306" s="51"/>
      <c r="V306" s="51"/>
      <c r="W306" s="131">
        <f>IF(NFI_Expiration=1,IF($A306&lt;VLOOKUP(I$5,NFI,5,0),1,0)*Data_NFI_t[[#This Row],[Hygiene Kit]],0)</f>
        <v>0</v>
      </c>
      <c r="X306" s="131">
        <f>IF(NFI_Expiration=1,IF($A306&lt;VLOOKUP(J$5,NFI,5,0),1,0)*Data_NFI_t[[#This Row],[NFI Core Kit]],0)</f>
        <v>0</v>
      </c>
      <c r="Y306" s="112">
        <f>IF(NFI_Expiration=1,IF($A306&lt;VLOOKUP(K$5,NFI,5,0),1,0)*Data_NFI_t[[#This Row],[Sanitary Kit]],0)</f>
        <v>0</v>
      </c>
      <c r="Z306" s="112">
        <f>IF(NFI_Expiration=1,IF($A306&lt;VLOOKUP(L$5,NFI,5,0),1,0)*Data_NFI_t[[#This Row],[Mosquito net]],0)</f>
        <v>0</v>
      </c>
      <c r="AA306" s="112">
        <f>IF(NFI_Expiration=1,IF($A306&lt;VLOOKUP(M$5,NFI,5,0),1,0)*Data_NFI_t[[#This Row],[Tarpaulin]],0)</f>
        <v>0</v>
      </c>
      <c r="AB306" s="112">
        <f>IF(NFI_Expiration=1,IF($A306&lt;VLOOKUP(N$5,NFI,5,0),1,0)*Data_NFI_t[[#This Row],[Blanket]],0)</f>
        <v>0</v>
      </c>
      <c r="AC306" s="112">
        <f>IF(NFI_Expiration=1,IF($A306&lt;VLOOKUP(O$5,NFI,5,0),1,0)*Data_NFI_t[[#This Row],[Kitchen Set]],0)</f>
        <v>0</v>
      </c>
      <c r="AD306" s="112">
        <f>IF(NFI_Expiration=1,IF($A306&lt;VLOOKUP(P$5,NFI,5,0),1,0)*Data_NFI_t[[#This Row],[Complementary Kit]],0)</f>
        <v>0</v>
      </c>
      <c r="AE306" s="112">
        <f>IF(NFI_Expiration=1,IF($A306&lt;VLOOKUP(Q$5,NFI,5,0),1,0)*Data_NFI_t[[#This Row],[Plastic Bucket]],0)</f>
        <v>0</v>
      </c>
      <c r="AF306" s="112">
        <f>IF(NFI_Expiration=1,IF($A306&lt;VLOOKUP(R$5,NFI,5,0),1,0)*Data_NFI_t[[#This Row],[Jerry Can]],0)</f>
        <v>0</v>
      </c>
      <c r="AG306" s="131">
        <f>IF(NFI_Expiration=1,IF($A306&lt;VLOOKUP(S$5,NFI,5,0),1,0)*Data_NFI_t[[#This Row],[Plastic Mat]],0)*IF(Data_NFI_t[[#This Row],[Distribution Date]]&gt;"01-06-2015",1,2.5)</f>
        <v>0</v>
      </c>
      <c r="AH306" s="915">
        <f>IF(NFI_Expiration=1,IF($A306&lt;VLOOKUP(T$5,NFI,5,0),1,0)*Data_NFI_t[[#This Row],[Adult Clothes]],0)</f>
        <v>0</v>
      </c>
      <c r="AI306" s="131">
        <f>IF(NFI_Expiration=1,IF($A306&lt;VLOOKUP(U$5,NFI,5,0),1,0)*Data_NFI_t[[#This Row],[Children Clothes]],0)</f>
        <v>0</v>
      </c>
      <c r="AJ306" s="131">
        <f>IF(NFI_Expiration=1,IF($A306&lt;VLOOKUP(V$5,NFI,5,0),1,0)*Data_NFI_t[[#This Row],[Sewing Kit]],0)</f>
        <v>0</v>
      </c>
      <c r="AK306" s="131" t="str">
        <f ca="1">IFERROR(OFFSET(Camp_List[P_Code],MATCH(Data_NFI_t[[#This Row],[Camp Name]],Camp_List[Camp Name],0)-1,0,1,1),"")</f>
        <v>MMR012CMP049</v>
      </c>
      <c r="AL306" s="513" t="str">
        <f ca="1">IFERROR(OFFSET(Camp_List[Status],MATCH(Data_NFI_t[[#This Row],[Camp Name]],Camp_List[Camp Name],0)-1,0,1,1),"")</f>
        <v>Close</v>
      </c>
      <c r="AM306" s="131"/>
    </row>
    <row r="307" spans="1:39" s="90" customFormat="1" ht="19.5" customHeight="1" x14ac:dyDescent="0.25">
      <c r="A307" s="242">
        <f>IF(ISBLANK(C307),"",(Report_Date-C307)/30)</f>
        <v>51.233333333333334</v>
      </c>
      <c r="B307" s="242">
        <f>YEAR(Data_NFI_t[[#This Row],[Distribution Date]])</f>
        <v>2012</v>
      </c>
      <c r="C307" s="927">
        <v>41258</v>
      </c>
      <c r="D307" s="489" t="s">
        <v>285</v>
      </c>
      <c r="E307" s="488"/>
      <c r="F307" s="489" t="s">
        <v>7</v>
      </c>
      <c r="G307" s="794" t="s">
        <v>11</v>
      </c>
      <c r="H307" s="794" t="s">
        <v>30</v>
      </c>
      <c r="I307" s="794"/>
      <c r="J307" s="51"/>
      <c r="K307" s="51"/>
      <c r="L307" s="51">
        <v>172</v>
      </c>
      <c r="M307" s="51"/>
      <c r="N307" s="51"/>
      <c r="O307" s="51"/>
      <c r="P307" s="51"/>
      <c r="Q307" s="51"/>
      <c r="R307" s="511"/>
      <c r="S307" s="51"/>
      <c r="T307" s="51"/>
      <c r="U307" s="51"/>
      <c r="V307" s="51"/>
      <c r="W307" s="131">
        <f>IF(NFI_Expiration=1,IF($A307&lt;VLOOKUP(I$5,NFI,5,0),1,0)*Data_NFI_t[[#This Row],[Hygiene Kit]],0)</f>
        <v>0</v>
      </c>
      <c r="X307" s="131">
        <f>IF(NFI_Expiration=1,IF($A307&lt;VLOOKUP(J$5,NFI,5,0),1,0)*Data_NFI_t[[#This Row],[NFI Core Kit]],0)</f>
        <v>0</v>
      </c>
      <c r="Y307" s="112">
        <f>IF(NFI_Expiration=1,IF($A307&lt;VLOOKUP(K$5,NFI,5,0),1,0)*Data_NFI_t[[#This Row],[Sanitary Kit]],0)</f>
        <v>0</v>
      </c>
      <c r="Z307" s="112">
        <f>IF(NFI_Expiration=1,IF($A307&lt;VLOOKUP(L$5,NFI,5,0),1,0)*Data_NFI_t[[#This Row],[Mosquito net]],0)</f>
        <v>0</v>
      </c>
      <c r="AA307" s="112">
        <f>IF(NFI_Expiration=1,IF($A307&lt;VLOOKUP(M$5,NFI,5,0),1,0)*Data_NFI_t[[#This Row],[Tarpaulin]],0)</f>
        <v>0</v>
      </c>
      <c r="AB307" s="112">
        <f>IF(NFI_Expiration=1,IF($A307&lt;VLOOKUP(N$5,NFI,5,0),1,0)*Data_NFI_t[[#This Row],[Blanket]],0)</f>
        <v>0</v>
      </c>
      <c r="AC307" s="112">
        <f>IF(NFI_Expiration=1,IF($A307&lt;VLOOKUP(O$5,NFI,5,0),1,0)*Data_NFI_t[[#This Row],[Kitchen Set]],0)</f>
        <v>0</v>
      </c>
      <c r="AD307" s="112">
        <f>IF(NFI_Expiration=1,IF($A307&lt;VLOOKUP(P$5,NFI,5,0),1,0)*Data_NFI_t[[#This Row],[Complementary Kit]],0)</f>
        <v>0</v>
      </c>
      <c r="AE307" s="112">
        <f>IF(NFI_Expiration=1,IF($A307&lt;VLOOKUP(Q$5,NFI,5,0),1,0)*Data_NFI_t[[#This Row],[Plastic Bucket]],0)</f>
        <v>0</v>
      </c>
      <c r="AF307" s="112">
        <f>IF(NFI_Expiration=1,IF($A307&lt;VLOOKUP(R$5,NFI,5,0),1,0)*Data_NFI_t[[#This Row],[Jerry Can]],0)</f>
        <v>0</v>
      </c>
      <c r="AG307" s="131">
        <f>IF(NFI_Expiration=1,IF($A307&lt;VLOOKUP(S$5,NFI,5,0),1,0)*Data_NFI_t[[#This Row],[Plastic Mat]],0)*IF(Data_NFI_t[[#This Row],[Distribution Date]]&gt;"01-06-2015",1,2.5)</f>
        <v>0</v>
      </c>
      <c r="AH307" s="915">
        <f>IF(NFI_Expiration=1,IF($A307&lt;VLOOKUP(T$5,NFI,5,0),1,0)*Data_NFI_t[[#This Row],[Adult Clothes]],0)</f>
        <v>0</v>
      </c>
      <c r="AI307" s="131">
        <f>IF(NFI_Expiration=1,IF($A307&lt;VLOOKUP(U$5,NFI,5,0),1,0)*Data_NFI_t[[#This Row],[Children Clothes]],0)</f>
        <v>0</v>
      </c>
      <c r="AJ307" s="131">
        <f>IF(NFI_Expiration=1,IF($A307&lt;VLOOKUP(V$5,NFI,5,0),1,0)*Data_NFI_t[[#This Row],[Sewing Kit]],0)</f>
        <v>0</v>
      </c>
      <c r="AK307" s="131" t="str">
        <f ca="1">IFERROR(OFFSET(Camp_List[P_Code],MATCH(Data_NFI_t[[#This Row],[Camp Name]],Camp_List[Camp Name],0)-1,0,1,1),"")</f>
        <v>MMR012CMP006</v>
      </c>
      <c r="AL307" s="513" t="str">
        <f ca="1">IFERROR(OFFSET(Camp_List[Status],MATCH(Data_NFI_t[[#This Row],[Camp Name]],Camp_List[Camp Name],0)-1,0,1,1),"")</f>
        <v>Returned</v>
      </c>
      <c r="AM307" s="131"/>
    </row>
    <row r="308" spans="1:39" s="90" customFormat="1" ht="19.5" customHeight="1" x14ac:dyDescent="0.25">
      <c r="A308" s="242">
        <f>IF(ISBLANK(C308),"",(Report_Date-C308)/30)</f>
        <v>51.233333333333334</v>
      </c>
      <c r="B308" s="242">
        <f>YEAR(Data_NFI_t[[#This Row],[Distribution Date]])</f>
        <v>2012</v>
      </c>
      <c r="C308" s="927">
        <v>41258</v>
      </c>
      <c r="D308" s="489" t="s">
        <v>285</v>
      </c>
      <c r="E308" s="488"/>
      <c r="F308" s="489" t="s">
        <v>7</v>
      </c>
      <c r="G308" s="794" t="s">
        <v>11</v>
      </c>
      <c r="H308" s="794" t="s">
        <v>28</v>
      </c>
      <c r="I308" s="794"/>
      <c r="J308" s="51"/>
      <c r="K308" s="51"/>
      <c r="L308" s="51"/>
      <c r="M308" s="51"/>
      <c r="N308" s="51">
        <v>156</v>
      </c>
      <c r="O308" s="51"/>
      <c r="P308" s="51"/>
      <c r="Q308" s="51"/>
      <c r="R308" s="511"/>
      <c r="S308" s="51"/>
      <c r="T308" s="51"/>
      <c r="U308" s="51"/>
      <c r="V308" s="51"/>
      <c r="W308" s="131">
        <f>IF(NFI_Expiration=1,IF($A308&lt;VLOOKUP(I$5,NFI,5,0),1,0)*Data_NFI_t[[#This Row],[Hygiene Kit]],0)</f>
        <v>0</v>
      </c>
      <c r="X308" s="131">
        <f>IF(NFI_Expiration=1,IF($A308&lt;VLOOKUP(J$5,NFI,5,0),1,0)*Data_NFI_t[[#This Row],[NFI Core Kit]],0)</f>
        <v>0</v>
      </c>
      <c r="Y308" s="112">
        <f>IF(NFI_Expiration=1,IF($A308&lt;VLOOKUP(K$5,NFI,5,0),1,0)*Data_NFI_t[[#This Row],[Sanitary Kit]],0)</f>
        <v>0</v>
      </c>
      <c r="Z308" s="112">
        <f>IF(NFI_Expiration=1,IF($A308&lt;VLOOKUP(L$5,NFI,5,0),1,0)*Data_NFI_t[[#This Row],[Mosquito net]],0)</f>
        <v>0</v>
      </c>
      <c r="AA308" s="112">
        <f>IF(NFI_Expiration=1,IF($A308&lt;VLOOKUP(M$5,NFI,5,0),1,0)*Data_NFI_t[[#This Row],[Tarpaulin]],0)</f>
        <v>0</v>
      </c>
      <c r="AB308" s="112">
        <f>IF(NFI_Expiration=1,IF($A308&lt;VLOOKUP(N$5,NFI,5,0),1,0)*Data_NFI_t[[#This Row],[Blanket]],0)</f>
        <v>0</v>
      </c>
      <c r="AC308" s="112">
        <f>IF(NFI_Expiration=1,IF($A308&lt;VLOOKUP(O$5,NFI,5,0),1,0)*Data_NFI_t[[#This Row],[Kitchen Set]],0)</f>
        <v>0</v>
      </c>
      <c r="AD308" s="112">
        <f>IF(NFI_Expiration=1,IF($A308&lt;VLOOKUP(P$5,NFI,5,0),1,0)*Data_NFI_t[[#This Row],[Complementary Kit]],0)</f>
        <v>0</v>
      </c>
      <c r="AE308" s="112">
        <f>IF(NFI_Expiration=1,IF($A308&lt;VLOOKUP(Q$5,NFI,5,0),1,0)*Data_NFI_t[[#This Row],[Plastic Bucket]],0)</f>
        <v>0</v>
      </c>
      <c r="AF308" s="112">
        <f>IF(NFI_Expiration=1,IF($A308&lt;VLOOKUP(R$5,NFI,5,0),1,0)*Data_NFI_t[[#This Row],[Jerry Can]],0)</f>
        <v>0</v>
      </c>
      <c r="AG308" s="131">
        <f>IF(NFI_Expiration=1,IF($A308&lt;VLOOKUP(S$5,NFI,5,0),1,0)*Data_NFI_t[[#This Row],[Plastic Mat]],0)*IF(Data_NFI_t[[#This Row],[Distribution Date]]&gt;"01-06-2015",1,2.5)</f>
        <v>0</v>
      </c>
      <c r="AH308" s="915">
        <f>IF(NFI_Expiration=1,IF($A308&lt;VLOOKUP(T$5,NFI,5,0),1,0)*Data_NFI_t[[#This Row],[Adult Clothes]],0)</f>
        <v>0</v>
      </c>
      <c r="AI308" s="131">
        <f>IF(NFI_Expiration=1,IF($A308&lt;VLOOKUP(U$5,NFI,5,0),1,0)*Data_NFI_t[[#This Row],[Children Clothes]],0)</f>
        <v>0</v>
      </c>
      <c r="AJ308" s="131">
        <f>IF(NFI_Expiration=1,IF($A308&lt;VLOOKUP(V$5,NFI,5,0),1,0)*Data_NFI_t[[#This Row],[Sewing Kit]],0)</f>
        <v>0</v>
      </c>
      <c r="AK308" s="131" t="str">
        <f ca="1">IFERROR(OFFSET(Camp_List[P_Code],MATCH(Data_NFI_t[[#This Row],[Camp Name]],Camp_List[Camp Name],0)-1,0,1,1),"")</f>
        <v>MMR012CMP004</v>
      </c>
      <c r="AL308" s="513" t="str">
        <f ca="1">IFERROR(OFFSET(Camp_List[Status],MATCH(Data_NFI_t[[#This Row],[Camp Name]],Camp_List[Camp Name],0)-1,0,1,1),"")</f>
        <v>Close</v>
      </c>
      <c r="AM308" s="131"/>
    </row>
    <row r="309" spans="1:39" s="90" customFormat="1" ht="19.5" customHeight="1" x14ac:dyDescent="0.25">
      <c r="A309" s="242">
        <f>IF(ISBLANK(C309),"",(Report_Date-C309)/30)</f>
        <v>51.233333333333334</v>
      </c>
      <c r="B309" s="242">
        <f>YEAR(Data_NFI_t[[#This Row],[Distribution Date]])</f>
        <v>2012</v>
      </c>
      <c r="C309" s="927">
        <v>41258</v>
      </c>
      <c r="D309" s="489" t="s">
        <v>285</v>
      </c>
      <c r="E309" s="488"/>
      <c r="F309" s="489" t="s">
        <v>7</v>
      </c>
      <c r="G309" s="794" t="s">
        <v>1003</v>
      </c>
      <c r="H309" s="794" t="s">
        <v>33</v>
      </c>
      <c r="I309" s="794"/>
      <c r="J309" s="51"/>
      <c r="K309" s="51"/>
      <c r="L309" s="51">
        <v>240</v>
      </c>
      <c r="M309" s="51"/>
      <c r="N309" s="51"/>
      <c r="O309" s="51"/>
      <c r="P309" s="51"/>
      <c r="Q309" s="51"/>
      <c r="R309" s="511"/>
      <c r="S309" s="51"/>
      <c r="T309" s="51"/>
      <c r="U309" s="51"/>
      <c r="V309" s="51"/>
      <c r="W309" s="131">
        <f>IF(NFI_Expiration=1,IF($A309&lt;VLOOKUP(I$5,NFI,5,0),1,0)*Data_NFI_t[[#This Row],[Hygiene Kit]],0)</f>
        <v>0</v>
      </c>
      <c r="X309" s="131">
        <f>IF(NFI_Expiration=1,IF($A309&lt;VLOOKUP(J$5,NFI,5,0),1,0)*Data_NFI_t[[#This Row],[NFI Core Kit]],0)</f>
        <v>0</v>
      </c>
      <c r="Y309" s="112">
        <f>IF(NFI_Expiration=1,IF($A309&lt;VLOOKUP(K$5,NFI,5,0),1,0)*Data_NFI_t[[#This Row],[Sanitary Kit]],0)</f>
        <v>0</v>
      </c>
      <c r="Z309" s="112">
        <f>IF(NFI_Expiration=1,IF($A309&lt;VLOOKUP(L$5,NFI,5,0),1,0)*Data_NFI_t[[#This Row],[Mosquito net]],0)</f>
        <v>0</v>
      </c>
      <c r="AA309" s="112">
        <f>IF(NFI_Expiration=1,IF($A309&lt;VLOOKUP(M$5,NFI,5,0),1,0)*Data_NFI_t[[#This Row],[Tarpaulin]],0)</f>
        <v>0</v>
      </c>
      <c r="AB309" s="112">
        <f>IF(NFI_Expiration=1,IF($A309&lt;VLOOKUP(N$5,NFI,5,0),1,0)*Data_NFI_t[[#This Row],[Blanket]],0)</f>
        <v>0</v>
      </c>
      <c r="AC309" s="112">
        <f>IF(NFI_Expiration=1,IF($A309&lt;VLOOKUP(O$5,NFI,5,0),1,0)*Data_NFI_t[[#This Row],[Kitchen Set]],0)</f>
        <v>0</v>
      </c>
      <c r="AD309" s="112">
        <f>IF(NFI_Expiration=1,IF($A309&lt;VLOOKUP(P$5,NFI,5,0),1,0)*Data_NFI_t[[#This Row],[Complementary Kit]],0)</f>
        <v>0</v>
      </c>
      <c r="AE309" s="112">
        <f>IF(NFI_Expiration=1,IF($A309&lt;VLOOKUP(Q$5,NFI,5,0),1,0)*Data_NFI_t[[#This Row],[Plastic Bucket]],0)</f>
        <v>0</v>
      </c>
      <c r="AF309" s="112">
        <f>IF(NFI_Expiration=1,IF($A309&lt;VLOOKUP(R$5,NFI,5,0),1,0)*Data_NFI_t[[#This Row],[Jerry Can]],0)</f>
        <v>0</v>
      </c>
      <c r="AG309" s="131">
        <f>IF(NFI_Expiration=1,IF($A309&lt;VLOOKUP(S$5,NFI,5,0),1,0)*Data_NFI_t[[#This Row],[Plastic Mat]],0)*IF(Data_NFI_t[[#This Row],[Distribution Date]]&gt;"01-06-2015",1,2.5)</f>
        <v>0</v>
      </c>
      <c r="AH309" s="915">
        <f>IF(NFI_Expiration=1,IF($A309&lt;VLOOKUP(T$5,NFI,5,0),1,0)*Data_NFI_t[[#This Row],[Adult Clothes]],0)</f>
        <v>0</v>
      </c>
      <c r="AI309" s="131">
        <f>IF(NFI_Expiration=1,IF($A309&lt;VLOOKUP(U$5,NFI,5,0),1,0)*Data_NFI_t[[#This Row],[Children Clothes]],0)</f>
        <v>0</v>
      </c>
      <c r="AJ309" s="131">
        <f>IF(NFI_Expiration=1,IF($A309&lt;VLOOKUP(V$5,NFI,5,0),1,0)*Data_NFI_t[[#This Row],[Sewing Kit]],0)</f>
        <v>0</v>
      </c>
      <c r="AK309" s="131" t="str">
        <f ca="1">IFERROR(OFFSET(Camp_List[P_Code],MATCH(Data_NFI_t[[#This Row],[Camp Name]],Camp_List[Camp Name],0)-1,0,1,1),"")</f>
        <v>MMR012CMP009</v>
      </c>
      <c r="AL309" s="513" t="str">
        <f ca="1">IFERROR(OFFSET(Camp_List[Status],MATCH(Data_NFI_t[[#This Row],[Camp Name]],Camp_List[Camp Name],0)-1,0,1,1),"")</f>
        <v>Returned</v>
      </c>
      <c r="AM309" s="131"/>
    </row>
    <row r="310" spans="1:39" s="90" customFormat="1" ht="19.5" customHeight="1" x14ac:dyDescent="0.25">
      <c r="A310" s="242">
        <f>IF(ISBLANK(C310),"",(Report_Date-C310)/30)</f>
        <v>51.233333333333334</v>
      </c>
      <c r="B310" s="242">
        <f>YEAR(Data_NFI_t[[#This Row],[Distribution Date]])</f>
        <v>2012</v>
      </c>
      <c r="C310" s="927">
        <v>41258</v>
      </c>
      <c r="D310" s="489" t="s">
        <v>285</v>
      </c>
      <c r="E310" s="488"/>
      <c r="F310" s="489" t="s">
        <v>7</v>
      </c>
      <c r="G310" s="794" t="s">
        <v>11</v>
      </c>
      <c r="H310" s="794" t="s">
        <v>32</v>
      </c>
      <c r="I310" s="794"/>
      <c r="J310" s="51"/>
      <c r="K310" s="51"/>
      <c r="L310" s="51">
        <v>200</v>
      </c>
      <c r="M310" s="51"/>
      <c r="N310" s="51"/>
      <c r="O310" s="51"/>
      <c r="P310" s="51"/>
      <c r="Q310" s="51"/>
      <c r="R310" s="511"/>
      <c r="S310" s="51"/>
      <c r="T310" s="51"/>
      <c r="U310" s="51"/>
      <c r="V310" s="51"/>
      <c r="W310" s="131">
        <f>IF(NFI_Expiration=1,IF($A310&lt;VLOOKUP(I$5,NFI,5,0),1,0)*Data_NFI_t[[#This Row],[Hygiene Kit]],0)</f>
        <v>0</v>
      </c>
      <c r="X310" s="131">
        <f>IF(NFI_Expiration=1,IF($A310&lt;VLOOKUP(J$5,NFI,5,0),1,0)*Data_NFI_t[[#This Row],[NFI Core Kit]],0)</f>
        <v>0</v>
      </c>
      <c r="Y310" s="112">
        <f>IF(NFI_Expiration=1,IF($A310&lt;VLOOKUP(K$5,NFI,5,0),1,0)*Data_NFI_t[[#This Row],[Sanitary Kit]],0)</f>
        <v>0</v>
      </c>
      <c r="Z310" s="112">
        <f>IF(NFI_Expiration=1,IF($A310&lt;VLOOKUP(L$5,NFI,5,0),1,0)*Data_NFI_t[[#This Row],[Mosquito net]],0)</f>
        <v>0</v>
      </c>
      <c r="AA310" s="112">
        <f>IF(NFI_Expiration=1,IF($A310&lt;VLOOKUP(M$5,NFI,5,0),1,0)*Data_NFI_t[[#This Row],[Tarpaulin]],0)</f>
        <v>0</v>
      </c>
      <c r="AB310" s="112">
        <f>IF(NFI_Expiration=1,IF($A310&lt;VLOOKUP(N$5,NFI,5,0),1,0)*Data_NFI_t[[#This Row],[Blanket]],0)</f>
        <v>0</v>
      </c>
      <c r="AC310" s="112">
        <f>IF(NFI_Expiration=1,IF($A310&lt;VLOOKUP(O$5,NFI,5,0),1,0)*Data_NFI_t[[#This Row],[Kitchen Set]],0)</f>
        <v>0</v>
      </c>
      <c r="AD310" s="112">
        <f>IF(NFI_Expiration=1,IF($A310&lt;VLOOKUP(P$5,NFI,5,0),1,0)*Data_NFI_t[[#This Row],[Complementary Kit]],0)</f>
        <v>0</v>
      </c>
      <c r="AE310" s="112">
        <f>IF(NFI_Expiration=1,IF($A310&lt;VLOOKUP(Q$5,NFI,5,0),1,0)*Data_NFI_t[[#This Row],[Plastic Bucket]],0)</f>
        <v>0</v>
      </c>
      <c r="AF310" s="112">
        <f>IF(NFI_Expiration=1,IF($A310&lt;VLOOKUP(R$5,NFI,5,0),1,0)*Data_NFI_t[[#This Row],[Jerry Can]],0)</f>
        <v>0</v>
      </c>
      <c r="AG310" s="131">
        <f>IF(NFI_Expiration=1,IF($A310&lt;VLOOKUP(S$5,NFI,5,0),1,0)*Data_NFI_t[[#This Row],[Plastic Mat]],0)*IF(Data_NFI_t[[#This Row],[Distribution Date]]&gt;"01-06-2015",1,2.5)</f>
        <v>0</v>
      </c>
      <c r="AH310" s="915">
        <f>IF(NFI_Expiration=1,IF($A310&lt;VLOOKUP(T$5,NFI,5,0),1,0)*Data_NFI_t[[#This Row],[Adult Clothes]],0)</f>
        <v>0</v>
      </c>
      <c r="AI310" s="131">
        <f>IF(NFI_Expiration=1,IF($A310&lt;VLOOKUP(U$5,NFI,5,0),1,0)*Data_NFI_t[[#This Row],[Children Clothes]],0)</f>
        <v>0</v>
      </c>
      <c r="AJ310" s="131">
        <f>IF(NFI_Expiration=1,IF($A310&lt;VLOOKUP(V$5,NFI,5,0),1,0)*Data_NFI_t[[#This Row],[Sewing Kit]],0)</f>
        <v>0</v>
      </c>
      <c r="AK310" s="131" t="str">
        <f ca="1">IFERROR(OFFSET(Camp_List[P_Code],MATCH(Data_NFI_t[[#This Row],[Camp Name]],Camp_List[Camp Name],0)-1,0,1,1),"")</f>
        <v>MMR012CMP008</v>
      </c>
      <c r="AL310" s="513" t="str">
        <f ca="1">IFERROR(OFFSET(Camp_List[Status],MATCH(Data_NFI_t[[#This Row],[Camp Name]],Camp_List[Camp Name],0)-1,0,1,1),"")</f>
        <v>Returned</v>
      </c>
      <c r="AM310" s="131"/>
    </row>
    <row r="311" spans="1:39" s="90" customFormat="1" ht="19.5" customHeight="1" x14ac:dyDescent="0.25">
      <c r="A311" s="242">
        <f>IF(ISBLANK(C311),"",(Report_Date-C311)/30)</f>
        <v>51.233333333333334</v>
      </c>
      <c r="B311" s="242">
        <f>YEAR(Data_NFI_t[[#This Row],[Distribution Date]])</f>
        <v>2012</v>
      </c>
      <c r="C311" s="927">
        <v>41258</v>
      </c>
      <c r="D311" s="489" t="s">
        <v>285</v>
      </c>
      <c r="E311" s="488"/>
      <c r="F311" s="489" t="s">
        <v>7</v>
      </c>
      <c r="G311" s="794" t="s">
        <v>11</v>
      </c>
      <c r="H311" s="794" t="s">
        <v>27</v>
      </c>
      <c r="I311" s="794"/>
      <c r="J311" s="51"/>
      <c r="K311" s="51"/>
      <c r="L311" s="51"/>
      <c r="M311" s="51"/>
      <c r="N311" s="51"/>
      <c r="O311" s="51">
        <v>86</v>
      </c>
      <c r="P311" s="51"/>
      <c r="Q311" s="51"/>
      <c r="R311" s="511"/>
      <c r="S311" s="51"/>
      <c r="T311" s="51"/>
      <c r="U311" s="51"/>
      <c r="V311" s="51"/>
      <c r="W311" s="131">
        <f>IF(NFI_Expiration=1,IF($A311&lt;VLOOKUP(I$5,NFI,5,0),1,0)*Data_NFI_t[[#This Row],[Hygiene Kit]],0)</f>
        <v>0</v>
      </c>
      <c r="X311" s="131">
        <f>IF(NFI_Expiration=1,IF($A311&lt;VLOOKUP(J$5,NFI,5,0),1,0)*Data_NFI_t[[#This Row],[NFI Core Kit]],0)</f>
        <v>0</v>
      </c>
      <c r="Y311" s="112">
        <f>IF(NFI_Expiration=1,IF($A311&lt;VLOOKUP(K$5,NFI,5,0),1,0)*Data_NFI_t[[#This Row],[Sanitary Kit]],0)</f>
        <v>0</v>
      </c>
      <c r="Z311" s="112">
        <f>IF(NFI_Expiration=1,IF($A311&lt;VLOOKUP(L$5,NFI,5,0),1,0)*Data_NFI_t[[#This Row],[Mosquito net]],0)</f>
        <v>0</v>
      </c>
      <c r="AA311" s="112">
        <f>IF(NFI_Expiration=1,IF($A311&lt;VLOOKUP(M$5,NFI,5,0),1,0)*Data_NFI_t[[#This Row],[Tarpaulin]],0)</f>
        <v>0</v>
      </c>
      <c r="AB311" s="112">
        <f>IF(NFI_Expiration=1,IF($A311&lt;VLOOKUP(N$5,NFI,5,0),1,0)*Data_NFI_t[[#This Row],[Blanket]],0)</f>
        <v>0</v>
      </c>
      <c r="AC311" s="112">
        <f>IF(NFI_Expiration=1,IF($A311&lt;VLOOKUP(O$5,NFI,5,0),1,0)*Data_NFI_t[[#This Row],[Kitchen Set]],0)</f>
        <v>0</v>
      </c>
      <c r="AD311" s="112">
        <f>IF(NFI_Expiration=1,IF($A311&lt;VLOOKUP(P$5,NFI,5,0),1,0)*Data_NFI_t[[#This Row],[Complementary Kit]],0)</f>
        <v>0</v>
      </c>
      <c r="AE311" s="112">
        <f>IF(NFI_Expiration=1,IF($A311&lt;VLOOKUP(Q$5,NFI,5,0),1,0)*Data_NFI_t[[#This Row],[Plastic Bucket]],0)</f>
        <v>0</v>
      </c>
      <c r="AF311" s="112">
        <f>IF(NFI_Expiration=1,IF($A311&lt;VLOOKUP(R$5,NFI,5,0),1,0)*Data_NFI_t[[#This Row],[Jerry Can]],0)</f>
        <v>0</v>
      </c>
      <c r="AG311" s="131">
        <f>IF(NFI_Expiration=1,IF($A311&lt;VLOOKUP(S$5,NFI,5,0),1,0)*Data_NFI_t[[#This Row],[Plastic Mat]],0)*IF(Data_NFI_t[[#This Row],[Distribution Date]]&gt;"01-06-2015",1,2.5)</f>
        <v>0</v>
      </c>
      <c r="AH311" s="915">
        <f>IF(NFI_Expiration=1,IF($A311&lt;VLOOKUP(T$5,NFI,5,0),1,0)*Data_NFI_t[[#This Row],[Adult Clothes]],0)</f>
        <v>0</v>
      </c>
      <c r="AI311" s="131">
        <f>IF(NFI_Expiration=1,IF($A311&lt;VLOOKUP(U$5,NFI,5,0),1,0)*Data_NFI_t[[#This Row],[Children Clothes]],0)</f>
        <v>0</v>
      </c>
      <c r="AJ311" s="131">
        <f>IF(NFI_Expiration=1,IF($A311&lt;VLOOKUP(V$5,NFI,5,0),1,0)*Data_NFI_t[[#This Row],[Sewing Kit]],0)</f>
        <v>0</v>
      </c>
      <c r="AK311" s="131" t="str">
        <f ca="1">IFERROR(OFFSET(Camp_List[P_Code],MATCH(Data_NFI_t[[#This Row],[Camp Name]],Camp_List[Camp Name],0)-1,0,1,1),"")</f>
        <v>MMR012CMP003</v>
      </c>
      <c r="AL311" s="513" t="str">
        <f ca="1">IFERROR(OFFSET(Camp_List[Status],MATCH(Data_NFI_t[[#This Row],[Camp Name]],Camp_List[Camp Name],0)-1,0,1,1),"")</f>
        <v>Returned</v>
      </c>
      <c r="AM311" s="131"/>
    </row>
    <row r="312" spans="1:39" s="90" customFormat="1" ht="19.5" customHeight="1" x14ac:dyDescent="0.25">
      <c r="A312" s="242">
        <f>IF(ISBLANK(C312),"",(Report_Date-C312)/30)</f>
        <v>51.233333333333334</v>
      </c>
      <c r="B312" s="242">
        <f>YEAR(Data_NFI_t[[#This Row],[Distribution Date]])</f>
        <v>2012</v>
      </c>
      <c r="C312" s="927">
        <v>41258</v>
      </c>
      <c r="D312" s="489" t="s">
        <v>285</v>
      </c>
      <c r="E312" s="488"/>
      <c r="F312" s="489" t="s">
        <v>7</v>
      </c>
      <c r="G312" s="794" t="s">
        <v>11</v>
      </c>
      <c r="H312" s="794" t="s">
        <v>26</v>
      </c>
      <c r="I312" s="794"/>
      <c r="J312" s="51"/>
      <c r="K312" s="51"/>
      <c r="L312" s="51"/>
      <c r="M312" s="51"/>
      <c r="N312" s="51">
        <v>406</v>
      </c>
      <c r="O312" s="51"/>
      <c r="P312" s="51"/>
      <c r="Q312" s="51"/>
      <c r="R312" s="511"/>
      <c r="S312" s="51"/>
      <c r="T312" s="51"/>
      <c r="U312" s="51"/>
      <c r="V312" s="51"/>
      <c r="W312" s="131">
        <f>IF(NFI_Expiration=1,IF($A312&lt;VLOOKUP(I$5,NFI,5,0),1,0)*Data_NFI_t[[#This Row],[Hygiene Kit]],0)</f>
        <v>0</v>
      </c>
      <c r="X312" s="131">
        <f>IF(NFI_Expiration=1,IF($A312&lt;VLOOKUP(J$5,NFI,5,0),1,0)*Data_NFI_t[[#This Row],[NFI Core Kit]],0)</f>
        <v>0</v>
      </c>
      <c r="Y312" s="112">
        <f>IF(NFI_Expiration=1,IF($A312&lt;VLOOKUP(K$5,NFI,5,0),1,0)*Data_NFI_t[[#This Row],[Sanitary Kit]],0)</f>
        <v>0</v>
      </c>
      <c r="Z312" s="112">
        <f>IF(NFI_Expiration=1,IF($A312&lt;VLOOKUP(L$5,NFI,5,0),1,0)*Data_NFI_t[[#This Row],[Mosquito net]],0)</f>
        <v>0</v>
      </c>
      <c r="AA312" s="112">
        <f>IF(NFI_Expiration=1,IF($A312&lt;VLOOKUP(M$5,NFI,5,0),1,0)*Data_NFI_t[[#This Row],[Tarpaulin]],0)</f>
        <v>0</v>
      </c>
      <c r="AB312" s="112">
        <f>IF(NFI_Expiration=1,IF($A312&lt;VLOOKUP(N$5,NFI,5,0),1,0)*Data_NFI_t[[#This Row],[Blanket]],0)</f>
        <v>0</v>
      </c>
      <c r="AC312" s="112">
        <f>IF(NFI_Expiration=1,IF($A312&lt;VLOOKUP(O$5,NFI,5,0),1,0)*Data_NFI_t[[#This Row],[Kitchen Set]],0)</f>
        <v>0</v>
      </c>
      <c r="AD312" s="112">
        <f>IF(NFI_Expiration=1,IF($A312&lt;VLOOKUP(P$5,NFI,5,0),1,0)*Data_NFI_t[[#This Row],[Complementary Kit]],0)</f>
        <v>0</v>
      </c>
      <c r="AE312" s="112">
        <f>IF(NFI_Expiration=1,IF($A312&lt;VLOOKUP(Q$5,NFI,5,0),1,0)*Data_NFI_t[[#This Row],[Plastic Bucket]],0)</f>
        <v>0</v>
      </c>
      <c r="AF312" s="112">
        <f>IF(NFI_Expiration=1,IF($A312&lt;VLOOKUP(R$5,NFI,5,0),1,0)*Data_NFI_t[[#This Row],[Jerry Can]],0)</f>
        <v>0</v>
      </c>
      <c r="AG312" s="131">
        <f>IF(NFI_Expiration=1,IF($A312&lt;VLOOKUP(S$5,NFI,5,0),1,0)*Data_NFI_t[[#This Row],[Plastic Mat]],0)*IF(Data_NFI_t[[#This Row],[Distribution Date]]&gt;"01-06-2015",1,2.5)</f>
        <v>0</v>
      </c>
      <c r="AH312" s="915">
        <f>IF(NFI_Expiration=1,IF($A312&lt;VLOOKUP(T$5,NFI,5,0),1,0)*Data_NFI_t[[#This Row],[Adult Clothes]],0)</f>
        <v>0</v>
      </c>
      <c r="AI312" s="131">
        <f>IF(NFI_Expiration=1,IF($A312&lt;VLOOKUP(U$5,NFI,5,0),1,0)*Data_NFI_t[[#This Row],[Children Clothes]],0)</f>
        <v>0</v>
      </c>
      <c r="AJ312" s="131">
        <f>IF(NFI_Expiration=1,IF($A312&lt;VLOOKUP(V$5,NFI,5,0),1,0)*Data_NFI_t[[#This Row],[Sewing Kit]],0)</f>
        <v>0</v>
      </c>
      <c r="AK312" s="131" t="str">
        <f ca="1">IFERROR(OFFSET(Camp_List[P_Code],MATCH(Data_NFI_t[[#This Row],[Camp Name]],Camp_List[Camp Name],0)-1,0,1,1),"")</f>
        <v>MMR012CMP002</v>
      </c>
      <c r="AL312" s="513" t="str">
        <f ca="1">IFERROR(OFFSET(Camp_List[Status],MATCH(Data_NFI_t[[#This Row],[Camp Name]],Camp_List[Camp Name],0)-1,0,1,1),"")</f>
        <v>Returned</v>
      </c>
      <c r="AM312" s="131"/>
    </row>
    <row r="313" spans="1:39" s="90" customFormat="1" ht="19.5" customHeight="1" x14ac:dyDescent="0.25">
      <c r="A313" s="242">
        <f>IF(ISBLANK(C313),"",(Report_Date-C313)/30)</f>
        <v>51.266666666666666</v>
      </c>
      <c r="B313" s="242">
        <f>YEAR(Data_NFI_t[[#This Row],[Distribution Date]])</f>
        <v>2012</v>
      </c>
      <c r="C313" s="927">
        <v>41257</v>
      </c>
      <c r="D313" s="489" t="s">
        <v>289</v>
      </c>
      <c r="E313" s="488" t="s">
        <v>285</v>
      </c>
      <c r="F313" s="489" t="s">
        <v>7</v>
      </c>
      <c r="G313" s="794" t="s">
        <v>19</v>
      </c>
      <c r="H313" s="794" t="s">
        <v>71</v>
      </c>
      <c r="I313" s="794"/>
      <c r="J313" s="51"/>
      <c r="K313" s="51"/>
      <c r="L313" s="51"/>
      <c r="M313" s="51"/>
      <c r="N313" s="51">
        <v>55</v>
      </c>
      <c r="O313" s="51"/>
      <c r="P313" s="51"/>
      <c r="Q313" s="51"/>
      <c r="R313" s="511"/>
      <c r="S313" s="51"/>
      <c r="T313" s="51"/>
      <c r="U313" s="51"/>
      <c r="V313" s="51"/>
      <c r="W313" s="131">
        <f>IF(NFI_Expiration=1,IF($A313&lt;VLOOKUP(I$5,NFI,5,0),1,0)*Data_NFI_t[[#This Row],[Hygiene Kit]],0)</f>
        <v>0</v>
      </c>
      <c r="X313" s="131">
        <f>IF(NFI_Expiration=1,IF($A313&lt;VLOOKUP(J$5,NFI,5,0),1,0)*Data_NFI_t[[#This Row],[NFI Core Kit]],0)</f>
        <v>0</v>
      </c>
      <c r="Y313" s="112">
        <f>IF(NFI_Expiration=1,IF($A313&lt;VLOOKUP(K$5,NFI,5,0),1,0)*Data_NFI_t[[#This Row],[Sanitary Kit]],0)</f>
        <v>0</v>
      </c>
      <c r="Z313" s="112">
        <f>IF(NFI_Expiration=1,IF($A313&lt;VLOOKUP(L$5,NFI,5,0),1,0)*Data_NFI_t[[#This Row],[Mosquito net]],0)</f>
        <v>0</v>
      </c>
      <c r="AA313" s="112">
        <f>IF(NFI_Expiration=1,IF($A313&lt;VLOOKUP(M$5,NFI,5,0),1,0)*Data_NFI_t[[#This Row],[Tarpaulin]],0)</f>
        <v>0</v>
      </c>
      <c r="AB313" s="112">
        <f>IF(NFI_Expiration=1,IF($A313&lt;VLOOKUP(N$5,NFI,5,0),1,0)*Data_NFI_t[[#This Row],[Blanket]],0)</f>
        <v>0</v>
      </c>
      <c r="AC313" s="112">
        <f>IF(NFI_Expiration=1,IF($A313&lt;VLOOKUP(O$5,NFI,5,0),1,0)*Data_NFI_t[[#This Row],[Kitchen Set]],0)</f>
        <v>0</v>
      </c>
      <c r="AD313" s="112">
        <f>IF(NFI_Expiration=1,IF($A313&lt;VLOOKUP(P$5,NFI,5,0),1,0)*Data_NFI_t[[#This Row],[Complementary Kit]],0)</f>
        <v>0</v>
      </c>
      <c r="AE313" s="112">
        <f>IF(NFI_Expiration=1,IF($A313&lt;VLOOKUP(Q$5,NFI,5,0),1,0)*Data_NFI_t[[#This Row],[Plastic Bucket]],0)</f>
        <v>0</v>
      </c>
      <c r="AF313" s="112">
        <f>IF(NFI_Expiration=1,IF($A313&lt;VLOOKUP(R$5,NFI,5,0),1,0)*Data_NFI_t[[#This Row],[Jerry Can]],0)</f>
        <v>0</v>
      </c>
      <c r="AG313" s="131">
        <f>IF(NFI_Expiration=1,IF($A313&lt;VLOOKUP(S$5,NFI,5,0),1,0)*Data_NFI_t[[#This Row],[Plastic Mat]],0)*IF(Data_NFI_t[[#This Row],[Distribution Date]]&gt;"01-06-2015",1,2.5)</f>
        <v>0</v>
      </c>
      <c r="AH313" s="915">
        <f>IF(NFI_Expiration=1,IF($A313&lt;VLOOKUP(T$5,NFI,5,0),1,0)*Data_NFI_t[[#This Row],[Adult Clothes]],0)</f>
        <v>0</v>
      </c>
      <c r="AI313" s="131">
        <f>IF(NFI_Expiration=1,IF($A313&lt;VLOOKUP(U$5,NFI,5,0),1,0)*Data_NFI_t[[#This Row],[Children Clothes]],0)</f>
        <v>0</v>
      </c>
      <c r="AJ313" s="131">
        <f>IF(NFI_Expiration=1,IF($A313&lt;VLOOKUP(V$5,NFI,5,0),1,0)*Data_NFI_t[[#This Row],[Sewing Kit]],0)</f>
        <v>0</v>
      </c>
      <c r="AK313" s="131" t="str">
        <f ca="1">IFERROR(OFFSET(Camp_List[P_Code],MATCH(Data_NFI_t[[#This Row],[Camp Name]],Camp_List[Camp Name],0)-1,0,1,1),"")</f>
        <v>MMR012CMP049</v>
      </c>
      <c r="AL313" s="513" t="str">
        <f ca="1">IFERROR(OFFSET(Camp_List[Status],MATCH(Data_NFI_t[[#This Row],[Camp Name]],Camp_List[Camp Name],0)-1,0,1,1),"")</f>
        <v>Close</v>
      </c>
      <c r="AM313" s="131"/>
    </row>
    <row r="314" spans="1:39" s="90" customFormat="1" ht="19.5" customHeight="1" x14ac:dyDescent="0.25">
      <c r="A314" s="242">
        <f>IF(ISBLANK(C314),"",(Report_Date-C314)/30)</f>
        <v>51.3</v>
      </c>
      <c r="B314" s="242">
        <f>YEAR(Data_NFI_t[[#This Row],[Distribution Date]])</f>
        <v>2012</v>
      </c>
      <c r="C314" s="927">
        <v>41256</v>
      </c>
      <c r="D314" s="489" t="s">
        <v>285</v>
      </c>
      <c r="E314" s="488"/>
      <c r="F314" s="489" t="s">
        <v>7</v>
      </c>
      <c r="G314" s="794" t="s">
        <v>15</v>
      </c>
      <c r="H314" s="794" t="s">
        <v>49</v>
      </c>
      <c r="I314" s="794"/>
      <c r="J314" s="51"/>
      <c r="K314" s="51"/>
      <c r="L314" s="51">
        <v>180</v>
      </c>
      <c r="M314" s="51"/>
      <c r="N314" s="51">
        <v>180</v>
      </c>
      <c r="O314" s="51">
        <v>90</v>
      </c>
      <c r="P314" s="51"/>
      <c r="Q314" s="51"/>
      <c r="R314" s="511"/>
      <c r="S314" s="51"/>
      <c r="T314" s="51"/>
      <c r="U314" s="51"/>
      <c r="V314" s="51"/>
      <c r="W314" s="131">
        <f>IF(NFI_Expiration=1,IF($A314&lt;VLOOKUP(I$5,NFI,5,0),1,0)*Data_NFI_t[[#This Row],[Hygiene Kit]],0)</f>
        <v>0</v>
      </c>
      <c r="X314" s="131">
        <f>IF(NFI_Expiration=1,IF($A314&lt;VLOOKUP(J$5,NFI,5,0),1,0)*Data_NFI_t[[#This Row],[NFI Core Kit]],0)</f>
        <v>0</v>
      </c>
      <c r="Y314" s="112">
        <f>IF(NFI_Expiration=1,IF($A314&lt;VLOOKUP(K$5,NFI,5,0),1,0)*Data_NFI_t[[#This Row],[Sanitary Kit]],0)</f>
        <v>0</v>
      </c>
      <c r="Z314" s="112">
        <f>IF(NFI_Expiration=1,IF($A314&lt;VLOOKUP(L$5,NFI,5,0),1,0)*Data_NFI_t[[#This Row],[Mosquito net]],0)</f>
        <v>0</v>
      </c>
      <c r="AA314" s="112">
        <f>IF(NFI_Expiration=1,IF($A314&lt;VLOOKUP(M$5,NFI,5,0),1,0)*Data_NFI_t[[#This Row],[Tarpaulin]],0)</f>
        <v>0</v>
      </c>
      <c r="AB314" s="112">
        <f>IF(NFI_Expiration=1,IF($A314&lt;VLOOKUP(N$5,NFI,5,0),1,0)*Data_NFI_t[[#This Row],[Blanket]],0)</f>
        <v>0</v>
      </c>
      <c r="AC314" s="112">
        <f>IF(NFI_Expiration=1,IF($A314&lt;VLOOKUP(O$5,NFI,5,0),1,0)*Data_NFI_t[[#This Row],[Kitchen Set]],0)</f>
        <v>0</v>
      </c>
      <c r="AD314" s="112">
        <f>IF(NFI_Expiration=1,IF($A314&lt;VLOOKUP(P$5,NFI,5,0),1,0)*Data_NFI_t[[#This Row],[Complementary Kit]],0)</f>
        <v>0</v>
      </c>
      <c r="AE314" s="112">
        <f>IF(NFI_Expiration=1,IF($A314&lt;VLOOKUP(Q$5,NFI,5,0),1,0)*Data_NFI_t[[#This Row],[Plastic Bucket]],0)</f>
        <v>0</v>
      </c>
      <c r="AF314" s="112">
        <f>IF(NFI_Expiration=1,IF($A314&lt;VLOOKUP(R$5,NFI,5,0),1,0)*Data_NFI_t[[#This Row],[Jerry Can]],0)</f>
        <v>0</v>
      </c>
      <c r="AG314" s="131">
        <f>IF(NFI_Expiration=1,IF($A314&lt;VLOOKUP(S$5,NFI,5,0),1,0)*Data_NFI_t[[#This Row],[Plastic Mat]],0)*IF(Data_NFI_t[[#This Row],[Distribution Date]]&gt;"01-06-2015",1,2.5)</f>
        <v>0</v>
      </c>
      <c r="AH314" s="915">
        <f>IF(NFI_Expiration=1,IF($A314&lt;VLOOKUP(T$5,NFI,5,0),1,0)*Data_NFI_t[[#This Row],[Adult Clothes]],0)</f>
        <v>0</v>
      </c>
      <c r="AI314" s="131">
        <f>IF(NFI_Expiration=1,IF($A314&lt;VLOOKUP(U$5,NFI,5,0),1,0)*Data_NFI_t[[#This Row],[Children Clothes]],0)</f>
        <v>0</v>
      </c>
      <c r="AJ314" s="131">
        <f>IF(NFI_Expiration=1,IF($A314&lt;VLOOKUP(V$5,NFI,5,0),1,0)*Data_NFI_t[[#This Row],[Sewing Kit]],0)</f>
        <v>0</v>
      </c>
      <c r="AK314" s="131" t="str">
        <f ca="1">IFERROR(OFFSET(Camp_List[P_Code],MATCH(Data_NFI_t[[#This Row],[Camp Name]],Camp_List[Camp Name],0)-1,0,1,1),"")</f>
        <v>MMR012CMP025</v>
      </c>
      <c r="AL314" s="513" t="str">
        <f ca="1">IFERROR(OFFSET(Camp_List[Status],MATCH(Data_NFI_t[[#This Row],[Camp Name]],Camp_List[Camp Name],0)-1,0,1,1),"")</f>
        <v>Returned</v>
      </c>
      <c r="AM314" s="131"/>
    </row>
    <row r="315" spans="1:39" s="90" customFormat="1" ht="19.5" customHeight="1" x14ac:dyDescent="0.25">
      <c r="A315" s="242">
        <f>IF(ISBLANK(C315),"",(Report_Date-C315)/30)</f>
        <v>51.3</v>
      </c>
      <c r="B315" s="242">
        <f>YEAR(Data_NFI_t[[#This Row],[Distribution Date]])</f>
        <v>2012</v>
      </c>
      <c r="C315" s="927">
        <v>41256</v>
      </c>
      <c r="D315" s="489" t="s">
        <v>285</v>
      </c>
      <c r="E315" s="488"/>
      <c r="F315" s="489" t="s">
        <v>7</v>
      </c>
      <c r="G315" s="794" t="s">
        <v>15</v>
      </c>
      <c r="H315" s="794" t="s">
        <v>48</v>
      </c>
      <c r="I315" s="794"/>
      <c r="J315" s="51"/>
      <c r="K315" s="51"/>
      <c r="L315" s="51"/>
      <c r="M315" s="51"/>
      <c r="N315" s="51"/>
      <c r="O315" s="51"/>
      <c r="P315" s="51">
        <v>90</v>
      </c>
      <c r="Q315" s="51"/>
      <c r="R315" s="511"/>
      <c r="S315" s="51"/>
      <c r="T315" s="51"/>
      <c r="U315" s="51"/>
      <c r="V315" s="51"/>
      <c r="W315" s="131">
        <f>IF(NFI_Expiration=1,IF($A315&lt;VLOOKUP(I$5,NFI,5,0),1,0)*Data_NFI_t[[#This Row],[Hygiene Kit]],0)</f>
        <v>0</v>
      </c>
      <c r="X315" s="131">
        <f>IF(NFI_Expiration=1,IF($A315&lt;VLOOKUP(J$5,NFI,5,0),1,0)*Data_NFI_t[[#This Row],[NFI Core Kit]],0)</f>
        <v>0</v>
      </c>
      <c r="Y315" s="112">
        <f>IF(NFI_Expiration=1,IF($A315&lt;VLOOKUP(K$5,NFI,5,0),1,0)*Data_NFI_t[[#This Row],[Sanitary Kit]],0)</f>
        <v>0</v>
      </c>
      <c r="Z315" s="112">
        <f>IF(NFI_Expiration=1,IF($A315&lt;VLOOKUP(L$5,NFI,5,0),1,0)*Data_NFI_t[[#This Row],[Mosquito net]],0)</f>
        <v>0</v>
      </c>
      <c r="AA315" s="112">
        <f>IF(NFI_Expiration=1,IF($A315&lt;VLOOKUP(M$5,NFI,5,0),1,0)*Data_NFI_t[[#This Row],[Tarpaulin]],0)</f>
        <v>0</v>
      </c>
      <c r="AB315" s="112">
        <f>IF(NFI_Expiration=1,IF($A315&lt;VLOOKUP(N$5,NFI,5,0),1,0)*Data_NFI_t[[#This Row],[Blanket]],0)</f>
        <v>0</v>
      </c>
      <c r="AC315" s="112">
        <f>IF(NFI_Expiration=1,IF($A315&lt;VLOOKUP(O$5,NFI,5,0),1,0)*Data_NFI_t[[#This Row],[Kitchen Set]],0)</f>
        <v>0</v>
      </c>
      <c r="AD315" s="112">
        <f>IF(NFI_Expiration=1,IF($A315&lt;VLOOKUP(P$5,NFI,5,0),1,0)*Data_NFI_t[[#This Row],[Complementary Kit]],0)</f>
        <v>0</v>
      </c>
      <c r="AE315" s="112">
        <f>IF(NFI_Expiration=1,IF($A315&lt;VLOOKUP(Q$5,NFI,5,0),1,0)*Data_NFI_t[[#This Row],[Plastic Bucket]],0)</f>
        <v>0</v>
      </c>
      <c r="AF315" s="112">
        <f>IF(NFI_Expiration=1,IF($A315&lt;VLOOKUP(R$5,NFI,5,0),1,0)*Data_NFI_t[[#This Row],[Jerry Can]],0)</f>
        <v>0</v>
      </c>
      <c r="AG315" s="131">
        <f>IF(NFI_Expiration=1,IF($A315&lt;VLOOKUP(S$5,NFI,5,0),1,0)*Data_NFI_t[[#This Row],[Plastic Mat]],0)*IF(Data_NFI_t[[#This Row],[Distribution Date]]&gt;"01-06-2015",1,2.5)</f>
        <v>0</v>
      </c>
      <c r="AH315" s="915">
        <f>IF(NFI_Expiration=1,IF($A315&lt;VLOOKUP(T$5,NFI,5,0),1,0)*Data_NFI_t[[#This Row],[Adult Clothes]],0)</f>
        <v>0</v>
      </c>
      <c r="AI315" s="131">
        <f>IF(NFI_Expiration=1,IF($A315&lt;VLOOKUP(U$5,NFI,5,0),1,0)*Data_NFI_t[[#This Row],[Children Clothes]],0)</f>
        <v>0</v>
      </c>
      <c r="AJ315" s="131">
        <f>IF(NFI_Expiration=1,IF($A315&lt;VLOOKUP(V$5,NFI,5,0),1,0)*Data_NFI_t[[#This Row],[Sewing Kit]],0)</f>
        <v>0</v>
      </c>
      <c r="AK315" s="131" t="str">
        <f ca="1">IFERROR(OFFSET(Camp_List[P_Code],MATCH(Data_NFI_t[[#This Row],[Camp Name]],Camp_List[Camp Name],0)-1,0,1,1),"")</f>
        <v>MMR012CMP024</v>
      </c>
      <c r="AL315" s="513" t="str">
        <f ca="1">IFERROR(OFFSET(Camp_List[Status],MATCH(Data_NFI_t[[#This Row],[Camp Name]],Camp_List[Camp Name],0)-1,0,1,1),"")</f>
        <v>Returned</v>
      </c>
      <c r="AM315" s="131"/>
    </row>
    <row r="316" spans="1:39" s="90" customFormat="1" ht="19.5" customHeight="1" x14ac:dyDescent="0.25">
      <c r="A316" s="242">
        <f>IF(ISBLANK(C316),"",(Report_Date-C316)/30)</f>
        <v>51.3</v>
      </c>
      <c r="B316" s="242">
        <f>YEAR(Data_NFI_t[[#This Row],[Distribution Date]])</f>
        <v>2012</v>
      </c>
      <c r="C316" s="927">
        <v>41256</v>
      </c>
      <c r="D316" s="489" t="s">
        <v>285</v>
      </c>
      <c r="E316" s="488"/>
      <c r="F316" s="489" t="s">
        <v>7</v>
      </c>
      <c r="G316" s="794" t="s">
        <v>19</v>
      </c>
      <c r="H316" s="794" t="s">
        <v>61</v>
      </c>
      <c r="I316" s="794"/>
      <c r="J316" s="51"/>
      <c r="K316" s="51">
        <v>302</v>
      </c>
      <c r="L316" s="51"/>
      <c r="M316" s="51"/>
      <c r="N316" s="51"/>
      <c r="O316" s="51"/>
      <c r="P316" s="51"/>
      <c r="Q316" s="51"/>
      <c r="R316" s="511"/>
      <c r="S316" s="51"/>
      <c r="T316" s="51"/>
      <c r="U316" s="51"/>
      <c r="V316" s="51"/>
      <c r="W316" s="131">
        <f>IF(NFI_Expiration=1,IF($A316&lt;VLOOKUP(I$5,NFI,5,0),1,0)*Data_NFI_t[[#This Row],[Hygiene Kit]],0)</f>
        <v>0</v>
      </c>
      <c r="X316" s="131">
        <f>IF(NFI_Expiration=1,IF($A316&lt;VLOOKUP(J$5,NFI,5,0),1,0)*Data_NFI_t[[#This Row],[NFI Core Kit]],0)</f>
        <v>0</v>
      </c>
      <c r="Y316" s="112">
        <f>IF(NFI_Expiration=1,IF($A316&lt;VLOOKUP(K$5,NFI,5,0),1,0)*Data_NFI_t[[#This Row],[Sanitary Kit]],0)</f>
        <v>0</v>
      </c>
      <c r="Z316" s="112">
        <f>IF(NFI_Expiration=1,IF($A316&lt;VLOOKUP(L$5,NFI,5,0),1,0)*Data_NFI_t[[#This Row],[Mosquito net]],0)</f>
        <v>0</v>
      </c>
      <c r="AA316" s="112">
        <f>IF(NFI_Expiration=1,IF($A316&lt;VLOOKUP(M$5,NFI,5,0),1,0)*Data_NFI_t[[#This Row],[Tarpaulin]],0)</f>
        <v>0</v>
      </c>
      <c r="AB316" s="112">
        <f>IF(NFI_Expiration=1,IF($A316&lt;VLOOKUP(N$5,NFI,5,0),1,0)*Data_NFI_t[[#This Row],[Blanket]],0)</f>
        <v>0</v>
      </c>
      <c r="AC316" s="112">
        <f>IF(NFI_Expiration=1,IF($A316&lt;VLOOKUP(O$5,NFI,5,0),1,0)*Data_NFI_t[[#This Row],[Kitchen Set]],0)</f>
        <v>0</v>
      </c>
      <c r="AD316" s="112">
        <f>IF(NFI_Expiration=1,IF($A316&lt;VLOOKUP(P$5,NFI,5,0),1,0)*Data_NFI_t[[#This Row],[Complementary Kit]],0)</f>
        <v>0</v>
      </c>
      <c r="AE316" s="112">
        <f>IF(NFI_Expiration=1,IF($A316&lt;VLOOKUP(Q$5,NFI,5,0),1,0)*Data_NFI_t[[#This Row],[Plastic Bucket]],0)</f>
        <v>0</v>
      </c>
      <c r="AF316" s="112">
        <f>IF(NFI_Expiration=1,IF($A316&lt;VLOOKUP(R$5,NFI,5,0),1,0)*Data_NFI_t[[#This Row],[Jerry Can]],0)</f>
        <v>0</v>
      </c>
      <c r="AG316" s="131">
        <f>IF(NFI_Expiration=1,IF($A316&lt;VLOOKUP(S$5,NFI,5,0),1,0)*Data_NFI_t[[#This Row],[Plastic Mat]],0)*IF(Data_NFI_t[[#This Row],[Distribution Date]]&gt;"01-06-2015",1,2.5)</f>
        <v>0</v>
      </c>
      <c r="AH316" s="915">
        <f>IF(NFI_Expiration=1,IF($A316&lt;VLOOKUP(T$5,NFI,5,0),1,0)*Data_NFI_t[[#This Row],[Adult Clothes]],0)</f>
        <v>0</v>
      </c>
      <c r="AI316" s="131">
        <f>IF(NFI_Expiration=1,IF($A316&lt;VLOOKUP(U$5,NFI,5,0),1,0)*Data_NFI_t[[#This Row],[Children Clothes]],0)</f>
        <v>0</v>
      </c>
      <c r="AJ316" s="131">
        <f>IF(NFI_Expiration=1,IF($A316&lt;VLOOKUP(V$5,NFI,5,0),1,0)*Data_NFI_t[[#This Row],[Sewing Kit]],0)</f>
        <v>0</v>
      </c>
      <c r="AK316" s="131" t="str">
        <f ca="1">IFERROR(OFFSET(Camp_List[P_Code],MATCH(Data_NFI_t[[#This Row],[Camp Name]],Camp_List[Camp Name],0)-1,0,1,1),"")</f>
        <v>MMR012CMP039</v>
      </c>
      <c r="AL316" s="513" t="str">
        <f ca="1">IFERROR(OFFSET(Camp_List[Status],MATCH(Data_NFI_t[[#This Row],[Camp Name]],Camp_List[Camp Name],0)-1,0,1,1),"")</f>
        <v>Open</v>
      </c>
      <c r="AM316" s="131"/>
    </row>
    <row r="317" spans="1:39" s="90" customFormat="1" ht="19.5" customHeight="1" x14ac:dyDescent="0.25">
      <c r="A317" s="242">
        <f>IF(ISBLANK(C317),"",(Report_Date-C317)/30)</f>
        <v>51.3</v>
      </c>
      <c r="B317" s="242">
        <f>YEAR(Data_NFI_t[[#This Row],[Distribution Date]])</f>
        <v>2012</v>
      </c>
      <c r="C317" s="927">
        <v>41256</v>
      </c>
      <c r="D317" s="489" t="s">
        <v>285</v>
      </c>
      <c r="E317" s="488"/>
      <c r="F317" s="489" t="s">
        <v>7</v>
      </c>
      <c r="G317" s="794" t="s">
        <v>19</v>
      </c>
      <c r="H317" s="794" t="s">
        <v>62</v>
      </c>
      <c r="I317" s="794"/>
      <c r="J317" s="51"/>
      <c r="K317" s="51">
        <v>2142</v>
      </c>
      <c r="L317" s="51"/>
      <c r="M317" s="51"/>
      <c r="N317" s="51"/>
      <c r="O317" s="51"/>
      <c r="P317" s="51"/>
      <c r="Q317" s="51"/>
      <c r="R317" s="511"/>
      <c r="S317" s="51"/>
      <c r="T317" s="51"/>
      <c r="U317" s="51"/>
      <c r="V317" s="51"/>
      <c r="W317" s="131">
        <f>IF(NFI_Expiration=1,IF($A317&lt;VLOOKUP(I$5,NFI,5,0),1,0)*Data_NFI_t[[#This Row],[Hygiene Kit]],0)</f>
        <v>0</v>
      </c>
      <c r="X317" s="131">
        <f>IF(NFI_Expiration=1,IF($A317&lt;VLOOKUP(J$5,NFI,5,0),1,0)*Data_NFI_t[[#This Row],[NFI Core Kit]],0)</f>
        <v>0</v>
      </c>
      <c r="Y317" s="112">
        <f>IF(NFI_Expiration=1,IF($A317&lt;VLOOKUP(K$5,NFI,5,0),1,0)*Data_NFI_t[[#This Row],[Sanitary Kit]],0)</f>
        <v>0</v>
      </c>
      <c r="Z317" s="112">
        <f>IF(NFI_Expiration=1,IF($A317&lt;VLOOKUP(L$5,NFI,5,0),1,0)*Data_NFI_t[[#This Row],[Mosquito net]],0)</f>
        <v>0</v>
      </c>
      <c r="AA317" s="112">
        <f>IF(NFI_Expiration=1,IF($A317&lt;VLOOKUP(M$5,NFI,5,0),1,0)*Data_NFI_t[[#This Row],[Tarpaulin]],0)</f>
        <v>0</v>
      </c>
      <c r="AB317" s="112">
        <f>IF(NFI_Expiration=1,IF($A317&lt;VLOOKUP(N$5,NFI,5,0),1,0)*Data_NFI_t[[#This Row],[Blanket]],0)</f>
        <v>0</v>
      </c>
      <c r="AC317" s="112">
        <f>IF(NFI_Expiration=1,IF($A317&lt;VLOOKUP(O$5,NFI,5,0),1,0)*Data_NFI_t[[#This Row],[Kitchen Set]],0)</f>
        <v>0</v>
      </c>
      <c r="AD317" s="112">
        <f>IF(NFI_Expiration=1,IF($A317&lt;VLOOKUP(P$5,NFI,5,0),1,0)*Data_NFI_t[[#This Row],[Complementary Kit]],0)</f>
        <v>0</v>
      </c>
      <c r="AE317" s="112">
        <f>IF(NFI_Expiration=1,IF($A317&lt;VLOOKUP(Q$5,NFI,5,0),1,0)*Data_NFI_t[[#This Row],[Plastic Bucket]],0)</f>
        <v>0</v>
      </c>
      <c r="AF317" s="112">
        <f>IF(NFI_Expiration=1,IF($A317&lt;VLOOKUP(R$5,NFI,5,0),1,0)*Data_NFI_t[[#This Row],[Jerry Can]],0)</f>
        <v>0</v>
      </c>
      <c r="AG317" s="131">
        <f>IF(NFI_Expiration=1,IF($A317&lt;VLOOKUP(S$5,NFI,5,0),1,0)*Data_NFI_t[[#This Row],[Plastic Mat]],0)*IF(Data_NFI_t[[#This Row],[Distribution Date]]&gt;"01-06-2015",1,2.5)</f>
        <v>0</v>
      </c>
      <c r="AH317" s="915">
        <f>IF(NFI_Expiration=1,IF($A317&lt;VLOOKUP(T$5,NFI,5,0),1,0)*Data_NFI_t[[#This Row],[Adult Clothes]],0)</f>
        <v>0</v>
      </c>
      <c r="AI317" s="131">
        <f>IF(NFI_Expiration=1,IF($A317&lt;VLOOKUP(U$5,NFI,5,0),1,0)*Data_NFI_t[[#This Row],[Children Clothes]],0)</f>
        <v>0</v>
      </c>
      <c r="AJ317" s="131">
        <f>IF(NFI_Expiration=1,IF($A317&lt;VLOOKUP(V$5,NFI,5,0),1,0)*Data_NFI_t[[#This Row],[Sewing Kit]],0)</f>
        <v>0</v>
      </c>
      <c r="AK317" s="131" t="str">
        <f ca="1">IFERROR(OFFSET(Camp_List[P_Code],MATCH(Data_NFI_t[[#This Row],[Camp Name]],Camp_List[Camp Name],0)-1,0,1,1),"")</f>
        <v>MMR012CMP040</v>
      </c>
      <c r="AL317" s="513" t="str">
        <f ca="1">IFERROR(OFFSET(Camp_List[Status],MATCH(Data_NFI_t[[#This Row],[Camp Name]],Camp_List[Camp Name],0)-1,0,1,1),"")</f>
        <v>Close</v>
      </c>
      <c r="AM317" s="131"/>
    </row>
    <row r="318" spans="1:39" s="90" customFormat="1" ht="19.5" customHeight="1" x14ac:dyDescent="0.25">
      <c r="A318" s="242">
        <f>IF(ISBLANK(C318),"",(Report_Date-C318)/30)</f>
        <v>51.3</v>
      </c>
      <c r="B318" s="242">
        <f>YEAR(Data_NFI_t[[#This Row],[Distribution Date]])</f>
        <v>2012</v>
      </c>
      <c r="C318" s="927">
        <v>41256</v>
      </c>
      <c r="D318" s="489" t="s">
        <v>285</v>
      </c>
      <c r="E318" s="488"/>
      <c r="F318" s="489" t="s">
        <v>7</v>
      </c>
      <c r="G318" s="794" t="s">
        <v>19</v>
      </c>
      <c r="H318" s="794" t="s">
        <v>63</v>
      </c>
      <c r="I318" s="794"/>
      <c r="J318" s="51"/>
      <c r="K318" s="51">
        <v>1707</v>
      </c>
      <c r="L318" s="51"/>
      <c r="M318" s="51"/>
      <c r="N318" s="51"/>
      <c r="O318" s="51"/>
      <c r="P318" s="51"/>
      <c r="Q318" s="51"/>
      <c r="R318" s="511"/>
      <c r="S318" s="51"/>
      <c r="T318" s="51"/>
      <c r="U318" s="51"/>
      <c r="V318" s="51"/>
      <c r="W318" s="131">
        <f>IF(NFI_Expiration=1,IF($A318&lt;VLOOKUP(I$5,NFI,5,0),1,0)*Data_NFI_t[[#This Row],[Hygiene Kit]],0)</f>
        <v>0</v>
      </c>
      <c r="X318" s="131">
        <f>IF(NFI_Expiration=1,IF($A318&lt;VLOOKUP(J$5,NFI,5,0),1,0)*Data_NFI_t[[#This Row],[NFI Core Kit]],0)</f>
        <v>0</v>
      </c>
      <c r="Y318" s="112">
        <f>IF(NFI_Expiration=1,IF($A318&lt;VLOOKUP(K$5,NFI,5,0),1,0)*Data_NFI_t[[#This Row],[Sanitary Kit]],0)</f>
        <v>0</v>
      </c>
      <c r="Z318" s="112">
        <f>IF(NFI_Expiration=1,IF($A318&lt;VLOOKUP(L$5,NFI,5,0),1,0)*Data_NFI_t[[#This Row],[Mosquito net]],0)</f>
        <v>0</v>
      </c>
      <c r="AA318" s="112">
        <f>IF(NFI_Expiration=1,IF($A318&lt;VLOOKUP(M$5,NFI,5,0),1,0)*Data_NFI_t[[#This Row],[Tarpaulin]],0)</f>
        <v>0</v>
      </c>
      <c r="AB318" s="112">
        <f>IF(NFI_Expiration=1,IF($A318&lt;VLOOKUP(N$5,NFI,5,0),1,0)*Data_NFI_t[[#This Row],[Blanket]],0)</f>
        <v>0</v>
      </c>
      <c r="AC318" s="112">
        <f>IF(NFI_Expiration=1,IF($A318&lt;VLOOKUP(O$5,NFI,5,0),1,0)*Data_NFI_t[[#This Row],[Kitchen Set]],0)</f>
        <v>0</v>
      </c>
      <c r="AD318" s="112">
        <f>IF(NFI_Expiration=1,IF($A318&lt;VLOOKUP(P$5,NFI,5,0),1,0)*Data_NFI_t[[#This Row],[Complementary Kit]],0)</f>
        <v>0</v>
      </c>
      <c r="AE318" s="112">
        <f>IF(NFI_Expiration=1,IF($A318&lt;VLOOKUP(Q$5,NFI,5,0),1,0)*Data_NFI_t[[#This Row],[Plastic Bucket]],0)</f>
        <v>0</v>
      </c>
      <c r="AF318" s="112">
        <f>IF(NFI_Expiration=1,IF($A318&lt;VLOOKUP(R$5,NFI,5,0),1,0)*Data_NFI_t[[#This Row],[Jerry Can]],0)</f>
        <v>0</v>
      </c>
      <c r="AG318" s="131">
        <f>IF(NFI_Expiration=1,IF($A318&lt;VLOOKUP(S$5,NFI,5,0),1,0)*Data_NFI_t[[#This Row],[Plastic Mat]],0)*IF(Data_NFI_t[[#This Row],[Distribution Date]]&gt;"01-06-2015",1,2.5)</f>
        <v>0</v>
      </c>
      <c r="AH318" s="915">
        <f>IF(NFI_Expiration=1,IF($A318&lt;VLOOKUP(T$5,NFI,5,0),1,0)*Data_NFI_t[[#This Row],[Adult Clothes]],0)</f>
        <v>0</v>
      </c>
      <c r="AI318" s="131">
        <f>IF(NFI_Expiration=1,IF($A318&lt;VLOOKUP(U$5,NFI,5,0),1,0)*Data_NFI_t[[#This Row],[Children Clothes]],0)</f>
        <v>0</v>
      </c>
      <c r="AJ318" s="131">
        <f>IF(NFI_Expiration=1,IF($A318&lt;VLOOKUP(V$5,NFI,5,0),1,0)*Data_NFI_t[[#This Row],[Sewing Kit]],0)</f>
        <v>0</v>
      </c>
      <c r="AK318" s="131" t="str">
        <f ca="1">IFERROR(OFFSET(Camp_List[P_Code],MATCH(Data_NFI_t[[#This Row],[Camp Name]],Camp_List[Camp Name],0)-1,0,1,1),"")</f>
        <v>MMR012CMP041</v>
      </c>
      <c r="AL318" s="513" t="str">
        <f ca="1">IFERROR(OFFSET(Camp_List[Status],MATCH(Data_NFI_t[[#This Row],[Camp Name]],Camp_List[Camp Name],0)-1,0,1,1),"")</f>
        <v>Open</v>
      </c>
      <c r="AM318" s="131"/>
    </row>
    <row r="319" spans="1:39" s="90" customFormat="1" ht="19.5" customHeight="1" x14ac:dyDescent="0.25">
      <c r="A319" s="242">
        <f>IF(ISBLANK(C319),"",(Report_Date-C319)/30)</f>
        <v>51.3</v>
      </c>
      <c r="B319" s="242">
        <f>YEAR(Data_NFI_t[[#This Row],[Distribution Date]])</f>
        <v>2012</v>
      </c>
      <c r="C319" s="927">
        <v>41256</v>
      </c>
      <c r="D319" s="489" t="s">
        <v>285</v>
      </c>
      <c r="E319" s="488"/>
      <c r="F319" s="489" t="s">
        <v>7</v>
      </c>
      <c r="G319" s="794" t="s">
        <v>15</v>
      </c>
      <c r="H319" s="794" t="s">
        <v>51</v>
      </c>
      <c r="I319" s="794"/>
      <c r="J319" s="51"/>
      <c r="K319" s="51"/>
      <c r="L319" s="51">
        <v>232</v>
      </c>
      <c r="M319" s="51"/>
      <c r="N319" s="51">
        <v>232</v>
      </c>
      <c r="O319" s="51">
        <v>105</v>
      </c>
      <c r="P319" s="51">
        <v>116</v>
      </c>
      <c r="Q319" s="51"/>
      <c r="R319" s="511"/>
      <c r="S319" s="51"/>
      <c r="T319" s="51"/>
      <c r="U319" s="51"/>
      <c r="V319" s="51"/>
      <c r="W319" s="131">
        <f>IF(NFI_Expiration=1,IF($A319&lt;VLOOKUP(I$5,NFI,5,0),1,0)*Data_NFI_t[[#This Row],[Hygiene Kit]],0)</f>
        <v>0</v>
      </c>
      <c r="X319" s="131">
        <f>IF(NFI_Expiration=1,IF($A319&lt;VLOOKUP(J$5,NFI,5,0),1,0)*Data_NFI_t[[#This Row],[NFI Core Kit]],0)</f>
        <v>0</v>
      </c>
      <c r="Y319" s="112">
        <f>IF(NFI_Expiration=1,IF($A319&lt;VLOOKUP(K$5,NFI,5,0),1,0)*Data_NFI_t[[#This Row],[Sanitary Kit]],0)</f>
        <v>0</v>
      </c>
      <c r="Z319" s="112">
        <f>IF(NFI_Expiration=1,IF($A319&lt;VLOOKUP(L$5,NFI,5,0),1,0)*Data_NFI_t[[#This Row],[Mosquito net]],0)</f>
        <v>0</v>
      </c>
      <c r="AA319" s="112">
        <f>IF(NFI_Expiration=1,IF($A319&lt;VLOOKUP(M$5,NFI,5,0),1,0)*Data_NFI_t[[#This Row],[Tarpaulin]],0)</f>
        <v>0</v>
      </c>
      <c r="AB319" s="112">
        <f>IF(NFI_Expiration=1,IF($A319&lt;VLOOKUP(N$5,NFI,5,0),1,0)*Data_NFI_t[[#This Row],[Blanket]],0)</f>
        <v>0</v>
      </c>
      <c r="AC319" s="112">
        <f>IF(NFI_Expiration=1,IF($A319&lt;VLOOKUP(O$5,NFI,5,0),1,0)*Data_NFI_t[[#This Row],[Kitchen Set]],0)</f>
        <v>0</v>
      </c>
      <c r="AD319" s="112">
        <f>IF(NFI_Expiration=1,IF($A319&lt;VLOOKUP(P$5,NFI,5,0),1,0)*Data_NFI_t[[#This Row],[Complementary Kit]],0)</f>
        <v>0</v>
      </c>
      <c r="AE319" s="112">
        <f>IF(NFI_Expiration=1,IF($A319&lt;VLOOKUP(Q$5,NFI,5,0),1,0)*Data_NFI_t[[#This Row],[Plastic Bucket]],0)</f>
        <v>0</v>
      </c>
      <c r="AF319" s="112">
        <f>IF(NFI_Expiration=1,IF($A319&lt;VLOOKUP(R$5,NFI,5,0),1,0)*Data_NFI_t[[#This Row],[Jerry Can]],0)</f>
        <v>0</v>
      </c>
      <c r="AG319" s="131">
        <f>IF(NFI_Expiration=1,IF($A319&lt;VLOOKUP(S$5,NFI,5,0),1,0)*Data_NFI_t[[#This Row],[Plastic Mat]],0)*IF(Data_NFI_t[[#This Row],[Distribution Date]]&gt;"01-06-2015",1,2.5)</f>
        <v>0</v>
      </c>
      <c r="AH319" s="915">
        <f>IF(NFI_Expiration=1,IF($A319&lt;VLOOKUP(T$5,NFI,5,0),1,0)*Data_NFI_t[[#This Row],[Adult Clothes]],0)</f>
        <v>0</v>
      </c>
      <c r="AI319" s="131">
        <f>IF(NFI_Expiration=1,IF($A319&lt;VLOOKUP(U$5,NFI,5,0),1,0)*Data_NFI_t[[#This Row],[Children Clothes]],0)</f>
        <v>0</v>
      </c>
      <c r="AJ319" s="131">
        <f>IF(NFI_Expiration=1,IF($A319&lt;VLOOKUP(V$5,NFI,5,0),1,0)*Data_NFI_t[[#This Row],[Sewing Kit]],0)</f>
        <v>0</v>
      </c>
      <c r="AK319" s="131" t="str">
        <f ca="1">IFERROR(OFFSET(Camp_List[P_Code],MATCH(Data_NFI_t[[#This Row],[Camp Name]],Camp_List[Camp Name],0)-1,0,1,1),"")</f>
        <v>MMR012CMP027</v>
      </c>
      <c r="AL319" s="513" t="str">
        <f ca="1">IFERROR(OFFSET(Camp_List[Status],MATCH(Data_NFI_t[[#This Row],[Camp Name]],Camp_List[Camp Name],0)-1,0,1,1),"")</f>
        <v>Returned</v>
      </c>
      <c r="AM319" s="131"/>
    </row>
    <row r="320" spans="1:39" s="90" customFormat="1" ht="19.5" customHeight="1" x14ac:dyDescent="0.25">
      <c r="A320" s="242">
        <f>IF(ISBLANK(C320),"",(Report_Date-C320)/30)</f>
        <v>51.3</v>
      </c>
      <c r="B320" s="242">
        <f>YEAR(Data_NFI_t[[#This Row],[Distribution Date]])</f>
        <v>2012</v>
      </c>
      <c r="C320" s="927">
        <v>41256</v>
      </c>
      <c r="D320" s="489" t="s">
        <v>285</v>
      </c>
      <c r="E320" s="488"/>
      <c r="F320" s="489" t="s">
        <v>7</v>
      </c>
      <c r="G320" s="794" t="s">
        <v>15</v>
      </c>
      <c r="H320" s="794" t="s">
        <v>50</v>
      </c>
      <c r="I320" s="794"/>
      <c r="J320" s="51"/>
      <c r="K320" s="51"/>
      <c r="L320" s="51">
        <v>460</v>
      </c>
      <c r="M320" s="51"/>
      <c r="N320" s="51">
        <v>460</v>
      </c>
      <c r="O320" s="51">
        <v>145</v>
      </c>
      <c r="P320" s="51"/>
      <c r="Q320" s="51"/>
      <c r="R320" s="511"/>
      <c r="S320" s="51"/>
      <c r="T320" s="51"/>
      <c r="U320" s="51"/>
      <c r="V320" s="51"/>
      <c r="W320" s="131">
        <f>IF(NFI_Expiration=1,IF($A320&lt;VLOOKUP(I$5,NFI,5,0),1,0)*Data_NFI_t[[#This Row],[Hygiene Kit]],0)</f>
        <v>0</v>
      </c>
      <c r="X320" s="131">
        <f>IF(NFI_Expiration=1,IF($A320&lt;VLOOKUP(J$5,NFI,5,0),1,0)*Data_NFI_t[[#This Row],[NFI Core Kit]],0)</f>
        <v>0</v>
      </c>
      <c r="Y320" s="112">
        <f>IF(NFI_Expiration=1,IF($A320&lt;VLOOKUP(K$5,NFI,5,0),1,0)*Data_NFI_t[[#This Row],[Sanitary Kit]],0)</f>
        <v>0</v>
      </c>
      <c r="Z320" s="112">
        <f>IF(NFI_Expiration=1,IF($A320&lt;VLOOKUP(L$5,NFI,5,0),1,0)*Data_NFI_t[[#This Row],[Mosquito net]],0)</f>
        <v>0</v>
      </c>
      <c r="AA320" s="112">
        <f>IF(NFI_Expiration=1,IF($A320&lt;VLOOKUP(M$5,NFI,5,0),1,0)*Data_NFI_t[[#This Row],[Tarpaulin]],0)</f>
        <v>0</v>
      </c>
      <c r="AB320" s="112">
        <f>IF(NFI_Expiration=1,IF($A320&lt;VLOOKUP(N$5,NFI,5,0),1,0)*Data_NFI_t[[#This Row],[Blanket]],0)</f>
        <v>0</v>
      </c>
      <c r="AC320" s="112">
        <f>IF(NFI_Expiration=1,IF($A320&lt;VLOOKUP(O$5,NFI,5,0),1,0)*Data_NFI_t[[#This Row],[Kitchen Set]],0)</f>
        <v>0</v>
      </c>
      <c r="AD320" s="112">
        <f>IF(NFI_Expiration=1,IF($A320&lt;VLOOKUP(P$5,NFI,5,0),1,0)*Data_NFI_t[[#This Row],[Complementary Kit]],0)</f>
        <v>0</v>
      </c>
      <c r="AE320" s="112">
        <f>IF(NFI_Expiration=1,IF($A320&lt;VLOOKUP(Q$5,NFI,5,0),1,0)*Data_NFI_t[[#This Row],[Plastic Bucket]],0)</f>
        <v>0</v>
      </c>
      <c r="AF320" s="112">
        <f>IF(NFI_Expiration=1,IF($A320&lt;VLOOKUP(R$5,NFI,5,0),1,0)*Data_NFI_t[[#This Row],[Jerry Can]],0)</f>
        <v>0</v>
      </c>
      <c r="AG320" s="131">
        <f>IF(NFI_Expiration=1,IF($A320&lt;VLOOKUP(S$5,NFI,5,0),1,0)*Data_NFI_t[[#This Row],[Plastic Mat]],0)*IF(Data_NFI_t[[#This Row],[Distribution Date]]&gt;"01-06-2015",1,2.5)</f>
        <v>0</v>
      </c>
      <c r="AH320" s="915">
        <f>IF(NFI_Expiration=1,IF($A320&lt;VLOOKUP(T$5,NFI,5,0),1,0)*Data_NFI_t[[#This Row],[Adult Clothes]],0)</f>
        <v>0</v>
      </c>
      <c r="AI320" s="131">
        <f>IF(NFI_Expiration=1,IF($A320&lt;VLOOKUP(U$5,NFI,5,0),1,0)*Data_NFI_t[[#This Row],[Children Clothes]],0)</f>
        <v>0</v>
      </c>
      <c r="AJ320" s="131">
        <f>IF(NFI_Expiration=1,IF($A320&lt;VLOOKUP(V$5,NFI,5,0),1,0)*Data_NFI_t[[#This Row],[Sewing Kit]],0)</f>
        <v>0</v>
      </c>
      <c r="AK320" s="131" t="str">
        <f ca="1">IFERROR(OFFSET(Camp_List[P_Code],MATCH(Data_NFI_t[[#This Row],[Camp Name]],Camp_List[Camp Name],0)-1,0,1,1),"")</f>
        <v>MMR012CMP026</v>
      </c>
      <c r="AL320" s="513" t="str">
        <f ca="1">IFERROR(OFFSET(Camp_List[Status],MATCH(Data_NFI_t[[#This Row],[Camp Name]],Camp_List[Camp Name],0)-1,0,1,1),"")</f>
        <v>Returned</v>
      </c>
      <c r="AM320" s="131"/>
    </row>
    <row r="321" spans="1:39" s="90" customFormat="1" ht="19.5" customHeight="1" x14ac:dyDescent="0.25">
      <c r="A321" s="242">
        <f>IF(ISBLANK(C321),"",(Report_Date-C321)/30)</f>
        <v>51.3</v>
      </c>
      <c r="B321" s="242">
        <f>YEAR(Data_NFI_t[[#This Row],[Distribution Date]])</f>
        <v>2012</v>
      </c>
      <c r="C321" s="927">
        <v>41256</v>
      </c>
      <c r="D321" s="489" t="s">
        <v>285</v>
      </c>
      <c r="E321" s="488"/>
      <c r="F321" s="489" t="s">
        <v>7</v>
      </c>
      <c r="G321" s="794" t="s">
        <v>19</v>
      </c>
      <c r="H321" s="794" t="s">
        <v>64</v>
      </c>
      <c r="I321" s="794"/>
      <c r="J321" s="51"/>
      <c r="K321" s="51">
        <v>310</v>
      </c>
      <c r="L321" s="51"/>
      <c r="M321" s="51"/>
      <c r="N321" s="51"/>
      <c r="O321" s="51"/>
      <c r="P321" s="51"/>
      <c r="Q321" s="51"/>
      <c r="R321" s="511"/>
      <c r="S321" s="51"/>
      <c r="T321" s="51"/>
      <c r="U321" s="51"/>
      <c r="V321" s="51"/>
      <c r="W321" s="131">
        <f>IF(NFI_Expiration=1,IF($A321&lt;VLOOKUP(I$5,NFI,5,0),1,0)*Data_NFI_t[[#This Row],[Hygiene Kit]],0)</f>
        <v>0</v>
      </c>
      <c r="X321" s="131">
        <f>IF(NFI_Expiration=1,IF($A321&lt;VLOOKUP(J$5,NFI,5,0),1,0)*Data_NFI_t[[#This Row],[NFI Core Kit]],0)</f>
        <v>0</v>
      </c>
      <c r="Y321" s="112">
        <f>IF(NFI_Expiration=1,IF($A321&lt;VLOOKUP(K$5,NFI,5,0),1,0)*Data_NFI_t[[#This Row],[Sanitary Kit]],0)</f>
        <v>0</v>
      </c>
      <c r="Z321" s="112">
        <f>IF(NFI_Expiration=1,IF($A321&lt;VLOOKUP(L$5,NFI,5,0),1,0)*Data_NFI_t[[#This Row],[Mosquito net]],0)</f>
        <v>0</v>
      </c>
      <c r="AA321" s="112">
        <f>IF(NFI_Expiration=1,IF($A321&lt;VLOOKUP(M$5,NFI,5,0),1,0)*Data_NFI_t[[#This Row],[Tarpaulin]],0)</f>
        <v>0</v>
      </c>
      <c r="AB321" s="112">
        <f>IF(NFI_Expiration=1,IF($A321&lt;VLOOKUP(N$5,NFI,5,0),1,0)*Data_NFI_t[[#This Row],[Blanket]],0)</f>
        <v>0</v>
      </c>
      <c r="AC321" s="112">
        <f>IF(NFI_Expiration=1,IF($A321&lt;VLOOKUP(O$5,NFI,5,0),1,0)*Data_NFI_t[[#This Row],[Kitchen Set]],0)</f>
        <v>0</v>
      </c>
      <c r="AD321" s="112">
        <f>IF(NFI_Expiration=1,IF($A321&lt;VLOOKUP(P$5,NFI,5,0),1,0)*Data_NFI_t[[#This Row],[Complementary Kit]],0)</f>
        <v>0</v>
      </c>
      <c r="AE321" s="112">
        <f>IF(NFI_Expiration=1,IF($A321&lt;VLOOKUP(Q$5,NFI,5,0),1,0)*Data_NFI_t[[#This Row],[Plastic Bucket]],0)</f>
        <v>0</v>
      </c>
      <c r="AF321" s="112">
        <f>IF(NFI_Expiration=1,IF($A321&lt;VLOOKUP(R$5,NFI,5,0),1,0)*Data_NFI_t[[#This Row],[Jerry Can]],0)</f>
        <v>0</v>
      </c>
      <c r="AG321" s="131">
        <f>IF(NFI_Expiration=1,IF($A321&lt;VLOOKUP(S$5,NFI,5,0),1,0)*Data_NFI_t[[#This Row],[Plastic Mat]],0)*IF(Data_NFI_t[[#This Row],[Distribution Date]]&gt;"01-06-2015",1,2.5)</f>
        <v>0</v>
      </c>
      <c r="AH321" s="915">
        <f>IF(NFI_Expiration=1,IF($A321&lt;VLOOKUP(T$5,NFI,5,0),1,0)*Data_NFI_t[[#This Row],[Adult Clothes]],0)</f>
        <v>0</v>
      </c>
      <c r="AI321" s="131">
        <f>IF(NFI_Expiration=1,IF($A321&lt;VLOOKUP(U$5,NFI,5,0),1,0)*Data_NFI_t[[#This Row],[Children Clothes]],0)</f>
        <v>0</v>
      </c>
      <c r="AJ321" s="131">
        <f>IF(NFI_Expiration=1,IF($A321&lt;VLOOKUP(V$5,NFI,5,0),1,0)*Data_NFI_t[[#This Row],[Sewing Kit]],0)</f>
        <v>0</v>
      </c>
      <c r="AK321" s="131" t="str">
        <f ca="1">IFERROR(OFFSET(Camp_List[P_Code],MATCH(Data_NFI_t[[#This Row],[Camp Name]],Camp_List[Camp Name],0)-1,0,1,1),"")</f>
        <v>MMR012CMP042</v>
      </c>
      <c r="AL321" s="513" t="str">
        <f ca="1">IFERROR(OFFSET(Camp_List[Status],MATCH(Data_NFI_t[[#This Row],[Camp Name]],Camp_List[Camp Name],0)-1,0,1,1),"")</f>
        <v>Open</v>
      </c>
      <c r="AM321" s="131"/>
    </row>
    <row r="322" spans="1:39" s="90" customFormat="1" ht="19.5" customHeight="1" x14ac:dyDescent="0.25">
      <c r="A322" s="242">
        <f>IF(ISBLANK(C322),"",(Report_Date-C322)/30)</f>
        <v>51.3</v>
      </c>
      <c r="B322" s="242">
        <f>YEAR(Data_NFI_t[[#This Row],[Distribution Date]])</f>
        <v>2012</v>
      </c>
      <c r="C322" s="927">
        <v>41256</v>
      </c>
      <c r="D322" s="489" t="s">
        <v>285</v>
      </c>
      <c r="E322" s="488"/>
      <c r="F322" s="489" t="s">
        <v>7</v>
      </c>
      <c r="G322" s="794" t="s">
        <v>15</v>
      </c>
      <c r="H322" s="794" t="s">
        <v>44</v>
      </c>
      <c r="I322" s="794"/>
      <c r="J322" s="51"/>
      <c r="K322" s="51"/>
      <c r="L322" s="51">
        <v>36</v>
      </c>
      <c r="M322" s="51"/>
      <c r="N322" s="51">
        <v>36</v>
      </c>
      <c r="O322" s="51">
        <v>18</v>
      </c>
      <c r="P322" s="51">
        <v>18</v>
      </c>
      <c r="Q322" s="51"/>
      <c r="R322" s="511"/>
      <c r="S322" s="51"/>
      <c r="T322" s="51"/>
      <c r="U322" s="51"/>
      <c r="V322" s="51"/>
      <c r="W322" s="131">
        <f>IF(NFI_Expiration=1,IF($A322&lt;VLOOKUP(I$5,NFI,5,0),1,0)*Data_NFI_t[[#This Row],[Hygiene Kit]],0)</f>
        <v>0</v>
      </c>
      <c r="X322" s="131">
        <f>IF(NFI_Expiration=1,IF($A322&lt;VLOOKUP(J$5,NFI,5,0),1,0)*Data_NFI_t[[#This Row],[NFI Core Kit]],0)</f>
        <v>0</v>
      </c>
      <c r="Y322" s="112">
        <f>IF(NFI_Expiration=1,IF($A322&lt;VLOOKUP(K$5,NFI,5,0),1,0)*Data_NFI_t[[#This Row],[Sanitary Kit]],0)</f>
        <v>0</v>
      </c>
      <c r="Z322" s="112">
        <f>IF(NFI_Expiration=1,IF($A322&lt;VLOOKUP(L$5,NFI,5,0),1,0)*Data_NFI_t[[#This Row],[Mosquito net]],0)</f>
        <v>0</v>
      </c>
      <c r="AA322" s="112">
        <f>IF(NFI_Expiration=1,IF($A322&lt;VLOOKUP(M$5,NFI,5,0),1,0)*Data_NFI_t[[#This Row],[Tarpaulin]],0)</f>
        <v>0</v>
      </c>
      <c r="AB322" s="112">
        <f>IF(NFI_Expiration=1,IF($A322&lt;VLOOKUP(N$5,NFI,5,0),1,0)*Data_NFI_t[[#This Row],[Blanket]],0)</f>
        <v>0</v>
      </c>
      <c r="AC322" s="112">
        <f>IF(NFI_Expiration=1,IF($A322&lt;VLOOKUP(O$5,NFI,5,0),1,0)*Data_NFI_t[[#This Row],[Kitchen Set]],0)</f>
        <v>0</v>
      </c>
      <c r="AD322" s="112">
        <f>IF(NFI_Expiration=1,IF($A322&lt;VLOOKUP(P$5,NFI,5,0),1,0)*Data_NFI_t[[#This Row],[Complementary Kit]],0)</f>
        <v>0</v>
      </c>
      <c r="AE322" s="112">
        <f>IF(NFI_Expiration=1,IF($A322&lt;VLOOKUP(Q$5,NFI,5,0),1,0)*Data_NFI_t[[#This Row],[Plastic Bucket]],0)</f>
        <v>0</v>
      </c>
      <c r="AF322" s="112">
        <f>IF(NFI_Expiration=1,IF($A322&lt;VLOOKUP(R$5,NFI,5,0),1,0)*Data_NFI_t[[#This Row],[Jerry Can]],0)</f>
        <v>0</v>
      </c>
      <c r="AG322" s="131">
        <f>IF(NFI_Expiration=1,IF($A322&lt;VLOOKUP(S$5,NFI,5,0),1,0)*Data_NFI_t[[#This Row],[Plastic Mat]],0)*IF(Data_NFI_t[[#This Row],[Distribution Date]]&gt;"01-06-2015",1,2.5)</f>
        <v>0</v>
      </c>
      <c r="AH322" s="915">
        <f>IF(NFI_Expiration=1,IF($A322&lt;VLOOKUP(T$5,NFI,5,0),1,0)*Data_NFI_t[[#This Row],[Adult Clothes]],0)</f>
        <v>0</v>
      </c>
      <c r="AI322" s="131">
        <f>IF(NFI_Expiration=1,IF($A322&lt;VLOOKUP(U$5,NFI,5,0),1,0)*Data_NFI_t[[#This Row],[Children Clothes]],0)</f>
        <v>0</v>
      </c>
      <c r="AJ322" s="131">
        <f>IF(NFI_Expiration=1,IF($A322&lt;VLOOKUP(V$5,NFI,5,0),1,0)*Data_NFI_t[[#This Row],[Sewing Kit]],0)</f>
        <v>0</v>
      </c>
      <c r="AK322" s="131" t="str">
        <f ca="1">IFERROR(OFFSET(Camp_List[P_Code],MATCH(Data_NFI_t[[#This Row],[Camp Name]],Camp_List[Camp Name],0)-1,0,1,1),"")</f>
        <v>MMR012CMP020</v>
      </c>
      <c r="AL322" s="513" t="str">
        <f ca="1">IFERROR(OFFSET(Camp_List[Status],MATCH(Data_NFI_t[[#This Row],[Camp Name]],Camp_List[Camp Name],0)-1,0,1,1),"")</f>
        <v>Returned</v>
      </c>
      <c r="AM322" s="131"/>
    </row>
    <row r="323" spans="1:39" s="90" customFormat="1" ht="19.5" customHeight="1" x14ac:dyDescent="0.25">
      <c r="A323" s="242">
        <f>IF(ISBLANK(C323),"",(Report_Date-C323)/30)</f>
        <v>51.3</v>
      </c>
      <c r="B323" s="242">
        <f>YEAR(Data_NFI_t[[#This Row],[Distribution Date]])</f>
        <v>2012</v>
      </c>
      <c r="C323" s="927">
        <v>41256</v>
      </c>
      <c r="D323" s="489" t="s">
        <v>285</v>
      </c>
      <c r="E323" s="488"/>
      <c r="F323" s="489" t="s">
        <v>7</v>
      </c>
      <c r="G323" s="794" t="s">
        <v>19</v>
      </c>
      <c r="H323" s="794" t="s">
        <v>65</v>
      </c>
      <c r="I323" s="794"/>
      <c r="J323" s="51"/>
      <c r="K323" s="51">
        <v>65</v>
      </c>
      <c r="L323" s="51"/>
      <c r="M323" s="51"/>
      <c r="N323" s="51"/>
      <c r="O323" s="51"/>
      <c r="P323" s="51"/>
      <c r="Q323" s="51"/>
      <c r="R323" s="511"/>
      <c r="S323" s="51"/>
      <c r="T323" s="51"/>
      <c r="U323" s="51"/>
      <c r="V323" s="51"/>
      <c r="W323" s="131">
        <f>IF(NFI_Expiration=1,IF($A323&lt;VLOOKUP(I$5,NFI,5,0),1,0)*Data_NFI_t[[#This Row],[Hygiene Kit]],0)</f>
        <v>0</v>
      </c>
      <c r="X323" s="131">
        <f>IF(NFI_Expiration=1,IF($A323&lt;VLOOKUP(J$5,NFI,5,0),1,0)*Data_NFI_t[[#This Row],[NFI Core Kit]],0)</f>
        <v>0</v>
      </c>
      <c r="Y323" s="112">
        <f>IF(NFI_Expiration=1,IF($A323&lt;VLOOKUP(K$5,NFI,5,0),1,0)*Data_NFI_t[[#This Row],[Sanitary Kit]],0)</f>
        <v>0</v>
      </c>
      <c r="Z323" s="112">
        <f>IF(NFI_Expiration=1,IF($A323&lt;VLOOKUP(L$5,NFI,5,0),1,0)*Data_NFI_t[[#This Row],[Mosquito net]],0)</f>
        <v>0</v>
      </c>
      <c r="AA323" s="112">
        <f>IF(NFI_Expiration=1,IF($A323&lt;VLOOKUP(M$5,NFI,5,0),1,0)*Data_NFI_t[[#This Row],[Tarpaulin]],0)</f>
        <v>0</v>
      </c>
      <c r="AB323" s="112">
        <f>IF(NFI_Expiration=1,IF($A323&lt;VLOOKUP(N$5,NFI,5,0),1,0)*Data_NFI_t[[#This Row],[Blanket]],0)</f>
        <v>0</v>
      </c>
      <c r="AC323" s="112">
        <f>IF(NFI_Expiration=1,IF($A323&lt;VLOOKUP(O$5,NFI,5,0),1,0)*Data_NFI_t[[#This Row],[Kitchen Set]],0)</f>
        <v>0</v>
      </c>
      <c r="AD323" s="112">
        <f>IF(NFI_Expiration=1,IF($A323&lt;VLOOKUP(P$5,NFI,5,0),1,0)*Data_NFI_t[[#This Row],[Complementary Kit]],0)</f>
        <v>0</v>
      </c>
      <c r="AE323" s="112">
        <f>IF(NFI_Expiration=1,IF($A323&lt;VLOOKUP(Q$5,NFI,5,0),1,0)*Data_NFI_t[[#This Row],[Plastic Bucket]],0)</f>
        <v>0</v>
      </c>
      <c r="AF323" s="112">
        <f>IF(NFI_Expiration=1,IF($A323&lt;VLOOKUP(R$5,NFI,5,0),1,0)*Data_NFI_t[[#This Row],[Jerry Can]],0)</f>
        <v>0</v>
      </c>
      <c r="AG323" s="131">
        <f>IF(NFI_Expiration=1,IF($A323&lt;VLOOKUP(S$5,NFI,5,0),1,0)*Data_NFI_t[[#This Row],[Plastic Mat]],0)*IF(Data_NFI_t[[#This Row],[Distribution Date]]&gt;"01-06-2015",1,2.5)</f>
        <v>0</v>
      </c>
      <c r="AH323" s="915">
        <f>IF(NFI_Expiration=1,IF($A323&lt;VLOOKUP(T$5,NFI,5,0),1,0)*Data_NFI_t[[#This Row],[Adult Clothes]],0)</f>
        <v>0</v>
      </c>
      <c r="AI323" s="131">
        <f>IF(NFI_Expiration=1,IF($A323&lt;VLOOKUP(U$5,NFI,5,0),1,0)*Data_NFI_t[[#This Row],[Children Clothes]],0)</f>
        <v>0</v>
      </c>
      <c r="AJ323" s="131">
        <f>IF(NFI_Expiration=1,IF($A323&lt;VLOOKUP(V$5,NFI,5,0),1,0)*Data_NFI_t[[#This Row],[Sewing Kit]],0)</f>
        <v>0</v>
      </c>
      <c r="AK323" s="131" t="str">
        <f ca="1">IFERROR(OFFSET(Camp_List[P_Code],MATCH(Data_NFI_t[[#This Row],[Camp Name]],Camp_List[Camp Name],0)-1,0,1,1),"")</f>
        <v>MMR012CMP043</v>
      </c>
      <c r="AL323" s="513" t="str">
        <f ca="1">IFERROR(OFFSET(Camp_List[Status],MATCH(Data_NFI_t[[#This Row],[Camp Name]],Camp_List[Camp Name],0)-1,0,1,1),"")</f>
        <v>Close</v>
      </c>
      <c r="AM323" s="131"/>
    </row>
    <row r="324" spans="1:39" s="90" customFormat="1" ht="19.5" customHeight="1" x14ac:dyDescent="0.25">
      <c r="A324" s="242">
        <f>IF(ISBLANK(C324),"",(Report_Date-C324)/30)</f>
        <v>51.3</v>
      </c>
      <c r="B324" s="242">
        <f>YEAR(Data_NFI_t[[#This Row],[Distribution Date]])</f>
        <v>2012</v>
      </c>
      <c r="C324" s="927">
        <v>41256</v>
      </c>
      <c r="D324" s="489" t="s">
        <v>285</v>
      </c>
      <c r="E324" s="488"/>
      <c r="F324" s="489" t="s">
        <v>7</v>
      </c>
      <c r="G324" s="794" t="s">
        <v>11</v>
      </c>
      <c r="H324" s="794" t="s">
        <v>25</v>
      </c>
      <c r="I324" s="794"/>
      <c r="J324" s="51"/>
      <c r="K324" s="51"/>
      <c r="L324" s="51">
        <v>38</v>
      </c>
      <c r="M324" s="51"/>
      <c r="N324" s="51">
        <v>38</v>
      </c>
      <c r="O324" s="51">
        <v>19</v>
      </c>
      <c r="P324" s="51"/>
      <c r="Q324" s="51"/>
      <c r="R324" s="511"/>
      <c r="S324" s="51"/>
      <c r="T324" s="51"/>
      <c r="U324" s="51"/>
      <c r="V324" s="51"/>
      <c r="W324" s="131">
        <f>IF(NFI_Expiration=1,IF($A324&lt;VLOOKUP(I$5,NFI,5,0),1,0)*Data_NFI_t[[#This Row],[Hygiene Kit]],0)</f>
        <v>0</v>
      </c>
      <c r="X324" s="131">
        <f>IF(NFI_Expiration=1,IF($A324&lt;VLOOKUP(J$5,NFI,5,0),1,0)*Data_NFI_t[[#This Row],[NFI Core Kit]],0)</f>
        <v>0</v>
      </c>
      <c r="Y324" s="112">
        <f>IF(NFI_Expiration=1,IF($A324&lt;VLOOKUP(K$5,NFI,5,0),1,0)*Data_NFI_t[[#This Row],[Sanitary Kit]],0)</f>
        <v>0</v>
      </c>
      <c r="Z324" s="112">
        <f>IF(NFI_Expiration=1,IF($A324&lt;VLOOKUP(L$5,NFI,5,0),1,0)*Data_NFI_t[[#This Row],[Mosquito net]],0)</f>
        <v>0</v>
      </c>
      <c r="AA324" s="112">
        <f>IF(NFI_Expiration=1,IF($A324&lt;VLOOKUP(M$5,NFI,5,0),1,0)*Data_NFI_t[[#This Row],[Tarpaulin]],0)</f>
        <v>0</v>
      </c>
      <c r="AB324" s="112">
        <f>IF(NFI_Expiration=1,IF($A324&lt;VLOOKUP(N$5,NFI,5,0),1,0)*Data_NFI_t[[#This Row],[Blanket]],0)</f>
        <v>0</v>
      </c>
      <c r="AC324" s="112">
        <f>IF(NFI_Expiration=1,IF($A324&lt;VLOOKUP(O$5,NFI,5,0),1,0)*Data_NFI_t[[#This Row],[Kitchen Set]],0)</f>
        <v>0</v>
      </c>
      <c r="AD324" s="112">
        <f>IF(NFI_Expiration=1,IF($A324&lt;VLOOKUP(P$5,NFI,5,0),1,0)*Data_NFI_t[[#This Row],[Complementary Kit]],0)</f>
        <v>0</v>
      </c>
      <c r="AE324" s="112">
        <f>IF(NFI_Expiration=1,IF($A324&lt;VLOOKUP(Q$5,NFI,5,0),1,0)*Data_NFI_t[[#This Row],[Plastic Bucket]],0)</f>
        <v>0</v>
      </c>
      <c r="AF324" s="112">
        <f>IF(NFI_Expiration=1,IF($A324&lt;VLOOKUP(R$5,NFI,5,0),1,0)*Data_NFI_t[[#This Row],[Jerry Can]],0)</f>
        <v>0</v>
      </c>
      <c r="AG324" s="131">
        <f>IF(NFI_Expiration=1,IF($A324&lt;VLOOKUP(S$5,NFI,5,0),1,0)*Data_NFI_t[[#This Row],[Plastic Mat]],0)*IF(Data_NFI_t[[#This Row],[Distribution Date]]&gt;"01-06-2015",1,2.5)</f>
        <v>0</v>
      </c>
      <c r="AH324" s="915">
        <f>IF(NFI_Expiration=1,IF($A324&lt;VLOOKUP(T$5,NFI,5,0),1,0)*Data_NFI_t[[#This Row],[Adult Clothes]],0)</f>
        <v>0</v>
      </c>
      <c r="AI324" s="131">
        <f>IF(NFI_Expiration=1,IF($A324&lt;VLOOKUP(U$5,NFI,5,0),1,0)*Data_NFI_t[[#This Row],[Children Clothes]],0)</f>
        <v>0</v>
      </c>
      <c r="AJ324" s="131">
        <f>IF(NFI_Expiration=1,IF($A324&lt;VLOOKUP(V$5,NFI,5,0),1,0)*Data_NFI_t[[#This Row],[Sewing Kit]],0)</f>
        <v>0</v>
      </c>
      <c r="AK324" s="131" t="str">
        <f ca="1">IFERROR(OFFSET(Camp_List[P_Code],MATCH(Data_NFI_t[[#This Row],[Camp Name]],Camp_List[Camp Name],0)-1,0,1,1),"")</f>
        <v>MMR012CMP001</v>
      </c>
      <c r="AL324" s="513" t="str">
        <f ca="1">IFERROR(OFFSET(Camp_List[Status],MATCH(Data_NFI_t[[#This Row],[Camp Name]],Camp_List[Camp Name],0)-1,0,1,1),"")</f>
        <v>Returned</v>
      </c>
      <c r="AM324" s="131"/>
    </row>
    <row r="325" spans="1:39" s="90" customFormat="1" ht="19.5" customHeight="1" x14ac:dyDescent="0.25">
      <c r="A325" s="242">
        <f>IF(ISBLANK(C325),"",(Report_Date-C325)/30)</f>
        <v>51.3</v>
      </c>
      <c r="B325" s="242">
        <f>YEAR(Data_NFI_t[[#This Row],[Distribution Date]])</f>
        <v>2012</v>
      </c>
      <c r="C325" s="927">
        <v>41256</v>
      </c>
      <c r="D325" s="489" t="s">
        <v>285</v>
      </c>
      <c r="E325" s="488"/>
      <c r="F325" s="489" t="s">
        <v>7</v>
      </c>
      <c r="G325" s="794" t="s">
        <v>19</v>
      </c>
      <c r="H325" s="794" t="s">
        <v>66</v>
      </c>
      <c r="I325" s="794"/>
      <c r="J325" s="51"/>
      <c r="K325" s="51">
        <v>374</v>
      </c>
      <c r="L325" s="51"/>
      <c r="M325" s="51"/>
      <c r="N325" s="51"/>
      <c r="O325" s="51"/>
      <c r="P325" s="51"/>
      <c r="Q325" s="51"/>
      <c r="R325" s="511"/>
      <c r="S325" s="51"/>
      <c r="T325" s="51"/>
      <c r="U325" s="51"/>
      <c r="V325" s="51"/>
      <c r="W325" s="131">
        <f>IF(NFI_Expiration=1,IF($A325&lt;VLOOKUP(I$5,NFI,5,0),1,0)*Data_NFI_t[[#This Row],[Hygiene Kit]],0)</f>
        <v>0</v>
      </c>
      <c r="X325" s="131">
        <f>IF(NFI_Expiration=1,IF($A325&lt;VLOOKUP(J$5,NFI,5,0),1,0)*Data_NFI_t[[#This Row],[NFI Core Kit]],0)</f>
        <v>0</v>
      </c>
      <c r="Y325" s="112">
        <f>IF(NFI_Expiration=1,IF($A325&lt;VLOOKUP(K$5,NFI,5,0),1,0)*Data_NFI_t[[#This Row],[Sanitary Kit]],0)</f>
        <v>0</v>
      </c>
      <c r="Z325" s="112">
        <f>IF(NFI_Expiration=1,IF($A325&lt;VLOOKUP(L$5,NFI,5,0),1,0)*Data_NFI_t[[#This Row],[Mosquito net]],0)</f>
        <v>0</v>
      </c>
      <c r="AA325" s="112">
        <f>IF(NFI_Expiration=1,IF($A325&lt;VLOOKUP(M$5,NFI,5,0),1,0)*Data_NFI_t[[#This Row],[Tarpaulin]],0)</f>
        <v>0</v>
      </c>
      <c r="AB325" s="112">
        <f>IF(NFI_Expiration=1,IF($A325&lt;VLOOKUP(N$5,NFI,5,0),1,0)*Data_NFI_t[[#This Row],[Blanket]],0)</f>
        <v>0</v>
      </c>
      <c r="AC325" s="112">
        <f>IF(NFI_Expiration=1,IF($A325&lt;VLOOKUP(O$5,NFI,5,0),1,0)*Data_NFI_t[[#This Row],[Kitchen Set]],0)</f>
        <v>0</v>
      </c>
      <c r="AD325" s="112">
        <f>IF(NFI_Expiration=1,IF($A325&lt;VLOOKUP(P$5,NFI,5,0),1,0)*Data_NFI_t[[#This Row],[Complementary Kit]],0)</f>
        <v>0</v>
      </c>
      <c r="AE325" s="112">
        <f>IF(NFI_Expiration=1,IF($A325&lt;VLOOKUP(Q$5,NFI,5,0),1,0)*Data_NFI_t[[#This Row],[Plastic Bucket]],0)</f>
        <v>0</v>
      </c>
      <c r="AF325" s="112">
        <f>IF(NFI_Expiration=1,IF($A325&lt;VLOOKUP(R$5,NFI,5,0),1,0)*Data_NFI_t[[#This Row],[Jerry Can]],0)</f>
        <v>0</v>
      </c>
      <c r="AG325" s="131">
        <f>IF(NFI_Expiration=1,IF($A325&lt;VLOOKUP(S$5,NFI,5,0),1,0)*Data_NFI_t[[#This Row],[Plastic Mat]],0)*IF(Data_NFI_t[[#This Row],[Distribution Date]]&gt;"01-06-2015",1,2.5)</f>
        <v>0</v>
      </c>
      <c r="AH325" s="915">
        <f>IF(NFI_Expiration=1,IF($A325&lt;VLOOKUP(T$5,NFI,5,0),1,0)*Data_NFI_t[[#This Row],[Adult Clothes]],0)</f>
        <v>0</v>
      </c>
      <c r="AI325" s="131">
        <f>IF(NFI_Expiration=1,IF($A325&lt;VLOOKUP(U$5,NFI,5,0),1,0)*Data_NFI_t[[#This Row],[Children Clothes]],0)</f>
        <v>0</v>
      </c>
      <c r="AJ325" s="131">
        <f>IF(NFI_Expiration=1,IF($A325&lt;VLOOKUP(V$5,NFI,5,0),1,0)*Data_NFI_t[[#This Row],[Sewing Kit]],0)</f>
        <v>0</v>
      </c>
      <c r="AK325" s="131" t="str">
        <f ca="1">IFERROR(OFFSET(Camp_List[P_Code],MATCH(Data_NFI_t[[#This Row],[Camp Name]],Camp_List[Camp Name],0)-1,0,1,1),"")</f>
        <v>MMR012CMP044</v>
      </c>
      <c r="AL325" s="513" t="str">
        <f ca="1">IFERROR(OFFSET(Camp_List[Status],MATCH(Data_NFI_t[[#This Row],[Camp Name]],Camp_List[Camp Name],0)-1,0,1,1),"")</f>
        <v>Close</v>
      </c>
      <c r="AM325" s="131"/>
    </row>
    <row r="326" spans="1:39" s="90" customFormat="1" ht="19.5" customHeight="1" x14ac:dyDescent="0.25">
      <c r="A326" s="242">
        <f>IF(ISBLANK(C326),"",(Report_Date-C326)/30)</f>
        <v>51.3</v>
      </c>
      <c r="B326" s="242">
        <f>YEAR(Data_NFI_t[[#This Row],[Distribution Date]])</f>
        <v>2012</v>
      </c>
      <c r="C326" s="927">
        <v>41256</v>
      </c>
      <c r="D326" s="489" t="s">
        <v>285</v>
      </c>
      <c r="E326" s="488"/>
      <c r="F326" s="489" t="s">
        <v>7</v>
      </c>
      <c r="G326" s="794" t="s">
        <v>19</v>
      </c>
      <c r="H326" s="794" t="s">
        <v>67</v>
      </c>
      <c r="I326" s="794"/>
      <c r="J326" s="51"/>
      <c r="K326" s="51">
        <v>1460</v>
      </c>
      <c r="L326" s="51"/>
      <c r="M326" s="51"/>
      <c r="N326" s="51"/>
      <c r="O326" s="51"/>
      <c r="P326" s="51"/>
      <c r="Q326" s="51"/>
      <c r="R326" s="511"/>
      <c r="S326" s="51"/>
      <c r="T326" s="51"/>
      <c r="U326" s="51"/>
      <c r="V326" s="51"/>
      <c r="W326" s="131">
        <f>IF(NFI_Expiration=1,IF($A326&lt;VLOOKUP(I$5,NFI,5,0),1,0)*Data_NFI_t[[#This Row],[Hygiene Kit]],0)</f>
        <v>0</v>
      </c>
      <c r="X326" s="131">
        <f>IF(NFI_Expiration=1,IF($A326&lt;VLOOKUP(J$5,NFI,5,0),1,0)*Data_NFI_t[[#This Row],[NFI Core Kit]],0)</f>
        <v>0</v>
      </c>
      <c r="Y326" s="112">
        <f>IF(NFI_Expiration=1,IF($A326&lt;VLOOKUP(K$5,NFI,5,0),1,0)*Data_NFI_t[[#This Row],[Sanitary Kit]],0)</f>
        <v>0</v>
      </c>
      <c r="Z326" s="112">
        <f>IF(NFI_Expiration=1,IF($A326&lt;VLOOKUP(L$5,NFI,5,0),1,0)*Data_NFI_t[[#This Row],[Mosquito net]],0)</f>
        <v>0</v>
      </c>
      <c r="AA326" s="112">
        <f>IF(NFI_Expiration=1,IF($A326&lt;VLOOKUP(M$5,NFI,5,0),1,0)*Data_NFI_t[[#This Row],[Tarpaulin]],0)</f>
        <v>0</v>
      </c>
      <c r="AB326" s="112">
        <f>IF(NFI_Expiration=1,IF($A326&lt;VLOOKUP(N$5,NFI,5,0),1,0)*Data_NFI_t[[#This Row],[Blanket]],0)</f>
        <v>0</v>
      </c>
      <c r="AC326" s="112">
        <f>IF(NFI_Expiration=1,IF($A326&lt;VLOOKUP(O$5,NFI,5,0),1,0)*Data_NFI_t[[#This Row],[Kitchen Set]],0)</f>
        <v>0</v>
      </c>
      <c r="AD326" s="112">
        <f>IF(NFI_Expiration=1,IF($A326&lt;VLOOKUP(P$5,NFI,5,0),1,0)*Data_NFI_t[[#This Row],[Complementary Kit]],0)</f>
        <v>0</v>
      </c>
      <c r="AE326" s="112">
        <f>IF(NFI_Expiration=1,IF($A326&lt;VLOOKUP(Q$5,NFI,5,0),1,0)*Data_NFI_t[[#This Row],[Plastic Bucket]],0)</f>
        <v>0</v>
      </c>
      <c r="AF326" s="112">
        <f>IF(NFI_Expiration=1,IF($A326&lt;VLOOKUP(R$5,NFI,5,0),1,0)*Data_NFI_t[[#This Row],[Jerry Can]],0)</f>
        <v>0</v>
      </c>
      <c r="AG326" s="131">
        <f>IF(NFI_Expiration=1,IF($A326&lt;VLOOKUP(S$5,NFI,5,0),1,0)*Data_NFI_t[[#This Row],[Plastic Mat]],0)*IF(Data_NFI_t[[#This Row],[Distribution Date]]&gt;"01-06-2015",1,2.5)</f>
        <v>0</v>
      </c>
      <c r="AH326" s="915">
        <f>IF(NFI_Expiration=1,IF($A326&lt;VLOOKUP(T$5,NFI,5,0),1,0)*Data_NFI_t[[#This Row],[Adult Clothes]],0)</f>
        <v>0</v>
      </c>
      <c r="AI326" s="131">
        <f>IF(NFI_Expiration=1,IF($A326&lt;VLOOKUP(U$5,NFI,5,0),1,0)*Data_NFI_t[[#This Row],[Children Clothes]],0)</f>
        <v>0</v>
      </c>
      <c r="AJ326" s="131">
        <f>IF(NFI_Expiration=1,IF($A326&lt;VLOOKUP(V$5,NFI,5,0),1,0)*Data_NFI_t[[#This Row],[Sewing Kit]],0)</f>
        <v>0</v>
      </c>
      <c r="AK326" s="131" t="str">
        <f ca="1">IFERROR(OFFSET(Camp_List[P_Code],MATCH(Data_NFI_t[[#This Row],[Camp Name]],Camp_List[Camp Name],0)-1,0,1,1),"")</f>
        <v>MMR012CMP045</v>
      </c>
      <c r="AL326" s="513" t="str">
        <f ca="1">IFERROR(OFFSET(Camp_List[Status],MATCH(Data_NFI_t[[#This Row],[Camp Name]],Camp_List[Camp Name],0)-1,0,1,1),"")</f>
        <v>Open</v>
      </c>
      <c r="AM326" s="131"/>
    </row>
    <row r="327" spans="1:39" s="90" customFormat="1" ht="19.5" customHeight="1" x14ac:dyDescent="0.25">
      <c r="A327" s="242">
        <f>IF(ISBLANK(C327),"",(Report_Date-C327)/30)</f>
        <v>51.3</v>
      </c>
      <c r="B327" s="242">
        <f>YEAR(Data_NFI_t[[#This Row],[Distribution Date]])</f>
        <v>2012</v>
      </c>
      <c r="C327" s="927">
        <v>41256</v>
      </c>
      <c r="D327" s="489" t="s">
        <v>285</v>
      </c>
      <c r="E327" s="488"/>
      <c r="F327" s="489" t="s">
        <v>7</v>
      </c>
      <c r="G327" s="794" t="s">
        <v>15</v>
      </c>
      <c r="H327" s="794" t="s">
        <v>53</v>
      </c>
      <c r="I327" s="794"/>
      <c r="J327" s="51"/>
      <c r="K327" s="51"/>
      <c r="L327" s="51">
        <v>290</v>
      </c>
      <c r="M327" s="51"/>
      <c r="N327" s="51"/>
      <c r="O327" s="51"/>
      <c r="P327" s="51"/>
      <c r="Q327" s="51"/>
      <c r="R327" s="511"/>
      <c r="S327" s="51"/>
      <c r="T327" s="51"/>
      <c r="U327" s="51"/>
      <c r="V327" s="51"/>
      <c r="W327" s="131">
        <f>IF(NFI_Expiration=1,IF($A327&lt;VLOOKUP(I$5,NFI,5,0),1,0)*Data_NFI_t[[#This Row],[Hygiene Kit]],0)</f>
        <v>0</v>
      </c>
      <c r="X327" s="131">
        <f>IF(NFI_Expiration=1,IF($A327&lt;VLOOKUP(J$5,NFI,5,0),1,0)*Data_NFI_t[[#This Row],[NFI Core Kit]],0)</f>
        <v>0</v>
      </c>
      <c r="Y327" s="112">
        <f>IF(NFI_Expiration=1,IF($A327&lt;VLOOKUP(K$5,NFI,5,0),1,0)*Data_NFI_t[[#This Row],[Sanitary Kit]],0)</f>
        <v>0</v>
      </c>
      <c r="Z327" s="112">
        <f>IF(NFI_Expiration=1,IF($A327&lt;VLOOKUP(L$5,NFI,5,0),1,0)*Data_NFI_t[[#This Row],[Mosquito net]],0)</f>
        <v>0</v>
      </c>
      <c r="AA327" s="112">
        <f>IF(NFI_Expiration=1,IF($A327&lt;VLOOKUP(M$5,NFI,5,0),1,0)*Data_NFI_t[[#This Row],[Tarpaulin]],0)</f>
        <v>0</v>
      </c>
      <c r="AB327" s="112">
        <f>IF(NFI_Expiration=1,IF($A327&lt;VLOOKUP(N$5,NFI,5,0),1,0)*Data_NFI_t[[#This Row],[Blanket]],0)</f>
        <v>0</v>
      </c>
      <c r="AC327" s="112">
        <f>IF(NFI_Expiration=1,IF($A327&lt;VLOOKUP(O$5,NFI,5,0),1,0)*Data_NFI_t[[#This Row],[Kitchen Set]],0)</f>
        <v>0</v>
      </c>
      <c r="AD327" s="112">
        <f>IF(NFI_Expiration=1,IF($A327&lt;VLOOKUP(P$5,NFI,5,0),1,0)*Data_NFI_t[[#This Row],[Complementary Kit]],0)</f>
        <v>0</v>
      </c>
      <c r="AE327" s="112">
        <f>IF(NFI_Expiration=1,IF($A327&lt;VLOOKUP(Q$5,NFI,5,0),1,0)*Data_NFI_t[[#This Row],[Plastic Bucket]],0)</f>
        <v>0</v>
      </c>
      <c r="AF327" s="112">
        <f>IF(NFI_Expiration=1,IF($A327&lt;VLOOKUP(R$5,NFI,5,0),1,0)*Data_NFI_t[[#This Row],[Jerry Can]],0)</f>
        <v>0</v>
      </c>
      <c r="AG327" s="131">
        <f>IF(NFI_Expiration=1,IF($A327&lt;VLOOKUP(S$5,NFI,5,0),1,0)*Data_NFI_t[[#This Row],[Plastic Mat]],0)*IF(Data_NFI_t[[#This Row],[Distribution Date]]&gt;"01-06-2015",1,2.5)</f>
        <v>0</v>
      </c>
      <c r="AH327" s="915">
        <f>IF(NFI_Expiration=1,IF($A327&lt;VLOOKUP(T$5,NFI,5,0),1,0)*Data_NFI_t[[#This Row],[Adult Clothes]],0)</f>
        <v>0</v>
      </c>
      <c r="AI327" s="131">
        <f>IF(NFI_Expiration=1,IF($A327&lt;VLOOKUP(U$5,NFI,5,0),1,0)*Data_NFI_t[[#This Row],[Children Clothes]],0)</f>
        <v>0</v>
      </c>
      <c r="AJ327" s="131">
        <f>IF(NFI_Expiration=1,IF($A327&lt;VLOOKUP(V$5,NFI,5,0),1,0)*Data_NFI_t[[#This Row],[Sewing Kit]],0)</f>
        <v>0</v>
      </c>
      <c r="AK327" s="131" t="str">
        <f ca="1">IFERROR(OFFSET(Camp_List[P_Code],MATCH(Data_NFI_t[[#This Row],[Camp Name]],Camp_List[Camp Name],0)-1,0,1,1),"")</f>
        <v>MMR012CMP029</v>
      </c>
      <c r="AL327" s="513" t="str">
        <f ca="1">IFERROR(OFFSET(Camp_List[Status],MATCH(Data_NFI_t[[#This Row],[Camp Name]],Camp_List[Camp Name],0)-1,0,1,1),"")</f>
        <v>Returned</v>
      </c>
      <c r="AM327" s="131"/>
    </row>
    <row r="328" spans="1:39" s="90" customFormat="1" ht="19.5" customHeight="1" x14ac:dyDescent="0.25">
      <c r="A328" s="242">
        <f>IF(ISBLANK(C328),"",(Report_Date-C328)/30)</f>
        <v>51.3</v>
      </c>
      <c r="B328" s="242">
        <f>YEAR(Data_NFI_t[[#This Row],[Distribution Date]])</f>
        <v>2012</v>
      </c>
      <c r="C328" s="927">
        <v>41256</v>
      </c>
      <c r="D328" s="489" t="s">
        <v>285</v>
      </c>
      <c r="E328" s="488"/>
      <c r="F328" s="489" t="s">
        <v>7</v>
      </c>
      <c r="G328" s="794" t="s">
        <v>15</v>
      </c>
      <c r="H328" s="794" t="s">
        <v>45</v>
      </c>
      <c r="I328" s="794"/>
      <c r="J328" s="51"/>
      <c r="K328" s="51"/>
      <c r="L328" s="51"/>
      <c r="M328" s="51"/>
      <c r="N328" s="51"/>
      <c r="O328" s="51">
        <v>87</v>
      </c>
      <c r="P328" s="51"/>
      <c r="Q328" s="51"/>
      <c r="R328" s="511"/>
      <c r="S328" s="51"/>
      <c r="T328" s="51"/>
      <c r="U328" s="51"/>
      <c r="V328" s="51"/>
      <c r="W328" s="131">
        <f>IF(NFI_Expiration=1,IF($A328&lt;VLOOKUP(I$5,NFI,5,0),1,0)*Data_NFI_t[[#This Row],[Hygiene Kit]],0)</f>
        <v>0</v>
      </c>
      <c r="X328" s="131">
        <f>IF(NFI_Expiration=1,IF($A328&lt;VLOOKUP(J$5,NFI,5,0),1,0)*Data_NFI_t[[#This Row],[NFI Core Kit]],0)</f>
        <v>0</v>
      </c>
      <c r="Y328" s="112">
        <f>IF(NFI_Expiration=1,IF($A328&lt;VLOOKUP(K$5,NFI,5,0),1,0)*Data_NFI_t[[#This Row],[Sanitary Kit]],0)</f>
        <v>0</v>
      </c>
      <c r="Z328" s="112">
        <f>IF(NFI_Expiration=1,IF($A328&lt;VLOOKUP(L$5,NFI,5,0),1,0)*Data_NFI_t[[#This Row],[Mosquito net]],0)</f>
        <v>0</v>
      </c>
      <c r="AA328" s="112">
        <f>IF(NFI_Expiration=1,IF($A328&lt;VLOOKUP(M$5,NFI,5,0),1,0)*Data_NFI_t[[#This Row],[Tarpaulin]],0)</f>
        <v>0</v>
      </c>
      <c r="AB328" s="112">
        <f>IF(NFI_Expiration=1,IF($A328&lt;VLOOKUP(N$5,NFI,5,0),1,0)*Data_NFI_t[[#This Row],[Blanket]],0)</f>
        <v>0</v>
      </c>
      <c r="AC328" s="112">
        <f>IF(NFI_Expiration=1,IF($A328&lt;VLOOKUP(O$5,NFI,5,0),1,0)*Data_NFI_t[[#This Row],[Kitchen Set]],0)</f>
        <v>0</v>
      </c>
      <c r="AD328" s="112">
        <f>IF(NFI_Expiration=1,IF($A328&lt;VLOOKUP(P$5,NFI,5,0),1,0)*Data_NFI_t[[#This Row],[Complementary Kit]],0)</f>
        <v>0</v>
      </c>
      <c r="AE328" s="112">
        <f>IF(NFI_Expiration=1,IF($A328&lt;VLOOKUP(Q$5,NFI,5,0),1,0)*Data_NFI_t[[#This Row],[Plastic Bucket]],0)</f>
        <v>0</v>
      </c>
      <c r="AF328" s="112">
        <f>IF(NFI_Expiration=1,IF($A328&lt;VLOOKUP(R$5,NFI,5,0),1,0)*Data_NFI_t[[#This Row],[Jerry Can]],0)</f>
        <v>0</v>
      </c>
      <c r="AG328" s="131">
        <f>IF(NFI_Expiration=1,IF($A328&lt;VLOOKUP(S$5,NFI,5,0),1,0)*Data_NFI_t[[#This Row],[Plastic Mat]],0)*IF(Data_NFI_t[[#This Row],[Distribution Date]]&gt;"01-06-2015",1,2.5)</f>
        <v>0</v>
      </c>
      <c r="AH328" s="915">
        <f>IF(NFI_Expiration=1,IF($A328&lt;VLOOKUP(T$5,NFI,5,0),1,0)*Data_NFI_t[[#This Row],[Adult Clothes]],0)</f>
        <v>0</v>
      </c>
      <c r="AI328" s="131">
        <f>IF(NFI_Expiration=1,IF($A328&lt;VLOOKUP(U$5,NFI,5,0),1,0)*Data_NFI_t[[#This Row],[Children Clothes]],0)</f>
        <v>0</v>
      </c>
      <c r="AJ328" s="131">
        <f>IF(NFI_Expiration=1,IF($A328&lt;VLOOKUP(V$5,NFI,5,0),1,0)*Data_NFI_t[[#This Row],[Sewing Kit]],0)</f>
        <v>0</v>
      </c>
      <c r="AK328" s="131" t="str">
        <f ca="1">IFERROR(OFFSET(Camp_List[P_Code],MATCH(Data_NFI_t[[#This Row],[Camp Name]],Camp_List[Camp Name],0)-1,0,1,1),"")</f>
        <v>MMR012CMP021</v>
      </c>
      <c r="AL328" s="513" t="str">
        <f ca="1">IFERROR(OFFSET(Camp_List[Status],MATCH(Data_NFI_t[[#This Row],[Camp Name]],Camp_List[Camp Name],0)-1,0,1,1),"")</f>
        <v>Returned</v>
      </c>
      <c r="AM328" s="131"/>
    </row>
    <row r="329" spans="1:39" s="90" customFormat="1" ht="19.5" customHeight="1" x14ac:dyDescent="0.25">
      <c r="A329" s="242">
        <f>IF(ISBLANK(C329),"",(Report_Date-C329)/30)</f>
        <v>51.3</v>
      </c>
      <c r="B329" s="242">
        <f>YEAR(Data_NFI_t[[#This Row],[Distribution Date]])</f>
        <v>2012</v>
      </c>
      <c r="C329" s="927">
        <v>41256</v>
      </c>
      <c r="D329" s="489" t="s">
        <v>285</v>
      </c>
      <c r="E329" s="488"/>
      <c r="F329" s="489" t="s">
        <v>7</v>
      </c>
      <c r="G329" s="794" t="s">
        <v>11</v>
      </c>
      <c r="H329" s="794" t="s">
        <v>26</v>
      </c>
      <c r="I329" s="794"/>
      <c r="J329" s="51"/>
      <c r="K329" s="51"/>
      <c r="L329" s="51"/>
      <c r="M329" s="51"/>
      <c r="N329" s="51"/>
      <c r="O329" s="51">
        <v>203</v>
      </c>
      <c r="P329" s="51"/>
      <c r="Q329" s="51"/>
      <c r="R329" s="511"/>
      <c r="S329" s="51"/>
      <c r="T329" s="51"/>
      <c r="U329" s="51"/>
      <c r="V329" s="51"/>
      <c r="W329" s="131">
        <f>IF(NFI_Expiration=1,IF($A329&lt;VLOOKUP(I$5,NFI,5,0),1,0)*Data_NFI_t[[#This Row],[Hygiene Kit]],0)</f>
        <v>0</v>
      </c>
      <c r="X329" s="131">
        <f>IF(NFI_Expiration=1,IF($A329&lt;VLOOKUP(J$5,NFI,5,0),1,0)*Data_NFI_t[[#This Row],[NFI Core Kit]],0)</f>
        <v>0</v>
      </c>
      <c r="Y329" s="112">
        <f>IF(NFI_Expiration=1,IF($A329&lt;VLOOKUP(K$5,NFI,5,0),1,0)*Data_NFI_t[[#This Row],[Sanitary Kit]],0)</f>
        <v>0</v>
      </c>
      <c r="Z329" s="112">
        <f>IF(NFI_Expiration=1,IF($A329&lt;VLOOKUP(L$5,NFI,5,0),1,0)*Data_NFI_t[[#This Row],[Mosquito net]],0)</f>
        <v>0</v>
      </c>
      <c r="AA329" s="112">
        <f>IF(NFI_Expiration=1,IF($A329&lt;VLOOKUP(M$5,NFI,5,0),1,0)*Data_NFI_t[[#This Row],[Tarpaulin]],0)</f>
        <v>0</v>
      </c>
      <c r="AB329" s="112">
        <f>IF(NFI_Expiration=1,IF($A329&lt;VLOOKUP(N$5,NFI,5,0),1,0)*Data_NFI_t[[#This Row],[Blanket]],0)</f>
        <v>0</v>
      </c>
      <c r="AC329" s="112">
        <f>IF(NFI_Expiration=1,IF($A329&lt;VLOOKUP(O$5,NFI,5,0),1,0)*Data_NFI_t[[#This Row],[Kitchen Set]],0)</f>
        <v>0</v>
      </c>
      <c r="AD329" s="112">
        <f>IF(NFI_Expiration=1,IF($A329&lt;VLOOKUP(P$5,NFI,5,0),1,0)*Data_NFI_t[[#This Row],[Complementary Kit]],0)</f>
        <v>0</v>
      </c>
      <c r="AE329" s="112">
        <f>IF(NFI_Expiration=1,IF($A329&lt;VLOOKUP(Q$5,NFI,5,0),1,0)*Data_NFI_t[[#This Row],[Plastic Bucket]],0)</f>
        <v>0</v>
      </c>
      <c r="AF329" s="112">
        <f>IF(NFI_Expiration=1,IF($A329&lt;VLOOKUP(R$5,NFI,5,0),1,0)*Data_NFI_t[[#This Row],[Jerry Can]],0)</f>
        <v>0</v>
      </c>
      <c r="AG329" s="131">
        <f>IF(NFI_Expiration=1,IF($A329&lt;VLOOKUP(S$5,NFI,5,0),1,0)*Data_NFI_t[[#This Row],[Plastic Mat]],0)*IF(Data_NFI_t[[#This Row],[Distribution Date]]&gt;"01-06-2015",1,2.5)</f>
        <v>0</v>
      </c>
      <c r="AH329" s="915">
        <f>IF(NFI_Expiration=1,IF($A329&lt;VLOOKUP(T$5,NFI,5,0),1,0)*Data_NFI_t[[#This Row],[Adult Clothes]],0)</f>
        <v>0</v>
      </c>
      <c r="AI329" s="131">
        <f>IF(NFI_Expiration=1,IF($A329&lt;VLOOKUP(U$5,NFI,5,0),1,0)*Data_NFI_t[[#This Row],[Children Clothes]],0)</f>
        <v>0</v>
      </c>
      <c r="AJ329" s="131">
        <f>IF(NFI_Expiration=1,IF($A329&lt;VLOOKUP(V$5,NFI,5,0),1,0)*Data_NFI_t[[#This Row],[Sewing Kit]],0)</f>
        <v>0</v>
      </c>
      <c r="AK329" s="131" t="str">
        <f ca="1">IFERROR(OFFSET(Camp_List[P_Code],MATCH(Data_NFI_t[[#This Row],[Camp Name]],Camp_List[Camp Name],0)-1,0,1,1),"")</f>
        <v>MMR012CMP002</v>
      </c>
      <c r="AL329" s="513" t="str">
        <f ca="1">IFERROR(OFFSET(Camp_List[Status],MATCH(Data_NFI_t[[#This Row],[Camp Name]],Camp_List[Camp Name],0)-1,0,1,1),"")</f>
        <v>Returned</v>
      </c>
      <c r="AM329" s="131"/>
    </row>
    <row r="330" spans="1:39" s="90" customFormat="1" ht="19.5" customHeight="1" x14ac:dyDescent="0.25">
      <c r="A330" s="242">
        <f>IF(ISBLANK(C330),"",(Report_Date-C330)/30)</f>
        <v>51.3</v>
      </c>
      <c r="B330" s="242">
        <f>YEAR(Data_NFI_t[[#This Row],[Distribution Date]])</f>
        <v>2012</v>
      </c>
      <c r="C330" s="927">
        <v>41256</v>
      </c>
      <c r="D330" s="489" t="s">
        <v>285</v>
      </c>
      <c r="E330" s="488"/>
      <c r="F330" s="489" t="s">
        <v>7</v>
      </c>
      <c r="G330" s="794" t="s">
        <v>19</v>
      </c>
      <c r="H330" s="794" t="s">
        <v>68</v>
      </c>
      <c r="I330" s="794"/>
      <c r="J330" s="51"/>
      <c r="K330" s="51">
        <v>2813</v>
      </c>
      <c r="L330" s="51"/>
      <c r="M330" s="51"/>
      <c r="N330" s="51"/>
      <c r="O330" s="51"/>
      <c r="P330" s="51"/>
      <c r="Q330" s="51"/>
      <c r="R330" s="511"/>
      <c r="S330" s="51"/>
      <c r="T330" s="51"/>
      <c r="U330" s="51"/>
      <c r="V330" s="51"/>
      <c r="W330" s="131">
        <f>IF(NFI_Expiration=1,IF($A330&lt;VLOOKUP(I$5,NFI,5,0),1,0)*Data_NFI_t[[#This Row],[Hygiene Kit]],0)</f>
        <v>0</v>
      </c>
      <c r="X330" s="131">
        <f>IF(NFI_Expiration=1,IF($A330&lt;VLOOKUP(J$5,NFI,5,0),1,0)*Data_NFI_t[[#This Row],[NFI Core Kit]],0)</f>
        <v>0</v>
      </c>
      <c r="Y330" s="112">
        <f>IF(NFI_Expiration=1,IF($A330&lt;VLOOKUP(K$5,NFI,5,0),1,0)*Data_NFI_t[[#This Row],[Sanitary Kit]],0)</f>
        <v>0</v>
      </c>
      <c r="Z330" s="112">
        <f>IF(NFI_Expiration=1,IF($A330&lt;VLOOKUP(L$5,NFI,5,0),1,0)*Data_NFI_t[[#This Row],[Mosquito net]],0)</f>
        <v>0</v>
      </c>
      <c r="AA330" s="112">
        <f>IF(NFI_Expiration=1,IF($A330&lt;VLOOKUP(M$5,NFI,5,0),1,0)*Data_NFI_t[[#This Row],[Tarpaulin]],0)</f>
        <v>0</v>
      </c>
      <c r="AB330" s="112">
        <f>IF(NFI_Expiration=1,IF($A330&lt;VLOOKUP(N$5,NFI,5,0),1,0)*Data_NFI_t[[#This Row],[Blanket]],0)</f>
        <v>0</v>
      </c>
      <c r="AC330" s="112">
        <f>IF(NFI_Expiration=1,IF($A330&lt;VLOOKUP(O$5,NFI,5,0),1,0)*Data_NFI_t[[#This Row],[Kitchen Set]],0)</f>
        <v>0</v>
      </c>
      <c r="AD330" s="112">
        <f>IF(NFI_Expiration=1,IF($A330&lt;VLOOKUP(P$5,NFI,5,0),1,0)*Data_NFI_t[[#This Row],[Complementary Kit]],0)</f>
        <v>0</v>
      </c>
      <c r="AE330" s="112">
        <f>IF(NFI_Expiration=1,IF($A330&lt;VLOOKUP(Q$5,NFI,5,0),1,0)*Data_NFI_t[[#This Row],[Plastic Bucket]],0)</f>
        <v>0</v>
      </c>
      <c r="AF330" s="112">
        <f>IF(NFI_Expiration=1,IF($A330&lt;VLOOKUP(R$5,NFI,5,0),1,0)*Data_NFI_t[[#This Row],[Jerry Can]],0)</f>
        <v>0</v>
      </c>
      <c r="AG330" s="131">
        <f>IF(NFI_Expiration=1,IF($A330&lt;VLOOKUP(S$5,NFI,5,0),1,0)*Data_NFI_t[[#This Row],[Plastic Mat]],0)*IF(Data_NFI_t[[#This Row],[Distribution Date]]&gt;"01-06-2015",1,2.5)</f>
        <v>0</v>
      </c>
      <c r="AH330" s="915">
        <f>IF(NFI_Expiration=1,IF($A330&lt;VLOOKUP(T$5,NFI,5,0),1,0)*Data_NFI_t[[#This Row],[Adult Clothes]],0)</f>
        <v>0</v>
      </c>
      <c r="AI330" s="131">
        <f>IF(NFI_Expiration=1,IF($A330&lt;VLOOKUP(U$5,NFI,5,0),1,0)*Data_NFI_t[[#This Row],[Children Clothes]],0)</f>
        <v>0</v>
      </c>
      <c r="AJ330" s="131">
        <f>IF(NFI_Expiration=1,IF($A330&lt;VLOOKUP(V$5,NFI,5,0),1,0)*Data_NFI_t[[#This Row],[Sewing Kit]],0)</f>
        <v>0</v>
      </c>
      <c r="AK330" s="131" t="str">
        <f ca="1">IFERROR(OFFSET(Camp_List[P_Code],MATCH(Data_NFI_t[[#This Row],[Camp Name]],Camp_List[Camp Name],0)-1,0,1,1),"")</f>
        <v>MMR012CMP046</v>
      </c>
      <c r="AL330" s="513" t="str">
        <f ca="1">IFERROR(OFFSET(Camp_List[Status],MATCH(Data_NFI_t[[#This Row],[Camp Name]],Camp_List[Camp Name],0)-1,0,1,1),"")</f>
        <v>Open</v>
      </c>
      <c r="AM330" s="131"/>
    </row>
    <row r="331" spans="1:39" s="90" customFormat="1" ht="19.5" customHeight="1" x14ac:dyDescent="0.25">
      <c r="A331" s="242">
        <f>IF(ISBLANK(C331),"",(Report_Date-C331)/30)</f>
        <v>51.3</v>
      </c>
      <c r="B331" s="242">
        <f>YEAR(Data_NFI_t[[#This Row],[Distribution Date]])</f>
        <v>2012</v>
      </c>
      <c r="C331" s="927">
        <v>41256</v>
      </c>
      <c r="D331" s="489" t="s">
        <v>285</v>
      </c>
      <c r="E331" s="488"/>
      <c r="F331" s="489" t="s">
        <v>7</v>
      </c>
      <c r="G331" s="794" t="s">
        <v>19</v>
      </c>
      <c r="H331" s="794" t="s">
        <v>70</v>
      </c>
      <c r="I331" s="794"/>
      <c r="J331" s="51"/>
      <c r="K331" s="51">
        <v>1900</v>
      </c>
      <c r="L331" s="51"/>
      <c r="M331" s="51"/>
      <c r="N331" s="51"/>
      <c r="O331" s="51"/>
      <c r="P331" s="51"/>
      <c r="Q331" s="51"/>
      <c r="R331" s="511"/>
      <c r="S331" s="51"/>
      <c r="T331" s="51"/>
      <c r="U331" s="51"/>
      <c r="V331" s="51"/>
      <c r="W331" s="131">
        <f>IF(NFI_Expiration=1,IF($A331&lt;VLOOKUP(I$5,NFI,5,0),1,0)*Data_NFI_t[[#This Row],[Hygiene Kit]],0)</f>
        <v>0</v>
      </c>
      <c r="X331" s="131">
        <f>IF(NFI_Expiration=1,IF($A331&lt;VLOOKUP(J$5,NFI,5,0),1,0)*Data_NFI_t[[#This Row],[NFI Core Kit]],0)</f>
        <v>0</v>
      </c>
      <c r="Y331" s="112">
        <f>IF(NFI_Expiration=1,IF($A331&lt;VLOOKUP(K$5,NFI,5,0),1,0)*Data_NFI_t[[#This Row],[Sanitary Kit]],0)</f>
        <v>0</v>
      </c>
      <c r="Z331" s="112">
        <f>IF(NFI_Expiration=1,IF($A331&lt;VLOOKUP(L$5,NFI,5,0),1,0)*Data_NFI_t[[#This Row],[Mosquito net]],0)</f>
        <v>0</v>
      </c>
      <c r="AA331" s="112">
        <f>IF(NFI_Expiration=1,IF($A331&lt;VLOOKUP(M$5,NFI,5,0),1,0)*Data_NFI_t[[#This Row],[Tarpaulin]],0)</f>
        <v>0</v>
      </c>
      <c r="AB331" s="112">
        <f>IF(NFI_Expiration=1,IF($A331&lt;VLOOKUP(N$5,NFI,5,0),1,0)*Data_NFI_t[[#This Row],[Blanket]],0)</f>
        <v>0</v>
      </c>
      <c r="AC331" s="112">
        <f>IF(NFI_Expiration=1,IF($A331&lt;VLOOKUP(O$5,NFI,5,0),1,0)*Data_NFI_t[[#This Row],[Kitchen Set]],0)</f>
        <v>0</v>
      </c>
      <c r="AD331" s="112">
        <f>IF(NFI_Expiration=1,IF($A331&lt;VLOOKUP(P$5,NFI,5,0),1,0)*Data_NFI_t[[#This Row],[Complementary Kit]],0)</f>
        <v>0</v>
      </c>
      <c r="AE331" s="112">
        <f>IF(NFI_Expiration=1,IF($A331&lt;VLOOKUP(Q$5,NFI,5,0),1,0)*Data_NFI_t[[#This Row],[Plastic Bucket]],0)</f>
        <v>0</v>
      </c>
      <c r="AF331" s="112">
        <f>IF(NFI_Expiration=1,IF($A331&lt;VLOOKUP(R$5,NFI,5,0),1,0)*Data_NFI_t[[#This Row],[Jerry Can]],0)</f>
        <v>0</v>
      </c>
      <c r="AG331" s="131">
        <f>IF(NFI_Expiration=1,IF($A331&lt;VLOOKUP(S$5,NFI,5,0),1,0)*Data_NFI_t[[#This Row],[Plastic Mat]],0)*IF(Data_NFI_t[[#This Row],[Distribution Date]]&gt;"01-06-2015",1,2.5)</f>
        <v>0</v>
      </c>
      <c r="AH331" s="915">
        <f>IF(NFI_Expiration=1,IF($A331&lt;VLOOKUP(T$5,NFI,5,0),1,0)*Data_NFI_t[[#This Row],[Adult Clothes]],0)</f>
        <v>0</v>
      </c>
      <c r="AI331" s="131">
        <f>IF(NFI_Expiration=1,IF($A331&lt;VLOOKUP(U$5,NFI,5,0),1,0)*Data_NFI_t[[#This Row],[Children Clothes]],0)</f>
        <v>0</v>
      </c>
      <c r="AJ331" s="131">
        <f>IF(NFI_Expiration=1,IF($A331&lt;VLOOKUP(V$5,NFI,5,0),1,0)*Data_NFI_t[[#This Row],[Sewing Kit]],0)</f>
        <v>0</v>
      </c>
      <c r="AK331" s="131" t="str">
        <f ca="1">IFERROR(OFFSET(Camp_List[P_Code],MATCH(Data_NFI_t[[#This Row],[Camp Name]],Camp_List[Camp Name],0)-1,0,1,1),"")</f>
        <v>MMR012CMP048</v>
      </c>
      <c r="AL331" s="513" t="str">
        <f ca="1">IFERROR(OFFSET(Camp_List[Status],MATCH(Data_NFI_t[[#This Row],[Camp Name]],Camp_List[Camp Name],0)-1,0,1,1),"")</f>
        <v>Open</v>
      </c>
      <c r="AM331" s="131"/>
    </row>
    <row r="332" spans="1:39" s="90" customFormat="1" ht="19.5" customHeight="1" x14ac:dyDescent="0.25">
      <c r="A332" s="242">
        <f>IF(ISBLANK(C332),"",(Report_Date-C332)/30)</f>
        <v>51.3</v>
      </c>
      <c r="B332" s="242">
        <f>YEAR(Data_NFI_t[[#This Row],[Distribution Date]])</f>
        <v>2012</v>
      </c>
      <c r="C332" s="927">
        <v>41256</v>
      </c>
      <c r="D332" s="489" t="s">
        <v>285</v>
      </c>
      <c r="E332" s="488"/>
      <c r="F332" s="489" t="s">
        <v>7</v>
      </c>
      <c r="G332" s="794" t="s">
        <v>15</v>
      </c>
      <c r="H332" s="794" t="s">
        <v>52</v>
      </c>
      <c r="I332" s="794"/>
      <c r="J332" s="51"/>
      <c r="K332" s="51"/>
      <c r="L332" s="51">
        <v>214</v>
      </c>
      <c r="M332" s="51"/>
      <c r="N332" s="51">
        <v>214</v>
      </c>
      <c r="O332" s="51">
        <v>107</v>
      </c>
      <c r="P332" s="51">
        <v>107</v>
      </c>
      <c r="Q332" s="51"/>
      <c r="R332" s="511"/>
      <c r="S332" s="51"/>
      <c r="T332" s="51"/>
      <c r="U332" s="51"/>
      <c r="V332" s="51"/>
      <c r="W332" s="131">
        <f>IF(NFI_Expiration=1,IF($A332&lt;VLOOKUP(I$5,NFI,5,0),1,0)*Data_NFI_t[[#This Row],[Hygiene Kit]],0)</f>
        <v>0</v>
      </c>
      <c r="X332" s="131">
        <f>IF(NFI_Expiration=1,IF($A332&lt;VLOOKUP(J$5,NFI,5,0),1,0)*Data_NFI_t[[#This Row],[NFI Core Kit]],0)</f>
        <v>0</v>
      </c>
      <c r="Y332" s="112">
        <f>IF(NFI_Expiration=1,IF($A332&lt;VLOOKUP(K$5,NFI,5,0),1,0)*Data_NFI_t[[#This Row],[Sanitary Kit]],0)</f>
        <v>0</v>
      </c>
      <c r="Z332" s="112">
        <f>IF(NFI_Expiration=1,IF($A332&lt;VLOOKUP(L$5,NFI,5,0),1,0)*Data_NFI_t[[#This Row],[Mosquito net]],0)</f>
        <v>0</v>
      </c>
      <c r="AA332" s="112">
        <f>IF(NFI_Expiration=1,IF($A332&lt;VLOOKUP(M$5,NFI,5,0),1,0)*Data_NFI_t[[#This Row],[Tarpaulin]],0)</f>
        <v>0</v>
      </c>
      <c r="AB332" s="112">
        <f>IF(NFI_Expiration=1,IF($A332&lt;VLOOKUP(N$5,NFI,5,0),1,0)*Data_NFI_t[[#This Row],[Blanket]],0)</f>
        <v>0</v>
      </c>
      <c r="AC332" s="112">
        <f>IF(NFI_Expiration=1,IF($A332&lt;VLOOKUP(O$5,NFI,5,0),1,0)*Data_NFI_t[[#This Row],[Kitchen Set]],0)</f>
        <v>0</v>
      </c>
      <c r="AD332" s="112">
        <f>IF(NFI_Expiration=1,IF($A332&lt;VLOOKUP(P$5,NFI,5,0),1,0)*Data_NFI_t[[#This Row],[Complementary Kit]],0)</f>
        <v>0</v>
      </c>
      <c r="AE332" s="112">
        <f>IF(NFI_Expiration=1,IF($A332&lt;VLOOKUP(Q$5,NFI,5,0),1,0)*Data_NFI_t[[#This Row],[Plastic Bucket]],0)</f>
        <v>0</v>
      </c>
      <c r="AF332" s="112">
        <f>IF(NFI_Expiration=1,IF($A332&lt;VLOOKUP(R$5,NFI,5,0),1,0)*Data_NFI_t[[#This Row],[Jerry Can]],0)</f>
        <v>0</v>
      </c>
      <c r="AG332" s="131">
        <f>IF(NFI_Expiration=1,IF($A332&lt;VLOOKUP(S$5,NFI,5,0),1,0)*Data_NFI_t[[#This Row],[Plastic Mat]],0)*IF(Data_NFI_t[[#This Row],[Distribution Date]]&gt;"01-06-2015",1,2.5)</f>
        <v>0</v>
      </c>
      <c r="AH332" s="915">
        <f>IF(NFI_Expiration=1,IF($A332&lt;VLOOKUP(T$5,NFI,5,0),1,0)*Data_NFI_t[[#This Row],[Adult Clothes]],0)</f>
        <v>0</v>
      </c>
      <c r="AI332" s="131">
        <f>IF(NFI_Expiration=1,IF($A332&lt;VLOOKUP(U$5,NFI,5,0),1,0)*Data_NFI_t[[#This Row],[Children Clothes]],0)</f>
        <v>0</v>
      </c>
      <c r="AJ332" s="131">
        <f>IF(NFI_Expiration=1,IF($A332&lt;VLOOKUP(V$5,NFI,5,0),1,0)*Data_NFI_t[[#This Row],[Sewing Kit]],0)</f>
        <v>0</v>
      </c>
      <c r="AK332" s="131" t="str">
        <f ca="1">IFERROR(OFFSET(Camp_List[P_Code],MATCH(Data_NFI_t[[#This Row],[Camp Name]],Camp_List[Camp Name],0)-1,0,1,1),"")</f>
        <v>MMR012CMP028</v>
      </c>
      <c r="AL332" s="513" t="str">
        <f ca="1">IFERROR(OFFSET(Camp_List[Status],MATCH(Data_NFI_t[[#This Row],[Camp Name]],Camp_List[Camp Name],0)-1,0,1,1),"")</f>
        <v>Returned</v>
      </c>
      <c r="AM332" s="131"/>
    </row>
    <row r="333" spans="1:39" s="90" customFormat="1" ht="19.5" customHeight="1" x14ac:dyDescent="0.25">
      <c r="A333" s="242">
        <f>IF(ISBLANK(C333),"",(Report_Date-C333)/30)</f>
        <v>51.333333333333336</v>
      </c>
      <c r="B333" s="242">
        <f>YEAR(Data_NFI_t[[#This Row],[Distribution Date]])</f>
        <v>2012</v>
      </c>
      <c r="C333" s="927">
        <v>41255</v>
      </c>
      <c r="D333" s="489" t="s">
        <v>289</v>
      </c>
      <c r="E333" s="488" t="s">
        <v>285</v>
      </c>
      <c r="F333" s="489" t="s">
        <v>7</v>
      </c>
      <c r="G333" s="794" t="s">
        <v>19</v>
      </c>
      <c r="H333" s="794" t="s">
        <v>71</v>
      </c>
      <c r="I333" s="794"/>
      <c r="J333" s="51"/>
      <c r="K333" s="51"/>
      <c r="L333" s="51"/>
      <c r="M333" s="51"/>
      <c r="N333" s="51">
        <v>50</v>
      </c>
      <c r="O333" s="51"/>
      <c r="P333" s="51"/>
      <c r="Q333" s="51"/>
      <c r="R333" s="511"/>
      <c r="S333" s="51"/>
      <c r="T333" s="51"/>
      <c r="U333" s="51"/>
      <c r="V333" s="51"/>
      <c r="W333" s="131">
        <f>IF(NFI_Expiration=1,IF($A333&lt;VLOOKUP(I$5,NFI,5,0),1,0)*Data_NFI_t[[#This Row],[Hygiene Kit]],0)</f>
        <v>0</v>
      </c>
      <c r="X333" s="131">
        <f>IF(NFI_Expiration=1,IF($A333&lt;VLOOKUP(J$5,NFI,5,0),1,0)*Data_NFI_t[[#This Row],[NFI Core Kit]],0)</f>
        <v>0</v>
      </c>
      <c r="Y333" s="112">
        <f>IF(NFI_Expiration=1,IF($A333&lt;VLOOKUP(K$5,NFI,5,0),1,0)*Data_NFI_t[[#This Row],[Sanitary Kit]],0)</f>
        <v>0</v>
      </c>
      <c r="Z333" s="112">
        <f>IF(NFI_Expiration=1,IF($A333&lt;VLOOKUP(L$5,NFI,5,0),1,0)*Data_NFI_t[[#This Row],[Mosquito net]],0)</f>
        <v>0</v>
      </c>
      <c r="AA333" s="112">
        <f>IF(NFI_Expiration=1,IF($A333&lt;VLOOKUP(M$5,NFI,5,0),1,0)*Data_NFI_t[[#This Row],[Tarpaulin]],0)</f>
        <v>0</v>
      </c>
      <c r="AB333" s="112">
        <f>IF(NFI_Expiration=1,IF($A333&lt;VLOOKUP(N$5,NFI,5,0),1,0)*Data_NFI_t[[#This Row],[Blanket]],0)</f>
        <v>0</v>
      </c>
      <c r="AC333" s="112">
        <f>IF(NFI_Expiration=1,IF($A333&lt;VLOOKUP(O$5,NFI,5,0),1,0)*Data_NFI_t[[#This Row],[Kitchen Set]],0)</f>
        <v>0</v>
      </c>
      <c r="AD333" s="112">
        <f>IF(NFI_Expiration=1,IF($A333&lt;VLOOKUP(P$5,NFI,5,0),1,0)*Data_NFI_t[[#This Row],[Complementary Kit]],0)</f>
        <v>0</v>
      </c>
      <c r="AE333" s="112">
        <f>IF(NFI_Expiration=1,IF($A333&lt;VLOOKUP(Q$5,NFI,5,0),1,0)*Data_NFI_t[[#This Row],[Plastic Bucket]],0)</f>
        <v>0</v>
      </c>
      <c r="AF333" s="112">
        <f>IF(NFI_Expiration=1,IF($A333&lt;VLOOKUP(R$5,NFI,5,0),1,0)*Data_NFI_t[[#This Row],[Jerry Can]],0)</f>
        <v>0</v>
      </c>
      <c r="AG333" s="131">
        <f>IF(NFI_Expiration=1,IF($A333&lt;VLOOKUP(S$5,NFI,5,0),1,0)*Data_NFI_t[[#This Row],[Plastic Mat]],0)*IF(Data_NFI_t[[#This Row],[Distribution Date]]&gt;"01-06-2015",1,2.5)</f>
        <v>0</v>
      </c>
      <c r="AH333" s="915">
        <f>IF(NFI_Expiration=1,IF($A333&lt;VLOOKUP(T$5,NFI,5,0),1,0)*Data_NFI_t[[#This Row],[Adult Clothes]],0)</f>
        <v>0</v>
      </c>
      <c r="AI333" s="131">
        <f>IF(NFI_Expiration=1,IF($A333&lt;VLOOKUP(U$5,NFI,5,0),1,0)*Data_NFI_t[[#This Row],[Children Clothes]],0)</f>
        <v>0</v>
      </c>
      <c r="AJ333" s="131">
        <f>IF(NFI_Expiration=1,IF($A333&lt;VLOOKUP(V$5,NFI,5,0),1,0)*Data_NFI_t[[#This Row],[Sewing Kit]],0)</f>
        <v>0</v>
      </c>
      <c r="AK333" s="131" t="str">
        <f ca="1">IFERROR(OFFSET(Camp_List[P_Code],MATCH(Data_NFI_t[[#This Row],[Camp Name]],Camp_List[Camp Name],0)-1,0,1,1),"")</f>
        <v>MMR012CMP049</v>
      </c>
      <c r="AL333" s="513" t="str">
        <f ca="1">IFERROR(OFFSET(Camp_List[Status],MATCH(Data_NFI_t[[#This Row],[Camp Name]],Camp_List[Camp Name],0)-1,0,1,1),"")</f>
        <v>Close</v>
      </c>
      <c r="AM333" s="131"/>
    </row>
    <row r="334" spans="1:39" s="90" customFormat="1" ht="19.5" customHeight="1" x14ac:dyDescent="0.25">
      <c r="A334" s="242">
        <f>IF(ISBLANK(C334),"",(Report_Date-C334)/30)</f>
        <v>51.333333333333336</v>
      </c>
      <c r="B334" s="242">
        <f>YEAR(Data_NFI_t[[#This Row],[Distribution Date]])</f>
        <v>2012</v>
      </c>
      <c r="C334" s="927">
        <v>41255</v>
      </c>
      <c r="D334" s="489" t="s">
        <v>285</v>
      </c>
      <c r="E334" s="488"/>
      <c r="F334" s="489" t="s">
        <v>7</v>
      </c>
      <c r="G334" s="794" t="s">
        <v>19</v>
      </c>
      <c r="H334" s="794" t="s">
        <v>75</v>
      </c>
      <c r="I334" s="794"/>
      <c r="J334" s="51"/>
      <c r="K334" s="51">
        <v>85</v>
      </c>
      <c r="L334" s="51"/>
      <c r="M334" s="51"/>
      <c r="N334" s="51"/>
      <c r="O334" s="51"/>
      <c r="P334" s="51"/>
      <c r="Q334" s="51"/>
      <c r="R334" s="511"/>
      <c r="S334" s="51"/>
      <c r="T334" s="51"/>
      <c r="U334" s="51"/>
      <c r="V334" s="51"/>
      <c r="W334" s="131">
        <f>IF(NFI_Expiration=1,IF($A334&lt;VLOOKUP(I$5,NFI,5,0),1,0)*Data_NFI_t[[#This Row],[Hygiene Kit]],0)</f>
        <v>0</v>
      </c>
      <c r="X334" s="131">
        <f>IF(NFI_Expiration=1,IF($A334&lt;VLOOKUP(J$5,NFI,5,0),1,0)*Data_NFI_t[[#This Row],[NFI Core Kit]],0)</f>
        <v>0</v>
      </c>
      <c r="Y334" s="112">
        <f>IF(NFI_Expiration=1,IF($A334&lt;VLOOKUP(K$5,NFI,5,0),1,0)*Data_NFI_t[[#This Row],[Sanitary Kit]],0)</f>
        <v>0</v>
      </c>
      <c r="Z334" s="112">
        <f>IF(NFI_Expiration=1,IF($A334&lt;VLOOKUP(L$5,NFI,5,0),1,0)*Data_NFI_t[[#This Row],[Mosquito net]],0)</f>
        <v>0</v>
      </c>
      <c r="AA334" s="112">
        <f>IF(NFI_Expiration=1,IF($A334&lt;VLOOKUP(M$5,NFI,5,0),1,0)*Data_NFI_t[[#This Row],[Tarpaulin]],0)</f>
        <v>0</v>
      </c>
      <c r="AB334" s="112">
        <f>IF(NFI_Expiration=1,IF($A334&lt;VLOOKUP(N$5,NFI,5,0),1,0)*Data_NFI_t[[#This Row],[Blanket]],0)</f>
        <v>0</v>
      </c>
      <c r="AC334" s="112">
        <f>IF(NFI_Expiration=1,IF($A334&lt;VLOOKUP(O$5,NFI,5,0),1,0)*Data_NFI_t[[#This Row],[Kitchen Set]],0)</f>
        <v>0</v>
      </c>
      <c r="AD334" s="112">
        <f>IF(NFI_Expiration=1,IF($A334&lt;VLOOKUP(P$5,NFI,5,0),1,0)*Data_NFI_t[[#This Row],[Complementary Kit]],0)</f>
        <v>0</v>
      </c>
      <c r="AE334" s="112">
        <f>IF(NFI_Expiration=1,IF($A334&lt;VLOOKUP(Q$5,NFI,5,0),1,0)*Data_NFI_t[[#This Row],[Plastic Bucket]],0)</f>
        <v>0</v>
      </c>
      <c r="AF334" s="112">
        <f>IF(NFI_Expiration=1,IF($A334&lt;VLOOKUP(R$5,NFI,5,0),1,0)*Data_NFI_t[[#This Row],[Jerry Can]],0)</f>
        <v>0</v>
      </c>
      <c r="AG334" s="131">
        <f>IF(NFI_Expiration=1,IF($A334&lt;VLOOKUP(S$5,NFI,5,0),1,0)*Data_NFI_t[[#This Row],[Plastic Mat]],0)*IF(Data_NFI_t[[#This Row],[Distribution Date]]&gt;"01-06-2015",1,2.5)</f>
        <v>0</v>
      </c>
      <c r="AH334" s="915">
        <f>IF(NFI_Expiration=1,IF($A334&lt;VLOOKUP(T$5,NFI,5,0),1,0)*Data_NFI_t[[#This Row],[Adult Clothes]],0)</f>
        <v>0</v>
      </c>
      <c r="AI334" s="131">
        <f>IF(NFI_Expiration=1,IF($A334&lt;VLOOKUP(U$5,NFI,5,0),1,0)*Data_NFI_t[[#This Row],[Children Clothes]],0)</f>
        <v>0</v>
      </c>
      <c r="AJ334" s="131">
        <f>IF(NFI_Expiration=1,IF($A334&lt;VLOOKUP(V$5,NFI,5,0),1,0)*Data_NFI_t[[#This Row],[Sewing Kit]],0)</f>
        <v>0</v>
      </c>
      <c r="AK334" s="131" t="str">
        <f ca="1">IFERROR(OFFSET(Camp_List[P_Code],MATCH(Data_NFI_t[[#This Row],[Camp Name]],Camp_List[Camp Name],0)-1,0,1,1),"")</f>
        <v>MMR012CMP053</v>
      </c>
      <c r="AL334" s="513" t="str">
        <f ca="1">IFERROR(OFFSET(Camp_List[Status],MATCH(Data_NFI_t[[#This Row],[Camp Name]],Camp_List[Camp Name],0)-1,0,1,1),"")</f>
        <v>Close</v>
      </c>
      <c r="AM334" s="131"/>
    </row>
    <row r="335" spans="1:39" s="90" customFormat="1" ht="19.5" customHeight="1" x14ac:dyDescent="0.25">
      <c r="A335" s="242">
        <f>IF(ISBLANK(C335),"",(Report_Date-C335)/30)</f>
        <v>51.333333333333336</v>
      </c>
      <c r="B335" s="242">
        <f>YEAR(Data_NFI_t[[#This Row],[Distribution Date]])</f>
        <v>2012</v>
      </c>
      <c r="C335" s="927">
        <v>41255</v>
      </c>
      <c r="D335" s="489" t="s">
        <v>285</v>
      </c>
      <c r="E335" s="488"/>
      <c r="F335" s="489" t="s">
        <v>7</v>
      </c>
      <c r="G335" s="794" t="s">
        <v>19</v>
      </c>
      <c r="H335" s="794" t="s">
        <v>76</v>
      </c>
      <c r="I335" s="794"/>
      <c r="J335" s="51"/>
      <c r="K335" s="51">
        <v>53</v>
      </c>
      <c r="L335" s="51"/>
      <c r="M335" s="51"/>
      <c r="N335" s="51"/>
      <c r="O335" s="51"/>
      <c r="P335" s="51"/>
      <c r="Q335" s="51"/>
      <c r="R335" s="511"/>
      <c r="S335" s="51"/>
      <c r="T335" s="51"/>
      <c r="U335" s="51"/>
      <c r="V335" s="51"/>
      <c r="W335" s="131">
        <f>IF(NFI_Expiration=1,IF($A335&lt;VLOOKUP(I$5,NFI,5,0),1,0)*Data_NFI_t[[#This Row],[Hygiene Kit]],0)</f>
        <v>0</v>
      </c>
      <c r="X335" s="131">
        <f>IF(NFI_Expiration=1,IF($A335&lt;VLOOKUP(J$5,NFI,5,0),1,0)*Data_NFI_t[[#This Row],[NFI Core Kit]],0)</f>
        <v>0</v>
      </c>
      <c r="Y335" s="112">
        <f>IF(NFI_Expiration=1,IF($A335&lt;VLOOKUP(K$5,NFI,5,0),1,0)*Data_NFI_t[[#This Row],[Sanitary Kit]],0)</f>
        <v>0</v>
      </c>
      <c r="Z335" s="112">
        <f>IF(NFI_Expiration=1,IF($A335&lt;VLOOKUP(L$5,NFI,5,0),1,0)*Data_NFI_t[[#This Row],[Mosquito net]],0)</f>
        <v>0</v>
      </c>
      <c r="AA335" s="112">
        <f>IF(NFI_Expiration=1,IF($A335&lt;VLOOKUP(M$5,NFI,5,0),1,0)*Data_NFI_t[[#This Row],[Tarpaulin]],0)</f>
        <v>0</v>
      </c>
      <c r="AB335" s="112">
        <f>IF(NFI_Expiration=1,IF($A335&lt;VLOOKUP(N$5,NFI,5,0),1,0)*Data_NFI_t[[#This Row],[Blanket]],0)</f>
        <v>0</v>
      </c>
      <c r="AC335" s="112">
        <f>IF(NFI_Expiration=1,IF($A335&lt;VLOOKUP(O$5,NFI,5,0),1,0)*Data_NFI_t[[#This Row],[Kitchen Set]],0)</f>
        <v>0</v>
      </c>
      <c r="AD335" s="112">
        <f>IF(NFI_Expiration=1,IF($A335&lt;VLOOKUP(P$5,NFI,5,0),1,0)*Data_NFI_t[[#This Row],[Complementary Kit]],0)</f>
        <v>0</v>
      </c>
      <c r="AE335" s="112">
        <f>IF(NFI_Expiration=1,IF($A335&lt;VLOOKUP(Q$5,NFI,5,0),1,0)*Data_NFI_t[[#This Row],[Plastic Bucket]],0)</f>
        <v>0</v>
      </c>
      <c r="AF335" s="112">
        <f>IF(NFI_Expiration=1,IF($A335&lt;VLOOKUP(R$5,NFI,5,0),1,0)*Data_NFI_t[[#This Row],[Jerry Can]],0)</f>
        <v>0</v>
      </c>
      <c r="AG335" s="131">
        <f>IF(NFI_Expiration=1,IF($A335&lt;VLOOKUP(S$5,NFI,5,0),1,0)*Data_NFI_t[[#This Row],[Plastic Mat]],0)*IF(Data_NFI_t[[#This Row],[Distribution Date]]&gt;"01-06-2015",1,2.5)</f>
        <v>0</v>
      </c>
      <c r="AH335" s="915">
        <f>IF(NFI_Expiration=1,IF($A335&lt;VLOOKUP(T$5,NFI,5,0),1,0)*Data_NFI_t[[#This Row],[Adult Clothes]],0)</f>
        <v>0</v>
      </c>
      <c r="AI335" s="131">
        <f>IF(NFI_Expiration=1,IF($A335&lt;VLOOKUP(U$5,NFI,5,0),1,0)*Data_NFI_t[[#This Row],[Children Clothes]],0)</f>
        <v>0</v>
      </c>
      <c r="AJ335" s="131">
        <f>IF(NFI_Expiration=1,IF($A335&lt;VLOOKUP(V$5,NFI,5,0),1,0)*Data_NFI_t[[#This Row],[Sewing Kit]],0)</f>
        <v>0</v>
      </c>
      <c r="AK335" s="131" t="str">
        <f ca="1">IFERROR(OFFSET(Camp_List[P_Code],MATCH(Data_NFI_t[[#This Row],[Camp Name]],Camp_List[Camp Name],0)-1,0,1,1),"")</f>
        <v>MMR012CMP054</v>
      </c>
      <c r="AL335" s="513" t="str">
        <f ca="1">IFERROR(OFFSET(Camp_List[Status],MATCH(Data_NFI_t[[#This Row],[Camp Name]],Camp_List[Camp Name],0)-1,0,1,1),"")</f>
        <v>Close</v>
      </c>
      <c r="AM335" s="131"/>
    </row>
    <row r="336" spans="1:39" s="90" customFormat="1" ht="19.5" customHeight="1" x14ac:dyDescent="0.25">
      <c r="A336" s="242">
        <f>IF(ISBLANK(C336),"",(Report_Date-C336)/30)</f>
        <v>51.333333333333336</v>
      </c>
      <c r="B336" s="242">
        <f>YEAR(Data_NFI_t[[#This Row],[Distribution Date]])</f>
        <v>2012</v>
      </c>
      <c r="C336" s="927">
        <v>41255</v>
      </c>
      <c r="D336" s="489" t="s">
        <v>285</v>
      </c>
      <c r="E336" s="488"/>
      <c r="F336" s="489" t="s">
        <v>7</v>
      </c>
      <c r="G336" s="794" t="s">
        <v>19</v>
      </c>
      <c r="H336" s="794" t="s">
        <v>78</v>
      </c>
      <c r="I336" s="794"/>
      <c r="J336" s="51"/>
      <c r="K336" s="51">
        <v>195</v>
      </c>
      <c r="L336" s="51"/>
      <c r="M336" s="51"/>
      <c r="N336" s="51"/>
      <c r="O336" s="51"/>
      <c r="P336" s="51"/>
      <c r="Q336" s="51"/>
      <c r="R336" s="511"/>
      <c r="S336" s="51"/>
      <c r="T336" s="51"/>
      <c r="U336" s="51"/>
      <c r="V336" s="51"/>
      <c r="W336" s="131">
        <f>IF(NFI_Expiration=1,IF($A336&lt;VLOOKUP(I$5,NFI,5,0),1,0)*Data_NFI_t[[#This Row],[Hygiene Kit]],0)</f>
        <v>0</v>
      </c>
      <c r="X336" s="131">
        <f>IF(NFI_Expiration=1,IF($A336&lt;VLOOKUP(J$5,NFI,5,0),1,0)*Data_NFI_t[[#This Row],[NFI Core Kit]],0)</f>
        <v>0</v>
      </c>
      <c r="Y336" s="112">
        <f>IF(NFI_Expiration=1,IF($A336&lt;VLOOKUP(K$5,NFI,5,0),1,0)*Data_NFI_t[[#This Row],[Sanitary Kit]],0)</f>
        <v>0</v>
      </c>
      <c r="Z336" s="112">
        <f>IF(NFI_Expiration=1,IF($A336&lt;VLOOKUP(L$5,NFI,5,0),1,0)*Data_NFI_t[[#This Row],[Mosquito net]],0)</f>
        <v>0</v>
      </c>
      <c r="AA336" s="112">
        <f>IF(NFI_Expiration=1,IF($A336&lt;VLOOKUP(M$5,NFI,5,0),1,0)*Data_NFI_t[[#This Row],[Tarpaulin]],0)</f>
        <v>0</v>
      </c>
      <c r="AB336" s="112">
        <f>IF(NFI_Expiration=1,IF($A336&lt;VLOOKUP(N$5,NFI,5,0),1,0)*Data_NFI_t[[#This Row],[Blanket]],0)</f>
        <v>0</v>
      </c>
      <c r="AC336" s="112">
        <f>IF(NFI_Expiration=1,IF($A336&lt;VLOOKUP(O$5,NFI,5,0),1,0)*Data_NFI_t[[#This Row],[Kitchen Set]],0)</f>
        <v>0</v>
      </c>
      <c r="AD336" s="112">
        <f>IF(NFI_Expiration=1,IF($A336&lt;VLOOKUP(P$5,NFI,5,0),1,0)*Data_NFI_t[[#This Row],[Complementary Kit]],0)</f>
        <v>0</v>
      </c>
      <c r="AE336" s="112">
        <f>IF(NFI_Expiration=1,IF($A336&lt;VLOOKUP(Q$5,NFI,5,0),1,0)*Data_NFI_t[[#This Row],[Plastic Bucket]],0)</f>
        <v>0</v>
      </c>
      <c r="AF336" s="112">
        <f>IF(NFI_Expiration=1,IF($A336&lt;VLOOKUP(R$5,NFI,5,0),1,0)*Data_NFI_t[[#This Row],[Jerry Can]],0)</f>
        <v>0</v>
      </c>
      <c r="AG336" s="131">
        <f>IF(NFI_Expiration=1,IF($A336&lt;VLOOKUP(S$5,NFI,5,0),1,0)*Data_NFI_t[[#This Row],[Plastic Mat]],0)*IF(Data_NFI_t[[#This Row],[Distribution Date]]&gt;"01-06-2015",1,2.5)</f>
        <v>0</v>
      </c>
      <c r="AH336" s="915">
        <f>IF(NFI_Expiration=1,IF($A336&lt;VLOOKUP(T$5,NFI,5,0),1,0)*Data_NFI_t[[#This Row],[Adult Clothes]],0)</f>
        <v>0</v>
      </c>
      <c r="AI336" s="131">
        <f>IF(NFI_Expiration=1,IF($A336&lt;VLOOKUP(U$5,NFI,5,0),1,0)*Data_NFI_t[[#This Row],[Children Clothes]],0)</f>
        <v>0</v>
      </c>
      <c r="AJ336" s="131">
        <f>IF(NFI_Expiration=1,IF($A336&lt;VLOOKUP(V$5,NFI,5,0),1,0)*Data_NFI_t[[#This Row],[Sewing Kit]],0)</f>
        <v>0</v>
      </c>
      <c r="AK336" s="131" t="str">
        <f ca="1">IFERROR(OFFSET(Camp_List[P_Code],MATCH(Data_NFI_t[[#This Row],[Camp Name]],Camp_List[Camp Name],0)-1,0,1,1),"")</f>
        <v>MMR012CMP056</v>
      </c>
      <c r="AL336" s="513" t="str">
        <f ca="1">IFERROR(OFFSET(Camp_List[Status],MATCH(Data_NFI_t[[#This Row],[Camp Name]],Camp_List[Camp Name],0)-1,0,1,1),"")</f>
        <v>Relocated</v>
      </c>
      <c r="AM336" s="131"/>
    </row>
    <row r="337" spans="1:39" s="90" customFormat="1" ht="19.5" customHeight="1" x14ac:dyDescent="0.25">
      <c r="A337" s="242">
        <f>IF(ISBLANK(C337),"",(Report_Date-C337)/30)</f>
        <v>51.4</v>
      </c>
      <c r="B337" s="242">
        <f>YEAR(Data_NFI_t[[#This Row],[Distribution Date]])</f>
        <v>2012</v>
      </c>
      <c r="C337" s="927">
        <v>41253</v>
      </c>
      <c r="D337" s="489" t="s">
        <v>285</v>
      </c>
      <c r="E337" s="488"/>
      <c r="F337" s="489" t="s">
        <v>7</v>
      </c>
      <c r="G337" s="794" t="s">
        <v>608</v>
      </c>
      <c r="H337" s="794" t="s">
        <v>474</v>
      </c>
      <c r="I337" s="794"/>
      <c r="J337" s="51"/>
      <c r="K337" s="51"/>
      <c r="L337" s="51">
        <v>170</v>
      </c>
      <c r="M337" s="51">
        <v>85</v>
      </c>
      <c r="N337" s="51">
        <v>170</v>
      </c>
      <c r="O337" s="51">
        <v>85</v>
      </c>
      <c r="P337" s="51"/>
      <c r="Q337" s="51"/>
      <c r="R337" s="511"/>
      <c r="S337" s="51"/>
      <c r="T337" s="51"/>
      <c r="U337" s="51"/>
      <c r="V337" s="51"/>
      <c r="W337" s="131">
        <f>IF(NFI_Expiration=1,IF($A337&lt;VLOOKUP(I$5,NFI,5,0),1,0)*Data_NFI_t[[#This Row],[Hygiene Kit]],0)</f>
        <v>0</v>
      </c>
      <c r="X337" s="131">
        <f>IF(NFI_Expiration=1,IF($A337&lt;VLOOKUP(J$5,NFI,5,0),1,0)*Data_NFI_t[[#This Row],[NFI Core Kit]],0)</f>
        <v>0</v>
      </c>
      <c r="Y337" s="112">
        <f>IF(NFI_Expiration=1,IF($A337&lt;VLOOKUP(K$5,NFI,5,0),1,0)*Data_NFI_t[[#This Row],[Sanitary Kit]],0)</f>
        <v>0</v>
      </c>
      <c r="Z337" s="112">
        <f>IF(NFI_Expiration=1,IF($A337&lt;VLOOKUP(L$5,NFI,5,0),1,0)*Data_NFI_t[[#This Row],[Mosquito net]],0)</f>
        <v>0</v>
      </c>
      <c r="AA337" s="112">
        <f>IF(NFI_Expiration=1,IF($A337&lt;VLOOKUP(M$5,NFI,5,0),1,0)*Data_NFI_t[[#This Row],[Tarpaulin]],0)</f>
        <v>0</v>
      </c>
      <c r="AB337" s="112">
        <f>IF(NFI_Expiration=1,IF($A337&lt;VLOOKUP(N$5,NFI,5,0),1,0)*Data_NFI_t[[#This Row],[Blanket]],0)</f>
        <v>0</v>
      </c>
      <c r="AC337" s="112">
        <f>IF(NFI_Expiration=1,IF($A337&lt;VLOOKUP(O$5,NFI,5,0),1,0)*Data_NFI_t[[#This Row],[Kitchen Set]],0)</f>
        <v>0</v>
      </c>
      <c r="AD337" s="112">
        <f>IF(NFI_Expiration=1,IF($A337&lt;VLOOKUP(P$5,NFI,5,0),1,0)*Data_NFI_t[[#This Row],[Complementary Kit]],0)</f>
        <v>0</v>
      </c>
      <c r="AE337" s="112">
        <f>IF(NFI_Expiration=1,IF($A337&lt;VLOOKUP(Q$5,NFI,5,0),1,0)*Data_NFI_t[[#This Row],[Plastic Bucket]],0)</f>
        <v>0</v>
      </c>
      <c r="AF337" s="112">
        <f>IF(NFI_Expiration=1,IF($A337&lt;VLOOKUP(R$5,NFI,5,0),1,0)*Data_NFI_t[[#This Row],[Jerry Can]],0)</f>
        <v>0</v>
      </c>
      <c r="AG337" s="131">
        <f>IF(NFI_Expiration=1,IF($A337&lt;VLOOKUP(S$5,NFI,5,0),1,0)*Data_NFI_t[[#This Row],[Plastic Mat]],0)*IF(Data_NFI_t[[#This Row],[Distribution Date]]&gt;"01-06-2015",1,2.5)</f>
        <v>0</v>
      </c>
      <c r="AH337" s="915">
        <f>IF(NFI_Expiration=1,IF($A337&lt;VLOOKUP(T$5,NFI,5,0),1,0)*Data_NFI_t[[#This Row],[Adult Clothes]],0)</f>
        <v>0</v>
      </c>
      <c r="AI337" s="131">
        <f>IF(NFI_Expiration=1,IF($A337&lt;VLOOKUP(U$5,NFI,5,0),1,0)*Data_NFI_t[[#This Row],[Children Clothes]],0)</f>
        <v>0</v>
      </c>
      <c r="AJ337" s="131">
        <f>IF(NFI_Expiration=1,IF($A337&lt;VLOOKUP(V$5,NFI,5,0),1,0)*Data_NFI_t[[#This Row],[Sewing Kit]],0)</f>
        <v>0</v>
      </c>
      <c r="AK337" s="131" t="str">
        <f ca="1">IFERROR(OFFSET(Camp_List[P_Code],MATCH(Data_NFI_t[[#This Row],[Camp Name]],Camp_List[Camp Name],0)-1,0,1,1),"")</f>
        <v>MMR012CMP036</v>
      </c>
      <c r="AL337" s="513" t="str">
        <f ca="1">IFERROR(OFFSET(Camp_List[Status],MATCH(Data_NFI_t[[#This Row],[Camp Name]],Camp_List[Camp Name],0)-1,0,1,1),"")</f>
        <v>Open</v>
      </c>
      <c r="AM337" s="131"/>
    </row>
    <row r="338" spans="1:39" s="90" customFormat="1" ht="19.5" customHeight="1" x14ac:dyDescent="0.25">
      <c r="A338" s="242">
        <f>IF(ISBLANK(C338),"",(Report_Date-C338)/30)</f>
        <v>51.4</v>
      </c>
      <c r="B338" s="242">
        <f>YEAR(Data_NFI_t[[#This Row],[Distribution Date]])</f>
        <v>2012</v>
      </c>
      <c r="C338" s="927">
        <v>41253</v>
      </c>
      <c r="D338" s="489" t="s">
        <v>285</v>
      </c>
      <c r="E338" s="488"/>
      <c r="F338" s="489" t="s">
        <v>7</v>
      </c>
      <c r="G338" s="794" t="s">
        <v>608</v>
      </c>
      <c r="H338" s="794" t="s">
        <v>58</v>
      </c>
      <c r="I338" s="794"/>
      <c r="J338" s="51"/>
      <c r="K338" s="51"/>
      <c r="L338" s="51">
        <v>826</v>
      </c>
      <c r="M338" s="51">
        <v>213</v>
      </c>
      <c r="N338" s="51">
        <v>826</v>
      </c>
      <c r="O338" s="51">
        <v>413</v>
      </c>
      <c r="P338" s="51"/>
      <c r="Q338" s="51"/>
      <c r="R338" s="511"/>
      <c r="S338" s="51"/>
      <c r="T338" s="51"/>
      <c r="U338" s="51"/>
      <c r="V338" s="51"/>
      <c r="W338" s="131">
        <f>IF(NFI_Expiration=1,IF($A338&lt;VLOOKUP(I$5,NFI,5,0),1,0)*Data_NFI_t[[#This Row],[Hygiene Kit]],0)</f>
        <v>0</v>
      </c>
      <c r="X338" s="131">
        <f>IF(NFI_Expiration=1,IF($A338&lt;VLOOKUP(J$5,NFI,5,0),1,0)*Data_NFI_t[[#This Row],[NFI Core Kit]],0)</f>
        <v>0</v>
      </c>
      <c r="Y338" s="112">
        <f>IF(NFI_Expiration=1,IF($A338&lt;VLOOKUP(K$5,NFI,5,0),1,0)*Data_NFI_t[[#This Row],[Sanitary Kit]],0)</f>
        <v>0</v>
      </c>
      <c r="Z338" s="112">
        <f>IF(NFI_Expiration=1,IF($A338&lt;VLOOKUP(L$5,NFI,5,0),1,0)*Data_NFI_t[[#This Row],[Mosquito net]],0)</f>
        <v>0</v>
      </c>
      <c r="AA338" s="112">
        <f>IF(NFI_Expiration=1,IF($A338&lt;VLOOKUP(M$5,NFI,5,0),1,0)*Data_NFI_t[[#This Row],[Tarpaulin]],0)</f>
        <v>0</v>
      </c>
      <c r="AB338" s="112">
        <f>IF(NFI_Expiration=1,IF($A338&lt;VLOOKUP(N$5,NFI,5,0),1,0)*Data_NFI_t[[#This Row],[Blanket]],0)</f>
        <v>0</v>
      </c>
      <c r="AC338" s="112">
        <f>IF(NFI_Expiration=1,IF($A338&lt;VLOOKUP(O$5,NFI,5,0),1,0)*Data_NFI_t[[#This Row],[Kitchen Set]],0)</f>
        <v>0</v>
      </c>
      <c r="AD338" s="112">
        <f>IF(NFI_Expiration=1,IF($A338&lt;VLOOKUP(P$5,NFI,5,0),1,0)*Data_NFI_t[[#This Row],[Complementary Kit]],0)</f>
        <v>0</v>
      </c>
      <c r="AE338" s="112">
        <f>IF(NFI_Expiration=1,IF($A338&lt;VLOOKUP(Q$5,NFI,5,0),1,0)*Data_NFI_t[[#This Row],[Plastic Bucket]],0)</f>
        <v>0</v>
      </c>
      <c r="AF338" s="112">
        <f>IF(NFI_Expiration=1,IF($A338&lt;VLOOKUP(R$5,NFI,5,0),1,0)*Data_NFI_t[[#This Row],[Jerry Can]],0)</f>
        <v>0</v>
      </c>
      <c r="AG338" s="131">
        <f>IF(NFI_Expiration=1,IF($A338&lt;VLOOKUP(S$5,NFI,5,0),1,0)*Data_NFI_t[[#This Row],[Plastic Mat]],0)*IF(Data_NFI_t[[#This Row],[Distribution Date]]&gt;"01-06-2015",1,2.5)</f>
        <v>0</v>
      </c>
      <c r="AH338" s="915">
        <f>IF(NFI_Expiration=1,IF($A338&lt;VLOOKUP(T$5,NFI,5,0),1,0)*Data_NFI_t[[#This Row],[Adult Clothes]],0)</f>
        <v>0</v>
      </c>
      <c r="AI338" s="131">
        <f>IF(NFI_Expiration=1,IF($A338&lt;VLOOKUP(U$5,NFI,5,0),1,0)*Data_NFI_t[[#This Row],[Children Clothes]],0)</f>
        <v>0</v>
      </c>
      <c r="AJ338" s="131">
        <f>IF(NFI_Expiration=1,IF($A338&lt;VLOOKUP(V$5,NFI,5,0),1,0)*Data_NFI_t[[#This Row],[Sewing Kit]],0)</f>
        <v>0</v>
      </c>
      <c r="AK338" s="131" t="str">
        <f ca="1">IFERROR(OFFSET(Camp_List[P_Code],MATCH(Data_NFI_t[[#This Row],[Camp Name]],Camp_List[Camp Name],0)-1,0,1,1),"")</f>
        <v>MMR012CMP035</v>
      </c>
      <c r="AL338" s="513" t="str">
        <f ca="1">IFERROR(OFFSET(Camp_List[Status],MATCH(Data_NFI_t[[#This Row],[Camp Name]],Camp_List[Camp Name],0)-1,0,1,1),"")</f>
        <v>Open</v>
      </c>
      <c r="AM338" s="131"/>
    </row>
    <row r="339" spans="1:39" s="90" customFormat="1" ht="19.5" customHeight="1" x14ac:dyDescent="0.25">
      <c r="A339" s="242">
        <f>IF(ISBLANK(C339),"",(Report_Date-C339)/30)</f>
        <v>51.56666666666667</v>
      </c>
      <c r="B339" s="242">
        <f>YEAR(Data_NFI_t[[#This Row],[Distribution Date]])</f>
        <v>2012</v>
      </c>
      <c r="C339" s="927">
        <v>41248</v>
      </c>
      <c r="D339" s="489" t="s">
        <v>289</v>
      </c>
      <c r="E339" s="488" t="s">
        <v>285</v>
      </c>
      <c r="F339" s="489" t="s">
        <v>7</v>
      </c>
      <c r="G339" s="794" t="s">
        <v>19</v>
      </c>
      <c r="H339" s="794" t="s">
        <v>71</v>
      </c>
      <c r="I339" s="794"/>
      <c r="J339" s="51"/>
      <c r="K339" s="51"/>
      <c r="L339" s="51"/>
      <c r="M339" s="51"/>
      <c r="N339" s="51">
        <v>50</v>
      </c>
      <c r="O339" s="51"/>
      <c r="P339" s="51"/>
      <c r="Q339" s="51"/>
      <c r="R339" s="511"/>
      <c r="S339" s="51"/>
      <c r="T339" s="51"/>
      <c r="U339" s="51"/>
      <c r="V339" s="51"/>
      <c r="W339" s="131">
        <f>IF(NFI_Expiration=1,IF($A339&lt;VLOOKUP(I$5,NFI,5,0),1,0)*Data_NFI_t[[#This Row],[Hygiene Kit]],0)</f>
        <v>0</v>
      </c>
      <c r="X339" s="131">
        <f>IF(NFI_Expiration=1,IF($A339&lt;VLOOKUP(J$5,NFI,5,0),1,0)*Data_NFI_t[[#This Row],[NFI Core Kit]],0)</f>
        <v>0</v>
      </c>
      <c r="Y339" s="112">
        <f>IF(NFI_Expiration=1,IF($A339&lt;VLOOKUP(K$5,NFI,5,0),1,0)*Data_NFI_t[[#This Row],[Sanitary Kit]],0)</f>
        <v>0</v>
      </c>
      <c r="Z339" s="112">
        <f>IF(NFI_Expiration=1,IF($A339&lt;VLOOKUP(L$5,NFI,5,0),1,0)*Data_NFI_t[[#This Row],[Mosquito net]],0)</f>
        <v>0</v>
      </c>
      <c r="AA339" s="112">
        <f>IF(NFI_Expiration=1,IF($A339&lt;VLOOKUP(M$5,NFI,5,0),1,0)*Data_NFI_t[[#This Row],[Tarpaulin]],0)</f>
        <v>0</v>
      </c>
      <c r="AB339" s="112">
        <f>IF(NFI_Expiration=1,IF($A339&lt;VLOOKUP(N$5,NFI,5,0),1,0)*Data_NFI_t[[#This Row],[Blanket]],0)</f>
        <v>0</v>
      </c>
      <c r="AC339" s="112">
        <f>IF(NFI_Expiration=1,IF($A339&lt;VLOOKUP(O$5,NFI,5,0),1,0)*Data_NFI_t[[#This Row],[Kitchen Set]],0)</f>
        <v>0</v>
      </c>
      <c r="AD339" s="112">
        <f>IF(NFI_Expiration=1,IF($A339&lt;VLOOKUP(P$5,NFI,5,0),1,0)*Data_NFI_t[[#This Row],[Complementary Kit]],0)</f>
        <v>0</v>
      </c>
      <c r="AE339" s="112">
        <f>IF(NFI_Expiration=1,IF($A339&lt;VLOOKUP(Q$5,NFI,5,0),1,0)*Data_NFI_t[[#This Row],[Plastic Bucket]],0)</f>
        <v>0</v>
      </c>
      <c r="AF339" s="112">
        <f>IF(NFI_Expiration=1,IF($A339&lt;VLOOKUP(R$5,NFI,5,0),1,0)*Data_NFI_t[[#This Row],[Jerry Can]],0)</f>
        <v>0</v>
      </c>
      <c r="AG339" s="131">
        <f>IF(NFI_Expiration=1,IF($A339&lt;VLOOKUP(S$5,NFI,5,0),1,0)*Data_NFI_t[[#This Row],[Plastic Mat]],0)*IF(Data_NFI_t[[#This Row],[Distribution Date]]&gt;"01-06-2015",1,2.5)</f>
        <v>0</v>
      </c>
      <c r="AH339" s="915">
        <f>IF(NFI_Expiration=1,IF($A339&lt;VLOOKUP(T$5,NFI,5,0),1,0)*Data_NFI_t[[#This Row],[Adult Clothes]],0)</f>
        <v>0</v>
      </c>
      <c r="AI339" s="131">
        <f>IF(NFI_Expiration=1,IF($A339&lt;VLOOKUP(U$5,NFI,5,0),1,0)*Data_NFI_t[[#This Row],[Children Clothes]],0)</f>
        <v>0</v>
      </c>
      <c r="AJ339" s="131">
        <f>IF(NFI_Expiration=1,IF($A339&lt;VLOOKUP(V$5,NFI,5,0),1,0)*Data_NFI_t[[#This Row],[Sewing Kit]],0)</f>
        <v>0</v>
      </c>
      <c r="AK339" s="131" t="str">
        <f ca="1">IFERROR(OFFSET(Camp_List[P_Code],MATCH(Data_NFI_t[[#This Row],[Camp Name]],Camp_List[Camp Name],0)-1,0,1,1),"")</f>
        <v>MMR012CMP049</v>
      </c>
      <c r="AL339" s="513" t="str">
        <f ca="1">IFERROR(OFFSET(Camp_List[Status],MATCH(Data_NFI_t[[#This Row],[Camp Name]],Camp_List[Camp Name],0)-1,0,1,1),"")</f>
        <v>Close</v>
      </c>
      <c r="AM339" s="131"/>
    </row>
    <row r="340" spans="1:39" s="90" customFormat="1" ht="19.5" customHeight="1" x14ac:dyDescent="0.25">
      <c r="A340" s="242">
        <f>IF(ISBLANK(C340),"",(Report_Date-C340)/30)</f>
        <v>51.633333333333333</v>
      </c>
      <c r="B340" s="242">
        <f>YEAR(Data_NFI_t[[#This Row],[Distribution Date]])</f>
        <v>2012</v>
      </c>
      <c r="C340" s="927">
        <v>41246</v>
      </c>
      <c r="D340" s="489" t="s">
        <v>289</v>
      </c>
      <c r="E340" s="488" t="s">
        <v>285</v>
      </c>
      <c r="F340" s="489" t="s">
        <v>7</v>
      </c>
      <c r="G340" s="794" t="s">
        <v>19</v>
      </c>
      <c r="H340" s="794" t="s">
        <v>70</v>
      </c>
      <c r="I340" s="794"/>
      <c r="J340" s="51"/>
      <c r="K340" s="51"/>
      <c r="L340" s="51"/>
      <c r="M340" s="51"/>
      <c r="N340" s="51">
        <v>92</v>
      </c>
      <c r="O340" s="51"/>
      <c r="P340" s="51"/>
      <c r="Q340" s="51"/>
      <c r="R340" s="511"/>
      <c r="S340" s="51"/>
      <c r="T340" s="51"/>
      <c r="U340" s="51"/>
      <c r="V340" s="51"/>
      <c r="W340" s="131">
        <f>IF(NFI_Expiration=1,IF($A340&lt;VLOOKUP(I$5,NFI,5,0),1,0)*Data_NFI_t[[#This Row],[Hygiene Kit]],0)</f>
        <v>0</v>
      </c>
      <c r="X340" s="131">
        <f>IF(NFI_Expiration=1,IF($A340&lt;VLOOKUP(J$5,NFI,5,0),1,0)*Data_NFI_t[[#This Row],[NFI Core Kit]],0)</f>
        <v>0</v>
      </c>
      <c r="Y340" s="112">
        <f>IF(NFI_Expiration=1,IF($A340&lt;VLOOKUP(K$5,NFI,5,0),1,0)*Data_NFI_t[[#This Row],[Sanitary Kit]],0)</f>
        <v>0</v>
      </c>
      <c r="Z340" s="112">
        <f>IF(NFI_Expiration=1,IF($A340&lt;VLOOKUP(L$5,NFI,5,0),1,0)*Data_NFI_t[[#This Row],[Mosquito net]],0)</f>
        <v>0</v>
      </c>
      <c r="AA340" s="112">
        <f>IF(NFI_Expiration=1,IF($A340&lt;VLOOKUP(M$5,NFI,5,0),1,0)*Data_NFI_t[[#This Row],[Tarpaulin]],0)</f>
        <v>0</v>
      </c>
      <c r="AB340" s="112">
        <f>IF(NFI_Expiration=1,IF($A340&lt;VLOOKUP(N$5,NFI,5,0),1,0)*Data_NFI_t[[#This Row],[Blanket]],0)</f>
        <v>0</v>
      </c>
      <c r="AC340" s="112">
        <f>IF(NFI_Expiration=1,IF($A340&lt;VLOOKUP(O$5,NFI,5,0),1,0)*Data_NFI_t[[#This Row],[Kitchen Set]],0)</f>
        <v>0</v>
      </c>
      <c r="AD340" s="112">
        <f>IF(NFI_Expiration=1,IF($A340&lt;VLOOKUP(P$5,NFI,5,0),1,0)*Data_NFI_t[[#This Row],[Complementary Kit]],0)</f>
        <v>0</v>
      </c>
      <c r="AE340" s="112">
        <f>IF(NFI_Expiration=1,IF($A340&lt;VLOOKUP(Q$5,NFI,5,0),1,0)*Data_NFI_t[[#This Row],[Plastic Bucket]],0)</f>
        <v>0</v>
      </c>
      <c r="AF340" s="112">
        <f>IF(NFI_Expiration=1,IF($A340&lt;VLOOKUP(R$5,NFI,5,0),1,0)*Data_NFI_t[[#This Row],[Jerry Can]],0)</f>
        <v>0</v>
      </c>
      <c r="AG340" s="131">
        <f>IF(NFI_Expiration=1,IF($A340&lt;VLOOKUP(S$5,NFI,5,0),1,0)*Data_NFI_t[[#This Row],[Plastic Mat]],0)*IF(Data_NFI_t[[#This Row],[Distribution Date]]&gt;"01-06-2015",1,2.5)</f>
        <v>0</v>
      </c>
      <c r="AH340" s="915">
        <f>IF(NFI_Expiration=1,IF($A340&lt;VLOOKUP(T$5,NFI,5,0),1,0)*Data_NFI_t[[#This Row],[Adult Clothes]],0)</f>
        <v>0</v>
      </c>
      <c r="AI340" s="131">
        <f>IF(NFI_Expiration=1,IF($A340&lt;VLOOKUP(U$5,NFI,5,0),1,0)*Data_NFI_t[[#This Row],[Children Clothes]],0)</f>
        <v>0</v>
      </c>
      <c r="AJ340" s="131">
        <f>IF(NFI_Expiration=1,IF($A340&lt;VLOOKUP(V$5,NFI,5,0),1,0)*Data_NFI_t[[#This Row],[Sewing Kit]],0)</f>
        <v>0</v>
      </c>
      <c r="AK340" s="131" t="str">
        <f ca="1">IFERROR(OFFSET(Camp_List[P_Code],MATCH(Data_NFI_t[[#This Row],[Camp Name]],Camp_List[Camp Name],0)-1,0,1,1),"")</f>
        <v>MMR012CMP048</v>
      </c>
      <c r="AL340" s="513" t="str">
        <f ca="1">IFERROR(OFFSET(Camp_List[Status],MATCH(Data_NFI_t[[#This Row],[Camp Name]],Camp_List[Camp Name],0)-1,0,1,1),"")</f>
        <v>Open</v>
      </c>
      <c r="AM340" s="131"/>
    </row>
    <row r="341" spans="1:39" s="90" customFormat="1" ht="19.5" customHeight="1" x14ac:dyDescent="0.25">
      <c r="A341" s="242">
        <f>IF(ISBLANK(C341),"",(Report_Date-C341)/30)</f>
        <v>51.733333333333334</v>
      </c>
      <c r="B341" s="242">
        <f>YEAR(Data_NFI_t[[#This Row],[Distribution Date]])</f>
        <v>2012</v>
      </c>
      <c r="C341" s="927">
        <v>41243</v>
      </c>
      <c r="D341" s="489" t="s">
        <v>285</v>
      </c>
      <c r="E341" s="488"/>
      <c r="F341" s="489" t="s">
        <v>7</v>
      </c>
      <c r="G341" s="794" t="s">
        <v>11</v>
      </c>
      <c r="H341" s="794" t="s">
        <v>30</v>
      </c>
      <c r="I341" s="794"/>
      <c r="J341" s="51"/>
      <c r="K341" s="51"/>
      <c r="L341" s="51"/>
      <c r="M341" s="51"/>
      <c r="N341" s="51">
        <v>172</v>
      </c>
      <c r="O341" s="51">
        <v>46</v>
      </c>
      <c r="P341" s="51"/>
      <c r="Q341" s="51"/>
      <c r="R341" s="511"/>
      <c r="S341" s="51"/>
      <c r="T341" s="51"/>
      <c r="U341" s="51"/>
      <c r="V341" s="51"/>
      <c r="W341" s="131">
        <f>IF(NFI_Expiration=1,IF($A341&lt;VLOOKUP(I$5,NFI,5,0),1,0)*Data_NFI_t[[#This Row],[Hygiene Kit]],0)</f>
        <v>0</v>
      </c>
      <c r="X341" s="131">
        <f>IF(NFI_Expiration=1,IF($A341&lt;VLOOKUP(J$5,NFI,5,0),1,0)*Data_NFI_t[[#This Row],[NFI Core Kit]],0)</f>
        <v>0</v>
      </c>
      <c r="Y341" s="112">
        <f>IF(NFI_Expiration=1,IF($A341&lt;VLOOKUP(K$5,NFI,5,0),1,0)*Data_NFI_t[[#This Row],[Sanitary Kit]],0)</f>
        <v>0</v>
      </c>
      <c r="Z341" s="112">
        <f>IF(NFI_Expiration=1,IF($A341&lt;VLOOKUP(L$5,NFI,5,0),1,0)*Data_NFI_t[[#This Row],[Mosquito net]],0)</f>
        <v>0</v>
      </c>
      <c r="AA341" s="112">
        <f>IF(NFI_Expiration=1,IF($A341&lt;VLOOKUP(M$5,NFI,5,0),1,0)*Data_NFI_t[[#This Row],[Tarpaulin]],0)</f>
        <v>0</v>
      </c>
      <c r="AB341" s="112">
        <f>IF(NFI_Expiration=1,IF($A341&lt;VLOOKUP(N$5,NFI,5,0),1,0)*Data_NFI_t[[#This Row],[Blanket]],0)</f>
        <v>0</v>
      </c>
      <c r="AC341" s="112">
        <f>IF(NFI_Expiration=1,IF($A341&lt;VLOOKUP(O$5,NFI,5,0),1,0)*Data_NFI_t[[#This Row],[Kitchen Set]],0)</f>
        <v>0</v>
      </c>
      <c r="AD341" s="112">
        <f>IF(NFI_Expiration=1,IF($A341&lt;VLOOKUP(P$5,NFI,5,0),1,0)*Data_NFI_t[[#This Row],[Complementary Kit]],0)</f>
        <v>0</v>
      </c>
      <c r="AE341" s="112">
        <f>IF(NFI_Expiration=1,IF($A341&lt;VLOOKUP(Q$5,NFI,5,0),1,0)*Data_NFI_t[[#This Row],[Plastic Bucket]],0)</f>
        <v>0</v>
      </c>
      <c r="AF341" s="112">
        <f>IF(NFI_Expiration=1,IF($A341&lt;VLOOKUP(R$5,NFI,5,0),1,0)*Data_NFI_t[[#This Row],[Jerry Can]],0)</f>
        <v>0</v>
      </c>
      <c r="AG341" s="131">
        <f>IF(NFI_Expiration=1,IF($A341&lt;VLOOKUP(S$5,NFI,5,0),1,0)*Data_NFI_t[[#This Row],[Plastic Mat]],0)*IF(Data_NFI_t[[#This Row],[Distribution Date]]&gt;"01-06-2015",1,2.5)</f>
        <v>0</v>
      </c>
      <c r="AH341" s="915">
        <f>IF(NFI_Expiration=1,IF($A341&lt;VLOOKUP(T$5,NFI,5,0),1,0)*Data_NFI_t[[#This Row],[Adult Clothes]],0)</f>
        <v>0</v>
      </c>
      <c r="AI341" s="131">
        <f>IF(NFI_Expiration=1,IF($A341&lt;VLOOKUP(U$5,NFI,5,0),1,0)*Data_NFI_t[[#This Row],[Children Clothes]],0)</f>
        <v>0</v>
      </c>
      <c r="AJ341" s="131">
        <f>IF(NFI_Expiration=1,IF($A341&lt;VLOOKUP(V$5,NFI,5,0),1,0)*Data_NFI_t[[#This Row],[Sewing Kit]],0)</f>
        <v>0</v>
      </c>
      <c r="AK341" s="131" t="str">
        <f ca="1">IFERROR(OFFSET(Camp_List[P_Code],MATCH(Data_NFI_t[[#This Row],[Camp Name]],Camp_List[Camp Name],0)-1,0,1,1),"")</f>
        <v>MMR012CMP006</v>
      </c>
      <c r="AL341" s="513" t="str">
        <f ca="1">IFERROR(OFFSET(Camp_List[Status],MATCH(Data_NFI_t[[#This Row],[Camp Name]],Camp_List[Camp Name],0)-1,0,1,1),"")</f>
        <v>Returned</v>
      </c>
      <c r="AM341" s="131"/>
    </row>
    <row r="342" spans="1:39" s="90" customFormat="1" ht="19.5" customHeight="1" x14ac:dyDescent="0.25">
      <c r="A342" s="242">
        <f>IF(ISBLANK(C342),"",(Report_Date-C342)/30)</f>
        <v>51.733333333333334</v>
      </c>
      <c r="B342" s="242">
        <f>YEAR(Data_NFI_t[[#This Row],[Distribution Date]])</f>
        <v>2012</v>
      </c>
      <c r="C342" s="927">
        <v>41243</v>
      </c>
      <c r="D342" s="489" t="s">
        <v>285</v>
      </c>
      <c r="E342" s="488"/>
      <c r="F342" s="489" t="s">
        <v>7</v>
      </c>
      <c r="G342" s="794" t="s">
        <v>19</v>
      </c>
      <c r="H342" s="794" t="s">
        <v>73</v>
      </c>
      <c r="I342" s="794"/>
      <c r="J342" s="51"/>
      <c r="K342" s="51"/>
      <c r="L342" s="51"/>
      <c r="M342" s="51">
        <v>130</v>
      </c>
      <c r="N342" s="51"/>
      <c r="O342" s="51"/>
      <c r="P342" s="51"/>
      <c r="Q342" s="51"/>
      <c r="R342" s="511"/>
      <c r="S342" s="51"/>
      <c r="T342" s="51"/>
      <c r="U342" s="51"/>
      <c r="V342" s="51"/>
      <c r="W342" s="131">
        <f>IF(NFI_Expiration=1,IF($A342&lt;VLOOKUP(I$5,NFI,5,0),1,0)*Data_NFI_t[[#This Row],[Hygiene Kit]],0)</f>
        <v>0</v>
      </c>
      <c r="X342" s="131">
        <f>IF(NFI_Expiration=1,IF($A342&lt;VLOOKUP(J$5,NFI,5,0),1,0)*Data_NFI_t[[#This Row],[NFI Core Kit]],0)</f>
        <v>0</v>
      </c>
      <c r="Y342" s="112">
        <f>IF(NFI_Expiration=1,IF($A342&lt;VLOOKUP(K$5,NFI,5,0),1,0)*Data_NFI_t[[#This Row],[Sanitary Kit]],0)</f>
        <v>0</v>
      </c>
      <c r="Z342" s="112">
        <f>IF(NFI_Expiration=1,IF($A342&lt;VLOOKUP(L$5,NFI,5,0),1,0)*Data_NFI_t[[#This Row],[Mosquito net]],0)</f>
        <v>0</v>
      </c>
      <c r="AA342" s="112">
        <f>IF(NFI_Expiration=1,IF($A342&lt;VLOOKUP(M$5,NFI,5,0),1,0)*Data_NFI_t[[#This Row],[Tarpaulin]],0)</f>
        <v>0</v>
      </c>
      <c r="AB342" s="112">
        <f>IF(NFI_Expiration=1,IF($A342&lt;VLOOKUP(N$5,NFI,5,0),1,0)*Data_NFI_t[[#This Row],[Blanket]],0)</f>
        <v>0</v>
      </c>
      <c r="AC342" s="112">
        <f>IF(NFI_Expiration=1,IF($A342&lt;VLOOKUP(O$5,NFI,5,0),1,0)*Data_NFI_t[[#This Row],[Kitchen Set]],0)</f>
        <v>0</v>
      </c>
      <c r="AD342" s="112">
        <f>IF(NFI_Expiration=1,IF($A342&lt;VLOOKUP(P$5,NFI,5,0),1,0)*Data_NFI_t[[#This Row],[Complementary Kit]],0)</f>
        <v>0</v>
      </c>
      <c r="AE342" s="112">
        <f>IF(NFI_Expiration=1,IF($A342&lt;VLOOKUP(Q$5,NFI,5,0),1,0)*Data_NFI_t[[#This Row],[Plastic Bucket]],0)</f>
        <v>0</v>
      </c>
      <c r="AF342" s="112">
        <f>IF(NFI_Expiration=1,IF($A342&lt;VLOOKUP(R$5,NFI,5,0),1,0)*Data_NFI_t[[#This Row],[Jerry Can]],0)</f>
        <v>0</v>
      </c>
      <c r="AG342" s="131">
        <f>IF(NFI_Expiration=1,IF($A342&lt;VLOOKUP(S$5,NFI,5,0),1,0)*Data_NFI_t[[#This Row],[Plastic Mat]],0)*IF(Data_NFI_t[[#This Row],[Distribution Date]]&gt;"01-06-2015",1,2.5)</f>
        <v>0</v>
      </c>
      <c r="AH342" s="915">
        <f>IF(NFI_Expiration=1,IF($A342&lt;VLOOKUP(T$5,NFI,5,0),1,0)*Data_NFI_t[[#This Row],[Adult Clothes]],0)</f>
        <v>0</v>
      </c>
      <c r="AI342" s="131">
        <f>IF(NFI_Expiration=1,IF($A342&lt;VLOOKUP(U$5,NFI,5,0),1,0)*Data_NFI_t[[#This Row],[Children Clothes]],0)</f>
        <v>0</v>
      </c>
      <c r="AJ342" s="131">
        <f>IF(NFI_Expiration=1,IF($A342&lt;VLOOKUP(V$5,NFI,5,0),1,0)*Data_NFI_t[[#This Row],[Sewing Kit]],0)</f>
        <v>0</v>
      </c>
      <c r="AK342" s="131" t="str">
        <f ca="1">IFERROR(OFFSET(Camp_List[P_Code],MATCH(Data_NFI_t[[#This Row],[Camp Name]],Camp_List[Camp Name],0)-1,0,1,1),"")</f>
        <v>MMR012CMP051</v>
      </c>
      <c r="AL342" s="513" t="str">
        <f ca="1">IFERROR(OFFSET(Camp_List[Status],MATCH(Data_NFI_t[[#This Row],[Camp Name]],Camp_List[Camp Name],0)-1,0,1,1),"")</f>
        <v>Close</v>
      </c>
      <c r="AM342" s="131"/>
    </row>
    <row r="343" spans="1:39" s="90" customFormat="1" ht="19.5" customHeight="1" x14ac:dyDescent="0.25">
      <c r="A343" s="242">
        <f>IF(ISBLANK(C343),"",(Report_Date-C343)/30)</f>
        <v>51.733333333333334</v>
      </c>
      <c r="B343" s="242">
        <f>YEAR(Data_NFI_t[[#This Row],[Distribution Date]])</f>
        <v>2012</v>
      </c>
      <c r="C343" s="927">
        <v>41243</v>
      </c>
      <c r="D343" s="489" t="s">
        <v>285</v>
      </c>
      <c r="E343" s="488"/>
      <c r="F343" s="489" t="s">
        <v>7</v>
      </c>
      <c r="G343" s="794" t="s">
        <v>19</v>
      </c>
      <c r="H343" s="794" t="s">
        <v>73</v>
      </c>
      <c r="I343" s="794"/>
      <c r="J343" s="51"/>
      <c r="K343" s="51"/>
      <c r="L343" s="51"/>
      <c r="M343" s="51">
        <v>314</v>
      </c>
      <c r="N343" s="51"/>
      <c r="O343" s="51"/>
      <c r="P343" s="51"/>
      <c r="Q343" s="51"/>
      <c r="R343" s="511"/>
      <c r="S343" s="51"/>
      <c r="T343" s="51"/>
      <c r="U343" s="51"/>
      <c r="V343" s="51"/>
      <c r="W343" s="131">
        <f>IF(NFI_Expiration=1,IF($A343&lt;VLOOKUP(I$5,NFI,5,0),1,0)*Data_NFI_t[[#This Row],[Hygiene Kit]],0)</f>
        <v>0</v>
      </c>
      <c r="X343" s="131">
        <f>IF(NFI_Expiration=1,IF($A343&lt;VLOOKUP(J$5,NFI,5,0),1,0)*Data_NFI_t[[#This Row],[NFI Core Kit]],0)</f>
        <v>0</v>
      </c>
      <c r="Y343" s="112">
        <f>IF(NFI_Expiration=1,IF($A343&lt;VLOOKUP(K$5,NFI,5,0),1,0)*Data_NFI_t[[#This Row],[Sanitary Kit]],0)</f>
        <v>0</v>
      </c>
      <c r="Z343" s="112">
        <f>IF(NFI_Expiration=1,IF($A343&lt;VLOOKUP(L$5,NFI,5,0),1,0)*Data_NFI_t[[#This Row],[Mosquito net]],0)</f>
        <v>0</v>
      </c>
      <c r="AA343" s="112">
        <f>IF(NFI_Expiration=1,IF($A343&lt;VLOOKUP(M$5,NFI,5,0),1,0)*Data_NFI_t[[#This Row],[Tarpaulin]],0)</f>
        <v>0</v>
      </c>
      <c r="AB343" s="112">
        <f>IF(NFI_Expiration=1,IF($A343&lt;VLOOKUP(N$5,NFI,5,0),1,0)*Data_NFI_t[[#This Row],[Blanket]],0)</f>
        <v>0</v>
      </c>
      <c r="AC343" s="112">
        <f>IF(NFI_Expiration=1,IF($A343&lt;VLOOKUP(O$5,NFI,5,0),1,0)*Data_NFI_t[[#This Row],[Kitchen Set]],0)</f>
        <v>0</v>
      </c>
      <c r="AD343" s="112">
        <f>IF(NFI_Expiration=1,IF($A343&lt;VLOOKUP(P$5,NFI,5,0),1,0)*Data_NFI_t[[#This Row],[Complementary Kit]],0)</f>
        <v>0</v>
      </c>
      <c r="AE343" s="112">
        <f>IF(NFI_Expiration=1,IF($A343&lt;VLOOKUP(Q$5,NFI,5,0),1,0)*Data_NFI_t[[#This Row],[Plastic Bucket]],0)</f>
        <v>0</v>
      </c>
      <c r="AF343" s="112">
        <f>IF(NFI_Expiration=1,IF($A343&lt;VLOOKUP(R$5,NFI,5,0),1,0)*Data_NFI_t[[#This Row],[Jerry Can]],0)</f>
        <v>0</v>
      </c>
      <c r="AG343" s="131">
        <f>IF(NFI_Expiration=1,IF($A343&lt;VLOOKUP(S$5,NFI,5,0),1,0)*Data_NFI_t[[#This Row],[Plastic Mat]],0)*IF(Data_NFI_t[[#This Row],[Distribution Date]]&gt;"01-06-2015",1,2.5)</f>
        <v>0</v>
      </c>
      <c r="AH343" s="915">
        <f>IF(NFI_Expiration=1,IF($A343&lt;VLOOKUP(T$5,NFI,5,0),1,0)*Data_NFI_t[[#This Row],[Adult Clothes]],0)</f>
        <v>0</v>
      </c>
      <c r="AI343" s="131">
        <f>IF(NFI_Expiration=1,IF($A343&lt;VLOOKUP(U$5,NFI,5,0),1,0)*Data_NFI_t[[#This Row],[Children Clothes]],0)</f>
        <v>0</v>
      </c>
      <c r="AJ343" s="131">
        <f>IF(NFI_Expiration=1,IF($A343&lt;VLOOKUP(V$5,NFI,5,0),1,0)*Data_NFI_t[[#This Row],[Sewing Kit]],0)</f>
        <v>0</v>
      </c>
      <c r="AK343" s="131" t="str">
        <f ca="1">IFERROR(OFFSET(Camp_List[P_Code],MATCH(Data_NFI_t[[#This Row],[Camp Name]],Camp_List[Camp Name],0)-1,0,1,1),"")</f>
        <v>MMR012CMP051</v>
      </c>
      <c r="AL343" s="513" t="str">
        <f ca="1">IFERROR(OFFSET(Camp_List[Status],MATCH(Data_NFI_t[[#This Row],[Camp Name]],Camp_List[Camp Name],0)-1,0,1,1),"")</f>
        <v>Close</v>
      </c>
      <c r="AM343" s="131"/>
    </row>
    <row r="344" spans="1:39" s="90" customFormat="1" ht="19.5" customHeight="1" x14ac:dyDescent="0.25">
      <c r="A344" s="242">
        <f>IF(ISBLANK(C344),"",(Report_Date-C344)/30)</f>
        <v>51.733333333333334</v>
      </c>
      <c r="B344" s="242">
        <f>YEAR(Data_NFI_t[[#This Row],[Distribution Date]])</f>
        <v>2012</v>
      </c>
      <c r="C344" s="927">
        <v>41243</v>
      </c>
      <c r="D344" s="489" t="s">
        <v>285</v>
      </c>
      <c r="E344" s="488"/>
      <c r="F344" s="489" t="s">
        <v>7</v>
      </c>
      <c r="G344" s="794" t="s">
        <v>867</v>
      </c>
      <c r="H344" s="794" t="s">
        <v>37</v>
      </c>
      <c r="I344" s="794"/>
      <c r="J344" s="51"/>
      <c r="K344" s="51"/>
      <c r="L344" s="51">
        <v>88</v>
      </c>
      <c r="M344" s="51">
        <v>44</v>
      </c>
      <c r="N344" s="51">
        <v>88</v>
      </c>
      <c r="O344" s="51">
        <v>44</v>
      </c>
      <c r="P344" s="51">
        <v>44</v>
      </c>
      <c r="Q344" s="51"/>
      <c r="R344" s="511"/>
      <c r="S344" s="51"/>
      <c r="T344" s="51"/>
      <c r="U344" s="51"/>
      <c r="V344" s="51"/>
      <c r="W344" s="131">
        <f>IF(NFI_Expiration=1,IF($A344&lt;VLOOKUP(I$5,NFI,5,0),1,0)*Data_NFI_t[[#This Row],[Hygiene Kit]],0)</f>
        <v>0</v>
      </c>
      <c r="X344" s="131">
        <f>IF(NFI_Expiration=1,IF($A344&lt;VLOOKUP(J$5,NFI,5,0),1,0)*Data_NFI_t[[#This Row],[NFI Core Kit]],0)</f>
        <v>0</v>
      </c>
      <c r="Y344" s="112">
        <f>IF(NFI_Expiration=1,IF($A344&lt;VLOOKUP(K$5,NFI,5,0),1,0)*Data_NFI_t[[#This Row],[Sanitary Kit]],0)</f>
        <v>0</v>
      </c>
      <c r="Z344" s="112">
        <f>IF(NFI_Expiration=1,IF($A344&lt;VLOOKUP(L$5,NFI,5,0),1,0)*Data_NFI_t[[#This Row],[Mosquito net]],0)</f>
        <v>0</v>
      </c>
      <c r="AA344" s="112">
        <f>IF(NFI_Expiration=1,IF($A344&lt;VLOOKUP(M$5,NFI,5,0),1,0)*Data_NFI_t[[#This Row],[Tarpaulin]],0)</f>
        <v>0</v>
      </c>
      <c r="AB344" s="112">
        <f>IF(NFI_Expiration=1,IF($A344&lt;VLOOKUP(N$5,NFI,5,0),1,0)*Data_NFI_t[[#This Row],[Blanket]],0)</f>
        <v>0</v>
      </c>
      <c r="AC344" s="112">
        <f>IF(NFI_Expiration=1,IF($A344&lt;VLOOKUP(O$5,NFI,5,0),1,0)*Data_NFI_t[[#This Row],[Kitchen Set]],0)</f>
        <v>0</v>
      </c>
      <c r="AD344" s="112">
        <f>IF(NFI_Expiration=1,IF($A344&lt;VLOOKUP(P$5,NFI,5,0),1,0)*Data_NFI_t[[#This Row],[Complementary Kit]],0)</f>
        <v>0</v>
      </c>
      <c r="AE344" s="112">
        <f>IF(NFI_Expiration=1,IF($A344&lt;VLOOKUP(Q$5,NFI,5,0),1,0)*Data_NFI_t[[#This Row],[Plastic Bucket]],0)</f>
        <v>0</v>
      </c>
      <c r="AF344" s="112">
        <f>IF(NFI_Expiration=1,IF($A344&lt;VLOOKUP(R$5,NFI,5,0),1,0)*Data_NFI_t[[#This Row],[Jerry Can]],0)</f>
        <v>0</v>
      </c>
      <c r="AG344" s="131">
        <f>IF(NFI_Expiration=1,IF($A344&lt;VLOOKUP(S$5,NFI,5,0),1,0)*Data_NFI_t[[#This Row],[Plastic Mat]],0)*IF(Data_NFI_t[[#This Row],[Distribution Date]]&gt;"01-06-2015",1,2.5)</f>
        <v>0</v>
      </c>
      <c r="AH344" s="915">
        <f>IF(NFI_Expiration=1,IF($A344&lt;VLOOKUP(T$5,NFI,5,0),1,0)*Data_NFI_t[[#This Row],[Adult Clothes]],0)</f>
        <v>0</v>
      </c>
      <c r="AI344" s="131">
        <f>IF(NFI_Expiration=1,IF($A344&lt;VLOOKUP(U$5,NFI,5,0),1,0)*Data_NFI_t[[#This Row],[Children Clothes]],0)</f>
        <v>0</v>
      </c>
      <c r="AJ344" s="131">
        <f>IF(NFI_Expiration=1,IF($A344&lt;VLOOKUP(V$5,NFI,5,0),1,0)*Data_NFI_t[[#This Row],[Sewing Kit]],0)</f>
        <v>0</v>
      </c>
      <c r="AK344" s="131" t="str">
        <f ca="1">IFERROR(OFFSET(Camp_List[P_Code],MATCH(Data_NFI_t[[#This Row],[Camp Name]],Camp_List[Camp Name],0)-1,0,1,1),"")</f>
        <v>MMR012CMP013</v>
      </c>
      <c r="AL344" s="513" t="str">
        <f ca="1">IFERROR(OFFSET(Camp_List[Status],MATCH(Data_NFI_t[[#This Row],[Camp Name]],Camp_List[Camp Name],0)-1,0,1,1),"")</f>
        <v>Relocated</v>
      </c>
      <c r="AM344" s="131"/>
    </row>
    <row r="345" spans="1:39" s="90" customFormat="1" ht="19.5" customHeight="1" x14ac:dyDescent="0.25">
      <c r="A345" s="242">
        <f>IF(ISBLANK(C345),"",(Report_Date-C345)/30)</f>
        <v>51.733333333333334</v>
      </c>
      <c r="B345" s="242">
        <f>YEAR(Data_NFI_t[[#This Row],[Distribution Date]])</f>
        <v>2012</v>
      </c>
      <c r="C345" s="927">
        <v>41243</v>
      </c>
      <c r="D345" s="489" t="s">
        <v>285</v>
      </c>
      <c r="E345" s="488"/>
      <c r="F345" s="489" t="s">
        <v>7</v>
      </c>
      <c r="G345" s="794" t="s">
        <v>19</v>
      </c>
      <c r="H345" s="794" t="s">
        <v>72</v>
      </c>
      <c r="I345" s="794"/>
      <c r="J345" s="51"/>
      <c r="K345" s="51"/>
      <c r="L345" s="51"/>
      <c r="M345" s="51">
        <v>822</v>
      </c>
      <c r="N345" s="51"/>
      <c r="O345" s="51"/>
      <c r="P345" s="51"/>
      <c r="Q345" s="51"/>
      <c r="R345" s="511"/>
      <c r="S345" s="51"/>
      <c r="T345" s="51"/>
      <c r="U345" s="51"/>
      <c r="V345" s="51"/>
      <c r="W345" s="131">
        <f>IF(NFI_Expiration=1,IF($A345&lt;VLOOKUP(I$5,NFI,5,0),1,0)*Data_NFI_t[[#This Row],[Hygiene Kit]],0)</f>
        <v>0</v>
      </c>
      <c r="X345" s="131">
        <f>IF(NFI_Expiration=1,IF($A345&lt;VLOOKUP(J$5,NFI,5,0),1,0)*Data_NFI_t[[#This Row],[NFI Core Kit]],0)</f>
        <v>0</v>
      </c>
      <c r="Y345" s="112">
        <f>IF(NFI_Expiration=1,IF($A345&lt;VLOOKUP(K$5,NFI,5,0),1,0)*Data_NFI_t[[#This Row],[Sanitary Kit]],0)</f>
        <v>0</v>
      </c>
      <c r="Z345" s="112">
        <f>IF(NFI_Expiration=1,IF($A345&lt;VLOOKUP(L$5,NFI,5,0),1,0)*Data_NFI_t[[#This Row],[Mosquito net]],0)</f>
        <v>0</v>
      </c>
      <c r="AA345" s="112">
        <f>IF(NFI_Expiration=1,IF($A345&lt;VLOOKUP(M$5,NFI,5,0),1,0)*Data_NFI_t[[#This Row],[Tarpaulin]],0)</f>
        <v>0</v>
      </c>
      <c r="AB345" s="112">
        <f>IF(NFI_Expiration=1,IF($A345&lt;VLOOKUP(N$5,NFI,5,0),1,0)*Data_NFI_t[[#This Row],[Blanket]],0)</f>
        <v>0</v>
      </c>
      <c r="AC345" s="112">
        <f>IF(NFI_Expiration=1,IF($A345&lt;VLOOKUP(O$5,NFI,5,0),1,0)*Data_NFI_t[[#This Row],[Kitchen Set]],0)</f>
        <v>0</v>
      </c>
      <c r="AD345" s="112">
        <f>IF(NFI_Expiration=1,IF($A345&lt;VLOOKUP(P$5,NFI,5,0),1,0)*Data_NFI_t[[#This Row],[Complementary Kit]],0)</f>
        <v>0</v>
      </c>
      <c r="AE345" s="112">
        <f>IF(NFI_Expiration=1,IF($A345&lt;VLOOKUP(Q$5,NFI,5,0),1,0)*Data_NFI_t[[#This Row],[Plastic Bucket]],0)</f>
        <v>0</v>
      </c>
      <c r="AF345" s="112">
        <f>IF(NFI_Expiration=1,IF($A345&lt;VLOOKUP(R$5,NFI,5,0),1,0)*Data_NFI_t[[#This Row],[Jerry Can]],0)</f>
        <v>0</v>
      </c>
      <c r="AG345" s="131">
        <f>IF(NFI_Expiration=1,IF($A345&lt;VLOOKUP(S$5,NFI,5,0),1,0)*Data_NFI_t[[#This Row],[Plastic Mat]],0)*IF(Data_NFI_t[[#This Row],[Distribution Date]]&gt;"01-06-2015",1,2.5)</f>
        <v>0</v>
      </c>
      <c r="AH345" s="915">
        <f>IF(NFI_Expiration=1,IF($A345&lt;VLOOKUP(T$5,NFI,5,0),1,0)*Data_NFI_t[[#This Row],[Adult Clothes]],0)</f>
        <v>0</v>
      </c>
      <c r="AI345" s="131">
        <f>IF(NFI_Expiration=1,IF($A345&lt;VLOOKUP(U$5,NFI,5,0),1,0)*Data_NFI_t[[#This Row],[Children Clothes]],0)</f>
        <v>0</v>
      </c>
      <c r="AJ345" s="131">
        <f>IF(NFI_Expiration=1,IF($A345&lt;VLOOKUP(V$5,NFI,5,0),1,0)*Data_NFI_t[[#This Row],[Sewing Kit]],0)</f>
        <v>0</v>
      </c>
      <c r="AK345" s="131" t="str">
        <f ca="1">IFERROR(OFFSET(Camp_List[P_Code],MATCH(Data_NFI_t[[#This Row],[Camp Name]],Camp_List[Camp Name],0)-1,0,1,1),"")</f>
        <v>MMR012CMP050</v>
      </c>
      <c r="AL345" s="513" t="str">
        <f ca="1">IFERROR(OFFSET(Camp_List[Status],MATCH(Data_NFI_t[[#This Row],[Camp Name]],Camp_List[Camp Name],0)-1,0,1,1),"")</f>
        <v>Close</v>
      </c>
      <c r="AM345" s="131"/>
    </row>
    <row r="346" spans="1:39" s="90" customFormat="1" ht="19.5" customHeight="1" x14ac:dyDescent="0.25">
      <c r="A346" s="242">
        <f>IF(ISBLANK(C346),"",(Report_Date-C346)/30)</f>
        <v>51.733333333333334</v>
      </c>
      <c r="B346" s="242">
        <f>YEAR(Data_NFI_t[[#This Row],[Distribution Date]])</f>
        <v>2012</v>
      </c>
      <c r="C346" s="927">
        <v>41243</v>
      </c>
      <c r="D346" s="489" t="s">
        <v>285</v>
      </c>
      <c r="E346" s="488"/>
      <c r="F346" s="489" t="s">
        <v>7</v>
      </c>
      <c r="G346" s="794" t="s">
        <v>867</v>
      </c>
      <c r="H346" s="794" t="s">
        <v>38</v>
      </c>
      <c r="I346" s="794"/>
      <c r="J346" s="51"/>
      <c r="K346" s="51"/>
      <c r="L346" s="51"/>
      <c r="M346" s="51"/>
      <c r="N346" s="51"/>
      <c r="O346" s="51"/>
      <c r="P346" s="51">
        <v>705</v>
      </c>
      <c r="Q346" s="51"/>
      <c r="R346" s="511"/>
      <c r="S346" s="51"/>
      <c r="T346" s="51"/>
      <c r="U346" s="51"/>
      <c r="V346" s="51"/>
      <c r="W346" s="131">
        <f>IF(NFI_Expiration=1,IF($A346&lt;VLOOKUP(I$5,NFI,5,0),1,0)*Data_NFI_t[[#This Row],[Hygiene Kit]],0)</f>
        <v>0</v>
      </c>
      <c r="X346" s="131">
        <f>IF(NFI_Expiration=1,IF($A346&lt;VLOOKUP(J$5,NFI,5,0),1,0)*Data_NFI_t[[#This Row],[NFI Core Kit]],0)</f>
        <v>0</v>
      </c>
      <c r="Y346" s="112">
        <f>IF(NFI_Expiration=1,IF($A346&lt;VLOOKUP(K$5,NFI,5,0),1,0)*Data_NFI_t[[#This Row],[Sanitary Kit]],0)</f>
        <v>0</v>
      </c>
      <c r="Z346" s="112">
        <f>IF(NFI_Expiration=1,IF($A346&lt;VLOOKUP(L$5,NFI,5,0),1,0)*Data_NFI_t[[#This Row],[Mosquito net]],0)</f>
        <v>0</v>
      </c>
      <c r="AA346" s="112">
        <f>IF(NFI_Expiration=1,IF($A346&lt;VLOOKUP(M$5,NFI,5,0),1,0)*Data_NFI_t[[#This Row],[Tarpaulin]],0)</f>
        <v>0</v>
      </c>
      <c r="AB346" s="112">
        <f>IF(NFI_Expiration=1,IF($A346&lt;VLOOKUP(N$5,NFI,5,0),1,0)*Data_NFI_t[[#This Row],[Blanket]],0)</f>
        <v>0</v>
      </c>
      <c r="AC346" s="112">
        <f>IF(NFI_Expiration=1,IF($A346&lt;VLOOKUP(O$5,NFI,5,0),1,0)*Data_NFI_t[[#This Row],[Kitchen Set]],0)</f>
        <v>0</v>
      </c>
      <c r="AD346" s="112">
        <f>IF(NFI_Expiration=1,IF($A346&lt;VLOOKUP(P$5,NFI,5,0),1,0)*Data_NFI_t[[#This Row],[Complementary Kit]],0)</f>
        <v>0</v>
      </c>
      <c r="AE346" s="112">
        <f>IF(NFI_Expiration=1,IF($A346&lt;VLOOKUP(Q$5,NFI,5,0),1,0)*Data_NFI_t[[#This Row],[Plastic Bucket]],0)</f>
        <v>0</v>
      </c>
      <c r="AF346" s="112">
        <f>IF(NFI_Expiration=1,IF($A346&lt;VLOOKUP(R$5,NFI,5,0),1,0)*Data_NFI_t[[#This Row],[Jerry Can]],0)</f>
        <v>0</v>
      </c>
      <c r="AG346" s="131">
        <f>IF(NFI_Expiration=1,IF($A346&lt;VLOOKUP(S$5,NFI,5,0),1,0)*Data_NFI_t[[#This Row],[Plastic Mat]],0)*IF(Data_NFI_t[[#This Row],[Distribution Date]]&gt;"01-06-2015",1,2.5)</f>
        <v>0</v>
      </c>
      <c r="AH346" s="915">
        <f>IF(NFI_Expiration=1,IF($A346&lt;VLOOKUP(T$5,NFI,5,0),1,0)*Data_NFI_t[[#This Row],[Adult Clothes]],0)</f>
        <v>0</v>
      </c>
      <c r="AI346" s="131">
        <f>IF(NFI_Expiration=1,IF($A346&lt;VLOOKUP(U$5,NFI,5,0),1,0)*Data_NFI_t[[#This Row],[Children Clothes]],0)</f>
        <v>0</v>
      </c>
      <c r="AJ346" s="131">
        <f>IF(NFI_Expiration=1,IF($A346&lt;VLOOKUP(V$5,NFI,5,0),1,0)*Data_NFI_t[[#This Row],[Sewing Kit]],0)</f>
        <v>0</v>
      </c>
      <c r="AK346" s="131" t="str">
        <f ca="1">IFERROR(OFFSET(Camp_List[P_Code],MATCH(Data_NFI_t[[#This Row],[Camp Name]],Camp_List[Camp Name],0)-1,0,1,1),"")</f>
        <v>MMR012CMP014</v>
      </c>
      <c r="AL346" s="513" t="str">
        <f ca="1">IFERROR(OFFSET(Camp_List[Status],MATCH(Data_NFI_t[[#This Row],[Camp Name]],Camp_List[Camp Name],0)-1,0,1,1),"")</f>
        <v>Open</v>
      </c>
      <c r="AM346" s="131"/>
    </row>
    <row r="347" spans="1:39" s="90" customFormat="1" ht="19.5" customHeight="1" x14ac:dyDescent="0.25">
      <c r="A347" s="242">
        <f>IF(ISBLANK(C347),"",(Report_Date-C347)/30)</f>
        <v>51.733333333333334</v>
      </c>
      <c r="B347" s="242">
        <f>YEAR(Data_NFI_t[[#This Row],[Distribution Date]])</f>
        <v>2012</v>
      </c>
      <c r="C347" s="927">
        <v>41243</v>
      </c>
      <c r="D347" s="489" t="s">
        <v>289</v>
      </c>
      <c r="E347" s="488" t="s">
        <v>285</v>
      </c>
      <c r="F347" s="489" t="s">
        <v>7</v>
      </c>
      <c r="G347" s="794" t="s">
        <v>19</v>
      </c>
      <c r="H347" s="794" t="s">
        <v>70</v>
      </c>
      <c r="I347" s="794"/>
      <c r="J347" s="51"/>
      <c r="K347" s="51"/>
      <c r="L347" s="51"/>
      <c r="M347" s="51"/>
      <c r="N347" s="51">
        <v>100</v>
      </c>
      <c r="O347" s="51"/>
      <c r="P347" s="51"/>
      <c r="Q347" s="51"/>
      <c r="R347" s="511"/>
      <c r="S347" s="51"/>
      <c r="T347" s="51"/>
      <c r="U347" s="51"/>
      <c r="V347" s="51"/>
      <c r="W347" s="131">
        <f>IF(NFI_Expiration=1,IF($A347&lt;VLOOKUP(I$5,NFI,5,0),1,0)*Data_NFI_t[[#This Row],[Hygiene Kit]],0)</f>
        <v>0</v>
      </c>
      <c r="X347" s="131">
        <f>IF(NFI_Expiration=1,IF($A347&lt;VLOOKUP(J$5,NFI,5,0),1,0)*Data_NFI_t[[#This Row],[NFI Core Kit]],0)</f>
        <v>0</v>
      </c>
      <c r="Y347" s="112">
        <f>IF(NFI_Expiration=1,IF($A347&lt;VLOOKUP(K$5,NFI,5,0),1,0)*Data_NFI_t[[#This Row],[Sanitary Kit]],0)</f>
        <v>0</v>
      </c>
      <c r="Z347" s="112">
        <f>IF(NFI_Expiration=1,IF($A347&lt;VLOOKUP(L$5,NFI,5,0),1,0)*Data_NFI_t[[#This Row],[Mosquito net]],0)</f>
        <v>0</v>
      </c>
      <c r="AA347" s="112">
        <f>IF(NFI_Expiration=1,IF($A347&lt;VLOOKUP(M$5,NFI,5,0),1,0)*Data_NFI_t[[#This Row],[Tarpaulin]],0)</f>
        <v>0</v>
      </c>
      <c r="AB347" s="112">
        <f>IF(NFI_Expiration=1,IF($A347&lt;VLOOKUP(N$5,NFI,5,0),1,0)*Data_NFI_t[[#This Row],[Blanket]],0)</f>
        <v>0</v>
      </c>
      <c r="AC347" s="112">
        <f>IF(NFI_Expiration=1,IF($A347&lt;VLOOKUP(O$5,NFI,5,0),1,0)*Data_NFI_t[[#This Row],[Kitchen Set]],0)</f>
        <v>0</v>
      </c>
      <c r="AD347" s="112">
        <f>IF(NFI_Expiration=1,IF($A347&lt;VLOOKUP(P$5,NFI,5,0),1,0)*Data_NFI_t[[#This Row],[Complementary Kit]],0)</f>
        <v>0</v>
      </c>
      <c r="AE347" s="112">
        <f>IF(NFI_Expiration=1,IF($A347&lt;VLOOKUP(Q$5,NFI,5,0),1,0)*Data_NFI_t[[#This Row],[Plastic Bucket]],0)</f>
        <v>0</v>
      </c>
      <c r="AF347" s="112">
        <f>IF(NFI_Expiration=1,IF($A347&lt;VLOOKUP(R$5,NFI,5,0),1,0)*Data_NFI_t[[#This Row],[Jerry Can]],0)</f>
        <v>0</v>
      </c>
      <c r="AG347" s="131">
        <f>IF(NFI_Expiration=1,IF($A347&lt;VLOOKUP(S$5,NFI,5,0),1,0)*Data_NFI_t[[#This Row],[Plastic Mat]],0)*IF(Data_NFI_t[[#This Row],[Distribution Date]]&gt;"01-06-2015",1,2.5)</f>
        <v>0</v>
      </c>
      <c r="AH347" s="915">
        <f>IF(NFI_Expiration=1,IF($A347&lt;VLOOKUP(T$5,NFI,5,0),1,0)*Data_NFI_t[[#This Row],[Adult Clothes]],0)</f>
        <v>0</v>
      </c>
      <c r="AI347" s="131">
        <f>IF(NFI_Expiration=1,IF($A347&lt;VLOOKUP(U$5,NFI,5,0),1,0)*Data_NFI_t[[#This Row],[Children Clothes]],0)</f>
        <v>0</v>
      </c>
      <c r="AJ347" s="131">
        <f>IF(NFI_Expiration=1,IF($A347&lt;VLOOKUP(V$5,NFI,5,0),1,0)*Data_NFI_t[[#This Row],[Sewing Kit]],0)</f>
        <v>0</v>
      </c>
      <c r="AK347" s="131" t="str">
        <f ca="1">IFERROR(OFFSET(Camp_List[P_Code],MATCH(Data_NFI_t[[#This Row],[Camp Name]],Camp_List[Camp Name],0)-1,0,1,1),"")</f>
        <v>MMR012CMP048</v>
      </c>
      <c r="AL347" s="513" t="str">
        <f ca="1">IFERROR(OFFSET(Camp_List[Status],MATCH(Data_NFI_t[[#This Row],[Camp Name]],Camp_List[Camp Name],0)-1,0,1,1),"")</f>
        <v>Open</v>
      </c>
      <c r="AM347" s="131"/>
    </row>
    <row r="348" spans="1:39" s="90" customFormat="1" ht="19.5" customHeight="1" x14ac:dyDescent="0.25">
      <c r="A348" s="242">
        <f>IF(ISBLANK(C348),"",(Report_Date-C348)/30)</f>
        <v>52.033333333333331</v>
      </c>
      <c r="B348" s="242">
        <f>YEAR(Data_NFI_t[[#This Row],[Distribution Date]])</f>
        <v>2012</v>
      </c>
      <c r="C348" s="927">
        <v>41234</v>
      </c>
      <c r="D348" s="489" t="s">
        <v>285</v>
      </c>
      <c r="E348" s="488"/>
      <c r="F348" s="489" t="s">
        <v>7</v>
      </c>
      <c r="G348" s="794" t="s">
        <v>11</v>
      </c>
      <c r="H348" s="794" t="s">
        <v>28</v>
      </c>
      <c r="I348" s="794"/>
      <c r="J348" s="51"/>
      <c r="K348" s="51"/>
      <c r="L348" s="51"/>
      <c r="M348" s="51">
        <v>129</v>
      </c>
      <c r="N348" s="51"/>
      <c r="O348" s="51"/>
      <c r="P348" s="51"/>
      <c r="Q348" s="51"/>
      <c r="R348" s="511"/>
      <c r="S348" s="51"/>
      <c r="T348" s="51"/>
      <c r="U348" s="51"/>
      <c r="V348" s="51"/>
      <c r="W348" s="131">
        <f>IF(NFI_Expiration=1,IF($A348&lt;VLOOKUP(I$5,NFI,5,0),1,0)*Data_NFI_t[[#This Row],[Hygiene Kit]],0)</f>
        <v>0</v>
      </c>
      <c r="X348" s="131">
        <f>IF(NFI_Expiration=1,IF($A348&lt;VLOOKUP(J$5,NFI,5,0),1,0)*Data_NFI_t[[#This Row],[NFI Core Kit]],0)</f>
        <v>0</v>
      </c>
      <c r="Y348" s="112">
        <f>IF(NFI_Expiration=1,IF($A348&lt;VLOOKUP(K$5,NFI,5,0),1,0)*Data_NFI_t[[#This Row],[Sanitary Kit]],0)</f>
        <v>0</v>
      </c>
      <c r="Z348" s="112">
        <f>IF(NFI_Expiration=1,IF($A348&lt;VLOOKUP(L$5,NFI,5,0),1,0)*Data_NFI_t[[#This Row],[Mosquito net]],0)</f>
        <v>0</v>
      </c>
      <c r="AA348" s="112">
        <f>IF(NFI_Expiration=1,IF($A348&lt;VLOOKUP(M$5,NFI,5,0),1,0)*Data_NFI_t[[#This Row],[Tarpaulin]],0)</f>
        <v>0</v>
      </c>
      <c r="AB348" s="112">
        <f>IF(NFI_Expiration=1,IF($A348&lt;VLOOKUP(N$5,NFI,5,0),1,0)*Data_NFI_t[[#This Row],[Blanket]],0)</f>
        <v>0</v>
      </c>
      <c r="AC348" s="112">
        <f>IF(NFI_Expiration=1,IF($A348&lt;VLOOKUP(O$5,NFI,5,0),1,0)*Data_NFI_t[[#This Row],[Kitchen Set]],0)</f>
        <v>0</v>
      </c>
      <c r="AD348" s="112">
        <f>IF(NFI_Expiration=1,IF($A348&lt;VLOOKUP(P$5,NFI,5,0),1,0)*Data_NFI_t[[#This Row],[Complementary Kit]],0)</f>
        <v>0</v>
      </c>
      <c r="AE348" s="112">
        <f>IF(NFI_Expiration=1,IF($A348&lt;VLOOKUP(Q$5,NFI,5,0),1,0)*Data_NFI_t[[#This Row],[Plastic Bucket]],0)</f>
        <v>0</v>
      </c>
      <c r="AF348" s="112">
        <f>IF(NFI_Expiration=1,IF($A348&lt;VLOOKUP(R$5,NFI,5,0),1,0)*Data_NFI_t[[#This Row],[Jerry Can]],0)</f>
        <v>0</v>
      </c>
      <c r="AG348" s="131">
        <f>IF(NFI_Expiration=1,IF($A348&lt;VLOOKUP(S$5,NFI,5,0),1,0)*Data_NFI_t[[#This Row],[Plastic Mat]],0)*IF(Data_NFI_t[[#This Row],[Distribution Date]]&gt;"01-06-2015",1,2.5)</f>
        <v>0</v>
      </c>
      <c r="AH348" s="915">
        <f>IF(NFI_Expiration=1,IF($A348&lt;VLOOKUP(T$5,NFI,5,0),1,0)*Data_NFI_t[[#This Row],[Adult Clothes]],0)</f>
        <v>0</v>
      </c>
      <c r="AI348" s="131">
        <f>IF(NFI_Expiration=1,IF($A348&lt;VLOOKUP(U$5,NFI,5,0),1,0)*Data_NFI_t[[#This Row],[Children Clothes]],0)</f>
        <v>0</v>
      </c>
      <c r="AJ348" s="131">
        <f>IF(NFI_Expiration=1,IF($A348&lt;VLOOKUP(V$5,NFI,5,0),1,0)*Data_NFI_t[[#This Row],[Sewing Kit]],0)</f>
        <v>0</v>
      </c>
      <c r="AK348" s="131" t="str">
        <f ca="1">IFERROR(OFFSET(Camp_List[P_Code],MATCH(Data_NFI_t[[#This Row],[Camp Name]],Camp_List[Camp Name],0)-1,0,1,1),"")</f>
        <v>MMR012CMP004</v>
      </c>
      <c r="AL348" s="513" t="str">
        <f ca="1">IFERROR(OFFSET(Camp_List[Status],MATCH(Data_NFI_t[[#This Row],[Camp Name]],Camp_List[Camp Name],0)-1,0,1,1),"")</f>
        <v>Close</v>
      </c>
      <c r="AM348" s="131"/>
    </row>
    <row r="349" spans="1:39" s="90" customFormat="1" ht="19.5" customHeight="1" x14ac:dyDescent="0.25">
      <c r="A349" s="242">
        <f>IF(ISBLANK(C349),"",(Report_Date-C349)/30)</f>
        <v>52.033333333333331</v>
      </c>
      <c r="B349" s="242">
        <f>YEAR(Data_NFI_t[[#This Row],[Distribution Date]])</f>
        <v>2012</v>
      </c>
      <c r="C349" s="927">
        <v>41234</v>
      </c>
      <c r="D349" s="489" t="s">
        <v>285</v>
      </c>
      <c r="E349" s="488"/>
      <c r="F349" s="489" t="s">
        <v>7</v>
      </c>
      <c r="G349" s="794" t="s">
        <v>1003</v>
      </c>
      <c r="H349" s="794" t="s">
        <v>33</v>
      </c>
      <c r="I349" s="794"/>
      <c r="J349" s="51"/>
      <c r="K349" s="51"/>
      <c r="L349" s="51"/>
      <c r="M349" s="51">
        <v>140</v>
      </c>
      <c r="N349" s="51"/>
      <c r="O349" s="51"/>
      <c r="P349" s="51"/>
      <c r="Q349" s="51"/>
      <c r="R349" s="511"/>
      <c r="S349" s="51"/>
      <c r="T349" s="51"/>
      <c r="U349" s="51"/>
      <c r="V349" s="51"/>
      <c r="W349" s="131">
        <f>IF(NFI_Expiration=1,IF($A349&lt;VLOOKUP(I$5,NFI,5,0),1,0)*Data_NFI_t[[#This Row],[Hygiene Kit]],0)</f>
        <v>0</v>
      </c>
      <c r="X349" s="131">
        <f>IF(NFI_Expiration=1,IF($A349&lt;VLOOKUP(J$5,NFI,5,0),1,0)*Data_NFI_t[[#This Row],[NFI Core Kit]],0)</f>
        <v>0</v>
      </c>
      <c r="Y349" s="112">
        <f>IF(NFI_Expiration=1,IF($A349&lt;VLOOKUP(K$5,NFI,5,0),1,0)*Data_NFI_t[[#This Row],[Sanitary Kit]],0)</f>
        <v>0</v>
      </c>
      <c r="Z349" s="112">
        <f>IF(NFI_Expiration=1,IF($A349&lt;VLOOKUP(L$5,NFI,5,0),1,0)*Data_NFI_t[[#This Row],[Mosquito net]],0)</f>
        <v>0</v>
      </c>
      <c r="AA349" s="112">
        <f>IF(NFI_Expiration=1,IF($A349&lt;VLOOKUP(M$5,NFI,5,0),1,0)*Data_NFI_t[[#This Row],[Tarpaulin]],0)</f>
        <v>0</v>
      </c>
      <c r="AB349" s="112">
        <f>IF(NFI_Expiration=1,IF($A349&lt;VLOOKUP(N$5,NFI,5,0),1,0)*Data_NFI_t[[#This Row],[Blanket]],0)</f>
        <v>0</v>
      </c>
      <c r="AC349" s="112">
        <f>IF(NFI_Expiration=1,IF($A349&lt;VLOOKUP(O$5,NFI,5,0),1,0)*Data_NFI_t[[#This Row],[Kitchen Set]],0)</f>
        <v>0</v>
      </c>
      <c r="AD349" s="112">
        <f>IF(NFI_Expiration=1,IF($A349&lt;VLOOKUP(P$5,NFI,5,0),1,0)*Data_NFI_t[[#This Row],[Complementary Kit]],0)</f>
        <v>0</v>
      </c>
      <c r="AE349" s="112">
        <f>IF(NFI_Expiration=1,IF($A349&lt;VLOOKUP(Q$5,NFI,5,0),1,0)*Data_NFI_t[[#This Row],[Plastic Bucket]],0)</f>
        <v>0</v>
      </c>
      <c r="AF349" s="112">
        <f>IF(NFI_Expiration=1,IF($A349&lt;VLOOKUP(R$5,NFI,5,0),1,0)*Data_NFI_t[[#This Row],[Jerry Can]],0)</f>
        <v>0</v>
      </c>
      <c r="AG349" s="131">
        <f>IF(NFI_Expiration=1,IF($A349&lt;VLOOKUP(S$5,NFI,5,0),1,0)*Data_NFI_t[[#This Row],[Plastic Mat]],0)*IF(Data_NFI_t[[#This Row],[Distribution Date]]&gt;"01-06-2015",1,2.5)</f>
        <v>0</v>
      </c>
      <c r="AH349" s="915">
        <f>IF(NFI_Expiration=1,IF($A349&lt;VLOOKUP(T$5,NFI,5,0),1,0)*Data_NFI_t[[#This Row],[Adult Clothes]],0)</f>
        <v>0</v>
      </c>
      <c r="AI349" s="131">
        <f>IF(NFI_Expiration=1,IF($A349&lt;VLOOKUP(U$5,NFI,5,0),1,0)*Data_NFI_t[[#This Row],[Children Clothes]],0)</f>
        <v>0</v>
      </c>
      <c r="AJ349" s="131">
        <f>IF(NFI_Expiration=1,IF($A349&lt;VLOOKUP(V$5,NFI,5,0),1,0)*Data_NFI_t[[#This Row],[Sewing Kit]],0)</f>
        <v>0</v>
      </c>
      <c r="AK349" s="131" t="str">
        <f ca="1">IFERROR(OFFSET(Camp_List[P_Code],MATCH(Data_NFI_t[[#This Row],[Camp Name]],Camp_List[Camp Name],0)-1,0,1,1),"")</f>
        <v>MMR012CMP009</v>
      </c>
      <c r="AL349" s="513" t="str">
        <f ca="1">IFERROR(OFFSET(Camp_List[Status],MATCH(Data_NFI_t[[#This Row],[Camp Name]],Camp_List[Camp Name],0)-1,0,1,1),"")</f>
        <v>Returned</v>
      </c>
      <c r="AM349" s="131"/>
    </row>
    <row r="350" spans="1:39" s="90" customFormat="1" ht="19.5" customHeight="1" x14ac:dyDescent="0.25">
      <c r="A350" s="242">
        <f>IF(ISBLANK(C350),"",(Report_Date-C350)/30)</f>
        <v>52.033333333333331</v>
      </c>
      <c r="B350" s="242">
        <f>YEAR(Data_NFI_t[[#This Row],[Distribution Date]])</f>
        <v>2012</v>
      </c>
      <c r="C350" s="927">
        <v>41234</v>
      </c>
      <c r="D350" s="489" t="s">
        <v>285</v>
      </c>
      <c r="E350" s="488"/>
      <c r="F350" s="489" t="s">
        <v>7</v>
      </c>
      <c r="G350" s="794" t="s">
        <v>11</v>
      </c>
      <c r="H350" s="794" t="s">
        <v>32</v>
      </c>
      <c r="I350" s="794"/>
      <c r="J350" s="51"/>
      <c r="K350" s="51"/>
      <c r="L350" s="51">
        <v>27</v>
      </c>
      <c r="M350" s="51">
        <v>2</v>
      </c>
      <c r="N350" s="51"/>
      <c r="O350" s="51"/>
      <c r="P350" s="51"/>
      <c r="Q350" s="51"/>
      <c r="R350" s="511"/>
      <c r="S350" s="51"/>
      <c r="T350" s="51"/>
      <c r="U350" s="51"/>
      <c r="V350" s="51"/>
      <c r="W350" s="131">
        <f>IF(NFI_Expiration=1,IF($A350&lt;VLOOKUP(I$5,NFI,5,0),1,0)*Data_NFI_t[[#This Row],[Hygiene Kit]],0)</f>
        <v>0</v>
      </c>
      <c r="X350" s="131">
        <f>IF(NFI_Expiration=1,IF($A350&lt;VLOOKUP(J$5,NFI,5,0),1,0)*Data_NFI_t[[#This Row],[NFI Core Kit]],0)</f>
        <v>0</v>
      </c>
      <c r="Y350" s="112">
        <f>IF(NFI_Expiration=1,IF($A350&lt;VLOOKUP(K$5,NFI,5,0),1,0)*Data_NFI_t[[#This Row],[Sanitary Kit]],0)</f>
        <v>0</v>
      </c>
      <c r="Z350" s="112">
        <f>IF(NFI_Expiration=1,IF($A350&lt;VLOOKUP(L$5,NFI,5,0),1,0)*Data_NFI_t[[#This Row],[Mosquito net]],0)</f>
        <v>0</v>
      </c>
      <c r="AA350" s="112">
        <f>IF(NFI_Expiration=1,IF($A350&lt;VLOOKUP(M$5,NFI,5,0),1,0)*Data_NFI_t[[#This Row],[Tarpaulin]],0)</f>
        <v>0</v>
      </c>
      <c r="AB350" s="112">
        <f>IF(NFI_Expiration=1,IF($A350&lt;VLOOKUP(N$5,NFI,5,0),1,0)*Data_NFI_t[[#This Row],[Blanket]],0)</f>
        <v>0</v>
      </c>
      <c r="AC350" s="112">
        <f>IF(NFI_Expiration=1,IF($A350&lt;VLOOKUP(O$5,NFI,5,0),1,0)*Data_NFI_t[[#This Row],[Kitchen Set]],0)</f>
        <v>0</v>
      </c>
      <c r="AD350" s="112">
        <f>IF(NFI_Expiration=1,IF($A350&lt;VLOOKUP(P$5,NFI,5,0),1,0)*Data_NFI_t[[#This Row],[Complementary Kit]],0)</f>
        <v>0</v>
      </c>
      <c r="AE350" s="112">
        <f>IF(NFI_Expiration=1,IF($A350&lt;VLOOKUP(Q$5,NFI,5,0),1,0)*Data_NFI_t[[#This Row],[Plastic Bucket]],0)</f>
        <v>0</v>
      </c>
      <c r="AF350" s="112">
        <f>IF(NFI_Expiration=1,IF($A350&lt;VLOOKUP(R$5,NFI,5,0),1,0)*Data_NFI_t[[#This Row],[Jerry Can]],0)</f>
        <v>0</v>
      </c>
      <c r="AG350" s="131">
        <f>IF(NFI_Expiration=1,IF($A350&lt;VLOOKUP(S$5,NFI,5,0),1,0)*Data_NFI_t[[#This Row],[Plastic Mat]],0)*IF(Data_NFI_t[[#This Row],[Distribution Date]]&gt;"01-06-2015",1,2.5)</f>
        <v>0</v>
      </c>
      <c r="AH350" s="915">
        <f>IF(NFI_Expiration=1,IF($A350&lt;VLOOKUP(T$5,NFI,5,0),1,0)*Data_NFI_t[[#This Row],[Adult Clothes]],0)</f>
        <v>0</v>
      </c>
      <c r="AI350" s="131">
        <f>IF(NFI_Expiration=1,IF($A350&lt;VLOOKUP(U$5,NFI,5,0),1,0)*Data_NFI_t[[#This Row],[Children Clothes]],0)</f>
        <v>0</v>
      </c>
      <c r="AJ350" s="131">
        <f>IF(NFI_Expiration=1,IF($A350&lt;VLOOKUP(V$5,NFI,5,0),1,0)*Data_NFI_t[[#This Row],[Sewing Kit]],0)</f>
        <v>0</v>
      </c>
      <c r="AK350" s="131" t="str">
        <f ca="1">IFERROR(OFFSET(Camp_List[P_Code],MATCH(Data_NFI_t[[#This Row],[Camp Name]],Camp_List[Camp Name],0)-1,0,1,1),"")</f>
        <v>MMR012CMP008</v>
      </c>
      <c r="AL350" s="513" t="str">
        <f ca="1">IFERROR(OFFSET(Camp_List[Status],MATCH(Data_NFI_t[[#This Row],[Camp Name]],Camp_List[Camp Name],0)-1,0,1,1),"")</f>
        <v>Returned</v>
      </c>
      <c r="AM350" s="131"/>
    </row>
    <row r="351" spans="1:39" s="90" customFormat="1" ht="19.5" customHeight="1" x14ac:dyDescent="0.25">
      <c r="A351" s="242">
        <f>IF(ISBLANK(C351),"",(Report_Date-C351)/30)</f>
        <v>52.033333333333331</v>
      </c>
      <c r="B351" s="242">
        <f>YEAR(Data_NFI_t[[#This Row],[Distribution Date]])</f>
        <v>2012</v>
      </c>
      <c r="C351" s="927">
        <v>41234</v>
      </c>
      <c r="D351" s="489" t="s">
        <v>285</v>
      </c>
      <c r="E351" s="488"/>
      <c r="F351" s="489" t="s">
        <v>7</v>
      </c>
      <c r="G351" s="794" t="s">
        <v>11</v>
      </c>
      <c r="H351" s="794" t="s">
        <v>27</v>
      </c>
      <c r="I351" s="794"/>
      <c r="J351" s="51"/>
      <c r="K351" s="51"/>
      <c r="L351" s="51">
        <v>172</v>
      </c>
      <c r="M351" s="51">
        <v>10</v>
      </c>
      <c r="N351" s="51">
        <v>172</v>
      </c>
      <c r="O351" s="51"/>
      <c r="P351" s="51"/>
      <c r="Q351" s="51"/>
      <c r="R351" s="511"/>
      <c r="S351" s="51"/>
      <c r="T351" s="51"/>
      <c r="U351" s="51"/>
      <c r="V351" s="51"/>
      <c r="W351" s="131">
        <f>IF(NFI_Expiration=1,IF($A351&lt;VLOOKUP(I$5,NFI,5,0),1,0)*Data_NFI_t[[#This Row],[Hygiene Kit]],0)</f>
        <v>0</v>
      </c>
      <c r="X351" s="131">
        <f>IF(NFI_Expiration=1,IF($A351&lt;VLOOKUP(J$5,NFI,5,0),1,0)*Data_NFI_t[[#This Row],[NFI Core Kit]],0)</f>
        <v>0</v>
      </c>
      <c r="Y351" s="112">
        <f>IF(NFI_Expiration=1,IF($A351&lt;VLOOKUP(K$5,NFI,5,0),1,0)*Data_NFI_t[[#This Row],[Sanitary Kit]],0)</f>
        <v>0</v>
      </c>
      <c r="Z351" s="112">
        <f>IF(NFI_Expiration=1,IF($A351&lt;VLOOKUP(L$5,NFI,5,0),1,0)*Data_NFI_t[[#This Row],[Mosquito net]],0)</f>
        <v>0</v>
      </c>
      <c r="AA351" s="112">
        <f>IF(NFI_Expiration=1,IF($A351&lt;VLOOKUP(M$5,NFI,5,0),1,0)*Data_NFI_t[[#This Row],[Tarpaulin]],0)</f>
        <v>0</v>
      </c>
      <c r="AB351" s="112">
        <f>IF(NFI_Expiration=1,IF($A351&lt;VLOOKUP(N$5,NFI,5,0),1,0)*Data_NFI_t[[#This Row],[Blanket]],0)</f>
        <v>0</v>
      </c>
      <c r="AC351" s="112">
        <f>IF(NFI_Expiration=1,IF($A351&lt;VLOOKUP(O$5,NFI,5,0),1,0)*Data_NFI_t[[#This Row],[Kitchen Set]],0)</f>
        <v>0</v>
      </c>
      <c r="AD351" s="112">
        <f>IF(NFI_Expiration=1,IF($A351&lt;VLOOKUP(P$5,NFI,5,0),1,0)*Data_NFI_t[[#This Row],[Complementary Kit]],0)</f>
        <v>0</v>
      </c>
      <c r="AE351" s="112">
        <f>IF(NFI_Expiration=1,IF($A351&lt;VLOOKUP(Q$5,NFI,5,0),1,0)*Data_NFI_t[[#This Row],[Plastic Bucket]],0)</f>
        <v>0</v>
      </c>
      <c r="AF351" s="112">
        <f>IF(NFI_Expiration=1,IF($A351&lt;VLOOKUP(R$5,NFI,5,0),1,0)*Data_NFI_t[[#This Row],[Jerry Can]],0)</f>
        <v>0</v>
      </c>
      <c r="AG351" s="131">
        <f>IF(NFI_Expiration=1,IF($A351&lt;VLOOKUP(S$5,NFI,5,0),1,0)*Data_NFI_t[[#This Row],[Plastic Mat]],0)*IF(Data_NFI_t[[#This Row],[Distribution Date]]&gt;"01-06-2015",1,2.5)</f>
        <v>0</v>
      </c>
      <c r="AH351" s="915">
        <f>IF(NFI_Expiration=1,IF($A351&lt;VLOOKUP(T$5,NFI,5,0),1,0)*Data_NFI_t[[#This Row],[Adult Clothes]],0)</f>
        <v>0</v>
      </c>
      <c r="AI351" s="131">
        <f>IF(NFI_Expiration=1,IF($A351&lt;VLOOKUP(U$5,NFI,5,0),1,0)*Data_NFI_t[[#This Row],[Children Clothes]],0)</f>
        <v>0</v>
      </c>
      <c r="AJ351" s="131">
        <f>IF(NFI_Expiration=1,IF($A351&lt;VLOOKUP(V$5,NFI,5,0),1,0)*Data_NFI_t[[#This Row],[Sewing Kit]],0)</f>
        <v>0</v>
      </c>
      <c r="AK351" s="131" t="str">
        <f ca="1">IFERROR(OFFSET(Camp_List[P_Code],MATCH(Data_NFI_t[[#This Row],[Camp Name]],Camp_List[Camp Name],0)-1,0,1,1),"")</f>
        <v>MMR012CMP003</v>
      </c>
      <c r="AL351" s="513" t="str">
        <f ca="1">IFERROR(OFFSET(Camp_List[Status],MATCH(Data_NFI_t[[#This Row],[Camp Name]],Camp_List[Camp Name],0)-1,0,1,1),"")</f>
        <v>Returned</v>
      </c>
      <c r="AM351" s="131"/>
    </row>
    <row r="352" spans="1:39" s="90" customFormat="1" ht="19.5" customHeight="1" x14ac:dyDescent="0.25">
      <c r="A352" s="242">
        <f>IF(ISBLANK(C352),"",(Report_Date-C352)/30)</f>
        <v>52.033333333333331</v>
      </c>
      <c r="B352" s="242">
        <f>YEAR(Data_NFI_t[[#This Row],[Distribution Date]])</f>
        <v>2012</v>
      </c>
      <c r="C352" s="927">
        <v>41234</v>
      </c>
      <c r="D352" s="489" t="s">
        <v>285</v>
      </c>
      <c r="E352" s="488"/>
      <c r="F352" s="489" t="s">
        <v>7</v>
      </c>
      <c r="G352" s="794" t="s">
        <v>11</v>
      </c>
      <c r="H352" s="794" t="s">
        <v>26</v>
      </c>
      <c r="I352" s="794"/>
      <c r="J352" s="51"/>
      <c r="K352" s="51"/>
      <c r="L352" s="51"/>
      <c r="M352" s="51">
        <v>145</v>
      </c>
      <c r="N352" s="51"/>
      <c r="O352" s="51"/>
      <c r="P352" s="51"/>
      <c r="Q352" s="51"/>
      <c r="R352" s="511"/>
      <c r="S352" s="51"/>
      <c r="T352" s="51"/>
      <c r="U352" s="51"/>
      <c r="V352" s="51"/>
      <c r="W352" s="131">
        <f>IF(NFI_Expiration=1,IF($A352&lt;VLOOKUP(I$5,NFI,5,0),1,0)*Data_NFI_t[[#This Row],[Hygiene Kit]],0)</f>
        <v>0</v>
      </c>
      <c r="X352" s="131">
        <f>IF(NFI_Expiration=1,IF($A352&lt;VLOOKUP(J$5,NFI,5,0),1,0)*Data_NFI_t[[#This Row],[NFI Core Kit]],0)</f>
        <v>0</v>
      </c>
      <c r="Y352" s="112">
        <f>IF(NFI_Expiration=1,IF($A352&lt;VLOOKUP(K$5,NFI,5,0),1,0)*Data_NFI_t[[#This Row],[Sanitary Kit]],0)</f>
        <v>0</v>
      </c>
      <c r="Z352" s="112">
        <f>IF(NFI_Expiration=1,IF($A352&lt;VLOOKUP(L$5,NFI,5,0),1,0)*Data_NFI_t[[#This Row],[Mosquito net]],0)</f>
        <v>0</v>
      </c>
      <c r="AA352" s="112">
        <f>IF(NFI_Expiration=1,IF($A352&lt;VLOOKUP(M$5,NFI,5,0),1,0)*Data_NFI_t[[#This Row],[Tarpaulin]],0)</f>
        <v>0</v>
      </c>
      <c r="AB352" s="112">
        <f>IF(NFI_Expiration=1,IF($A352&lt;VLOOKUP(N$5,NFI,5,0),1,0)*Data_NFI_t[[#This Row],[Blanket]],0)</f>
        <v>0</v>
      </c>
      <c r="AC352" s="112">
        <f>IF(NFI_Expiration=1,IF($A352&lt;VLOOKUP(O$5,NFI,5,0),1,0)*Data_NFI_t[[#This Row],[Kitchen Set]],0)</f>
        <v>0</v>
      </c>
      <c r="AD352" s="112">
        <f>IF(NFI_Expiration=1,IF($A352&lt;VLOOKUP(P$5,NFI,5,0),1,0)*Data_NFI_t[[#This Row],[Complementary Kit]],0)</f>
        <v>0</v>
      </c>
      <c r="AE352" s="112">
        <f>IF(NFI_Expiration=1,IF($A352&lt;VLOOKUP(Q$5,NFI,5,0),1,0)*Data_NFI_t[[#This Row],[Plastic Bucket]],0)</f>
        <v>0</v>
      </c>
      <c r="AF352" s="112">
        <f>IF(NFI_Expiration=1,IF($A352&lt;VLOOKUP(R$5,NFI,5,0),1,0)*Data_NFI_t[[#This Row],[Jerry Can]],0)</f>
        <v>0</v>
      </c>
      <c r="AG352" s="131">
        <f>IF(NFI_Expiration=1,IF($A352&lt;VLOOKUP(S$5,NFI,5,0),1,0)*Data_NFI_t[[#This Row],[Plastic Mat]],0)*IF(Data_NFI_t[[#This Row],[Distribution Date]]&gt;"01-06-2015",1,2.5)</f>
        <v>0</v>
      </c>
      <c r="AH352" s="915">
        <f>IF(NFI_Expiration=1,IF($A352&lt;VLOOKUP(T$5,NFI,5,0),1,0)*Data_NFI_t[[#This Row],[Adult Clothes]],0)</f>
        <v>0</v>
      </c>
      <c r="AI352" s="131">
        <f>IF(NFI_Expiration=1,IF($A352&lt;VLOOKUP(U$5,NFI,5,0),1,0)*Data_NFI_t[[#This Row],[Children Clothes]],0)</f>
        <v>0</v>
      </c>
      <c r="AJ352" s="131">
        <f>IF(NFI_Expiration=1,IF($A352&lt;VLOOKUP(V$5,NFI,5,0),1,0)*Data_NFI_t[[#This Row],[Sewing Kit]],0)</f>
        <v>0</v>
      </c>
      <c r="AK352" s="131" t="str">
        <f ca="1">IFERROR(OFFSET(Camp_List[P_Code],MATCH(Data_NFI_t[[#This Row],[Camp Name]],Camp_List[Camp Name],0)-1,0,1,1),"")</f>
        <v>MMR012CMP002</v>
      </c>
      <c r="AL352" s="513" t="str">
        <f ca="1">IFERROR(OFFSET(Camp_List[Status],MATCH(Data_NFI_t[[#This Row],[Camp Name]],Camp_List[Camp Name],0)-1,0,1,1),"")</f>
        <v>Returned</v>
      </c>
      <c r="AM352" s="131"/>
    </row>
    <row r="353" spans="1:39" s="90" customFormat="1" ht="19.5" customHeight="1" x14ac:dyDescent="0.25">
      <c r="A353" s="242">
        <f>IF(ISBLANK(C353),"",(Report_Date-C353)/30)</f>
        <v>52.033333333333331</v>
      </c>
      <c r="B353" s="242">
        <f>YEAR(Data_NFI_t[[#This Row],[Distribution Date]])</f>
        <v>2012</v>
      </c>
      <c r="C353" s="927">
        <v>41234</v>
      </c>
      <c r="D353" s="489" t="s">
        <v>285</v>
      </c>
      <c r="E353" s="488"/>
      <c r="F353" s="489" t="s">
        <v>7</v>
      </c>
      <c r="G353" s="794" t="s">
        <v>1003</v>
      </c>
      <c r="H353" s="794" t="s">
        <v>34</v>
      </c>
      <c r="I353" s="794"/>
      <c r="J353" s="51"/>
      <c r="K353" s="51"/>
      <c r="L353" s="51"/>
      <c r="M353" s="51">
        <v>83</v>
      </c>
      <c r="N353" s="51"/>
      <c r="O353" s="51"/>
      <c r="P353" s="51"/>
      <c r="Q353" s="51"/>
      <c r="R353" s="511"/>
      <c r="S353" s="51"/>
      <c r="T353" s="51"/>
      <c r="U353" s="51"/>
      <c r="V353" s="51"/>
      <c r="W353" s="131">
        <f>IF(NFI_Expiration=1,IF($A353&lt;VLOOKUP(I$5,NFI,5,0),1,0)*Data_NFI_t[[#This Row],[Hygiene Kit]],0)</f>
        <v>0</v>
      </c>
      <c r="X353" s="131">
        <f>IF(NFI_Expiration=1,IF($A353&lt;VLOOKUP(J$5,NFI,5,0),1,0)*Data_NFI_t[[#This Row],[NFI Core Kit]],0)</f>
        <v>0</v>
      </c>
      <c r="Y353" s="112">
        <f>IF(NFI_Expiration=1,IF($A353&lt;VLOOKUP(K$5,NFI,5,0),1,0)*Data_NFI_t[[#This Row],[Sanitary Kit]],0)</f>
        <v>0</v>
      </c>
      <c r="Z353" s="112">
        <f>IF(NFI_Expiration=1,IF($A353&lt;VLOOKUP(L$5,NFI,5,0),1,0)*Data_NFI_t[[#This Row],[Mosquito net]],0)</f>
        <v>0</v>
      </c>
      <c r="AA353" s="112">
        <f>IF(NFI_Expiration=1,IF($A353&lt;VLOOKUP(M$5,NFI,5,0),1,0)*Data_NFI_t[[#This Row],[Tarpaulin]],0)</f>
        <v>0</v>
      </c>
      <c r="AB353" s="112">
        <f>IF(NFI_Expiration=1,IF($A353&lt;VLOOKUP(N$5,NFI,5,0),1,0)*Data_NFI_t[[#This Row],[Blanket]],0)</f>
        <v>0</v>
      </c>
      <c r="AC353" s="112">
        <f>IF(NFI_Expiration=1,IF($A353&lt;VLOOKUP(O$5,NFI,5,0),1,0)*Data_NFI_t[[#This Row],[Kitchen Set]],0)</f>
        <v>0</v>
      </c>
      <c r="AD353" s="112">
        <f>IF(NFI_Expiration=1,IF($A353&lt;VLOOKUP(P$5,NFI,5,0),1,0)*Data_NFI_t[[#This Row],[Complementary Kit]],0)</f>
        <v>0</v>
      </c>
      <c r="AE353" s="112">
        <f>IF(NFI_Expiration=1,IF($A353&lt;VLOOKUP(Q$5,NFI,5,0),1,0)*Data_NFI_t[[#This Row],[Plastic Bucket]],0)</f>
        <v>0</v>
      </c>
      <c r="AF353" s="112">
        <f>IF(NFI_Expiration=1,IF($A353&lt;VLOOKUP(R$5,NFI,5,0),1,0)*Data_NFI_t[[#This Row],[Jerry Can]],0)</f>
        <v>0</v>
      </c>
      <c r="AG353" s="131">
        <f>IF(NFI_Expiration=1,IF($A353&lt;VLOOKUP(S$5,NFI,5,0),1,0)*Data_NFI_t[[#This Row],[Plastic Mat]],0)*IF(Data_NFI_t[[#This Row],[Distribution Date]]&gt;"01-06-2015",1,2.5)</f>
        <v>0</v>
      </c>
      <c r="AH353" s="915">
        <f>IF(NFI_Expiration=1,IF($A353&lt;VLOOKUP(T$5,NFI,5,0),1,0)*Data_NFI_t[[#This Row],[Adult Clothes]],0)</f>
        <v>0</v>
      </c>
      <c r="AI353" s="131">
        <f>IF(NFI_Expiration=1,IF($A353&lt;VLOOKUP(U$5,NFI,5,0),1,0)*Data_NFI_t[[#This Row],[Children Clothes]],0)</f>
        <v>0</v>
      </c>
      <c r="AJ353" s="131">
        <f>IF(NFI_Expiration=1,IF($A353&lt;VLOOKUP(V$5,NFI,5,0),1,0)*Data_NFI_t[[#This Row],[Sewing Kit]],0)</f>
        <v>0</v>
      </c>
      <c r="AK353" s="131" t="str">
        <f ca="1">IFERROR(OFFSET(Camp_List[P_Code],MATCH(Data_NFI_t[[#This Row],[Camp Name]],Camp_List[Camp Name],0)-1,0,1,1),"")</f>
        <v>MMR012CMP010</v>
      </c>
      <c r="AL353" s="513" t="str">
        <f ca="1">IFERROR(OFFSET(Camp_List[Status],MATCH(Data_NFI_t[[#This Row],[Camp Name]],Camp_List[Camp Name],0)-1,0,1,1),"")</f>
        <v>Returned</v>
      </c>
      <c r="AM353" s="131"/>
    </row>
    <row r="354" spans="1:39" s="90" customFormat="1" ht="19.5" customHeight="1" x14ac:dyDescent="0.25">
      <c r="A354" s="242">
        <f>IF(ISBLANK(C354),"",(Report_Date-C354)/30)</f>
        <v>52.1</v>
      </c>
      <c r="B354" s="242">
        <f>YEAR(Data_NFI_t[[#This Row],[Distribution Date]])</f>
        <v>2012</v>
      </c>
      <c r="C354" s="927">
        <v>41232</v>
      </c>
      <c r="D354" s="489" t="s">
        <v>285</v>
      </c>
      <c r="E354" s="488"/>
      <c r="F354" s="489" t="s">
        <v>7</v>
      </c>
      <c r="G354" s="794" t="s">
        <v>14</v>
      </c>
      <c r="H354" s="794" t="s">
        <v>40</v>
      </c>
      <c r="I354" s="794"/>
      <c r="J354" s="51"/>
      <c r="K354" s="51"/>
      <c r="L354" s="51"/>
      <c r="M354" s="51">
        <v>458</v>
      </c>
      <c r="N354" s="51">
        <v>148</v>
      </c>
      <c r="O354" s="51"/>
      <c r="P354" s="51"/>
      <c r="Q354" s="51"/>
      <c r="R354" s="511"/>
      <c r="S354" s="51"/>
      <c r="T354" s="51"/>
      <c r="U354" s="51"/>
      <c r="V354" s="51"/>
      <c r="W354" s="131">
        <f>IF(NFI_Expiration=1,IF($A354&lt;VLOOKUP(I$5,NFI,5,0),1,0)*Data_NFI_t[[#This Row],[Hygiene Kit]],0)</f>
        <v>0</v>
      </c>
      <c r="X354" s="131">
        <f>IF(NFI_Expiration=1,IF($A354&lt;VLOOKUP(J$5,NFI,5,0),1,0)*Data_NFI_t[[#This Row],[NFI Core Kit]],0)</f>
        <v>0</v>
      </c>
      <c r="Y354" s="112">
        <f>IF(NFI_Expiration=1,IF($A354&lt;VLOOKUP(K$5,NFI,5,0),1,0)*Data_NFI_t[[#This Row],[Sanitary Kit]],0)</f>
        <v>0</v>
      </c>
      <c r="Z354" s="112">
        <f>IF(NFI_Expiration=1,IF($A354&lt;VLOOKUP(L$5,NFI,5,0),1,0)*Data_NFI_t[[#This Row],[Mosquito net]],0)</f>
        <v>0</v>
      </c>
      <c r="AA354" s="112">
        <f>IF(NFI_Expiration=1,IF($A354&lt;VLOOKUP(M$5,NFI,5,0),1,0)*Data_NFI_t[[#This Row],[Tarpaulin]],0)</f>
        <v>0</v>
      </c>
      <c r="AB354" s="112">
        <f>IF(NFI_Expiration=1,IF($A354&lt;VLOOKUP(N$5,NFI,5,0),1,0)*Data_NFI_t[[#This Row],[Blanket]],0)</f>
        <v>0</v>
      </c>
      <c r="AC354" s="112">
        <f>IF(NFI_Expiration=1,IF($A354&lt;VLOOKUP(O$5,NFI,5,0),1,0)*Data_NFI_t[[#This Row],[Kitchen Set]],0)</f>
        <v>0</v>
      </c>
      <c r="AD354" s="112">
        <f>IF(NFI_Expiration=1,IF($A354&lt;VLOOKUP(P$5,NFI,5,0),1,0)*Data_NFI_t[[#This Row],[Complementary Kit]],0)</f>
        <v>0</v>
      </c>
      <c r="AE354" s="112">
        <f>IF(NFI_Expiration=1,IF($A354&lt;VLOOKUP(Q$5,NFI,5,0),1,0)*Data_NFI_t[[#This Row],[Plastic Bucket]],0)</f>
        <v>0</v>
      </c>
      <c r="AF354" s="112">
        <f>IF(NFI_Expiration=1,IF($A354&lt;VLOOKUP(R$5,NFI,5,0),1,0)*Data_NFI_t[[#This Row],[Jerry Can]],0)</f>
        <v>0</v>
      </c>
      <c r="AG354" s="131">
        <f>IF(NFI_Expiration=1,IF($A354&lt;VLOOKUP(S$5,NFI,5,0),1,0)*Data_NFI_t[[#This Row],[Plastic Mat]],0)*IF(Data_NFI_t[[#This Row],[Distribution Date]]&gt;"01-06-2015",1,2.5)</f>
        <v>0</v>
      </c>
      <c r="AH354" s="915">
        <f>IF(NFI_Expiration=1,IF($A354&lt;VLOOKUP(T$5,NFI,5,0),1,0)*Data_NFI_t[[#This Row],[Adult Clothes]],0)</f>
        <v>0</v>
      </c>
      <c r="AI354" s="131">
        <f>IF(NFI_Expiration=1,IF($A354&lt;VLOOKUP(U$5,NFI,5,0),1,0)*Data_NFI_t[[#This Row],[Children Clothes]],0)</f>
        <v>0</v>
      </c>
      <c r="AJ354" s="131">
        <f>IF(NFI_Expiration=1,IF($A354&lt;VLOOKUP(V$5,NFI,5,0),1,0)*Data_NFI_t[[#This Row],[Sewing Kit]],0)</f>
        <v>0</v>
      </c>
      <c r="AK354" s="131" t="str">
        <f ca="1">IFERROR(OFFSET(Camp_List[P_Code],MATCH(Data_NFI_t[[#This Row],[Camp Name]],Camp_List[Camp Name],0)-1,0,1,1),"")</f>
        <v>MMR012CMP016</v>
      </c>
      <c r="AL354" s="513" t="str">
        <f ca="1">IFERROR(OFFSET(Camp_List[Status],MATCH(Data_NFI_t[[#This Row],[Camp Name]],Camp_List[Camp Name],0)-1,0,1,1),"")</f>
        <v>Open</v>
      </c>
      <c r="AM354" s="131"/>
    </row>
    <row r="355" spans="1:39" s="90" customFormat="1" ht="19.5" customHeight="1" x14ac:dyDescent="0.25">
      <c r="A355" s="242">
        <f>IF(ISBLANK(C355),"",(Report_Date-C355)/30)</f>
        <v>52.1</v>
      </c>
      <c r="B355" s="242">
        <f>YEAR(Data_NFI_t[[#This Row],[Distribution Date]])</f>
        <v>2012</v>
      </c>
      <c r="C355" s="927">
        <v>41232</v>
      </c>
      <c r="D355" s="489" t="s">
        <v>285</v>
      </c>
      <c r="E355" s="488"/>
      <c r="F355" s="489" t="s">
        <v>7</v>
      </c>
      <c r="G355" s="794" t="s">
        <v>14</v>
      </c>
      <c r="H355" s="794" t="s">
        <v>42</v>
      </c>
      <c r="I355" s="794"/>
      <c r="J355" s="51"/>
      <c r="K355" s="51"/>
      <c r="L355" s="51">
        <v>769</v>
      </c>
      <c r="M355" s="51">
        <v>369</v>
      </c>
      <c r="N355" s="51">
        <v>1538</v>
      </c>
      <c r="O355" s="51">
        <v>769</v>
      </c>
      <c r="P355" s="51"/>
      <c r="Q355" s="51"/>
      <c r="R355" s="511"/>
      <c r="S355" s="51"/>
      <c r="T355" s="51"/>
      <c r="U355" s="51"/>
      <c r="V355" s="51"/>
      <c r="W355" s="131">
        <f>IF(NFI_Expiration=1,IF($A355&lt;VLOOKUP(I$5,NFI,5,0),1,0)*Data_NFI_t[[#This Row],[Hygiene Kit]],0)</f>
        <v>0</v>
      </c>
      <c r="X355" s="131">
        <f>IF(NFI_Expiration=1,IF($A355&lt;VLOOKUP(J$5,NFI,5,0),1,0)*Data_NFI_t[[#This Row],[NFI Core Kit]],0)</f>
        <v>0</v>
      </c>
      <c r="Y355" s="112">
        <f>IF(NFI_Expiration=1,IF($A355&lt;VLOOKUP(K$5,NFI,5,0),1,0)*Data_NFI_t[[#This Row],[Sanitary Kit]],0)</f>
        <v>0</v>
      </c>
      <c r="Z355" s="112">
        <f>IF(NFI_Expiration=1,IF($A355&lt;VLOOKUP(L$5,NFI,5,0),1,0)*Data_NFI_t[[#This Row],[Mosquito net]],0)</f>
        <v>0</v>
      </c>
      <c r="AA355" s="112">
        <f>IF(NFI_Expiration=1,IF($A355&lt;VLOOKUP(M$5,NFI,5,0),1,0)*Data_NFI_t[[#This Row],[Tarpaulin]],0)</f>
        <v>0</v>
      </c>
      <c r="AB355" s="112">
        <f>IF(NFI_Expiration=1,IF($A355&lt;VLOOKUP(N$5,NFI,5,0),1,0)*Data_NFI_t[[#This Row],[Blanket]],0)</f>
        <v>0</v>
      </c>
      <c r="AC355" s="112">
        <f>IF(NFI_Expiration=1,IF($A355&lt;VLOOKUP(O$5,NFI,5,0),1,0)*Data_NFI_t[[#This Row],[Kitchen Set]],0)</f>
        <v>0</v>
      </c>
      <c r="AD355" s="112">
        <f>IF(NFI_Expiration=1,IF($A355&lt;VLOOKUP(P$5,NFI,5,0),1,0)*Data_NFI_t[[#This Row],[Complementary Kit]],0)</f>
        <v>0</v>
      </c>
      <c r="AE355" s="112">
        <f>IF(NFI_Expiration=1,IF($A355&lt;VLOOKUP(Q$5,NFI,5,0),1,0)*Data_NFI_t[[#This Row],[Plastic Bucket]],0)</f>
        <v>0</v>
      </c>
      <c r="AF355" s="112">
        <f>IF(NFI_Expiration=1,IF($A355&lt;VLOOKUP(R$5,NFI,5,0),1,0)*Data_NFI_t[[#This Row],[Jerry Can]],0)</f>
        <v>0</v>
      </c>
      <c r="AG355" s="131">
        <f>IF(NFI_Expiration=1,IF($A355&lt;VLOOKUP(S$5,NFI,5,0),1,0)*Data_NFI_t[[#This Row],[Plastic Mat]],0)*IF(Data_NFI_t[[#This Row],[Distribution Date]]&gt;"01-06-2015",1,2.5)</f>
        <v>0</v>
      </c>
      <c r="AH355" s="915">
        <f>IF(NFI_Expiration=1,IF($A355&lt;VLOOKUP(T$5,NFI,5,0),1,0)*Data_NFI_t[[#This Row],[Adult Clothes]],0)</f>
        <v>0</v>
      </c>
      <c r="AI355" s="131">
        <f>IF(NFI_Expiration=1,IF($A355&lt;VLOOKUP(U$5,NFI,5,0),1,0)*Data_NFI_t[[#This Row],[Children Clothes]],0)</f>
        <v>0</v>
      </c>
      <c r="AJ355" s="131">
        <f>IF(NFI_Expiration=1,IF($A355&lt;VLOOKUP(V$5,NFI,5,0),1,0)*Data_NFI_t[[#This Row],[Sewing Kit]],0)</f>
        <v>0</v>
      </c>
      <c r="AK355" s="131" t="str">
        <f ca="1">IFERROR(OFFSET(Camp_List[P_Code],MATCH(Data_NFI_t[[#This Row],[Camp Name]],Camp_List[Camp Name],0)-1,0,1,1),"")</f>
        <v>MMR012CMP018</v>
      </c>
      <c r="AL355" s="513" t="str">
        <f ca="1">IFERROR(OFFSET(Camp_List[Status],MATCH(Data_NFI_t[[#This Row],[Camp Name]],Camp_List[Camp Name],0)-1,0,1,1),"")</f>
        <v>Open</v>
      </c>
      <c r="AM355" s="131"/>
    </row>
    <row r="356" spans="1:39" s="90" customFormat="1" ht="19.5" customHeight="1" x14ac:dyDescent="0.25">
      <c r="A356" s="242">
        <f>IF(ISBLANK(C356),"",(Report_Date-C356)/30)</f>
        <v>52.1</v>
      </c>
      <c r="B356" s="242">
        <f>YEAR(Data_NFI_t[[#This Row],[Distribution Date]])</f>
        <v>2012</v>
      </c>
      <c r="C356" s="927">
        <v>41232</v>
      </c>
      <c r="D356" s="489" t="s">
        <v>285</v>
      </c>
      <c r="E356" s="488"/>
      <c r="F356" s="489" t="s">
        <v>7</v>
      </c>
      <c r="G356" s="794" t="s">
        <v>14</v>
      </c>
      <c r="H356" s="794" t="s">
        <v>41</v>
      </c>
      <c r="I356" s="794"/>
      <c r="J356" s="51"/>
      <c r="K356" s="51"/>
      <c r="L356" s="51">
        <v>1306</v>
      </c>
      <c r="M356" s="51">
        <v>506</v>
      </c>
      <c r="N356" s="51">
        <v>1306</v>
      </c>
      <c r="O356" s="51">
        <v>1306</v>
      </c>
      <c r="P356" s="51"/>
      <c r="Q356" s="51"/>
      <c r="R356" s="511"/>
      <c r="S356" s="51"/>
      <c r="T356" s="51"/>
      <c r="U356" s="51"/>
      <c r="V356" s="51"/>
      <c r="W356" s="131">
        <f>IF(NFI_Expiration=1,IF($A356&lt;VLOOKUP(I$5,NFI,5,0),1,0)*Data_NFI_t[[#This Row],[Hygiene Kit]],0)</f>
        <v>0</v>
      </c>
      <c r="X356" s="131">
        <f>IF(NFI_Expiration=1,IF($A356&lt;VLOOKUP(J$5,NFI,5,0),1,0)*Data_NFI_t[[#This Row],[NFI Core Kit]],0)</f>
        <v>0</v>
      </c>
      <c r="Y356" s="112">
        <f>IF(NFI_Expiration=1,IF($A356&lt;VLOOKUP(K$5,NFI,5,0),1,0)*Data_NFI_t[[#This Row],[Sanitary Kit]],0)</f>
        <v>0</v>
      </c>
      <c r="Z356" s="112">
        <f>IF(NFI_Expiration=1,IF($A356&lt;VLOOKUP(L$5,NFI,5,0),1,0)*Data_NFI_t[[#This Row],[Mosquito net]],0)</f>
        <v>0</v>
      </c>
      <c r="AA356" s="112">
        <f>IF(NFI_Expiration=1,IF($A356&lt;VLOOKUP(M$5,NFI,5,0),1,0)*Data_NFI_t[[#This Row],[Tarpaulin]],0)</f>
        <v>0</v>
      </c>
      <c r="AB356" s="112">
        <f>IF(NFI_Expiration=1,IF($A356&lt;VLOOKUP(N$5,NFI,5,0),1,0)*Data_NFI_t[[#This Row],[Blanket]],0)</f>
        <v>0</v>
      </c>
      <c r="AC356" s="112">
        <f>IF(NFI_Expiration=1,IF($A356&lt;VLOOKUP(O$5,NFI,5,0),1,0)*Data_NFI_t[[#This Row],[Kitchen Set]],0)</f>
        <v>0</v>
      </c>
      <c r="AD356" s="112">
        <f>IF(NFI_Expiration=1,IF($A356&lt;VLOOKUP(P$5,NFI,5,0),1,0)*Data_NFI_t[[#This Row],[Complementary Kit]],0)</f>
        <v>0</v>
      </c>
      <c r="AE356" s="112">
        <f>IF(NFI_Expiration=1,IF($A356&lt;VLOOKUP(Q$5,NFI,5,0),1,0)*Data_NFI_t[[#This Row],[Plastic Bucket]],0)</f>
        <v>0</v>
      </c>
      <c r="AF356" s="112">
        <f>IF(NFI_Expiration=1,IF($A356&lt;VLOOKUP(R$5,NFI,5,0),1,0)*Data_NFI_t[[#This Row],[Jerry Can]],0)</f>
        <v>0</v>
      </c>
      <c r="AG356" s="131">
        <f>IF(NFI_Expiration=1,IF($A356&lt;VLOOKUP(S$5,NFI,5,0),1,0)*Data_NFI_t[[#This Row],[Plastic Mat]],0)*IF(Data_NFI_t[[#This Row],[Distribution Date]]&gt;"01-06-2015",1,2.5)</f>
        <v>0</v>
      </c>
      <c r="AH356" s="915">
        <f>IF(NFI_Expiration=1,IF($A356&lt;VLOOKUP(T$5,NFI,5,0),1,0)*Data_NFI_t[[#This Row],[Adult Clothes]],0)</f>
        <v>0</v>
      </c>
      <c r="AI356" s="131">
        <f>IF(NFI_Expiration=1,IF($A356&lt;VLOOKUP(U$5,NFI,5,0),1,0)*Data_NFI_t[[#This Row],[Children Clothes]],0)</f>
        <v>0</v>
      </c>
      <c r="AJ356" s="131">
        <f>IF(NFI_Expiration=1,IF($A356&lt;VLOOKUP(V$5,NFI,5,0),1,0)*Data_NFI_t[[#This Row],[Sewing Kit]],0)</f>
        <v>0</v>
      </c>
      <c r="AK356" s="131" t="str">
        <f ca="1">IFERROR(OFFSET(Camp_List[P_Code],MATCH(Data_NFI_t[[#This Row],[Camp Name]],Camp_List[Camp Name],0)-1,0,1,1),"")</f>
        <v/>
      </c>
      <c r="AL356" s="513" t="str">
        <f ca="1">IFERROR(OFFSET(Camp_List[Status],MATCH(Data_NFI_t[[#This Row],[Camp Name]],Camp_List[Camp Name],0)-1,0,1,1),"")</f>
        <v/>
      </c>
      <c r="AM356" s="131"/>
    </row>
    <row r="357" spans="1:39" s="90" customFormat="1" ht="19.5" customHeight="1" x14ac:dyDescent="0.25">
      <c r="A357" s="242">
        <f>IF(ISBLANK(C357),"",(Report_Date-C357)/30)</f>
        <v>52.1</v>
      </c>
      <c r="B357" s="242">
        <f>YEAR(Data_NFI_t[[#This Row],[Distribution Date]])</f>
        <v>2012</v>
      </c>
      <c r="C357" s="927">
        <v>41232</v>
      </c>
      <c r="D357" s="489" t="s">
        <v>285</v>
      </c>
      <c r="E357" s="488"/>
      <c r="F357" s="489" t="s">
        <v>7</v>
      </c>
      <c r="G357" s="794" t="s">
        <v>18</v>
      </c>
      <c r="H357" s="794" t="s">
        <v>60</v>
      </c>
      <c r="I357" s="794"/>
      <c r="J357" s="51"/>
      <c r="K357" s="51"/>
      <c r="L357" s="51">
        <v>26</v>
      </c>
      <c r="M357" s="51">
        <v>13</v>
      </c>
      <c r="N357" s="51">
        <v>26</v>
      </c>
      <c r="O357" s="51">
        <v>13</v>
      </c>
      <c r="P357" s="51"/>
      <c r="Q357" s="51"/>
      <c r="R357" s="511"/>
      <c r="S357" s="51"/>
      <c r="T357" s="51"/>
      <c r="U357" s="51"/>
      <c r="V357" s="51"/>
      <c r="W357" s="131">
        <f>IF(NFI_Expiration=1,IF($A357&lt;VLOOKUP(I$5,NFI,5,0),1,0)*Data_NFI_t[[#This Row],[Hygiene Kit]],0)</f>
        <v>0</v>
      </c>
      <c r="X357" s="131">
        <f>IF(NFI_Expiration=1,IF($A357&lt;VLOOKUP(J$5,NFI,5,0),1,0)*Data_NFI_t[[#This Row],[NFI Core Kit]],0)</f>
        <v>0</v>
      </c>
      <c r="Y357" s="112">
        <f>IF(NFI_Expiration=1,IF($A357&lt;VLOOKUP(K$5,NFI,5,0),1,0)*Data_NFI_t[[#This Row],[Sanitary Kit]],0)</f>
        <v>0</v>
      </c>
      <c r="Z357" s="112">
        <f>IF(NFI_Expiration=1,IF($A357&lt;VLOOKUP(L$5,NFI,5,0),1,0)*Data_NFI_t[[#This Row],[Mosquito net]],0)</f>
        <v>0</v>
      </c>
      <c r="AA357" s="112">
        <f>IF(NFI_Expiration=1,IF($A357&lt;VLOOKUP(M$5,NFI,5,0),1,0)*Data_NFI_t[[#This Row],[Tarpaulin]],0)</f>
        <v>0</v>
      </c>
      <c r="AB357" s="112">
        <f>IF(NFI_Expiration=1,IF($A357&lt;VLOOKUP(N$5,NFI,5,0),1,0)*Data_NFI_t[[#This Row],[Blanket]],0)</f>
        <v>0</v>
      </c>
      <c r="AC357" s="112">
        <f>IF(NFI_Expiration=1,IF($A357&lt;VLOOKUP(O$5,NFI,5,0),1,0)*Data_NFI_t[[#This Row],[Kitchen Set]],0)</f>
        <v>0</v>
      </c>
      <c r="AD357" s="112">
        <f>IF(NFI_Expiration=1,IF($A357&lt;VLOOKUP(P$5,NFI,5,0),1,0)*Data_NFI_t[[#This Row],[Complementary Kit]],0)</f>
        <v>0</v>
      </c>
      <c r="AE357" s="112">
        <f>IF(NFI_Expiration=1,IF($A357&lt;VLOOKUP(Q$5,NFI,5,0),1,0)*Data_NFI_t[[#This Row],[Plastic Bucket]],0)</f>
        <v>0</v>
      </c>
      <c r="AF357" s="112">
        <f>IF(NFI_Expiration=1,IF($A357&lt;VLOOKUP(R$5,NFI,5,0),1,0)*Data_NFI_t[[#This Row],[Jerry Can]],0)</f>
        <v>0</v>
      </c>
      <c r="AG357" s="131">
        <f>IF(NFI_Expiration=1,IF($A357&lt;VLOOKUP(S$5,NFI,5,0),1,0)*Data_NFI_t[[#This Row],[Plastic Mat]],0)*IF(Data_NFI_t[[#This Row],[Distribution Date]]&gt;"01-06-2015",1,2.5)</f>
        <v>0</v>
      </c>
      <c r="AH357" s="915">
        <f>IF(NFI_Expiration=1,IF($A357&lt;VLOOKUP(T$5,NFI,5,0),1,0)*Data_NFI_t[[#This Row],[Adult Clothes]],0)</f>
        <v>0</v>
      </c>
      <c r="AI357" s="131">
        <f>IF(NFI_Expiration=1,IF($A357&lt;VLOOKUP(U$5,NFI,5,0),1,0)*Data_NFI_t[[#This Row],[Children Clothes]],0)</f>
        <v>0</v>
      </c>
      <c r="AJ357" s="131">
        <f>IF(NFI_Expiration=1,IF($A357&lt;VLOOKUP(V$5,NFI,5,0),1,0)*Data_NFI_t[[#This Row],[Sewing Kit]],0)</f>
        <v>0</v>
      </c>
      <c r="AK357" s="131" t="str">
        <f ca="1">IFERROR(OFFSET(Camp_List[P_Code],MATCH(Data_NFI_t[[#This Row],[Camp Name]],Camp_List[Camp Name],0)-1,0,1,1),"")</f>
        <v>MMR012CMP038</v>
      </c>
      <c r="AL357" s="513" t="str">
        <f ca="1">IFERROR(OFFSET(Camp_List[Status],MATCH(Data_NFI_t[[#This Row],[Camp Name]],Camp_List[Camp Name],0)-1,0,1,1),"")</f>
        <v>Open</v>
      </c>
      <c r="AM357" s="131"/>
    </row>
    <row r="358" spans="1:39" s="90" customFormat="1" ht="19.5" customHeight="1" x14ac:dyDescent="0.25">
      <c r="A358" s="242">
        <f>IF(ISBLANK(C358),"",(Report_Date-C358)/30)</f>
        <v>52.1</v>
      </c>
      <c r="B358" s="242">
        <f>YEAR(Data_NFI_t[[#This Row],[Distribution Date]])</f>
        <v>2012</v>
      </c>
      <c r="C358" s="927">
        <v>41232</v>
      </c>
      <c r="D358" s="489" t="s">
        <v>285</v>
      </c>
      <c r="E358" s="488"/>
      <c r="F358" s="489" t="s">
        <v>7</v>
      </c>
      <c r="G358" s="794" t="s">
        <v>18</v>
      </c>
      <c r="H358" s="794" t="s">
        <v>59</v>
      </c>
      <c r="I358" s="794"/>
      <c r="J358" s="51"/>
      <c r="K358" s="51"/>
      <c r="L358" s="51">
        <v>194</v>
      </c>
      <c r="M358" s="51">
        <v>97</v>
      </c>
      <c r="N358" s="51">
        <v>194</v>
      </c>
      <c r="O358" s="51">
        <v>97</v>
      </c>
      <c r="P358" s="51"/>
      <c r="Q358" s="51"/>
      <c r="R358" s="511"/>
      <c r="S358" s="51"/>
      <c r="T358" s="51"/>
      <c r="U358" s="51"/>
      <c r="V358" s="51"/>
      <c r="W358" s="131">
        <f>IF(NFI_Expiration=1,IF($A358&lt;VLOOKUP(I$5,NFI,5,0),1,0)*Data_NFI_t[[#This Row],[Hygiene Kit]],0)</f>
        <v>0</v>
      </c>
      <c r="X358" s="131">
        <f>IF(NFI_Expiration=1,IF($A358&lt;VLOOKUP(J$5,NFI,5,0),1,0)*Data_NFI_t[[#This Row],[NFI Core Kit]],0)</f>
        <v>0</v>
      </c>
      <c r="Y358" s="112">
        <f>IF(NFI_Expiration=1,IF($A358&lt;VLOOKUP(K$5,NFI,5,0),1,0)*Data_NFI_t[[#This Row],[Sanitary Kit]],0)</f>
        <v>0</v>
      </c>
      <c r="Z358" s="112">
        <f>IF(NFI_Expiration=1,IF($A358&lt;VLOOKUP(L$5,NFI,5,0),1,0)*Data_NFI_t[[#This Row],[Mosquito net]],0)</f>
        <v>0</v>
      </c>
      <c r="AA358" s="112">
        <f>IF(NFI_Expiration=1,IF($A358&lt;VLOOKUP(M$5,NFI,5,0),1,0)*Data_NFI_t[[#This Row],[Tarpaulin]],0)</f>
        <v>0</v>
      </c>
      <c r="AB358" s="112">
        <f>IF(NFI_Expiration=1,IF($A358&lt;VLOOKUP(N$5,NFI,5,0),1,0)*Data_NFI_t[[#This Row],[Blanket]],0)</f>
        <v>0</v>
      </c>
      <c r="AC358" s="112">
        <f>IF(NFI_Expiration=1,IF($A358&lt;VLOOKUP(O$5,NFI,5,0),1,0)*Data_NFI_t[[#This Row],[Kitchen Set]],0)</f>
        <v>0</v>
      </c>
      <c r="AD358" s="112">
        <f>IF(NFI_Expiration=1,IF($A358&lt;VLOOKUP(P$5,NFI,5,0),1,0)*Data_NFI_t[[#This Row],[Complementary Kit]],0)</f>
        <v>0</v>
      </c>
      <c r="AE358" s="112">
        <f>IF(NFI_Expiration=1,IF($A358&lt;VLOOKUP(Q$5,NFI,5,0),1,0)*Data_NFI_t[[#This Row],[Plastic Bucket]],0)</f>
        <v>0</v>
      </c>
      <c r="AF358" s="112">
        <f>IF(NFI_Expiration=1,IF($A358&lt;VLOOKUP(R$5,NFI,5,0),1,0)*Data_NFI_t[[#This Row],[Jerry Can]],0)</f>
        <v>0</v>
      </c>
      <c r="AG358" s="131">
        <f>IF(NFI_Expiration=1,IF($A358&lt;VLOOKUP(S$5,NFI,5,0),1,0)*Data_NFI_t[[#This Row],[Plastic Mat]],0)*IF(Data_NFI_t[[#This Row],[Distribution Date]]&gt;"01-06-2015",1,2.5)</f>
        <v>0</v>
      </c>
      <c r="AH358" s="915">
        <f>IF(NFI_Expiration=1,IF($A358&lt;VLOOKUP(T$5,NFI,5,0),1,0)*Data_NFI_t[[#This Row],[Adult Clothes]],0)</f>
        <v>0</v>
      </c>
      <c r="AI358" s="131">
        <f>IF(NFI_Expiration=1,IF($A358&lt;VLOOKUP(U$5,NFI,5,0),1,0)*Data_NFI_t[[#This Row],[Children Clothes]],0)</f>
        <v>0</v>
      </c>
      <c r="AJ358" s="131">
        <f>IF(NFI_Expiration=1,IF($A358&lt;VLOOKUP(V$5,NFI,5,0),1,0)*Data_NFI_t[[#This Row],[Sewing Kit]],0)</f>
        <v>0</v>
      </c>
      <c r="AK358" s="131" t="str">
        <f ca="1">IFERROR(OFFSET(Camp_List[P_Code],MATCH(Data_NFI_t[[#This Row],[Camp Name]],Camp_List[Camp Name],0)-1,0,1,1),"")</f>
        <v>MMR012CMP037</v>
      </c>
      <c r="AL358" s="513" t="str">
        <f ca="1">IFERROR(OFFSET(Camp_List[Status],MATCH(Data_NFI_t[[#This Row],[Camp Name]],Camp_List[Camp Name],0)-1,0,1,1),"")</f>
        <v>Open</v>
      </c>
      <c r="AM358" s="131"/>
    </row>
    <row r="359" spans="1:39" s="90" customFormat="1" ht="19.5" customHeight="1" x14ac:dyDescent="0.25">
      <c r="A359" s="242">
        <f>IF(ISBLANK(C359),"",(Report_Date-C359)/30)</f>
        <v>52.1</v>
      </c>
      <c r="B359" s="242">
        <f>YEAR(Data_NFI_t[[#This Row],[Distribution Date]])</f>
        <v>2012</v>
      </c>
      <c r="C359" s="927">
        <v>41232</v>
      </c>
      <c r="D359" s="489" t="s">
        <v>285</v>
      </c>
      <c r="E359" s="488"/>
      <c r="F359" s="489" t="s">
        <v>7</v>
      </c>
      <c r="G359" s="794" t="s">
        <v>14</v>
      </c>
      <c r="H359" s="794" t="s">
        <v>43</v>
      </c>
      <c r="I359" s="794"/>
      <c r="J359" s="51"/>
      <c r="K359" s="51"/>
      <c r="L359" s="51"/>
      <c r="M359" s="51">
        <v>362</v>
      </c>
      <c r="N359" s="51"/>
      <c r="O359" s="51"/>
      <c r="P359" s="51"/>
      <c r="Q359" s="51"/>
      <c r="R359" s="511"/>
      <c r="S359" s="51"/>
      <c r="T359" s="51"/>
      <c r="U359" s="51"/>
      <c r="V359" s="51"/>
      <c r="W359" s="131">
        <f>IF(NFI_Expiration=1,IF($A359&lt;VLOOKUP(I$5,NFI,5,0),1,0)*Data_NFI_t[[#This Row],[Hygiene Kit]],0)</f>
        <v>0</v>
      </c>
      <c r="X359" s="131">
        <f>IF(NFI_Expiration=1,IF($A359&lt;VLOOKUP(J$5,NFI,5,0),1,0)*Data_NFI_t[[#This Row],[NFI Core Kit]],0)</f>
        <v>0</v>
      </c>
      <c r="Y359" s="112">
        <f>IF(NFI_Expiration=1,IF($A359&lt;VLOOKUP(K$5,NFI,5,0),1,0)*Data_NFI_t[[#This Row],[Sanitary Kit]],0)</f>
        <v>0</v>
      </c>
      <c r="Z359" s="112">
        <f>IF(NFI_Expiration=1,IF($A359&lt;VLOOKUP(L$5,NFI,5,0),1,0)*Data_NFI_t[[#This Row],[Mosquito net]],0)</f>
        <v>0</v>
      </c>
      <c r="AA359" s="112">
        <f>IF(NFI_Expiration=1,IF($A359&lt;VLOOKUP(M$5,NFI,5,0),1,0)*Data_NFI_t[[#This Row],[Tarpaulin]],0)</f>
        <v>0</v>
      </c>
      <c r="AB359" s="112">
        <f>IF(NFI_Expiration=1,IF($A359&lt;VLOOKUP(N$5,NFI,5,0),1,0)*Data_NFI_t[[#This Row],[Blanket]],0)</f>
        <v>0</v>
      </c>
      <c r="AC359" s="112">
        <f>IF(NFI_Expiration=1,IF($A359&lt;VLOOKUP(O$5,NFI,5,0),1,0)*Data_NFI_t[[#This Row],[Kitchen Set]],0)</f>
        <v>0</v>
      </c>
      <c r="AD359" s="112">
        <f>IF(NFI_Expiration=1,IF($A359&lt;VLOOKUP(P$5,NFI,5,0),1,0)*Data_NFI_t[[#This Row],[Complementary Kit]],0)</f>
        <v>0</v>
      </c>
      <c r="AE359" s="112">
        <f>IF(NFI_Expiration=1,IF($A359&lt;VLOOKUP(Q$5,NFI,5,0),1,0)*Data_NFI_t[[#This Row],[Plastic Bucket]],0)</f>
        <v>0</v>
      </c>
      <c r="AF359" s="112">
        <f>IF(NFI_Expiration=1,IF($A359&lt;VLOOKUP(R$5,NFI,5,0),1,0)*Data_NFI_t[[#This Row],[Jerry Can]],0)</f>
        <v>0</v>
      </c>
      <c r="AG359" s="131">
        <f>IF(NFI_Expiration=1,IF($A359&lt;VLOOKUP(S$5,NFI,5,0),1,0)*Data_NFI_t[[#This Row],[Plastic Mat]],0)*IF(Data_NFI_t[[#This Row],[Distribution Date]]&gt;"01-06-2015",1,2.5)</f>
        <v>0</v>
      </c>
      <c r="AH359" s="915">
        <f>IF(NFI_Expiration=1,IF($A359&lt;VLOOKUP(T$5,NFI,5,0),1,0)*Data_NFI_t[[#This Row],[Adult Clothes]],0)</f>
        <v>0</v>
      </c>
      <c r="AI359" s="131">
        <f>IF(NFI_Expiration=1,IF($A359&lt;VLOOKUP(U$5,NFI,5,0),1,0)*Data_NFI_t[[#This Row],[Children Clothes]],0)</f>
        <v>0</v>
      </c>
      <c r="AJ359" s="131">
        <f>IF(NFI_Expiration=1,IF($A359&lt;VLOOKUP(V$5,NFI,5,0),1,0)*Data_NFI_t[[#This Row],[Sewing Kit]],0)</f>
        <v>0</v>
      </c>
      <c r="AK359" s="131" t="str">
        <f ca="1">IFERROR(OFFSET(Camp_List[P_Code],MATCH(Data_NFI_t[[#This Row],[Camp Name]],Camp_List[Camp Name],0)-1,0,1,1),"")</f>
        <v>MMR012CMP019</v>
      </c>
      <c r="AL359" s="513" t="str">
        <f ca="1">IFERROR(OFFSET(Camp_List[Status],MATCH(Data_NFI_t[[#This Row],[Camp Name]],Camp_List[Camp Name],0)-1,0,1,1),"")</f>
        <v>Open</v>
      </c>
      <c r="AM359" s="131"/>
    </row>
    <row r="360" spans="1:39" s="90" customFormat="1" ht="19.5" customHeight="1" x14ac:dyDescent="0.25">
      <c r="A360" s="242">
        <f>IF(ISBLANK(C360),"",(Report_Date-C360)/30)</f>
        <v>52.633333333333333</v>
      </c>
      <c r="B360" s="242">
        <f>YEAR(Data_NFI_t[[#This Row],[Distribution Date]])</f>
        <v>2012</v>
      </c>
      <c r="C360" s="927">
        <v>41216</v>
      </c>
      <c r="D360" s="489" t="s">
        <v>285</v>
      </c>
      <c r="E360" s="488"/>
      <c r="F360" s="489" t="s">
        <v>7</v>
      </c>
      <c r="G360" s="794" t="s">
        <v>14</v>
      </c>
      <c r="H360" s="794" t="s">
        <v>43</v>
      </c>
      <c r="I360" s="794"/>
      <c r="J360" s="51"/>
      <c r="K360" s="51"/>
      <c r="L360" s="51">
        <v>862</v>
      </c>
      <c r="M360" s="51">
        <v>500</v>
      </c>
      <c r="N360" s="51">
        <v>862</v>
      </c>
      <c r="O360" s="51">
        <v>862</v>
      </c>
      <c r="P360" s="51"/>
      <c r="Q360" s="51"/>
      <c r="R360" s="511"/>
      <c r="S360" s="51"/>
      <c r="T360" s="51"/>
      <c r="U360" s="51"/>
      <c r="V360" s="51"/>
      <c r="W360" s="131">
        <f>IF(NFI_Expiration=1,IF($A360&lt;VLOOKUP(I$5,NFI,5,0),1,0)*Data_NFI_t[[#This Row],[Hygiene Kit]],0)</f>
        <v>0</v>
      </c>
      <c r="X360" s="131">
        <f>IF(NFI_Expiration=1,IF($A360&lt;VLOOKUP(J$5,NFI,5,0),1,0)*Data_NFI_t[[#This Row],[NFI Core Kit]],0)</f>
        <v>0</v>
      </c>
      <c r="Y360" s="112">
        <f>IF(NFI_Expiration=1,IF($A360&lt;VLOOKUP(K$5,NFI,5,0),1,0)*Data_NFI_t[[#This Row],[Sanitary Kit]],0)</f>
        <v>0</v>
      </c>
      <c r="Z360" s="112">
        <f>IF(NFI_Expiration=1,IF($A360&lt;VLOOKUP(L$5,NFI,5,0),1,0)*Data_NFI_t[[#This Row],[Mosquito net]],0)</f>
        <v>0</v>
      </c>
      <c r="AA360" s="112">
        <f>IF(NFI_Expiration=1,IF($A360&lt;VLOOKUP(M$5,NFI,5,0),1,0)*Data_NFI_t[[#This Row],[Tarpaulin]],0)</f>
        <v>0</v>
      </c>
      <c r="AB360" s="112">
        <f>IF(NFI_Expiration=1,IF($A360&lt;VLOOKUP(N$5,NFI,5,0),1,0)*Data_NFI_t[[#This Row],[Blanket]],0)</f>
        <v>0</v>
      </c>
      <c r="AC360" s="112">
        <f>IF(NFI_Expiration=1,IF($A360&lt;VLOOKUP(O$5,NFI,5,0),1,0)*Data_NFI_t[[#This Row],[Kitchen Set]],0)</f>
        <v>0</v>
      </c>
      <c r="AD360" s="112">
        <f>IF(NFI_Expiration=1,IF($A360&lt;VLOOKUP(P$5,NFI,5,0),1,0)*Data_NFI_t[[#This Row],[Complementary Kit]],0)</f>
        <v>0</v>
      </c>
      <c r="AE360" s="112">
        <f>IF(NFI_Expiration=1,IF($A360&lt;VLOOKUP(Q$5,NFI,5,0),1,0)*Data_NFI_t[[#This Row],[Plastic Bucket]],0)</f>
        <v>0</v>
      </c>
      <c r="AF360" s="112">
        <f>IF(NFI_Expiration=1,IF($A360&lt;VLOOKUP(R$5,NFI,5,0),1,0)*Data_NFI_t[[#This Row],[Jerry Can]],0)</f>
        <v>0</v>
      </c>
      <c r="AG360" s="131">
        <f>IF(NFI_Expiration=1,IF($A360&lt;VLOOKUP(S$5,NFI,5,0),1,0)*Data_NFI_t[[#This Row],[Plastic Mat]],0)*IF(Data_NFI_t[[#This Row],[Distribution Date]]&gt;"01-06-2015",1,2.5)</f>
        <v>0</v>
      </c>
      <c r="AH360" s="915">
        <f>IF(NFI_Expiration=1,IF($A360&lt;VLOOKUP(T$5,NFI,5,0),1,0)*Data_NFI_t[[#This Row],[Adult Clothes]],0)</f>
        <v>0</v>
      </c>
      <c r="AI360" s="131">
        <f>IF(NFI_Expiration=1,IF($A360&lt;VLOOKUP(U$5,NFI,5,0),1,0)*Data_NFI_t[[#This Row],[Children Clothes]],0)</f>
        <v>0</v>
      </c>
      <c r="AJ360" s="131">
        <f>IF(NFI_Expiration=1,IF($A360&lt;VLOOKUP(V$5,NFI,5,0),1,0)*Data_NFI_t[[#This Row],[Sewing Kit]],0)</f>
        <v>0</v>
      </c>
      <c r="AK360" s="131" t="str">
        <f ca="1">IFERROR(OFFSET(Camp_List[P_Code],MATCH(Data_NFI_t[[#This Row],[Camp Name]],Camp_List[Camp Name],0)-1,0,1,1),"")</f>
        <v>MMR012CMP019</v>
      </c>
      <c r="AL360" s="513" t="str">
        <f ca="1">IFERROR(OFFSET(Camp_List[Status],MATCH(Data_NFI_t[[#This Row],[Camp Name]],Camp_List[Camp Name],0)-1,0,1,1),"")</f>
        <v>Open</v>
      </c>
      <c r="AM360" s="131"/>
    </row>
    <row r="361" spans="1:39" s="90" customFormat="1" ht="19.5" customHeight="1" x14ac:dyDescent="0.25">
      <c r="A361" s="242">
        <f>IF(ISBLANK(C361),"",(Report_Date-C361)/30)</f>
        <v>52.666666666666664</v>
      </c>
      <c r="B361" s="242">
        <f>YEAR(Data_NFI_t[[#This Row],[Distribution Date]])</f>
        <v>2012</v>
      </c>
      <c r="C361" s="927">
        <v>41215</v>
      </c>
      <c r="D361" s="489" t="s">
        <v>285</v>
      </c>
      <c r="E361" s="488"/>
      <c r="F361" s="489" t="s">
        <v>7</v>
      </c>
      <c r="G361" s="794" t="s">
        <v>15</v>
      </c>
      <c r="H361" s="794" t="s">
        <v>49</v>
      </c>
      <c r="I361" s="794"/>
      <c r="J361" s="51"/>
      <c r="K361" s="51"/>
      <c r="L361" s="51"/>
      <c r="M361" s="51">
        <v>85</v>
      </c>
      <c r="N361" s="51"/>
      <c r="O361" s="51"/>
      <c r="P361" s="51"/>
      <c r="Q361" s="51"/>
      <c r="R361" s="511"/>
      <c r="S361" s="51"/>
      <c r="T361" s="51"/>
      <c r="U361" s="51"/>
      <c r="V361" s="51"/>
      <c r="W361" s="131">
        <f>IF(NFI_Expiration=1,IF($A361&lt;VLOOKUP(I$5,NFI,5,0),1,0)*Data_NFI_t[[#This Row],[Hygiene Kit]],0)</f>
        <v>0</v>
      </c>
      <c r="X361" s="131">
        <f>IF(NFI_Expiration=1,IF($A361&lt;VLOOKUP(J$5,NFI,5,0),1,0)*Data_NFI_t[[#This Row],[NFI Core Kit]],0)</f>
        <v>0</v>
      </c>
      <c r="Y361" s="112">
        <f>IF(NFI_Expiration=1,IF($A361&lt;VLOOKUP(K$5,NFI,5,0),1,0)*Data_NFI_t[[#This Row],[Sanitary Kit]],0)</f>
        <v>0</v>
      </c>
      <c r="Z361" s="112">
        <f>IF(NFI_Expiration=1,IF($A361&lt;VLOOKUP(L$5,NFI,5,0),1,0)*Data_NFI_t[[#This Row],[Mosquito net]],0)</f>
        <v>0</v>
      </c>
      <c r="AA361" s="112">
        <f>IF(NFI_Expiration=1,IF($A361&lt;VLOOKUP(M$5,NFI,5,0),1,0)*Data_NFI_t[[#This Row],[Tarpaulin]],0)</f>
        <v>0</v>
      </c>
      <c r="AB361" s="112">
        <f>IF(NFI_Expiration=1,IF($A361&lt;VLOOKUP(N$5,NFI,5,0),1,0)*Data_NFI_t[[#This Row],[Blanket]],0)</f>
        <v>0</v>
      </c>
      <c r="AC361" s="112">
        <f>IF(NFI_Expiration=1,IF($A361&lt;VLOOKUP(O$5,NFI,5,0),1,0)*Data_NFI_t[[#This Row],[Kitchen Set]],0)</f>
        <v>0</v>
      </c>
      <c r="AD361" s="112">
        <f>IF(NFI_Expiration=1,IF($A361&lt;VLOOKUP(P$5,NFI,5,0),1,0)*Data_NFI_t[[#This Row],[Complementary Kit]],0)</f>
        <v>0</v>
      </c>
      <c r="AE361" s="112">
        <f>IF(NFI_Expiration=1,IF($A361&lt;VLOOKUP(Q$5,NFI,5,0),1,0)*Data_NFI_t[[#This Row],[Plastic Bucket]],0)</f>
        <v>0</v>
      </c>
      <c r="AF361" s="112">
        <f>IF(NFI_Expiration=1,IF($A361&lt;VLOOKUP(R$5,NFI,5,0),1,0)*Data_NFI_t[[#This Row],[Jerry Can]],0)</f>
        <v>0</v>
      </c>
      <c r="AG361" s="131">
        <f>IF(NFI_Expiration=1,IF($A361&lt;VLOOKUP(S$5,NFI,5,0),1,0)*Data_NFI_t[[#This Row],[Plastic Mat]],0)*IF(Data_NFI_t[[#This Row],[Distribution Date]]&gt;"01-06-2015",1,2.5)</f>
        <v>0</v>
      </c>
      <c r="AH361" s="915">
        <f>IF(NFI_Expiration=1,IF($A361&lt;VLOOKUP(T$5,NFI,5,0),1,0)*Data_NFI_t[[#This Row],[Adult Clothes]],0)</f>
        <v>0</v>
      </c>
      <c r="AI361" s="131">
        <f>IF(NFI_Expiration=1,IF($A361&lt;VLOOKUP(U$5,NFI,5,0),1,0)*Data_NFI_t[[#This Row],[Children Clothes]],0)</f>
        <v>0</v>
      </c>
      <c r="AJ361" s="131">
        <f>IF(NFI_Expiration=1,IF($A361&lt;VLOOKUP(V$5,NFI,5,0),1,0)*Data_NFI_t[[#This Row],[Sewing Kit]],0)</f>
        <v>0</v>
      </c>
      <c r="AK361" s="131" t="str">
        <f ca="1">IFERROR(OFFSET(Camp_List[P_Code],MATCH(Data_NFI_t[[#This Row],[Camp Name]],Camp_List[Camp Name],0)-1,0,1,1),"")</f>
        <v>MMR012CMP025</v>
      </c>
      <c r="AL361" s="513" t="str">
        <f ca="1">IFERROR(OFFSET(Camp_List[Status],MATCH(Data_NFI_t[[#This Row],[Camp Name]],Camp_List[Camp Name],0)-1,0,1,1),"")</f>
        <v>Returned</v>
      </c>
      <c r="AM361" s="131"/>
    </row>
    <row r="362" spans="1:39" s="90" customFormat="1" ht="19.5" customHeight="1" x14ac:dyDescent="0.25">
      <c r="A362" s="242">
        <f>IF(ISBLANK(C362),"",(Report_Date-C362)/30)</f>
        <v>52.7</v>
      </c>
      <c r="B362" s="242">
        <f>YEAR(Data_NFI_t[[#This Row],[Distribution Date]])</f>
        <v>2012</v>
      </c>
      <c r="C362" s="927">
        <v>41214</v>
      </c>
      <c r="D362" s="489" t="s">
        <v>285</v>
      </c>
      <c r="E362" s="488"/>
      <c r="F362" s="489" t="s">
        <v>7</v>
      </c>
      <c r="G362" s="794" t="s">
        <v>867</v>
      </c>
      <c r="H362" s="794" t="s">
        <v>38</v>
      </c>
      <c r="I362" s="794"/>
      <c r="J362" s="51"/>
      <c r="K362" s="51"/>
      <c r="L362" s="51"/>
      <c r="M362" s="51">
        <v>146</v>
      </c>
      <c r="N362" s="51"/>
      <c r="O362" s="51">
        <v>146</v>
      </c>
      <c r="P362" s="51"/>
      <c r="Q362" s="51"/>
      <c r="R362" s="511"/>
      <c r="S362" s="51"/>
      <c r="T362" s="51"/>
      <c r="U362" s="51"/>
      <c r="V362" s="51"/>
      <c r="W362" s="131">
        <f>IF(NFI_Expiration=1,IF($A362&lt;VLOOKUP(I$5,NFI,5,0),1,0)*Data_NFI_t[[#This Row],[Hygiene Kit]],0)</f>
        <v>0</v>
      </c>
      <c r="X362" s="131">
        <f>IF(NFI_Expiration=1,IF($A362&lt;VLOOKUP(J$5,NFI,5,0),1,0)*Data_NFI_t[[#This Row],[NFI Core Kit]],0)</f>
        <v>0</v>
      </c>
      <c r="Y362" s="112">
        <f>IF(NFI_Expiration=1,IF($A362&lt;VLOOKUP(K$5,NFI,5,0),1,0)*Data_NFI_t[[#This Row],[Sanitary Kit]],0)</f>
        <v>0</v>
      </c>
      <c r="Z362" s="112">
        <f>IF(NFI_Expiration=1,IF($A362&lt;VLOOKUP(L$5,NFI,5,0),1,0)*Data_NFI_t[[#This Row],[Mosquito net]],0)</f>
        <v>0</v>
      </c>
      <c r="AA362" s="112">
        <f>IF(NFI_Expiration=1,IF($A362&lt;VLOOKUP(M$5,NFI,5,0),1,0)*Data_NFI_t[[#This Row],[Tarpaulin]],0)</f>
        <v>0</v>
      </c>
      <c r="AB362" s="112">
        <f>IF(NFI_Expiration=1,IF($A362&lt;VLOOKUP(N$5,NFI,5,0),1,0)*Data_NFI_t[[#This Row],[Blanket]],0)</f>
        <v>0</v>
      </c>
      <c r="AC362" s="112">
        <f>IF(NFI_Expiration=1,IF($A362&lt;VLOOKUP(O$5,NFI,5,0),1,0)*Data_NFI_t[[#This Row],[Kitchen Set]],0)</f>
        <v>0</v>
      </c>
      <c r="AD362" s="112">
        <f>IF(NFI_Expiration=1,IF($A362&lt;VLOOKUP(P$5,NFI,5,0),1,0)*Data_NFI_t[[#This Row],[Complementary Kit]],0)</f>
        <v>0</v>
      </c>
      <c r="AE362" s="112">
        <f>IF(NFI_Expiration=1,IF($A362&lt;VLOOKUP(Q$5,NFI,5,0),1,0)*Data_NFI_t[[#This Row],[Plastic Bucket]],0)</f>
        <v>0</v>
      </c>
      <c r="AF362" s="112">
        <f>IF(NFI_Expiration=1,IF($A362&lt;VLOOKUP(R$5,NFI,5,0),1,0)*Data_NFI_t[[#This Row],[Jerry Can]],0)</f>
        <v>0</v>
      </c>
      <c r="AG362" s="131">
        <f>IF(NFI_Expiration=1,IF($A362&lt;VLOOKUP(S$5,NFI,5,0),1,0)*Data_NFI_t[[#This Row],[Plastic Mat]],0)*IF(Data_NFI_t[[#This Row],[Distribution Date]]&gt;"01-06-2015",1,2.5)</f>
        <v>0</v>
      </c>
      <c r="AH362" s="915">
        <f>IF(NFI_Expiration=1,IF($A362&lt;VLOOKUP(T$5,NFI,5,0),1,0)*Data_NFI_t[[#This Row],[Adult Clothes]],0)</f>
        <v>0</v>
      </c>
      <c r="AI362" s="131">
        <f>IF(NFI_Expiration=1,IF($A362&lt;VLOOKUP(U$5,NFI,5,0),1,0)*Data_NFI_t[[#This Row],[Children Clothes]],0)</f>
        <v>0</v>
      </c>
      <c r="AJ362" s="131">
        <f>IF(NFI_Expiration=1,IF($A362&lt;VLOOKUP(V$5,NFI,5,0),1,0)*Data_NFI_t[[#This Row],[Sewing Kit]],0)</f>
        <v>0</v>
      </c>
      <c r="AK362" s="131" t="str">
        <f ca="1">IFERROR(OFFSET(Camp_List[P_Code],MATCH(Data_NFI_t[[#This Row],[Camp Name]],Camp_List[Camp Name],0)-1,0,1,1),"")</f>
        <v>MMR012CMP014</v>
      </c>
      <c r="AL362" s="513" t="str">
        <f ca="1">IFERROR(OFFSET(Camp_List[Status],MATCH(Data_NFI_t[[#This Row],[Camp Name]],Camp_List[Camp Name],0)-1,0,1,1),"")</f>
        <v>Open</v>
      </c>
      <c r="AM362" s="131"/>
    </row>
    <row r="363" spans="1:39" s="90" customFormat="1" ht="19.5" customHeight="1" x14ac:dyDescent="0.25">
      <c r="A363" s="242">
        <f>IF(ISBLANK(C363),"",(Report_Date-C363)/30)</f>
        <v>52.733333333333334</v>
      </c>
      <c r="B363" s="242">
        <f>YEAR(Data_NFI_t[[#This Row],[Distribution Date]])</f>
        <v>2012</v>
      </c>
      <c r="C363" s="927">
        <v>41213</v>
      </c>
      <c r="D363" s="489" t="s">
        <v>285</v>
      </c>
      <c r="E363" s="488"/>
      <c r="F363" s="489" t="s">
        <v>7</v>
      </c>
      <c r="G363" s="794" t="s">
        <v>11</v>
      </c>
      <c r="H363" s="794" t="s">
        <v>30</v>
      </c>
      <c r="I363" s="794"/>
      <c r="J363" s="51"/>
      <c r="K363" s="51"/>
      <c r="L363" s="51"/>
      <c r="M363" s="51">
        <v>40</v>
      </c>
      <c r="N363" s="51"/>
      <c r="O363" s="51"/>
      <c r="P363" s="51"/>
      <c r="Q363" s="51"/>
      <c r="R363" s="511"/>
      <c r="S363" s="51"/>
      <c r="T363" s="51"/>
      <c r="U363" s="51"/>
      <c r="V363" s="51"/>
      <c r="W363" s="131">
        <f>IF(NFI_Expiration=1,IF($A363&lt;VLOOKUP(I$5,NFI,5,0),1,0)*Data_NFI_t[[#This Row],[Hygiene Kit]],0)</f>
        <v>0</v>
      </c>
      <c r="X363" s="131">
        <f>IF(NFI_Expiration=1,IF($A363&lt;VLOOKUP(J$5,NFI,5,0),1,0)*Data_NFI_t[[#This Row],[NFI Core Kit]],0)</f>
        <v>0</v>
      </c>
      <c r="Y363" s="112">
        <f>IF(NFI_Expiration=1,IF($A363&lt;VLOOKUP(K$5,NFI,5,0),1,0)*Data_NFI_t[[#This Row],[Sanitary Kit]],0)</f>
        <v>0</v>
      </c>
      <c r="Z363" s="112">
        <f>IF(NFI_Expiration=1,IF($A363&lt;VLOOKUP(L$5,NFI,5,0),1,0)*Data_NFI_t[[#This Row],[Mosquito net]],0)</f>
        <v>0</v>
      </c>
      <c r="AA363" s="112">
        <f>IF(NFI_Expiration=1,IF($A363&lt;VLOOKUP(M$5,NFI,5,0),1,0)*Data_NFI_t[[#This Row],[Tarpaulin]],0)</f>
        <v>0</v>
      </c>
      <c r="AB363" s="112">
        <f>IF(NFI_Expiration=1,IF($A363&lt;VLOOKUP(N$5,NFI,5,0),1,0)*Data_NFI_t[[#This Row],[Blanket]],0)</f>
        <v>0</v>
      </c>
      <c r="AC363" s="112">
        <f>IF(NFI_Expiration=1,IF($A363&lt;VLOOKUP(O$5,NFI,5,0),1,0)*Data_NFI_t[[#This Row],[Kitchen Set]],0)</f>
        <v>0</v>
      </c>
      <c r="AD363" s="112">
        <f>IF(NFI_Expiration=1,IF($A363&lt;VLOOKUP(P$5,NFI,5,0),1,0)*Data_NFI_t[[#This Row],[Complementary Kit]],0)</f>
        <v>0</v>
      </c>
      <c r="AE363" s="112">
        <f>IF(NFI_Expiration=1,IF($A363&lt;VLOOKUP(Q$5,NFI,5,0),1,0)*Data_NFI_t[[#This Row],[Plastic Bucket]],0)</f>
        <v>0</v>
      </c>
      <c r="AF363" s="112">
        <f>IF(NFI_Expiration=1,IF($A363&lt;VLOOKUP(R$5,NFI,5,0),1,0)*Data_NFI_t[[#This Row],[Jerry Can]],0)</f>
        <v>0</v>
      </c>
      <c r="AG363" s="131">
        <f>IF(NFI_Expiration=1,IF($A363&lt;VLOOKUP(S$5,NFI,5,0),1,0)*Data_NFI_t[[#This Row],[Plastic Mat]],0)*IF(Data_NFI_t[[#This Row],[Distribution Date]]&gt;"01-06-2015",1,2.5)</f>
        <v>0</v>
      </c>
      <c r="AH363" s="915">
        <f>IF(NFI_Expiration=1,IF($A363&lt;VLOOKUP(T$5,NFI,5,0),1,0)*Data_NFI_t[[#This Row],[Adult Clothes]],0)</f>
        <v>0</v>
      </c>
      <c r="AI363" s="131">
        <f>IF(NFI_Expiration=1,IF($A363&lt;VLOOKUP(U$5,NFI,5,0),1,0)*Data_NFI_t[[#This Row],[Children Clothes]],0)</f>
        <v>0</v>
      </c>
      <c r="AJ363" s="131">
        <f>IF(NFI_Expiration=1,IF($A363&lt;VLOOKUP(V$5,NFI,5,0),1,0)*Data_NFI_t[[#This Row],[Sewing Kit]],0)</f>
        <v>0</v>
      </c>
      <c r="AK363" s="131" t="str">
        <f ca="1">IFERROR(OFFSET(Camp_List[P_Code],MATCH(Data_NFI_t[[#This Row],[Camp Name]],Camp_List[Camp Name],0)-1,0,1,1),"")</f>
        <v>MMR012CMP006</v>
      </c>
      <c r="AL363" s="513" t="str">
        <f ca="1">IFERROR(OFFSET(Camp_List[Status],MATCH(Data_NFI_t[[#This Row],[Camp Name]],Camp_List[Camp Name],0)-1,0,1,1),"")</f>
        <v>Returned</v>
      </c>
      <c r="AM363" s="131"/>
    </row>
    <row r="364" spans="1:39" s="90" customFormat="1" ht="19.5" customHeight="1" x14ac:dyDescent="0.25">
      <c r="A364" s="242">
        <f>IF(ISBLANK(C364),"",(Report_Date-C364)/30)</f>
        <v>52.733333333333334</v>
      </c>
      <c r="B364" s="242">
        <f>YEAR(Data_NFI_t[[#This Row],[Distribution Date]])</f>
        <v>2012</v>
      </c>
      <c r="C364" s="927">
        <v>41213</v>
      </c>
      <c r="D364" s="489" t="s">
        <v>285</v>
      </c>
      <c r="E364" s="488"/>
      <c r="F364" s="489" t="s">
        <v>7</v>
      </c>
      <c r="G364" s="794" t="s">
        <v>11</v>
      </c>
      <c r="H364" s="794" t="s">
        <v>28</v>
      </c>
      <c r="I364" s="794"/>
      <c r="J364" s="51"/>
      <c r="K364" s="51"/>
      <c r="L364" s="51"/>
      <c r="M364" s="51">
        <v>100</v>
      </c>
      <c r="N364" s="51"/>
      <c r="O364" s="51"/>
      <c r="P364" s="51"/>
      <c r="Q364" s="51"/>
      <c r="R364" s="511"/>
      <c r="S364" s="51"/>
      <c r="T364" s="51"/>
      <c r="U364" s="51"/>
      <c r="V364" s="51"/>
      <c r="W364" s="131">
        <f>IF(NFI_Expiration=1,IF($A364&lt;VLOOKUP(I$5,NFI,5,0),1,0)*Data_NFI_t[[#This Row],[Hygiene Kit]],0)</f>
        <v>0</v>
      </c>
      <c r="X364" s="131">
        <f>IF(NFI_Expiration=1,IF($A364&lt;VLOOKUP(J$5,NFI,5,0),1,0)*Data_NFI_t[[#This Row],[NFI Core Kit]],0)</f>
        <v>0</v>
      </c>
      <c r="Y364" s="112">
        <f>IF(NFI_Expiration=1,IF($A364&lt;VLOOKUP(K$5,NFI,5,0),1,0)*Data_NFI_t[[#This Row],[Sanitary Kit]],0)</f>
        <v>0</v>
      </c>
      <c r="Z364" s="112">
        <f>IF(NFI_Expiration=1,IF($A364&lt;VLOOKUP(L$5,NFI,5,0),1,0)*Data_NFI_t[[#This Row],[Mosquito net]],0)</f>
        <v>0</v>
      </c>
      <c r="AA364" s="112">
        <f>IF(NFI_Expiration=1,IF($A364&lt;VLOOKUP(M$5,NFI,5,0),1,0)*Data_NFI_t[[#This Row],[Tarpaulin]],0)</f>
        <v>0</v>
      </c>
      <c r="AB364" s="112">
        <f>IF(NFI_Expiration=1,IF($A364&lt;VLOOKUP(N$5,NFI,5,0),1,0)*Data_NFI_t[[#This Row],[Blanket]],0)</f>
        <v>0</v>
      </c>
      <c r="AC364" s="112">
        <f>IF(NFI_Expiration=1,IF($A364&lt;VLOOKUP(O$5,NFI,5,0),1,0)*Data_NFI_t[[#This Row],[Kitchen Set]],0)</f>
        <v>0</v>
      </c>
      <c r="AD364" s="112">
        <f>IF(NFI_Expiration=1,IF($A364&lt;VLOOKUP(P$5,NFI,5,0),1,0)*Data_NFI_t[[#This Row],[Complementary Kit]],0)</f>
        <v>0</v>
      </c>
      <c r="AE364" s="112">
        <f>IF(NFI_Expiration=1,IF($A364&lt;VLOOKUP(Q$5,NFI,5,0),1,0)*Data_NFI_t[[#This Row],[Plastic Bucket]],0)</f>
        <v>0</v>
      </c>
      <c r="AF364" s="112">
        <f>IF(NFI_Expiration=1,IF($A364&lt;VLOOKUP(R$5,NFI,5,0),1,0)*Data_NFI_t[[#This Row],[Jerry Can]],0)</f>
        <v>0</v>
      </c>
      <c r="AG364" s="131">
        <f>IF(NFI_Expiration=1,IF($A364&lt;VLOOKUP(S$5,NFI,5,0),1,0)*Data_NFI_t[[#This Row],[Plastic Mat]],0)*IF(Data_NFI_t[[#This Row],[Distribution Date]]&gt;"01-06-2015",1,2.5)</f>
        <v>0</v>
      </c>
      <c r="AH364" s="915">
        <f>IF(NFI_Expiration=1,IF($A364&lt;VLOOKUP(T$5,NFI,5,0),1,0)*Data_NFI_t[[#This Row],[Adult Clothes]],0)</f>
        <v>0</v>
      </c>
      <c r="AI364" s="131">
        <f>IF(NFI_Expiration=1,IF($A364&lt;VLOOKUP(U$5,NFI,5,0),1,0)*Data_NFI_t[[#This Row],[Children Clothes]],0)</f>
        <v>0</v>
      </c>
      <c r="AJ364" s="131">
        <f>IF(NFI_Expiration=1,IF($A364&lt;VLOOKUP(V$5,NFI,5,0),1,0)*Data_NFI_t[[#This Row],[Sewing Kit]],0)</f>
        <v>0</v>
      </c>
      <c r="AK364" s="131" t="str">
        <f ca="1">IFERROR(OFFSET(Camp_List[P_Code],MATCH(Data_NFI_t[[#This Row],[Camp Name]],Camp_List[Camp Name],0)-1,0,1,1),"")</f>
        <v>MMR012CMP004</v>
      </c>
      <c r="AL364" s="513" t="str">
        <f ca="1">IFERROR(OFFSET(Camp_List[Status],MATCH(Data_NFI_t[[#This Row],[Camp Name]],Camp_List[Camp Name],0)-1,0,1,1),"")</f>
        <v>Close</v>
      </c>
      <c r="AM364" s="131"/>
    </row>
    <row r="365" spans="1:39" s="90" customFormat="1" ht="19.5" customHeight="1" x14ac:dyDescent="0.25">
      <c r="A365" s="242">
        <f>IF(ISBLANK(C365),"",(Report_Date-C365)/30)</f>
        <v>52.733333333333334</v>
      </c>
      <c r="B365" s="242">
        <f>YEAR(Data_NFI_t[[#This Row],[Distribution Date]])</f>
        <v>2012</v>
      </c>
      <c r="C365" s="927">
        <v>41213</v>
      </c>
      <c r="D365" s="489" t="s">
        <v>285</v>
      </c>
      <c r="E365" s="488"/>
      <c r="F365" s="489" t="s">
        <v>7</v>
      </c>
      <c r="G365" s="794" t="s">
        <v>1003</v>
      </c>
      <c r="H365" s="794" t="s">
        <v>33</v>
      </c>
      <c r="I365" s="794"/>
      <c r="J365" s="51"/>
      <c r="K365" s="51"/>
      <c r="L365" s="51"/>
      <c r="M365" s="51">
        <v>100</v>
      </c>
      <c r="N365" s="51"/>
      <c r="O365" s="51"/>
      <c r="P365" s="51"/>
      <c r="Q365" s="51"/>
      <c r="R365" s="511"/>
      <c r="S365" s="51"/>
      <c r="T365" s="51"/>
      <c r="U365" s="51"/>
      <c r="V365" s="51"/>
      <c r="W365" s="131">
        <f>IF(NFI_Expiration=1,IF($A365&lt;VLOOKUP(I$5,NFI,5,0),1,0)*Data_NFI_t[[#This Row],[Hygiene Kit]],0)</f>
        <v>0</v>
      </c>
      <c r="X365" s="131">
        <f>IF(NFI_Expiration=1,IF($A365&lt;VLOOKUP(J$5,NFI,5,0),1,0)*Data_NFI_t[[#This Row],[NFI Core Kit]],0)</f>
        <v>0</v>
      </c>
      <c r="Y365" s="112">
        <f>IF(NFI_Expiration=1,IF($A365&lt;VLOOKUP(K$5,NFI,5,0),1,0)*Data_NFI_t[[#This Row],[Sanitary Kit]],0)</f>
        <v>0</v>
      </c>
      <c r="Z365" s="112">
        <f>IF(NFI_Expiration=1,IF($A365&lt;VLOOKUP(L$5,NFI,5,0),1,0)*Data_NFI_t[[#This Row],[Mosquito net]],0)</f>
        <v>0</v>
      </c>
      <c r="AA365" s="112">
        <f>IF(NFI_Expiration=1,IF($A365&lt;VLOOKUP(M$5,NFI,5,0),1,0)*Data_NFI_t[[#This Row],[Tarpaulin]],0)</f>
        <v>0</v>
      </c>
      <c r="AB365" s="112">
        <f>IF(NFI_Expiration=1,IF($A365&lt;VLOOKUP(N$5,NFI,5,0),1,0)*Data_NFI_t[[#This Row],[Blanket]],0)</f>
        <v>0</v>
      </c>
      <c r="AC365" s="112">
        <f>IF(NFI_Expiration=1,IF($A365&lt;VLOOKUP(O$5,NFI,5,0),1,0)*Data_NFI_t[[#This Row],[Kitchen Set]],0)</f>
        <v>0</v>
      </c>
      <c r="AD365" s="112">
        <f>IF(NFI_Expiration=1,IF($A365&lt;VLOOKUP(P$5,NFI,5,0),1,0)*Data_NFI_t[[#This Row],[Complementary Kit]],0)</f>
        <v>0</v>
      </c>
      <c r="AE365" s="112">
        <f>IF(NFI_Expiration=1,IF($A365&lt;VLOOKUP(Q$5,NFI,5,0),1,0)*Data_NFI_t[[#This Row],[Plastic Bucket]],0)</f>
        <v>0</v>
      </c>
      <c r="AF365" s="112">
        <f>IF(NFI_Expiration=1,IF($A365&lt;VLOOKUP(R$5,NFI,5,0),1,0)*Data_NFI_t[[#This Row],[Jerry Can]],0)</f>
        <v>0</v>
      </c>
      <c r="AG365" s="131">
        <f>IF(NFI_Expiration=1,IF($A365&lt;VLOOKUP(S$5,NFI,5,0),1,0)*Data_NFI_t[[#This Row],[Plastic Mat]],0)*IF(Data_NFI_t[[#This Row],[Distribution Date]]&gt;"01-06-2015",1,2.5)</f>
        <v>0</v>
      </c>
      <c r="AH365" s="915">
        <f>IF(NFI_Expiration=1,IF($A365&lt;VLOOKUP(T$5,NFI,5,0),1,0)*Data_NFI_t[[#This Row],[Adult Clothes]],0)</f>
        <v>0</v>
      </c>
      <c r="AI365" s="131">
        <f>IF(NFI_Expiration=1,IF($A365&lt;VLOOKUP(U$5,NFI,5,0),1,0)*Data_NFI_t[[#This Row],[Children Clothes]],0)</f>
        <v>0</v>
      </c>
      <c r="AJ365" s="131">
        <f>IF(NFI_Expiration=1,IF($A365&lt;VLOOKUP(V$5,NFI,5,0),1,0)*Data_NFI_t[[#This Row],[Sewing Kit]],0)</f>
        <v>0</v>
      </c>
      <c r="AK365" s="131" t="str">
        <f ca="1">IFERROR(OFFSET(Camp_List[P_Code],MATCH(Data_NFI_t[[#This Row],[Camp Name]],Camp_List[Camp Name],0)-1,0,1,1),"")</f>
        <v>MMR012CMP009</v>
      </c>
      <c r="AL365" s="513" t="str">
        <f ca="1">IFERROR(OFFSET(Camp_List[Status],MATCH(Data_NFI_t[[#This Row],[Camp Name]],Camp_List[Camp Name],0)-1,0,1,1),"")</f>
        <v>Returned</v>
      </c>
      <c r="AM365" s="131"/>
    </row>
    <row r="366" spans="1:39" s="90" customFormat="1" ht="19.5" customHeight="1" x14ac:dyDescent="0.25">
      <c r="A366" s="242">
        <f>IF(ISBLANK(C366),"",(Report_Date-C366)/30)</f>
        <v>53.533333333333331</v>
      </c>
      <c r="B366" s="242">
        <f>YEAR(Data_NFI_t[[#This Row],[Distribution Date]])</f>
        <v>2012</v>
      </c>
      <c r="C366" s="927">
        <v>41189</v>
      </c>
      <c r="D366" s="489" t="s">
        <v>285</v>
      </c>
      <c r="E366" s="488"/>
      <c r="F366" s="489" t="s">
        <v>7</v>
      </c>
      <c r="G366" s="794" t="s">
        <v>15</v>
      </c>
      <c r="H366" s="794" t="s">
        <v>48</v>
      </c>
      <c r="I366" s="794"/>
      <c r="J366" s="51"/>
      <c r="K366" s="51"/>
      <c r="L366" s="51"/>
      <c r="M366" s="51">
        <v>90</v>
      </c>
      <c r="N366" s="51"/>
      <c r="O366" s="51"/>
      <c r="P366" s="51"/>
      <c r="Q366" s="51"/>
      <c r="R366" s="511"/>
      <c r="S366" s="51"/>
      <c r="T366" s="51"/>
      <c r="U366" s="51"/>
      <c r="V366" s="51"/>
      <c r="W366" s="131">
        <f>IF(NFI_Expiration=1,IF($A366&lt;VLOOKUP(I$5,NFI,5,0),1,0)*Data_NFI_t[[#This Row],[Hygiene Kit]],0)</f>
        <v>0</v>
      </c>
      <c r="X366" s="131">
        <f>IF(NFI_Expiration=1,IF($A366&lt;VLOOKUP(J$5,NFI,5,0),1,0)*Data_NFI_t[[#This Row],[NFI Core Kit]],0)</f>
        <v>0</v>
      </c>
      <c r="Y366" s="112">
        <f>IF(NFI_Expiration=1,IF($A366&lt;VLOOKUP(K$5,NFI,5,0),1,0)*Data_NFI_t[[#This Row],[Sanitary Kit]],0)</f>
        <v>0</v>
      </c>
      <c r="Z366" s="112">
        <f>IF(NFI_Expiration=1,IF($A366&lt;VLOOKUP(L$5,NFI,5,0),1,0)*Data_NFI_t[[#This Row],[Mosquito net]],0)</f>
        <v>0</v>
      </c>
      <c r="AA366" s="112">
        <f>IF(NFI_Expiration=1,IF($A366&lt;VLOOKUP(M$5,NFI,5,0),1,0)*Data_NFI_t[[#This Row],[Tarpaulin]],0)</f>
        <v>0</v>
      </c>
      <c r="AB366" s="112">
        <f>IF(NFI_Expiration=1,IF($A366&lt;VLOOKUP(N$5,NFI,5,0),1,0)*Data_NFI_t[[#This Row],[Blanket]],0)</f>
        <v>0</v>
      </c>
      <c r="AC366" s="112">
        <f>IF(NFI_Expiration=1,IF($A366&lt;VLOOKUP(O$5,NFI,5,0),1,0)*Data_NFI_t[[#This Row],[Kitchen Set]],0)</f>
        <v>0</v>
      </c>
      <c r="AD366" s="112">
        <f>IF(NFI_Expiration=1,IF($A366&lt;VLOOKUP(P$5,NFI,5,0),1,0)*Data_NFI_t[[#This Row],[Complementary Kit]],0)</f>
        <v>0</v>
      </c>
      <c r="AE366" s="112">
        <f>IF(NFI_Expiration=1,IF($A366&lt;VLOOKUP(Q$5,NFI,5,0),1,0)*Data_NFI_t[[#This Row],[Plastic Bucket]],0)</f>
        <v>0</v>
      </c>
      <c r="AF366" s="112">
        <f>IF(NFI_Expiration=1,IF($A366&lt;VLOOKUP(R$5,NFI,5,0),1,0)*Data_NFI_t[[#This Row],[Jerry Can]],0)</f>
        <v>0</v>
      </c>
      <c r="AG366" s="131">
        <f>IF(NFI_Expiration=1,IF($A366&lt;VLOOKUP(S$5,NFI,5,0),1,0)*Data_NFI_t[[#This Row],[Plastic Mat]],0)*IF(Data_NFI_t[[#This Row],[Distribution Date]]&gt;"01-06-2015",1,2.5)</f>
        <v>0</v>
      </c>
      <c r="AH366" s="915">
        <f>IF(NFI_Expiration=1,IF($A366&lt;VLOOKUP(T$5,NFI,5,0),1,0)*Data_NFI_t[[#This Row],[Adult Clothes]],0)</f>
        <v>0</v>
      </c>
      <c r="AI366" s="131">
        <f>IF(NFI_Expiration=1,IF($A366&lt;VLOOKUP(U$5,NFI,5,0),1,0)*Data_NFI_t[[#This Row],[Children Clothes]],0)</f>
        <v>0</v>
      </c>
      <c r="AJ366" s="131">
        <f>IF(NFI_Expiration=1,IF($A366&lt;VLOOKUP(V$5,NFI,5,0),1,0)*Data_NFI_t[[#This Row],[Sewing Kit]],0)</f>
        <v>0</v>
      </c>
      <c r="AK366" s="131" t="str">
        <f ca="1">IFERROR(OFFSET(Camp_List[P_Code],MATCH(Data_NFI_t[[#This Row],[Camp Name]],Camp_List[Camp Name],0)-1,0,1,1),"")</f>
        <v>MMR012CMP024</v>
      </c>
      <c r="AL366" s="513" t="str">
        <f ca="1">IFERROR(OFFSET(Camp_List[Status],MATCH(Data_NFI_t[[#This Row],[Camp Name]],Camp_List[Camp Name],0)-1,0,1,1),"")</f>
        <v>Returned</v>
      </c>
      <c r="AM366" s="131"/>
    </row>
    <row r="367" spans="1:39" s="90" customFormat="1" ht="19.5" customHeight="1" x14ac:dyDescent="0.25">
      <c r="A367" s="242">
        <f>IF(ISBLANK(C367),"",(Report_Date-C367)/30)</f>
        <v>53.533333333333331</v>
      </c>
      <c r="B367" s="242">
        <f>YEAR(Data_NFI_t[[#This Row],[Distribution Date]])</f>
        <v>2012</v>
      </c>
      <c r="C367" s="927">
        <v>41189</v>
      </c>
      <c r="D367" s="489" t="s">
        <v>285</v>
      </c>
      <c r="E367" s="488"/>
      <c r="F367" s="489" t="s">
        <v>7</v>
      </c>
      <c r="G367" s="794" t="s">
        <v>15</v>
      </c>
      <c r="H367" s="794" t="s">
        <v>291</v>
      </c>
      <c r="I367" s="794"/>
      <c r="J367" s="51"/>
      <c r="K367" s="51"/>
      <c r="L367" s="51"/>
      <c r="M367" s="51">
        <v>97</v>
      </c>
      <c r="N367" s="51"/>
      <c r="O367" s="51"/>
      <c r="P367" s="51"/>
      <c r="Q367" s="51"/>
      <c r="R367" s="511"/>
      <c r="S367" s="51"/>
      <c r="T367" s="51"/>
      <c r="U367" s="51"/>
      <c r="V367" s="51"/>
      <c r="W367" s="131">
        <f>IF(NFI_Expiration=1,IF($A367&lt;VLOOKUP(I$5,NFI,5,0),1,0)*Data_NFI_t[[#This Row],[Hygiene Kit]],0)</f>
        <v>0</v>
      </c>
      <c r="X367" s="131">
        <f>IF(NFI_Expiration=1,IF($A367&lt;VLOOKUP(J$5,NFI,5,0),1,0)*Data_NFI_t[[#This Row],[NFI Core Kit]],0)</f>
        <v>0</v>
      </c>
      <c r="Y367" s="112">
        <f>IF(NFI_Expiration=1,IF($A367&lt;VLOOKUP(K$5,NFI,5,0),1,0)*Data_NFI_t[[#This Row],[Sanitary Kit]],0)</f>
        <v>0</v>
      </c>
      <c r="Z367" s="112">
        <f>IF(NFI_Expiration=1,IF($A367&lt;VLOOKUP(L$5,NFI,5,0),1,0)*Data_NFI_t[[#This Row],[Mosquito net]],0)</f>
        <v>0</v>
      </c>
      <c r="AA367" s="112">
        <f>IF(NFI_Expiration=1,IF($A367&lt;VLOOKUP(M$5,NFI,5,0),1,0)*Data_NFI_t[[#This Row],[Tarpaulin]],0)</f>
        <v>0</v>
      </c>
      <c r="AB367" s="112">
        <f>IF(NFI_Expiration=1,IF($A367&lt;VLOOKUP(N$5,NFI,5,0),1,0)*Data_NFI_t[[#This Row],[Blanket]],0)</f>
        <v>0</v>
      </c>
      <c r="AC367" s="112">
        <f>IF(NFI_Expiration=1,IF($A367&lt;VLOOKUP(O$5,NFI,5,0),1,0)*Data_NFI_t[[#This Row],[Kitchen Set]],0)</f>
        <v>0</v>
      </c>
      <c r="AD367" s="112">
        <f>IF(NFI_Expiration=1,IF($A367&lt;VLOOKUP(P$5,NFI,5,0),1,0)*Data_NFI_t[[#This Row],[Complementary Kit]],0)</f>
        <v>0</v>
      </c>
      <c r="AE367" s="112">
        <f>IF(NFI_Expiration=1,IF($A367&lt;VLOOKUP(Q$5,NFI,5,0),1,0)*Data_NFI_t[[#This Row],[Plastic Bucket]],0)</f>
        <v>0</v>
      </c>
      <c r="AF367" s="112">
        <f>IF(NFI_Expiration=1,IF($A367&lt;VLOOKUP(R$5,NFI,5,0),1,0)*Data_NFI_t[[#This Row],[Jerry Can]],0)</f>
        <v>0</v>
      </c>
      <c r="AG367" s="131">
        <f>IF(NFI_Expiration=1,IF($A367&lt;VLOOKUP(S$5,NFI,5,0),1,0)*Data_NFI_t[[#This Row],[Plastic Mat]],0)*IF(Data_NFI_t[[#This Row],[Distribution Date]]&gt;"01-06-2015",1,2.5)</f>
        <v>0</v>
      </c>
      <c r="AH367" s="915">
        <f>IF(NFI_Expiration=1,IF($A367&lt;VLOOKUP(T$5,NFI,5,0),1,0)*Data_NFI_t[[#This Row],[Adult Clothes]],0)</f>
        <v>0</v>
      </c>
      <c r="AI367" s="131">
        <f>IF(NFI_Expiration=1,IF($A367&lt;VLOOKUP(U$5,NFI,5,0),1,0)*Data_NFI_t[[#This Row],[Children Clothes]],0)</f>
        <v>0</v>
      </c>
      <c r="AJ367" s="131">
        <f>IF(NFI_Expiration=1,IF($A367&lt;VLOOKUP(V$5,NFI,5,0),1,0)*Data_NFI_t[[#This Row],[Sewing Kit]],0)</f>
        <v>0</v>
      </c>
      <c r="AK367" s="131" t="str">
        <f ca="1">IFERROR(OFFSET(Camp_List[P_Code],MATCH(Data_NFI_t[[#This Row],[Camp Name]],Camp_List[Camp Name],0)-1,0,1,1),"")</f>
        <v/>
      </c>
      <c r="AL367" s="513" t="str">
        <f ca="1">IFERROR(OFFSET(Camp_List[Status],MATCH(Data_NFI_t[[#This Row],[Camp Name]],Camp_List[Camp Name],0)-1,0,1,1),"")</f>
        <v/>
      </c>
      <c r="AM367" s="131"/>
    </row>
    <row r="368" spans="1:39" s="90" customFormat="1" ht="19.5" customHeight="1" x14ac:dyDescent="0.25">
      <c r="A368" s="242">
        <f>IF(ISBLANK(C368),"",(Report_Date-C368)/30)</f>
        <v>53.56666666666667</v>
      </c>
      <c r="B368" s="242">
        <f>YEAR(Data_NFI_t[[#This Row],[Distribution Date]])</f>
        <v>2012</v>
      </c>
      <c r="C368" s="927">
        <v>41188</v>
      </c>
      <c r="D368" s="489" t="s">
        <v>285</v>
      </c>
      <c r="E368" s="488"/>
      <c r="F368" s="489" t="s">
        <v>7</v>
      </c>
      <c r="G368" s="794" t="s">
        <v>19</v>
      </c>
      <c r="H368" s="794" t="s">
        <v>274</v>
      </c>
      <c r="I368" s="794"/>
      <c r="J368" s="51"/>
      <c r="K368" s="51"/>
      <c r="L368" s="51"/>
      <c r="M368" s="51">
        <v>100</v>
      </c>
      <c r="N368" s="51"/>
      <c r="O368" s="51"/>
      <c r="P368" s="51"/>
      <c r="Q368" s="51"/>
      <c r="R368" s="511"/>
      <c r="S368" s="51"/>
      <c r="T368" s="51"/>
      <c r="U368" s="51"/>
      <c r="V368" s="51"/>
      <c r="W368" s="131">
        <f>IF(NFI_Expiration=1,IF($A368&lt;VLOOKUP(I$5,NFI,5,0),1,0)*Data_NFI_t[[#This Row],[Hygiene Kit]],0)</f>
        <v>0</v>
      </c>
      <c r="X368" s="131">
        <f>IF(NFI_Expiration=1,IF($A368&lt;VLOOKUP(J$5,NFI,5,0),1,0)*Data_NFI_t[[#This Row],[NFI Core Kit]],0)</f>
        <v>0</v>
      </c>
      <c r="Y368" s="112">
        <f>IF(NFI_Expiration=1,IF($A368&lt;VLOOKUP(K$5,NFI,5,0),1,0)*Data_NFI_t[[#This Row],[Sanitary Kit]],0)</f>
        <v>0</v>
      </c>
      <c r="Z368" s="112">
        <f>IF(NFI_Expiration=1,IF($A368&lt;VLOOKUP(L$5,NFI,5,0),1,0)*Data_NFI_t[[#This Row],[Mosquito net]],0)</f>
        <v>0</v>
      </c>
      <c r="AA368" s="112">
        <f>IF(NFI_Expiration=1,IF($A368&lt;VLOOKUP(M$5,NFI,5,0),1,0)*Data_NFI_t[[#This Row],[Tarpaulin]],0)</f>
        <v>0</v>
      </c>
      <c r="AB368" s="112">
        <f>IF(NFI_Expiration=1,IF($A368&lt;VLOOKUP(N$5,NFI,5,0),1,0)*Data_NFI_t[[#This Row],[Blanket]],0)</f>
        <v>0</v>
      </c>
      <c r="AC368" s="112">
        <f>IF(NFI_Expiration=1,IF($A368&lt;VLOOKUP(O$5,NFI,5,0),1,0)*Data_NFI_t[[#This Row],[Kitchen Set]],0)</f>
        <v>0</v>
      </c>
      <c r="AD368" s="112">
        <f>IF(NFI_Expiration=1,IF($A368&lt;VLOOKUP(P$5,NFI,5,0),1,0)*Data_NFI_t[[#This Row],[Complementary Kit]],0)</f>
        <v>0</v>
      </c>
      <c r="AE368" s="112">
        <f>IF(NFI_Expiration=1,IF($A368&lt;VLOOKUP(Q$5,NFI,5,0),1,0)*Data_NFI_t[[#This Row],[Plastic Bucket]],0)</f>
        <v>0</v>
      </c>
      <c r="AF368" s="112">
        <f>IF(NFI_Expiration=1,IF($A368&lt;VLOOKUP(R$5,NFI,5,0),1,0)*Data_NFI_t[[#This Row],[Jerry Can]],0)</f>
        <v>0</v>
      </c>
      <c r="AG368" s="131">
        <f>IF(NFI_Expiration=1,IF($A368&lt;VLOOKUP(S$5,NFI,5,0),1,0)*Data_NFI_t[[#This Row],[Plastic Mat]],0)*IF(Data_NFI_t[[#This Row],[Distribution Date]]&gt;"01-06-2015",1,2.5)</f>
        <v>0</v>
      </c>
      <c r="AH368" s="915">
        <f>IF(NFI_Expiration=1,IF($A368&lt;VLOOKUP(T$5,NFI,5,0),1,0)*Data_NFI_t[[#This Row],[Adult Clothes]],0)</f>
        <v>0</v>
      </c>
      <c r="AI368" s="131">
        <f>IF(NFI_Expiration=1,IF($A368&lt;VLOOKUP(U$5,NFI,5,0),1,0)*Data_NFI_t[[#This Row],[Children Clothes]],0)</f>
        <v>0</v>
      </c>
      <c r="AJ368" s="131">
        <f>IF(NFI_Expiration=1,IF($A368&lt;VLOOKUP(V$5,NFI,5,0),1,0)*Data_NFI_t[[#This Row],[Sewing Kit]],0)</f>
        <v>0</v>
      </c>
      <c r="AK368" s="131" t="str">
        <f ca="1">IFERROR(OFFSET(Camp_List[P_Code],MATCH(Data_NFI_t[[#This Row],[Camp Name]],Camp_List[Camp Name],0)-1,0,1,1),"")</f>
        <v/>
      </c>
      <c r="AL368" s="513" t="str">
        <f ca="1">IFERROR(OFFSET(Camp_List[Status],MATCH(Data_NFI_t[[#This Row],[Camp Name]],Camp_List[Camp Name],0)-1,0,1,1),"")</f>
        <v/>
      </c>
      <c r="AM368" s="131"/>
    </row>
    <row r="369" spans="1:42" s="90" customFormat="1" ht="19.5" customHeight="1" x14ac:dyDescent="0.25">
      <c r="A369" s="242">
        <f>IF(ISBLANK(C369),"",(Report_Date-C369)/30)</f>
        <v>54.533333333333331</v>
      </c>
      <c r="B369" s="242">
        <f>YEAR(Data_NFI_t[[#This Row],[Distribution Date]])</f>
        <v>2012</v>
      </c>
      <c r="C369" s="927">
        <v>41159</v>
      </c>
      <c r="D369" s="489" t="s">
        <v>285</v>
      </c>
      <c r="E369" s="488"/>
      <c r="F369" s="489" t="s">
        <v>7</v>
      </c>
      <c r="G369" s="794" t="s">
        <v>19</v>
      </c>
      <c r="H369" s="794" t="s">
        <v>62</v>
      </c>
      <c r="I369" s="794"/>
      <c r="J369" s="51"/>
      <c r="K369" s="51"/>
      <c r="L369" s="51"/>
      <c r="M369" s="51">
        <v>55</v>
      </c>
      <c r="N369" s="51"/>
      <c r="O369" s="51"/>
      <c r="P369" s="51"/>
      <c r="Q369" s="51"/>
      <c r="R369" s="511"/>
      <c r="S369" s="51"/>
      <c r="T369" s="51"/>
      <c r="U369" s="51"/>
      <c r="V369" s="51"/>
      <c r="W369" s="131">
        <f>IF(NFI_Expiration=1,IF($A369&lt;VLOOKUP(I$5,NFI,5,0),1,0)*Data_NFI_t[[#This Row],[Hygiene Kit]],0)</f>
        <v>0</v>
      </c>
      <c r="X369" s="131">
        <f>IF(NFI_Expiration=1,IF($A369&lt;VLOOKUP(J$5,NFI,5,0),1,0)*Data_NFI_t[[#This Row],[NFI Core Kit]],0)</f>
        <v>0</v>
      </c>
      <c r="Y369" s="112">
        <f>IF(NFI_Expiration=1,IF($A369&lt;VLOOKUP(K$5,NFI,5,0),1,0)*Data_NFI_t[[#This Row],[Sanitary Kit]],0)</f>
        <v>0</v>
      </c>
      <c r="Z369" s="112">
        <f>IF(NFI_Expiration=1,IF($A369&lt;VLOOKUP(L$5,NFI,5,0),1,0)*Data_NFI_t[[#This Row],[Mosquito net]],0)</f>
        <v>0</v>
      </c>
      <c r="AA369" s="112">
        <f>IF(NFI_Expiration=1,IF($A369&lt;VLOOKUP(M$5,NFI,5,0),1,0)*Data_NFI_t[[#This Row],[Tarpaulin]],0)</f>
        <v>0</v>
      </c>
      <c r="AB369" s="112">
        <f>IF(NFI_Expiration=1,IF($A369&lt;VLOOKUP(N$5,NFI,5,0),1,0)*Data_NFI_t[[#This Row],[Blanket]],0)</f>
        <v>0</v>
      </c>
      <c r="AC369" s="112">
        <f>IF(NFI_Expiration=1,IF($A369&lt;VLOOKUP(O$5,NFI,5,0),1,0)*Data_NFI_t[[#This Row],[Kitchen Set]],0)</f>
        <v>0</v>
      </c>
      <c r="AD369" s="112">
        <f>IF(NFI_Expiration=1,IF($A369&lt;VLOOKUP(P$5,NFI,5,0),1,0)*Data_NFI_t[[#This Row],[Complementary Kit]],0)</f>
        <v>0</v>
      </c>
      <c r="AE369" s="112">
        <f>IF(NFI_Expiration=1,IF($A369&lt;VLOOKUP(Q$5,NFI,5,0),1,0)*Data_NFI_t[[#This Row],[Plastic Bucket]],0)</f>
        <v>0</v>
      </c>
      <c r="AF369" s="112">
        <f>IF(NFI_Expiration=1,IF($A369&lt;VLOOKUP(R$5,NFI,5,0),1,0)*Data_NFI_t[[#This Row],[Jerry Can]],0)</f>
        <v>0</v>
      </c>
      <c r="AG369" s="131">
        <f>IF(NFI_Expiration=1,IF($A369&lt;VLOOKUP(S$5,NFI,5,0),1,0)*Data_NFI_t[[#This Row],[Plastic Mat]],0)*IF(Data_NFI_t[[#This Row],[Distribution Date]]&gt;"01-06-2015",1,2.5)</f>
        <v>0</v>
      </c>
      <c r="AH369" s="915">
        <f>IF(NFI_Expiration=1,IF($A369&lt;VLOOKUP(T$5,NFI,5,0),1,0)*Data_NFI_t[[#This Row],[Adult Clothes]],0)</f>
        <v>0</v>
      </c>
      <c r="AI369" s="131">
        <f>IF(NFI_Expiration=1,IF($A369&lt;VLOOKUP(U$5,NFI,5,0),1,0)*Data_NFI_t[[#This Row],[Children Clothes]],0)</f>
        <v>0</v>
      </c>
      <c r="AJ369" s="131">
        <f>IF(NFI_Expiration=1,IF($A369&lt;VLOOKUP(V$5,NFI,5,0),1,0)*Data_NFI_t[[#This Row],[Sewing Kit]],0)</f>
        <v>0</v>
      </c>
      <c r="AK369" s="131" t="str">
        <f ca="1">IFERROR(OFFSET(Camp_List[P_Code],MATCH(Data_NFI_t[[#This Row],[Camp Name]],Camp_List[Camp Name],0)-1,0,1,1),"")</f>
        <v>MMR012CMP040</v>
      </c>
      <c r="AL369" s="513" t="str">
        <f ca="1">IFERROR(OFFSET(Camp_List[Status],MATCH(Data_NFI_t[[#This Row],[Camp Name]],Camp_List[Camp Name],0)-1,0,1,1),"")</f>
        <v>Close</v>
      </c>
      <c r="AM369" s="131"/>
    </row>
    <row r="370" spans="1:42" s="90" customFormat="1" ht="19.5" customHeight="1" x14ac:dyDescent="0.25">
      <c r="A370" s="242">
        <f>IF(ISBLANK(C370),"",(Report_Date-C370)/30)</f>
        <v>54.6</v>
      </c>
      <c r="B370" s="242">
        <f>YEAR(Data_NFI_t[[#This Row],[Distribution Date]])</f>
        <v>2012</v>
      </c>
      <c r="C370" s="927">
        <v>41157</v>
      </c>
      <c r="D370" s="489" t="s">
        <v>285</v>
      </c>
      <c r="E370" s="488"/>
      <c r="F370" s="489" t="s">
        <v>7</v>
      </c>
      <c r="G370" s="794" t="s">
        <v>19</v>
      </c>
      <c r="H370" s="794" t="s">
        <v>62</v>
      </c>
      <c r="I370" s="794"/>
      <c r="J370" s="51"/>
      <c r="K370" s="51"/>
      <c r="L370" s="51"/>
      <c r="M370" s="51"/>
      <c r="N370" s="51">
        <v>65</v>
      </c>
      <c r="O370" s="51"/>
      <c r="P370" s="51"/>
      <c r="Q370" s="51"/>
      <c r="R370" s="511"/>
      <c r="S370" s="51"/>
      <c r="T370" s="51"/>
      <c r="U370" s="51"/>
      <c r="V370" s="51"/>
      <c r="W370" s="131">
        <f>IF(NFI_Expiration=1,IF($A370&lt;VLOOKUP(I$5,NFI,5,0),1,0)*Data_NFI_t[[#This Row],[Hygiene Kit]],0)</f>
        <v>0</v>
      </c>
      <c r="X370" s="131">
        <f>IF(NFI_Expiration=1,IF($A370&lt;VLOOKUP(J$5,NFI,5,0),1,0)*Data_NFI_t[[#This Row],[NFI Core Kit]],0)</f>
        <v>0</v>
      </c>
      <c r="Y370" s="112">
        <f>IF(NFI_Expiration=1,IF($A370&lt;VLOOKUP(K$5,NFI,5,0),1,0)*Data_NFI_t[[#This Row],[Sanitary Kit]],0)</f>
        <v>0</v>
      </c>
      <c r="Z370" s="112">
        <f>IF(NFI_Expiration=1,IF($A370&lt;VLOOKUP(L$5,NFI,5,0),1,0)*Data_NFI_t[[#This Row],[Mosquito net]],0)</f>
        <v>0</v>
      </c>
      <c r="AA370" s="112">
        <f>IF(NFI_Expiration=1,IF($A370&lt;VLOOKUP(M$5,NFI,5,0),1,0)*Data_NFI_t[[#This Row],[Tarpaulin]],0)</f>
        <v>0</v>
      </c>
      <c r="AB370" s="112">
        <f>IF(NFI_Expiration=1,IF($A370&lt;VLOOKUP(N$5,NFI,5,0),1,0)*Data_NFI_t[[#This Row],[Blanket]],0)</f>
        <v>0</v>
      </c>
      <c r="AC370" s="112">
        <f>IF(NFI_Expiration=1,IF($A370&lt;VLOOKUP(O$5,NFI,5,0),1,0)*Data_NFI_t[[#This Row],[Kitchen Set]],0)</f>
        <v>0</v>
      </c>
      <c r="AD370" s="112">
        <f>IF(NFI_Expiration=1,IF($A370&lt;VLOOKUP(P$5,NFI,5,0),1,0)*Data_NFI_t[[#This Row],[Complementary Kit]],0)</f>
        <v>0</v>
      </c>
      <c r="AE370" s="112">
        <f>IF(NFI_Expiration=1,IF($A370&lt;VLOOKUP(Q$5,NFI,5,0),1,0)*Data_NFI_t[[#This Row],[Plastic Bucket]],0)</f>
        <v>0</v>
      </c>
      <c r="AF370" s="112">
        <f>IF(NFI_Expiration=1,IF($A370&lt;VLOOKUP(R$5,NFI,5,0),1,0)*Data_NFI_t[[#This Row],[Jerry Can]],0)</f>
        <v>0</v>
      </c>
      <c r="AG370" s="131">
        <f>IF(NFI_Expiration=1,IF($A370&lt;VLOOKUP(S$5,NFI,5,0),1,0)*Data_NFI_t[[#This Row],[Plastic Mat]],0)*IF(Data_NFI_t[[#This Row],[Distribution Date]]&gt;"01-06-2015",1,2.5)</f>
        <v>0</v>
      </c>
      <c r="AH370" s="915">
        <f>IF(NFI_Expiration=1,IF($A370&lt;VLOOKUP(T$5,NFI,5,0),1,0)*Data_NFI_t[[#This Row],[Adult Clothes]],0)</f>
        <v>0</v>
      </c>
      <c r="AI370" s="131">
        <f>IF(NFI_Expiration=1,IF($A370&lt;VLOOKUP(U$5,NFI,5,0),1,0)*Data_NFI_t[[#This Row],[Children Clothes]],0)</f>
        <v>0</v>
      </c>
      <c r="AJ370" s="131">
        <f>IF(NFI_Expiration=1,IF($A370&lt;VLOOKUP(V$5,NFI,5,0),1,0)*Data_NFI_t[[#This Row],[Sewing Kit]],0)</f>
        <v>0</v>
      </c>
      <c r="AK370" s="131" t="str">
        <f ca="1">IFERROR(OFFSET(Camp_List[P_Code],MATCH(Data_NFI_t[[#This Row],[Camp Name]],Camp_List[Camp Name],0)-1,0,1,1),"")</f>
        <v>MMR012CMP040</v>
      </c>
      <c r="AL370" s="513" t="str">
        <f ca="1">IFERROR(OFFSET(Camp_List[Status],MATCH(Data_NFI_t[[#This Row],[Camp Name]],Camp_List[Camp Name],0)-1,0,1,1),"")</f>
        <v>Close</v>
      </c>
      <c r="AM370" s="131"/>
    </row>
    <row r="371" spans="1:42" s="90" customFormat="1" ht="19.5" customHeight="1" x14ac:dyDescent="0.25">
      <c r="A371" s="242">
        <f>IF(ISBLANK(C371),"",(Report_Date-C371)/30)</f>
        <v>54.733333333333334</v>
      </c>
      <c r="B371" s="242">
        <f>YEAR(Data_NFI_t[[#This Row],[Distribution Date]])</f>
        <v>2012</v>
      </c>
      <c r="C371" s="927">
        <v>41153</v>
      </c>
      <c r="D371" s="489" t="s">
        <v>289</v>
      </c>
      <c r="E371" s="488" t="s">
        <v>285</v>
      </c>
      <c r="F371" s="489" t="s">
        <v>7</v>
      </c>
      <c r="G371" s="794" t="s">
        <v>19</v>
      </c>
      <c r="H371" s="794" t="s">
        <v>65</v>
      </c>
      <c r="I371" s="794"/>
      <c r="J371" s="51"/>
      <c r="K371" s="51"/>
      <c r="L371" s="51"/>
      <c r="M371" s="51"/>
      <c r="N371" s="51">
        <v>60</v>
      </c>
      <c r="O371" s="51"/>
      <c r="P371" s="51"/>
      <c r="Q371" s="51"/>
      <c r="R371" s="511"/>
      <c r="S371" s="51"/>
      <c r="T371" s="51"/>
      <c r="U371" s="51"/>
      <c r="V371" s="51"/>
      <c r="W371" s="131">
        <f>IF(NFI_Expiration=1,IF($A371&lt;VLOOKUP(I$5,NFI,5,0),1,0)*Data_NFI_t[[#This Row],[Hygiene Kit]],0)</f>
        <v>0</v>
      </c>
      <c r="X371" s="131">
        <f>IF(NFI_Expiration=1,IF($A371&lt;VLOOKUP(J$5,NFI,5,0),1,0)*Data_NFI_t[[#This Row],[NFI Core Kit]],0)</f>
        <v>0</v>
      </c>
      <c r="Y371" s="112">
        <f>IF(NFI_Expiration=1,IF($A371&lt;VLOOKUP(K$5,NFI,5,0),1,0)*Data_NFI_t[[#This Row],[Sanitary Kit]],0)</f>
        <v>0</v>
      </c>
      <c r="Z371" s="112">
        <f>IF(NFI_Expiration=1,IF($A371&lt;VLOOKUP(L$5,NFI,5,0),1,0)*Data_NFI_t[[#This Row],[Mosquito net]],0)</f>
        <v>0</v>
      </c>
      <c r="AA371" s="112">
        <f>IF(NFI_Expiration=1,IF($A371&lt;VLOOKUP(M$5,NFI,5,0),1,0)*Data_NFI_t[[#This Row],[Tarpaulin]],0)</f>
        <v>0</v>
      </c>
      <c r="AB371" s="112">
        <f>IF(NFI_Expiration=1,IF($A371&lt;VLOOKUP(N$5,NFI,5,0),1,0)*Data_NFI_t[[#This Row],[Blanket]],0)</f>
        <v>0</v>
      </c>
      <c r="AC371" s="112">
        <f>IF(NFI_Expiration=1,IF($A371&lt;VLOOKUP(O$5,NFI,5,0),1,0)*Data_NFI_t[[#This Row],[Kitchen Set]],0)</f>
        <v>0</v>
      </c>
      <c r="AD371" s="112">
        <f>IF(NFI_Expiration=1,IF($A371&lt;VLOOKUP(P$5,NFI,5,0),1,0)*Data_NFI_t[[#This Row],[Complementary Kit]],0)</f>
        <v>0</v>
      </c>
      <c r="AE371" s="112">
        <f>IF(NFI_Expiration=1,IF($A371&lt;VLOOKUP(Q$5,NFI,5,0),1,0)*Data_NFI_t[[#This Row],[Plastic Bucket]],0)</f>
        <v>0</v>
      </c>
      <c r="AF371" s="112">
        <f>IF(NFI_Expiration=1,IF($A371&lt;VLOOKUP(R$5,NFI,5,0),1,0)*Data_NFI_t[[#This Row],[Jerry Can]],0)</f>
        <v>0</v>
      </c>
      <c r="AG371" s="131">
        <f>IF(NFI_Expiration=1,IF($A371&lt;VLOOKUP(S$5,NFI,5,0),1,0)*Data_NFI_t[[#This Row],[Plastic Mat]],0)*IF(Data_NFI_t[[#This Row],[Distribution Date]]&gt;"01-06-2015",1,2.5)</f>
        <v>0</v>
      </c>
      <c r="AH371" s="915">
        <f>IF(NFI_Expiration=1,IF($A371&lt;VLOOKUP(T$5,NFI,5,0),1,0)*Data_NFI_t[[#This Row],[Adult Clothes]],0)</f>
        <v>0</v>
      </c>
      <c r="AI371" s="131">
        <f>IF(NFI_Expiration=1,IF($A371&lt;VLOOKUP(U$5,NFI,5,0),1,0)*Data_NFI_t[[#This Row],[Children Clothes]],0)</f>
        <v>0</v>
      </c>
      <c r="AJ371" s="131">
        <f>IF(NFI_Expiration=1,IF($A371&lt;VLOOKUP(V$5,NFI,5,0),1,0)*Data_NFI_t[[#This Row],[Sewing Kit]],0)</f>
        <v>0</v>
      </c>
      <c r="AK371" s="131" t="str">
        <f ca="1">IFERROR(OFFSET(Camp_List[P_Code],MATCH(Data_NFI_t[[#This Row],[Camp Name]],Camp_List[Camp Name],0)-1,0,1,1),"")</f>
        <v>MMR012CMP043</v>
      </c>
      <c r="AL371" s="513" t="str">
        <f ca="1">IFERROR(OFFSET(Camp_List[Status],MATCH(Data_NFI_t[[#This Row],[Camp Name]],Camp_List[Camp Name],0)-1,0,1,1),"")</f>
        <v>Close</v>
      </c>
      <c r="AM371" s="131"/>
    </row>
    <row r="372" spans="1:42" s="90" customFormat="1" ht="19.5" customHeight="1" x14ac:dyDescent="0.25">
      <c r="A372" s="242">
        <f>IF(ISBLANK(C372),"",(Report_Date-C372)/30)</f>
        <v>54.966666666666669</v>
      </c>
      <c r="B372" s="242">
        <f>YEAR(Data_NFI_t[[#This Row],[Distribution Date]])</f>
        <v>2012</v>
      </c>
      <c r="C372" s="927">
        <v>41146</v>
      </c>
      <c r="D372" s="489" t="s">
        <v>285</v>
      </c>
      <c r="E372" s="488"/>
      <c r="F372" s="489" t="s">
        <v>7</v>
      </c>
      <c r="G372" s="794" t="s">
        <v>15</v>
      </c>
      <c r="H372" s="794" t="s">
        <v>51</v>
      </c>
      <c r="I372" s="794"/>
      <c r="J372" s="51"/>
      <c r="K372" s="51"/>
      <c r="L372" s="51"/>
      <c r="M372" s="51">
        <v>114</v>
      </c>
      <c r="N372" s="51"/>
      <c r="O372" s="51"/>
      <c r="P372" s="51"/>
      <c r="Q372" s="51"/>
      <c r="R372" s="511"/>
      <c r="S372" s="51"/>
      <c r="T372" s="51"/>
      <c r="U372" s="51"/>
      <c r="V372" s="51"/>
      <c r="W372" s="131">
        <f>IF(NFI_Expiration=1,IF($A372&lt;VLOOKUP(I$5,NFI,5,0),1,0)*Data_NFI_t[[#This Row],[Hygiene Kit]],0)</f>
        <v>0</v>
      </c>
      <c r="X372" s="131">
        <f>IF(NFI_Expiration=1,IF($A372&lt;VLOOKUP(J$5,NFI,5,0),1,0)*Data_NFI_t[[#This Row],[NFI Core Kit]],0)</f>
        <v>0</v>
      </c>
      <c r="Y372" s="112">
        <f>IF(NFI_Expiration=1,IF($A372&lt;VLOOKUP(K$5,NFI,5,0),1,0)*Data_NFI_t[[#This Row],[Sanitary Kit]],0)</f>
        <v>0</v>
      </c>
      <c r="Z372" s="112">
        <f>IF(NFI_Expiration=1,IF($A372&lt;VLOOKUP(L$5,NFI,5,0),1,0)*Data_NFI_t[[#This Row],[Mosquito net]],0)</f>
        <v>0</v>
      </c>
      <c r="AA372" s="112">
        <f>IF(NFI_Expiration=1,IF($A372&lt;VLOOKUP(M$5,NFI,5,0),1,0)*Data_NFI_t[[#This Row],[Tarpaulin]],0)</f>
        <v>0</v>
      </c>
      <c r="AB372" s="112">
        <f>IF(NFI_Expiration=1,IF($A372&lt;VLOOKUP(N$5,NFI,5,0),1,0)*Data_NFI_t[[#This Row],[Blanket]],0)</f>
        <v>0</v>
      </c>
      <c r="AC372" s="112">
        <f>IF(NFI_Expiration=1,IF($A372&lt;VLOOKUP(O$5,NFI,5,0),1,0)*Data_NFI_t[[#This Row],[Kitchen Set]],0)</f>
        <v>0</v>
      </c>
      <c r="AD372" s="112">
        <f>IF(NFI_Expiration=1,IF($A372&lt;VLOOKUP(P$5,NFI,5,0),1,0)*Data_NFI_t[[#This Row],[Complementary Kit]],0)</f>
        <v>0</v>
      </c>
      <c r="AE372" s="112">
        <f>IF(NFI_Expiration=1,IF($A372&lt;VLOOKUP(Q$5,NFI,5,0),1,0)*Data_NFI_t[[#This Row],[Plastic Bucket]],0)</f>
        <v>0</v>
      </c>
      <c r="AF372" s="112">
        <f>IF(NFI_Expiration=1,IF($A372&lt;VLOOKUP(R$5,NFI,5,0),1,0)*Data_NFI_t[[#This Row],[Jerry Can]],0)</f>
        <v>0</v>
      </c>
      <c r="AG372" s="131">
        <f>IF(NFI_Expiration=1,IF($A372&lt;VLOOKUP(S$5,NFI,5,0),1,0)*Data_NFI_t[[#This Row],[Plastic Mat]],0)*IF(Data_NFI_t[[#This Row],[Distribution Date]]&gt;"01-06-2015",1,2.5)</f>
        <v>0</v>
      </c>
      <c r="AH372" s="915">
        <f>IF(NFI_Expiration=1,IF($A372&lt;VLOOKUP(T$5,NFI,5,0),1,0)*Data_NFI_t[[#This Row],[Adult Clothes]],0)</f>
        <v>0</v>
      </c>
      <c r="AI372" s="131">
        <f>IF(NFI_Expiration=1,IF($A372&lt;VLOOKUP(U$5,NFI,5,0),1,0)*Data_NFI_t[[#This Row],[Children Clothes]],0)</f>
        <v>0</v>
      </c>
      <c r="AJ372" s="131">
        <f>IF(NFI_Expiration=1,IF($A372&lt;VLOOKUP(V$5,NFI,5,0),1,0)*Data_NFI_t[[#This Row],[Sewing Kit]],0)</f>
        <v>0</v>
      </c>
      <c r="AK372" s="131" t="str">
        <f ca="1">IFERROR(OFFSET(Camp_List[P_Code],MATCH(Data_NFI_t[[#This Row],[Camp Name]],Camp_List[Camp Name],0)-1,0,1,1),"")</f>
        <v>MMR012CMP027</v>
      </c>
      <c r="AL372" s="513" t="str">
        <f ca="1">IFERROR(OFFSET(Camp_List[Status],MATCH(Data_NFI_t[[#This Row],[Camp Name]],Camp_List[Camp Name],0)-1,0,1,1),"")</f>
        <v>Returned</v>
      </c>
      <c r="AM372" s="131"/>
    </row>
    <row r="373" spans="1:42" s="90" customFormat="1" ht="19.5" customHeight="1" x14ac:dyDescent="0.25">
      <c r="A373" s="242">
        <f>IF(ISBLANK(C373),"",(Report_Date-C373)/30)</f>
        <v>54.966666666666669</v>
      </c>
      <c r="B373" s="242">
        <f>YEAR(Data_NFI_t[[#This Row],[Distribution Date]])</f>
        <v>2012</v>
      </c>
      <c r="C373" s="927">
        <v>41146</v>
      </c>
      <c r="D373" s="489" t="s">
        <v>285</v>
      </c>
      <c r="E373" s="488"/>
      <c r="F373" s="489" t="s">
        <v>7</v>
      </c>
      <c r="G373" s="794" t="s">
        <v>15</v>
      </c>
      <c r="H373" s="794" t="s">
        <v>50</v>
      </c>
      <c r="I373" s="794"/>
      <c r="J373" s="51"/>
      <c r="K373" s="51"/>
      <c r="L373" s="51"/>
      <c r="M373" s="51">
        <v>230</v>
      </c>
      <c r="N373" s="51"/>
      <c r="O373" s="51"/>
      <c r="P373" s="51">
        <v>230</v>
      </c>
      <c r="Q373" s="51"/>
      <c r="R373" s="511"/>
      <c r="S373" s="51"/>
      <c r="T373" s="51"/>
      <c r="U373" s="51"/>
      <c r="V373" s="51"/>
      <c r="W373" s="131">
        <f>IF(NFI_Expiration=1,IF($A373&lt;VLOOKUP(I$5,NFI,5,0),1,0)*Data_NFI_t[[#This Row],[Hygiene Kit]],0)</f>
        <v>0</v>
      </c>
      <c r="X373" s="131">
        <f>IF(NFI_Expiration=1,IF($A373&lt;VLOOKUP(J$5,NFI,5,0),1,0)*Data_NFI_t[[#This Row],[NFI Core Kit]],0)</f>
        <v>0</v>
      </c>
      <c r="Y373" s="112">
        <f>IF(NFI_Expiration=1,IF($A373&lt;VLOOKUP(K$5,NFI,5,0),1,0)*Data_NFI_t[[#This Row],[Sanitary Kit]],0)</f>
        <v>0</v>
      </c>
      <c r="Z373" s="112">
        <f>IF(NFI_Expiration=1,IF($A373&lt;VLOOKUP(L$5,NFI,5,0),1,0)*Data_NFI_t[[#This Row],[Mosquito net]],0)</f>
        <v>0</v>
      </c>
      <c r="AA373" s="112">
        <f>IF(NFI_Expiration=1,IF($A373&lt;VLOOKUP(M$5,NFI,5,0),1,0)*Data_NFI_t[[#This Row],[Tarpaulin]],0)</f>
        <v>0</v>
      </c>
      <c r="AB373" s="112">
        <f>IF(NFI_Expiration=1,IF($A373&lt;VLOOKUP(N$5,NFI,5,0),1,0)*Data_NFI_t[[#This Row],[Blanket]],0)</f>
        <v>0</v>
      </c>
      <c r="AC373" s="112">
        <f>IF(NFI_Expiration=1,IF($A373&lt;VLOOKUP(O$5,NFI,5,0),1,0)*Data_NFI_t[[#This Row],[Kitchen Set]],0)</f>
        <v>0</v>
      </c>
      <c r="AD373" s="112">
        <f>IF(NFI_Expiration=1,IF($A373&lt;VLOOKUP(P$5,NFI,5,0),1,0)*Data_NFI_t[[#This Row],[Complementary Kit]],0)</f>
        <v>0</v>
      </c>
      <c r="AE373" s="112">
        <f>IF(NFI_Expiration=1,IF($A373&lt;VLOOKUP(Q$5,NFI,5,0),1,0)*Data_NFI_t[[#This Row],[Plastic Bucket]],0)</f>
        <v>0</v>
      </c>
      <c r="AF373" s="112">
        <f>IF(NFI_Expiration=1,IF($A373&lt;VLOOKUP(R$5,NFI,5,0),1,0)*Data_NFI_t[[#This Row],[Jerry Can]],0)</f>
        <v>0</v>
      </c>
      <c r="AG373" s="131">
        <f>IF(NFI_Expiration=1,IF($A373&lt;VLOOKUP(S$5,NFI,5,0),1,0)*Data_NFI_t[[#This Row],[Plastic Mat]],0)*IF(Data_NFI_t[[#This Row],[Distribution Date]]&gt;"01-06-2015",1,2.5)</f>
        <v>0</v>
      </c>
      <c r="AH373" s="915">
        <f>IF(NFI_Expiration=1,IF($A373&lt;VLOOKUP(T$5,NFI,5,0),1,0)*Data_NFI_t[[#This Row],[Adult Clothes]],0)</f>
        <v>0</v>
      </c>
      <c r="AI373" s="131">
        <f>IF(NFI_Expiration=1,IF($A373&lt;VLOOKUP(U$5,NFI,5,0),1,0)*Data_NFI_t[[#This Row],[Children Clothes]],0)</f>
        <v>0</v>
      </c>
      <c r="AJ373" s="131">
        <f>IF(NFI_Expiration=1,IF($A373&lt;VLOOKUP(V$5,NFI,5,0),1,0)*Data_NFI_t[[#This Row],[Sewing Kit]],0)</f>
        <v>0</v>
      </c>
      <c r="AK373" s="131" t="str">
        <f ca="1">IFERROR(OFFSET(Camp_List[P_Code],MATCH(Data_NFI_t[[#This Row],[Camp Name]],Camp_List[Camp Name],0)-1,0,1,1),"")</f>
        <v>MMR012CMP026</v>
      </c>
      <c r="AL373" s="513" t="str">
        <f ca="1">IFERROR(OFFSET(Camp_List[Status],MATCH(Data_NFI_t[[#This Row],[Camp Name]],Camp_List[Camp Name],0)-1,0,1,1),"")</f>
        <v>Returned</v>
      </c>
      <c r="AM373" s="131"/>
    </row>
    <row r="374" spans="1:42" s="90" customFormat="1" ht="19.5" customHeight="1" x14ac:dyDescent="0.25">
      <c r="A374" s="242">
        <f>IF(ISBLANK(C374),"",(Report_Date-C374)/30)</f>
        <v>54.966666666666669</v>
      </c>
      <c r="B374" s="242">
        <f>YEAR(Data_NFI_t[[#This Row],[Distribution Date]])</f>
        <v>2012</v>
      </c>
      <c r="C374" s="927">
        <v>41146</v>
      </c>
      <c r="D374" s="489" t="s">
        <v>285</v>
      </c>
      <c r="E374" s="488"/>
      <c r="F374" s="489" t="s">
        <v>7</v>
      </c>
      <c r="G374" s="794" t="s">
        <v>15</v>
      </c>
      <c r="H374" s="794" t="s">
        <v>53</v>
      </c>
      <c r="I374" s="794"/>
      <c r="J374" s="51"/>
      <c r="K374" s="51"/>
      <c r="L374" s="51"/>
      <c r="M374" s="51">
        <v>144</v>
      </c>
      <c r="N374" s="51">
        <v>290</v>
      </c>
      <c r="O374" s="51">
        <v>40</v>
      </c>
      <c r="P374" s="51"/>
      <c r="Q374" s="51"/>
      <c r="R374" s="511"/>
      <c r="S374" s="51"/>
      <c r="T374" s="51"/>
      <c r="U374" s="51"/>
      <c r="V374" s="51"/>
      <c r="W374" s="131">
        <f>IF(NFI_Expiration=1,IF($A374&lt;VLOOKUP(I$5,NFI,5,0),1,0)*Data_NFI_t[[#This Row],[Hygiene Kit]],0)</f>
        <v>0</v>
      </c>
      <c r="X374" s="131">
        <f>IF(NFI_Expiration=1,IF($A374&lt;VLOOKUP(J$5,NFI,5,0),1,0)*Data_NFI_t[[#This Row],[NFI Core Kit]],0)</f>
        <v>0</v>
      </c>
      <c r="Y374" s="112">
        <f>IF(NFI_Expiration=1,IF($A374&lt;VLOOKUP(K$5,NFI,5,0),1,0)*Data_NFI_t[[#This Row],[Sanitary Kit]],0)</f>
        <v>0</v>
      </c>
      <c r="Z374" s="112">
        <f>IF(NFI_Expiration=1,IF($A374&lt;VLOOKUP(L$5,NFI,5,0),1,0)*Data_NFI_t[[#This Row],[Mosquito net]],0)</f>
        <v>0</v>
      </c>
      <c r="AA374" s="112">
        <f>IF(NFI_Expiration=1,IF($A374&lt;VLOOKUP(M$5,NFI,5,0),1,0)*Data_NFI_t[[#This Row],[Tarpaulin]],0)</f>
        <v>0</v>
      </c>
      <c r="AB374" s="112">
        <f>IF(NFI_Expiration=1,IF($A374&lt;VLOOKUP(N$5,NFI,5,0),1,0)*Data_NFI_t[[#This Row],[Blanket]],0)</f>
        <v>0</v>
      </c>
      <c r="AC374" s="112">
        <f>IF(NFI_Expiration=1,IF($A374&lt;VLOOKUP(O$5,NFI,5,0),1,0)*Data_NFI_t[[#This Row],[Kitchen Set]],0)</f>
        <v>0</v>
      </c>
      <c r="AD374" s="112">
        <f>IF(NFI_Expiration=1,IF($A374&lt;VLOOKUP(P$5,NFI,5,0),1,0)*Data_NFI_t[[#This Row],[Complementary Kit]],0)</f>
        <v>0</v>
      </c>
      <c r="AE374" s="112">
        <f>IF(NFI_Expiration=1,IF($A374&lt;VLOOKUP(Q$5,NFI,5,0),1,0)*Data_NFI_t[[#This Row],[Plastic Bucket]],0)</f>
        <v>0</v>
      </c>
      <c r="AF374" s="112">
        <f>IF(NFI_Expiration=1,IF($A374&lt;VLOOKUP(R$5,NFI,5,0),1,0)*Data_NFI_t[[#This Row],[Jerry Can]],0)</f>
        <v>0</v>
      </c>
      <c r="AG374" s="131">
        <f>IF(NFI_Expiration=1,IF($A374&lt;VLOOKUP(S$5,NFI,5,0),1,0)*Data_NFI_t[[#This Row],[Plastic Mat]],0)*IF(Data_NFI_t[[#This Row],[Distribution Date]]&gt;"01-06-2015",1,2.5)</f>
        <v>0</v>
      </c>
      <c r="AH374" s="915">
        <f>IF(NFI_Expiration=1,IF($A374&lt;VLOOKUP(T$5,NFI,5,0),1,0)*Data_NFI_t[[#This Row],[Adult Clothes]],0)</f>
        <v>0</v>
      </c>
      <c r="AI374" s="131">
        <f>IF(NFI_Expiration=1,IF($A374&lt;VLOOKUP(U$5,NFI,5,0),1,0)*Data_NFI_t[[#This Row],[Children Clothes]],0)</f>
        <v>0</v>
      </c>
      <c r="AJ374" s="131">
        <f>IF(NFI_Expiration=1,IF($A374&lt;VLOOKUP(V$5,NFI,5,0),1,0)*Data_NFI_t[[#This Row],[Sewing Kit]],0)</f>
        <v>0</v>
      </c>
      <c r="AK374" s="131" t="str">
        <f ca="1">IFERROR(OFFSET(Camp_List[P_Code],MATCH(Data_NFI_t[[#This Row],[Camp Name]],Camp_List[Camp Name],0)-1,0,1,1),"")</f>
        <v>MMR012CMP029</v>
      </c>
      <c r="AL374" s="513" t="str">
        <f ca="1">IFERROR(OFFSET(Camp_List[Status],MATCH(Data_NFI_t[[#This Row],[Camp Name]],Camp_List[Camp Name],0)-1,0,1,1),"")</f>
        <v>Returned</v>
      </c>
      <c r="AM374" s="131"/>
    </row>
    <row r="375" spans="1:42" s="90" customFormat="1" ht="19.5" customHeight="1" x14ac:dyDescent="0.25">
      <c r="A375" s="242">
        <f>IF(ISBLANK(C375),"",(Report_Date-C375)/30)</f>
        <v>54.966666666666669</v>
      </c>
      <c r="B375" s="242">
        <f>YEAR(Data_NFI_t[[#This Row],[Distribution Date]])</f>
        <v>2012</v>
      </c>
      <c r="C375" s="927">
        <v>41146</v>
      </c>
      <c r="D375" s="489" t="s">
        <v>285</v>
      </c>
      <c r="E375" s="488"/>
      <c r="F375" s="489" t="s">
        <v>7</v>
      </c>
      <c r="G375" s="794" t="s">
        <v>15</v>
      </c>
      <c r="H375" s="794" t="s">
        <v>52</v>
      </c>
      <c r="I375" s="794"/>
      <c r="J375" s="51"/>
      <c r="K375" s="51"/>
      <c r="L375" s="51"/>
      <c r="M375" s="51">
        <v>107</v>
      </c>
      <c r="N375" s="51"/>
      <c r="O375" s="51"/>
      <c r="P375" s="51"/>
      <c r="Q375" s="51"/>
      <c r="R375" s="511"/>
      <c r="S375" s="51"/>
      <c r="T375" s="51"/>
      <c r="U375" s="51"/>
      <c r="V375" s="51"/>
      <c r="W375" s="131">
        <f>IF(NFI_Expiration=1,IF($A375&lt;VLOOKUP(I$5,NFI,5,0),1,0)*Data_NFI_t[[#This Row],[Hygiene Kit]],0)</f>
        <v>0</v>
      </c>
      <c r="X375" s="131">
        <f>IF(NFI_Expiration=1,IF($A375&lt;VLOOKUP(J$5,NFI,5,0),1,0)*Data_NFI_t[[#This Row],[NFI Core Kit]],0)</f>
        <v>0</v>
      </c>
      <c r="Y375" s="112">
        <f>IF(NFI_Expiration=1,IF($A375&lt;VLOOKUP(K$5,NFI,5,0),1,0)*Data_NFI_t[[#This Row],[Sanitary Kit]],0)</f>
        <v>0</v>
      </c>
      <c r="Z375" s="112">
        <f>IF(NFI_Expiration=1,IF($A375&lt;VLOOKUP(L$5,NFI,5,0),1,0)*Data_NFI_t[[#This Row],[Mosquito net]],0)</f>
        <v>0</v>
      </c>
      <c r="AA375" s="112">
        <f>IF(NFI_Expiration=1,IF($A375&lt;VLOOKUP(M$5,NFI,5,0),1,0)*Data_NFI_t[[#This Row],[Tarpaulin]],0)</f>
        <v>0</v>
      </c>
      <c r="AB375" s="112">
        <f>IF(NFI_Expiration=1,IF($A375&lt;VLOOKUP(N$5,NFI,5,0),1,0)*Data_NFI_t[[#This Row],[Blanket]],0)</f>
        <v>0</v>
      </c>
      <c r="AC375" s="112">
        <f>IF(NFI_Expiration=1,IF($A375&lt;VLOOKUP(O$5,NFI,5,0),1,0)*Data_NFI_t[[#This Row],[Kitchen Set]],0)</f>
        <v>0</v>
      </c>
      <c r="AD375" s="112">
        <f>IF(NFI_Expiration=1,IF($A375&lt;VLOOKUP(P$5,NFI,5,0),1,0)*Data_NFI_t[[#This Row],[Complementary Kit]],0)</f>
        <v>0</v>
      </c>
      <c r="AE375" s="112">
        <f>IF(NFI_Expiration=1,IF($A375&lt;VLOOKUP(Q$5,NFI,5,0),1,0)*Data_NFI_t[[#This Row],[Plastic Bucket]],0)</f>
        <v>0</v>
      </c>
      <c r="AF375" s="112">
        <f>IF(NFI_Expiration=1,IF($A375&lt;VLOOKUP(R$5,NFI,5,0),1,0)*Data_NFI_t[[#This Row],[Jerry Can]],0)</f>
        <v>0</v>
      </c>
      <c r="AG375" s="131">
        <f>IF(NFI_Expiration=1,IF($A375&lt;VLOOKUP(S$5,NFI,5,0),1,0)*Data_NFI_t[[#This Row],[Plastic Mat]],0)*IF(Data_NFI_t[[#This Row],[Distribution Date]]&gt;"01-06-2015",1,2.5)</f>
        <v>0</v>
      </c>
      <c r="AH375" s="915">
        <f>IF(NFI_Expiration=1,IF($A375&lt;VLOOKUP(T$5,NFI,5,0),1,0)*Data_NFI_t[[#This Row],[Adult Clothes]],0)</f>
        <v>0</v>
      </c>
      <c r="AI375" s="131">
        <f>IF(NFI_Expiration=1,IF($A375&lt;VLOOKUP(U$5,NFI,5,0),1,0)*Data_NFI_t[[#This Row],[Children Clothes]],0)</f>
        <v>0</v>
      </c>
      <c r="AJ375" s="131">
        <f>IF(NFI_Expiration=1,IF($A375&lt;VLOOKUP(V$5,NFI,5,0),1,0)*Data_NFI_t[[#This Row],[Sewing Kit]],0)</f>
        <v>0</v>
      </c>
      <c r="AK375" s="131" t="str">
        <f ca="1">IFERROR(OFFSET(Camp_List[P_Code],MATCH(Data_NFI_t[[#This Row],[Camp Name]],Camp_List[Camp Name],0)-1,0,1,1),"")</f>
        <v>MMR012CMP028</v>
      </c>
      <c r="AL375" s="513" t="str">
        <f ca="1">IFERROR(OFFSET(Camp_List[Status],MATCH(Data_NFI_t[[#This Row],[Camp Name]],Camp_List[Camp Name],0)-1,0,1,1),"")</f>
        <v>Returned</v>
      </c>
      <c r="AM375" s="131"/>
    </row>
    <row r="376" spans="1:42" s="90" customFormat="1" ht="19.5" customHeight="1" x14ac:dyDescent="0.25">
      <c r="A376" s="242">
        <f>IF(ISBLANK(C376),"",(Report_Date-C376)/30)</f>
        <v>55.033333333333331</v>
      </c>
      <c r="B376" s="242">
        <f>YEAR(Data_NFI_t[[#This Row],[Distribution Date]])</f>
        <v>2012</v>
      </c>
      <c r="C376" s="927">
        <v>41144</v>
      </c>
      <c r="D376" s="489" t="s">
        <v>285</v>
      </c>
      <c r="E376" s="488"/>
      <c r="F376" s="489" t="s">
        <v>7</v>
      </c>
      <c r="G376" s="794" t="s">
        <v>19</v>
      </c>
      <c r="H376" s="794" t="s">
        <v>63</v>
      </c>
      <c r="I376" s="794"/>
      <c r="J376" s="51"/>
      <c r="K376" s="51"/>
      <c r="L376" s="51"/>
      <c r="M376" s="51">
        <v>805</v>
      </c>
      <c r="N376" s="51"/>
      <c r="O376" s="51"/>
      <c r="P376" s="51"/>
      <c r="Q376" s="51"/>
      <c r="R376" s="511"/>
      <c r="S376" s="51"/>
      <c r="T376" s="51"/>
      <c r="U376" s="51"/>
      <c r="V376" s="51"/>
      <c r="W376" s="131">
        <f>IF(NFI_Expiration=1,IF($A376&lt;VLOOKUP(I$5,NFI,5,0),1,0)*Data_NFI_t[[#This Row],[Hygiene Kit]],0)</f>
        <v>0</v>
      </c>
      <c r="X376" s="131">
        <f>IF(NFI_Expiration=1,IF($A376&lt;VLOOKUP(J$5,NFI,5,0),1,0)*Data_NFI_t[[#This Row],[NFI Core Kit]],0)</f>
        <v>0</v>
      </c>
      <c r="Y376" s="112">
        <f>IF(NFI_Expiration=1,IF($A376&lt;VLOOKUP(K$5,NFI,5,0),1,0)*Data_NFI_t[[#This Row],[Sanitary Kit]],0)</f>
        <v>0</v>
      </c>
      <c r="Z376" s="112">
        <f>IF(NFI_Expiration=1,IF($A376&lt;VLOOKUP(L$5,NFI,5,0),1,0)*Data_NFI_t[[#This Row],[Mosquito net]],0)</f>
        <v>0</v>
      </c>
      <c r="AA376" s="112">
        <f>IF(NFI_Expiration=1,IF($A376&lt;VLOOKUP(M$5,NFI,5,0),1,0)*Data_NFI_t[[#This Row],[Tarpaulin]],0)</f>
        <v>0</v>
      </c>
      <c r="AB376" s="112">
        <f>IF(NFI_Expiration=1,IF($A376&lt;VLOOKUP(N$5,NFI,5,0),1,0)*Data_NFI_t[[#This Row],[Blanket]],0)</f>
        <v>0</v>
      </c>
      <c r="AC376" s="112">
        <f>IF(NFI_Expiration=1,IF($A376&lt;VLOOKUP(O$5,NFI,5,0),1,0)*Data_NFI_t[[#This Row],[Kitchen Set]],0)</f>
        <v>0</v>
      </c>
      <c r="AD376" s="112">
        <f>IF(NFI_Expiration=1,IF($A376&lt;VLOOKUP(P$5,NFI,5,0),1,0)*Data_NFI_t[[#This Row],[Complementary Kit]],0)</f>
        <v>0</v>
      </c>
      <c r="AE376" s="112">
        <f>IF(NFI_Expiration=1,IF($A376&lt;VLOOKUP(Q$5,NFI,5,0),1,0)*Data_NFI_t[[#This Row],[Plastic Bucket]],0)</f>
        <v>0</v>
      </c>
      <c r="AF376" s="112">
        <f>IF(NFI_Expiration=1,IF($A376&lt;VLOOKUP(R$5,NFI,5,0),1,0)*Data_NFI_t[[#This Row],[Jerry Can]],0)</f>
        <v>0</v>
      </c>
      <c r="AG376" s="131">
        <f>IF(NFI_Expiration=1,IF($A376&lt;VLOOKUP(S$5,NFI,5,0),1,0)*Data_NFI_t[[#This Row],[Plastic Mat]],0)*IF(Data_NFI_t[[#This Row],[Distribution Date]]&gt;"01-06-2015",1,2.5)</f>
        <v>0</v>
      </c>
      <c r="AH376" s="915">
        <f>IF(NFI_Expiration=1,IF($A376&lt;VLOOKUP(T$5,NFI,5,0),1,0)*Data_NFI_t[[#This Row],[Adult Clothes]],0)</f>
        <v>0</v>
      </c>
      <c r="AI376" s="131">
        <f>IF(NFI_Expiration=1,IF($A376&lt;VLOOKUP(U$5,NFI,5,0),1,0)*Data_NFI_t[[#This Row],[Children Clothes]],0)</f>
        <v>0</v>
      </c>
      <c r="AJ376" s="131">
        <f>IF(NFI_Expiration=1,IF($A376&lt;VLOOKUP(V$5,NFI,5,0),1,0)*Data_NFI_t[[#This Row],[Sewing Kit]],0)</f>
        <v>0</v>
      </c>
      <c r="AK376" s="131" t="str">
        <f ca="1">IFERROR(OFFSET(Camp_List[P_Code],MATCH(Data_NFI_t[[#This Row],[Camp Name]],Camp_List[Camp Name],0)-1,0,1,1),"")</f>
        <v>MMR012CMP041</v>
      </c>
      <c r="AL376" s="513" t="str">
        <f ca="1">IFERROR(OFFSET(Camp_List[Status],MATCH(Data_NFI_t[[#This Row],[Camp Name]],Camp_List[Camp Name],0)-1,0,1,1),"")</f>
        <v>Open</v>
      </c>
      <c r="AM376" s="131"/>
    </row>
    <row r="377" spans="1:42" s="90" customFormat="1" ht="19.5" customHeight="1" x14ac:dyDescent="0.25">
      <c r="A377" s="242">
        <f>IF(ISBLANK(C377),"",(Report_Date-C377)/30)</f>
        <v>55.633333333333333</v>
      </c>
      <c r="B377" s="242">
        <f>YEAR(Data_NFI_t[[#This Row],[Distribution Date]])</f>
        <v>2012</v>
      </c>
      <c r="C377" s="927">
        <v>41126</v>
      </c>
      <c r="D377" s="489" t="s">
        <v>285</v>
      </c>
      <c r="E377" s="488"/>
      <c r="F377" s="489" t="s">
        <v>7</v>
      </c>
      <c r="G377" s="794" t="s">
        <v>19</v>
      </c>
      <c r="H377" s="794" t="s">
        <v>70</v>
      </c>
      <c r="I377" s="794"/>
      <c r="J377" s="51"/>
      <c r="K377" s="51"/>
      <c r="L377" s="51"/>
      <c r="M377" s="51">
        <v>98</v>
      </c>
      <c r="N377" s="51"/>
      <c r="O377" s="51"/>
      <c r="P377" s="51"/>
      <c r="Q377" s="51"/>
      <c r="R377" s="511"/>
      <c r="S377" s="51"/>
      <c r="T377" s="51"/>
      <c r="U377" s="51"/>
      <c r="V377" s="51"/>
      <c r="W377" s="131">
        <f>IF(NFI_Expiration=1,IF($A377&lt;VLOOKUP(I$5,NFI,5,0),1,0)*Data_NFI_t[[#This Row],[Hygiene Kit]],0)</f>
        <v>0</v>
      </c>
      <c r="X377" s="131">
        <f>IF(NFI_Expiration=1,IF($A377&lt;VLOOKUP(J$5,NFI,5,0),1,0)*Data_NFI_t[[#This Row],[NFI Core Kit]],0)</f>
        <v>0</v>
      </c>
      <c r="Y377" s="112">
        <f>IF(NFI_Expiration=1,IF($A377&lt;VLOOKUP(K$5,NFI,5,0),1,0)*Data_NFI_t[[#This Row],[Sanitary Kit]],0)</f>
        <v>0</v>
      </c>
      <c r="Z377" s="112">
        <f>IF(NFI_Expiration=1,IF($A377&lt;VLOOKUP(L$5,NFI,5,0),1,0)*Data_NFI_t[[#This Row],[Mosquito net]],0)</f>
        <v>0</v>
      </c>
      <c r="AA377" s="112">
        <f>IF(NFI_Expiration=1,IF($A377&lt;VLOOKUP(M$5,NFI,5,0),1,0)*Data_NFI_t[[#This Row],[Tarpaulin]],0)</f>
        <v>0</v>
      </c>
      <c r="AB377" s="112">
        <f>IF(NFI_Expiration=1,IF($A377&lt;VLOOKUP(N$5,NFI,5,0),1,0)*Data_NFI_t[[#This Row],[Blanket]],0)</f>
        <v>0</v>
      </c>
      <c r="AC377" s="112">
        <f>IF(NFI_Expiration=1,IF($A377&lt;VLOOKUP(O$5,NFI,5,0),1,0)*Data_NFI_t[[#This Row],[Kitchen Set]],0)</f>
        <v>0</v>
      </c>
      <c r="AD377" s="112">
        <f>IF(NFI_Expiration=1,IF($A377&lt;VLOOKUP(P$5,NFI,5,0),1,0)*Data_NFI_t[[#This Row],[Complementary Kit]],0)</f>
        <v>0</v>
      </c>
      <c r="AE377" s="112">
        <f>IF(NFI_Expiration=1,IF($A377&lt;VLOOKUP(Q$5,NFI,5,0),1,0)*Data_NFI_t[[#This Row],[Plastic Bucket]],0)</f>
        <v>0</v>
      </c>
      <c r="AF377" s="112">
        <f>IF(NFI_Expiration=1,IF($A377&lt;VLOOKUP(R$5,NFI,5,0),1,0)*Data_NFI_t[[#This Row],[Jerry Can]],0)</f>
        <v>0</v>
      </c>
      <c r="AG377" s="131">
        <f>IF(NFI_Expiration=1,IF($A377&lt;VLOOKUP(S$5,NFI,5,0),1,0)*Data_NFI_t[[#This Row],[Plastic Mat]],0)*IF(Data_NFI_t[[#This Row],[Distribution Date]]&gt;"01-06-2015",1,2.5)</f>
        <v>0</v>
      </c>
      <c r="AH377" s="915">
        <f>IF(NFI_Expiration=1,IF($A377&lt;VLOOKUP(T$5,NFI,5,0),1,0)*Data_NFI_t[[#This Row],[Adult Clothes]],0)</f>
        <v>0</v>
      </c>
      <c r="AI377" s="131">
        <f>IF(NFI_Expiration=1,IF($A377&lt;VLOOKUP(U$5,NFI,5,0),1,0)*Data_NFI_t[[#This Row],[Children Clothes]],0)</f>
        <v>0</v>
      </c>
      <c r="AJ377" s="131">
        <f>IF(NFI_Expiration=1,IF($A377&lt;VLOOKUP(V$5,NFI,5,0),1,0)*Data_NFI_t[[#This Row],[Sewing Kit]],0)</f>
        <v>0</v>
      </c>
      <c r="AK377" s="131" t="str">
        <f ca="1">IFERROR(OFFSET(Camp_List[P_Code],MATCH(Data_NFI_t[[#This Row],[Camp Name]],Camp_List[Camp Name],0)-1,0,1,1),"")</f>
        <v>MMR012CMP048</v>
      </c>
      <c r="AL377" s="513" t="str">
        <f ca="1">IFERROR(OFFSET(Camp_List[Status],MATCH(Data_NFI_t[[#This Row],[Camp Name]],Camp_List[Camp Name],0)-1,0,1,1),"")</f>
        <v>Open</v>
      </c>
      <c r="AM377" s="131"/>
    </row>
    <row r="378" spans="1:42" s="90" customFormat="1" ht="19.5" customHeight="1" x14ac:dyDescent="0.25">
      <c r="A378" s="242">
        <f>IF(ISBLANK(C378),"",(Report_Date-C378)/30)</f>
        <v>55.833333333333336</v>
      </c>
      <c r="B378" s="242">
        <f>YEAR(Data_NFI_t[[#This Row],[Distribution Date]])</f>
        <v>2012</v>
      </c>
      <c r="C378" s="927">
        <v>41120</v>
      </c>
      <c r="D378" s="489" t="s">
        <v>285</v>
      </c>
      <c r="E378" s="488"/>
      <c r="F378" s="489" t="s">
        <v>7</v>
      </c>
      <c r="G378" s="794" t="s">
        <v>19</v>
      </c>
      <c r="H378" s="794" t="s">
        <v>67</v>
      </c>
      <c r="I378" s="794"/>
      <c r="J378" s="51"/>
      <c r="K378" s="51"/>
      <c r="L378" s="51"/>
      <c r="M378" s="51">
        <v>461</v>
      </c>
      <c r="N378" s="51"/>
      <c r="O378" s="51"/>
      <c r="P378" s="51"/>
      <c r="Q378" s="51"/>
      <c r="R378" s="511"/>
      <c r="S378" s="51"/>
      <c r="T378" s="51"/>
      <c r="U378" s="51"/>
      <c r="V378" s="51"/>
      <c r="W378" s="131">
        <f>IF(NFI_Expiration=1,IF($A378&lt;VLOOKUP(I$5,NFI,5,0),1,0)*Data_NFI_t[[#This Row],[Hygiene Kit]],0)</f>
        <v>0</v>
      </c>
      <c r="X378" s="131">
        <f>IF(NFI_Expiration=1,IF($A378&lt;VLOOKUP(J$5,NFI,5,0),1,0)*Data_NFI_t[[#This Row],[NFI Core Kit]],0)</f>
        <v>0</v>
      </c>
      <c r="Y378" s="112">
        <f>IF(NFI_Expiration=1,IF($A378&lt;VLOOKUP(K$5,NFI,5,0),1,0)*Data_NFI_t[[#This Row],[Sanitary Kit]],0)</f>
        <v>0</v>
      </c>
      <c r="Z378" s="112">
        <f>IF(NFI_Expiration=1,IF($A378&lt;VLOOKUP(L$5,NFI,5,0),1,0)*Data_NFI_t[[#This Row],[Mosquito net]],0)</f>
        <v>0</v>
      </c>
      <c r="AA378" s="112">
        <f>IF(NFI_Expiration=1,IF($A378&lt;VLOOKUP(M$5,NFI,5,0),1,0)*Data_NFI_t[[#This Row],[Tarpaulin]],0)</f>
        <v>0</v>
      </c>
      <c r="AB378" s="112">
        <f>IF(NFI_Expiration=1,IF($A378&lt;VLOOKUP(N$5,NFI,5,0),1,0)*Data_NFI_t[[#This Row],[Blanket]],0)</f>
        <v>0</v>
      </c>
      <c r="AC378" s="112">
        <f>IF(NFI_Expiration=1,IF($A378&lt;VLOOKUP(O$5,NFI,5,0),1,0)*Data_NFI_t[[#This Row],[Kitchen Set]],0)</f>
        <v>0</v>
      </c>
      <c r="AD378" s="112">
        <f>IF(NFI_Expiration=1,IF($A378&lt;VLOOKUP(P$5,NFI,5,0),1,0)*Data_NFI_t[[#This Row],[Complementary Kit]],0)</f>
        <v>0</v>
      </c>
      <c r="AE378" s="112">
        <f>IF(NFI_Expiration=1,IF($A378&lt;VLOOKUP(Q$5,NFI,5,0),1,0)*Data_NFI_t[[#This Row],[Plastic Bucket]],0)</f>
        <v>0</v>
      </c>
      <c r="AF378" s="112">
        <f>IF(NFI_Expiration=1,IF($A378&lt;VLOOKUP(R$5,NFI,5,0),1,0)*Data_NFI_t[[#This Row],[Jerry Can]],0)</f>
        <v>0</v>
      </c>
      <c r="AG378" s="131">
        <f>IF(NFI_Expiration=1,IF($A378&lt;VLOOKUP(S$5,NFI,5,0),1,0)*Data_NFI_t[[#This Row],[Plastic Mat]],0)*IF(Data_NFI_t[[#This Row],[Distribution Date]]&gt;"01-06-2015",1,2.5)</f>
        <v>0</v>
      </c>
      <c r="AH378" s="915">
        <f>IF(NFI_Expiration=1,IF($A378&lt;VLOOKUP(T$5,NFI,5,0),1,0)*Data_NFI_t[[#This Row],[Adult Clothes]],0)</f>
        <v>0</v>
      </c>
      <c r="AI378" s="131">
        <f>IF(NFI_Expiration=1,IF($A378&lt;VLOOKUP(U$5,NFI,5,0),1,0)*Data_NFI_t[[#This Row],[Children Clothes]],0)</f>
        <v>0</v>
      </c>
      <c r="AJ378" s="131">
        <f>IF(NFI_Expiration=1,IF($A378&lt;VLOOKUP(V$5,NFI,5,0),1,0)*Data_NFI_t[[#This Row],[Sewing Kit]],0)</f>
        <v>0</v>
      </c>
      <c r="AK378" s="131" t="str">
        <f ca="1">IFERROR(OFFSET(Camp_List[P_Code],MATCH(Data_NFI_t[[#This Row],[Camp Name]],Camp_List[Camp Name],0)-1,0,1,1),"")</f>
        <v>MMR012CMP045</v>
      </c>
      <c r="AL378" s="513" t="str">
        <f ca="1">IFERROR(OFFSET(Camp_List[Status],MATCH(Data_NFI_t[[#This Row],[Camp Name]],Camp_List[Camp Name],0)-1,0,1,1),"")</f>
        <v>Open</v>
      </c>
      <c r="AM378" s="131"/>
    </row>
    <row r="379" spans="1:42" s="90" customFormat="1" ht="19.5" customHeight="1" x14ac:dyDescent="0.25">
      <c r="A379" s="242">
        <f>IF(ISBLANK(C379),"",(Report_Date-C379)/30)</f>
        <v>55.833333333333336</v>
      </c>
      <c r="B379" s="242">
        <f>YEAR(Data_NFI_t[[#This Row],[Distribution Date]])</f>
        <v>2012</v>
      </c>
      <c r="C379" s="927">
        <v>41120</v>
      </c>
      <c r="D379" s="489" t="s">
        <v>285</v>
      </c>
      <c r="E379" s="488"/>
      <c r="F379" s="489" t="s">
        <v>7</v>
      </c>
      <c r="G379" s="794" t="s">
        <v>19</v>
      </c>
      <c r="H379" s="794" t="s">
        <v>70</v>
      </c>
      <c r="I379" s="794"/>
      <c r="J379" s="51"/>
      <c r="K379" s="51"/>
      <c r="L379" s="51"/>
      <c r="M379" s="51">
        <v>11</v>
      </c>
      <c r="N379" s="51"/>
      <c r="O379" s="51"/>
      <c r="P379" s="51"/>
      <c r="Q379" s="51"/>
      <c r="R379" s="511"/>
      <c r="S379" s="51"/>
      <c r="T379" s="51"/>
      <c r="U379" s="51"/>
      <c r="V379" s="51"/>
      <c r="W379" s="131">
        <f>IF(NFI_Expiration=1,IF($A379&lt;VLOOKUP(I$5,NFI,5,0),1,0)*Data_NFI_t[[#This Row],[Hygiene Kit]],0)</f>
        <v>0</v>
      </c>
      <c r="X379" s="131">
        <f>IF(NFI_Expiration=1,IF($A379&lt;VLOOKUP(J$5,NFI,5,0),1,0)*Data_NFI_t[[#This Row],[NFI Core Kit]],0)</f>
        <v>0</v>
      </c>
      <c r="Y379" s="112">
        <f>IF(NFI_Expiration=1,IF($A379&lt;VLOOKUP(K$5,NFI,5,0),1,0)*Data_NFI_t[[#This Row],[Sanitary Kit]],0)</f>
        <v>0</v>
      </c>
      <c r="Z379" s="112">
        <f>IF(NFI_Expiration=1,IF($A379&lt;VLOOKUP(L$5,NFI,5,0),1,0)*Data_NFI_t[[#This Row],[Mosquito net]],0)</f>
        <v>0</v>
      </c>
      <c r="AA379" s="112">
        <f>IF(NFI_Expiration=1,IF($A379&lt;VLOOKUP(M$5,NFI,5,0),1,0)*Data_NFI_t[[#This Row],[Tarpaulin]],0)</f>
        <v>0</v>
      </c>
      <c r="AB379" s="112">
        <f>IF(NFI_Expiration=1,IF($A379&lt;VLOOKUP(N$5,NFI,5,0),1,0)*Data_NFI_t[[#This Row],[Blanket]],0)</f>
        <v>0</v>
      </c>
      <c r="AC379" s="112">
        <f>IF(NFI_Expiration=1,IF($A379&lt;VLOOKUP(O$5,NFI,5,0),1,0)*Data_NFI_t[[#This Row],[Kitchen Set]],0)</f>
        <v>0</v>
      </c>
      <c r="AD379" s="112">
        <f>IF(NFI_Expiration=1,IF($A379&lt;VLOOKUP(P$5,NFI,5,0),1,0)*Data_NFI_t[[#This Row],[Complementary Kit]],0)</f>
        <v>0</v>
      </c>
      <c r="AE379" s="112">
        <f>IF(NFI_Expiration=1,IF($A379&lt;VLOOKUP(Q$5,NFI,5,0),1,0)*Data_NFI_t[[#This Row],[Plastic Bucket]],0)</f>
        <v>0</v>
      </c>
      <c r="AF379" s="112">
        <f>IF(NFI_Expiration=1,IF($A379&lt;VLOOKUP(R$5,NFI,5,0),1,0)*Data_NFI_t[[#This Row],[Jerry Can]],0)</f>
        <v>0</v>
      </c>
      <c r="AG379" s="131">
        <f>IF(NFI_Expiration=1,IF($A379&lt;VLOOKUP(S$5,NFI,5,0),1,0)*Data_NFI_t[[#This Row],[Plastic Mat]],0)*IF(Data_NFI_t[[#This Row],[Distribution Date]]&gt;"01-06-2015",1,2.5)</f>
        <v>0</v>
      </c>
      <c r="AH379" s="915">
        <f>IF(NFI_Expiration=1,IF($A379&lt;VLOOKUP(T$5,NFI,5,0),1,0)*Data_NFI_t[[#This Row],[Adult Clothes]],0)</f>
        <v>0</v>
      </c>
      <c r="AI379" s="131">
        <f>IF(NFI_Expiration=1,IF($A379&lt;VLOOKUP(U$5,NFI,5,0),1,0)*Data_NFI_t[[#This Row],[Children Clothes]],0)</f>
        <v>0</v>
      </c>
      <c r="AJ379" s="131">
        <f>IF(NFI_Expiration=1,IF($A379&lt;VLOOKUP(V$5,NFI,5,0),1,0)*Data_NFI_t[[#This Row],[Sewing Kit]],0)</f>
        <v>0</v>
      </c>
      <c r="AK379" s="131" t="str">
        <f ca="1">IFERROR(OFFSET(Camp_List[P_Code],MATCH(Data_NFI_t[[#This Row],[Camp Name]],Camp_List[Camp Name],0)-1,0,1,1),"")</f>
        <v>MMR012CMP048</v>
      </c>
      <c r="AL379" s="513" t="str">
        <f ca="1">IFERROR(OFFSET(Camp_List[Status],MATCH(Data_NFI_t[[#This Row],[Camp Name]],Camp_List[Camp Name],0)-1,0,1,1),"")</f>
        <v>Open</v>
      </c>
      <c r="AM379" s="131"/>
    </row>
    <row r="380" spans="1:42" s="90" customFormat="1" ht="19.5" customHeight="1" x14ac:dyDescent="0.25">
      <c r="A380" s="242">
        <f>IF(ISBLANK(C380),"",(Report_Date-C380)/30)</f>
        <v>55.866666666666667</v>
      </c>
      <c r="B380" s="242">
        <f>YEAR(Data_NFI_t[[#This Row],[Distribution Date]])</f>
        <v>2012</v>
      </c>
      <c r="C380" s="927">
        <v>41119</v>
      </c>
      <c r="D380" s="489" t="s">
        <v>285</v>
      </c>
      <c r="E380" s="488"/>
      <c r="F380" s="489" t="s">
        <v>7</v>
      </c>
      <c r="G380" s="794" t="s">
        <v>19</v>
      </c>
      <c r="H380" s="794" t="s">
        <v>64</v>
      </c>
      <c r="I380" s="794"/>
      <c r="J380" s="51"/>
      <c r="K380" s="51"/>
      <c r="L380" s="51"/>
      <c r="M380" s="51">
        <v>22</v>
      </c>
      <c r="N380" s="51"/>
      <c r="O380" s="51"/>
      <c r="P380" s="51"/>
      <c r="Q380" s="51"/>
      <c r="R380" s="511"/>
      <c r="S380" s="51"/>
      <c r="T380" s="51"/>
      <c r="U380" s="51"/>
      <c r="V380" s="51"/>
      <c r="W380" s="131">
        <f>IF(NFI_Expiration=1,IF($A380&lt;VLOOKUP(I$5,NFI,5,0),1,0)*Data_NFI_t[[#This Row],[Hygiene Kit]],0)</f>
        <v>0</v>
      </c>
      <c r="X380" s="131">
        <f>IF(NFI_Expiration=1,IF($A380&lt;VLOOKUP(J$5,NFI,5,0),1,0)*Data_NFI_t[[#This Row],[NFI Core Kit]],0)</f>
        <v>0</v>
      </c>
      <c r="Y380" s="112">
        <f>IF(NFI_Expiration=1,IF($A380&lt;VLOOKUP(K$5,NFI,5,0),1,0)*Data_NFI_t[[#This Row],[Sanitary Kit]],0)</f>
        <v>0</v>
      </c>
      <c r="Z380" s="112">
        <f>IF(NFI_Expiration=1,IF($A380&lt;VLOOKUP(L$5,NFI,5,0),1,0)*Data_NFI_t[[#This Row],[Mosquito net]],0)</f>
        <v>0</v>
      </c>
      <c r="AA380" s="112">
        <f>IF(NFI_Expiration=1,IF($A380&lt;VLOOKUP(M$5,NFI,5,0),1,0)*Data_NFI_t[[#This Row],[Tarpaulin]],0)</f>
        <v>0</v>
      </c>
      <c r="AB380" s="112">
        <f>IF(NFI_Expiration=1,IF($A380&lt;VLOOKUP(N$5,NFI,5,0),1,0)*Data_NFI_t[[#This Row],[Blanket]],0)</f>
        <v>0</v>
      </c>
      <c r="AC380" s="112">
        <f>IF(NFI_Expiration=1,IF($A380&lt;VLOOKUP(O$5,NFI,5,0),1,0)*Data_NFI_t[[#This Row],[Kitchen Set]],0)</f>
        <v>0</v>
      </c>
      <c r="AD380" s="112">
        <f>IF(NFI_Expiration=1,IF($A380&lt;VLOOKUP(P$5,NFI,5,0),1,0)*Data_NFI_t[[#This Row],[Complementary Kit]],0)</f>
        <v>0</v>
      </c>
      <c r="AE380" s="112">
        <f>IF(NFI_Expiration=1,IF($A380&lt;VLOOKUP(Q$5,NFI,5,0),1,0)*Data_NFI_t[[#This Row],[Plastic Bucket]],0)</f>
        <v>0</v>
      </c>
      <c r="AF380" s="112">
        <f>IF(NFI_Expiration=1,IF($A380&lt;VLOOKUP(R$5,NFI,5,0),1,0)*Data_NFI_t[[#This Row],[Jerry Can]],0)</f>
        <v>0</v>
      </c>
      <c r="AG380" s="131">
        <f>IF(NFI_Expiration=1,IF($A380&lt;VLOOKUP(S$5,NFI,5,0),1,0)*Data_NFI_t[[#This Row],[Plastic Mat]],0)*IF(Data_NFI_t[[#This Row],[Distribution Date]]&gt;"01-06-2015",1,2.5)</f>
        <v>0</v>
      </c>
      <c r="AH380" s="915">
        <f>IF(NFI_Expiration=1,IF($A380&lt;VLOOKUP(T$5,NFI,5,0),1,0)*Data_NFI_t[[#This Row],[Adult Clothes]],0)</f>
        <v>0</v>
      </c>
      <c r="AI380" s="131">
        <f>IF(NFI_Expiration=1,IF($A380&lt;VLOOKUP(U$5,NFI,5,0),1,0)*Data_NFI_t[[#This Row],[Children Clothes]],0)</f>
        <v>0</v>
      </c>
      <c r="AJ380" s="131">
        <f>IF(NFI_Expiration=1,IF($A380&lt;VLOOKUP(V$5,NFI,5,0),1,0)*Data_NFI_t[[#This Row],[Sewing Kit]],0)</f>
        <v>0</v>
      </c>
      <c r="AK380" s="131" t="str">
        <f ca="1">IFERROR(OFFSET(Camp_List[P_Code],MATCH(Data_NFI_t[[#This Row],[Camp Name]],Camp_List[Camp Name],0)-1,0,1,1),"")</f>
        <v>MMR012CMP042</v>
      </c>
      <c r="AL380" s="513" t="str">
        <f ca="1">IFERROR(OFFSET(Camp_List[Status],MATCH(Data_NFI_t[[#This Row],[Camp Name]],Camp_List[Camp Name],0)-1,0,1,1),"")</f>
        <v>Open</v>
      </c>
      <c r="AM380" s="131"/>
    </row>
    <row r="381" spans="1:42" s="90" customFormat="1" ht="19.5" customHeight="1" x14ac:dyDescent="0.25">
      <c r="A381" s="242">
        <f>IF(ISBLANK(C381),"",(Report_Date-C381)/30)</f>
        <v>55.866666666666667</v>
      </c>
      <c r="B381" s="242">
        <f>YEAR(Data_NFI_t[[#This Row],[Distribution Date]])</f>
        <v>2012</v>
      </c>
      <c r="C381" s="927">
        <v>41119</v>
      </c>
      <c r="D381" s="489" t="s">
        <v>285</v>
      </c>
      <c r="E381" s="488"/>
      <c r="F381" s="489" t="s">
        <v>7</v>
      </c>
      <c r="G381" s="794" t="s">
        <v>19</v>
      </c>
      <c r="H381" s="794" t="s">
        <v>67</v>
      </c>
      <c r="I381" s="794"/>
      <c r="J381" s="51"/>
      <c r="K381" s="51"/>
      <c r="L381" s="51"/>
      <c r="M381" s="51">
        <v>456</v>
      </c>
      <c r="N381" s="51"/>
      <c r="O381" s="51"/>
      <c r="P381" s="51"/>
      <c r="Q381" s="51"/>
      <c r="R381" s="511"/>
      <c r="S381" s="51"/>
      <c r="T381" s="51"/>
      <c r="U381" s="51"/>
      <c r="V381" s="51"/>
      <c r="W381" s="131">
        <f>IF(NFI_Expiration=1,IF($A381&lt;VLOOKUP(I$5,NFI,5,0),1,0)*Data_NFI_t[[#This Row],[Hygiene Kit]],0)</f>
        <v>0</v>
      </c>
      <c r="X381" s="131">
        <f>IF(NFI_Expiration=1,IF($A381&lt;VLOOKUP(J$5,NFI,5,0),1,0)*Data_NFI_t[[#This Row],[NFI Core Kit]],0)</f>
        <v>0</v>
      </c>
      <c r="Y381" s="112">
        <f>IF(NFI_Expiration=1,IF($A381&lt;VLOOKUP(K$5,NFI,5,0),1,0)*Data_NFI_t[[#This Row],[Sanitary Kit]],0)</f>
        <v>0</v>
      </c>
      <c r="Z381" s="112">
        <f>IF(NFI_Expiration=1,IF($A381&lt;VLOOKUP(L$5,NFI,5,0),1,0)*Data_NFI_t[[#This Row],[Mosquito net]],0)</f>
        <v>0</v>
      </c>
      <c r="AA381" s="112">
        <f>IF(NFI_Expiration=1,IF($A381&lt;VLOOKUP(M$5,NFI,5,0),1,0)*Data_NFI_t[[#This Row],[Tarpaulin]],0)</f>
        <v>0</v>
      </c>
      <c r="AB381" s="112">
        <f>IF(NFI_Expiration=1,IF($A381&lt;VLOOKUP(N$5,NFI,5,0),1,0)*Data_NFI_t[[#This Row],[Blanket]],0)</f>
        <v>0</v>
      </c>
      <c r="AC381" s="112">
        <f>IF(NFI_Expiration=1,IF($A381&lt;VLOOKUP(O$5,NFI,5,0),1,0)*Data_NFI_t[[#This Row],[Kitchen Set]],0)</f>
        <v>0</v>
      </c>
      <c r="AD381" s="112">
        <f>IF(NFI_Expiration=1,IF($A381&lt;VLOOKUP(P$5,NFI,5,0),1,0)*Data_NFI_t[[#This Row],[Complementary Kit]],0)</f>
        <v>0</v>
      </c>
      <c r="AE381" s="112">
        <f>IF(NFI_Expiration=1,IF($A381&lt;VLOOKUP(Q$5,NFI,5,0),1,0)*Data_NFI_t[[#This Row],[Plastic Bucket]],0)</f>
        <v>0</v>
      </c>
      <c r="AF381" s="112">
        <f>IF(NFI_Expiration=1,IF($A381&lt;VLOOKUP(R$5,NFI,5,0),1,0)*Data_NFI_t[[#This Row],[Jerry Can]],0)</f>
        <v>0</v>
      </c>
      <c r="AG381" s="131">
        <f>IF(NFI_Expiration=1,IF($A381&lt;VLOOKUP(S$5,NFI,5,0),1,0)*Data_NFI_t[[#This Row],[Plastic Mat]],0)*IF(Data_NFI_t[[#This Row],[Distribution Date]]&gt;"01-06-2015",1,2.5)</f>
        <v>0</v>
      </c>
      <c r="AH381" s="915">
        <f>IF(NFI_Expiration=1,IF($A381&lt;VLOOKUP(T$5,NFI,5,0),1,0)*Data_NFI_t[[#This Row],[Adult Clothes]],0)</f>
        <v>0</v>
      </c>
      <c r="AI381" s="131">
        <f>IF(NFI_Expiration=1,IF($A381&lt;VLOOKUP(U$5,NFI,5,0),1,0)*Data_NFI_t[[#This Row],[Children Clothes]],0)</f>
        <v>0</v>
      </c>
      <c r="AJ381" s="131">
        <f>IF(NFI_Expiration=1,IF($A381&lt;VLOOKUP(V$5,NFI,5,0),1,0)*Data_NFI_t[[#This Row],[Sewing Kit]],0)</f>
        <v>0</v>
      </c>
      <c r="AK381" s="131" t="str">
        <f ca="1">IFERROR(OFFSET(Camp_List[P_Code],MATCH(Data_NFI_t[[#This Row],[Camp Name]],Camp_List[Camp Name],0)-1,0,1,1),"")</f>
        <v>MMR012CMP045</v>
      </c>
      <c r="AL381" s="513" t="str">
        <f ca="1">IFERROR(OFFSET(Camp_List[Status],MATCH(Data_NFI_t[[#This Row],[Camp Name]],Camp_List[Camp Name],0)-1,0,1,1),"")</f>
        <v>Open</v>
      </c>
      <c r="AM381" s="131"/>
      <c r="AP381" s="90" t="s">
        <v>890</v>
      </c>
    </row>
    <row r="382" spans="1:42" s="90" customFormat="1" ht="19.5" customHeight="1" x14ac:dyDescent="0.25">
      <c r="A382" s="242">
        <f>IF(ISBLANK(C382),"",(Report_Date-C382)/30)</f>
        <v>56.133333333333333</v>
      </c>
      <c r="B382" s="242">
        <f>YEAR(Data_NFI_t[[#This Row],[Distribution Date]])</f>
        <v>2012</v>
      </c>
      <c r="C382" s="927">
        <v>41111</v>
      </c>
      <c r="D382" s="489" t="s">
        <v>285</v>
      </c>
      <c r="E382" s="488"/>
      <c r="F382" s="489" t="s">
        <v>7</v>
      </c>
      <c r="G382" s="794" t="s">
        <v>19</v>
      </c>
      <c r="H382" s="794" t="s">
        <v>67</v>
      </c>
      <c r="I382" s="794"/>
      <c r="J382" s="51"/>
      <c r="K382" s="51"/>
      <c r="L382" s="51"/>
      <c r="M382" s="51">
        <v>117</v>
      </c>
      <c r="N382" s="51"/>
      <c r="O382" s="51"/>
      <c r="P382" s="51"/>
      <c r="Q382" s="51"/>
      <c r="R382" s="511"/>
      <c r="S382" s="51"/>
      <c r="T382" s="51"/>
      <c r="U382" s="51"/>
      <c r="V382" s="51"/>
      <c r="W382" s="131">
        <f>IF(NFI_Expiration=1,IF($A382&lt;VLOOKUP(I$5,NFI,5,0),1,0)*Data_NFI_t[[#This Row],[Hygiene Kit]],0)</f>
        <v>0</v>
      </c>
      <c r="X382" s="131">
        <f>IF(NFI_Expiration=1,IF($A382&lt;VLOOKUP(J$5,NFI,5,0),1,0)*Data_NFI_t[[#This Row],[NFI Core Kit]],0)</f>
        <v>0</v>
      </c>
      <c r="Y382" s="112">
        <f>IF(NFI_Expiration=1,IF($A382&lt;VLOOKUP(K$5,NFI,5,0),1,0)*Data_NFI_t[[#This Row],[Sanitary Kit]],0)</f>
        <v>0</v>
      </c>
      <c r="Z382" s="112">
        <f>IF(NFI_Expiration=1,IF($A382&lt;VLOOKUP(L$5,NFI,5,0),1,0)*Data_NFI_t[[#This Row],[Mosquito net]],0)</f>
        <v>0</v>
      </c>
      <c r="AA382" s="112">
        <f>IF(NFI_Expiration=1,IF($A382&lt;VLOOKUP(M$5,NFI,5,0),1,0)*Data_NFI_t[[#This Row],[Tarpaulin]],0)</f>
        <v>0</v>
      </c>
      <c r="AB382" s="112">
        <f>IF(NFI_Expiration=1,IF($A382&lt;VLOOKUP(N$5,NFI,5,0),1,0)*Data_NFI_t[[#This Row],[Blanket]],0)</f>
        <v>0</v>
      </c>
      <c r="AC382" s="112">
        <f>IF(NFI_Expiration=1,IF($A382&lt;VLOOKUP(O$5,NFI,5,0),1,0)*Data_NFI_t[[#This Row],[Kitchen Set]],0)</f>
        <v>0</v>
      </c>
      <c r="AD382" s="112">
        <f>IF(NFI_Expiration=1,IF($A382&lt;VLOOKUP(P$5,NFI,5,0),1,0)*Data_NFI_t[[#This Row],[Complementary Kit]],0)</f>
        <v>0</v>
      </c>
      <c r="AE382" s="112">
        <f>IF(NFI_Expiration=1,IF($A382&lt;VLOOKUP(Q$5,NFI,5,0),1,0)*Data_NFI_t[[#This Row],[Plastic Bucket]],0)</f>
        <v>0</v>
      </c>
      <c r="AF382" s="112">
        <f>IF(NFI_Expiration=1,IF($A382&lt;VLOOKUP(R$5,NFI,5,0),1,0)*Data_NFI_t[[#This Row],[Jerry Can]],0)</f>
        <v>0</v>
      </c>
      <c r="AG382" s="131">
        <f>IF(NFI_Expiration=1,IF($A382&lt;VLOOKUP(S$5,NFI,5,0),1,0)*Data_NFI_t[[#This Row],[Plastic Mat]],0)*IF(Data_NFI_t[[#This Row],[Distribution Date]]&gt;"01-06-2015",1,2.5)</f>
        <v>0</v>
      </c>
      <c r="AH382" s="915">
        <f>IF(NFI_Expiration=1,IF($A382&lt;VLOOKUP(T$5,NFI,5,0),1,0)*Data_NFI_t[[#This Row],[Adult Clothes]],0)</f>
        <v>0</v>
      </c>
      <c r="AI382" s="131">
        <f>IF(NFI_Expiration=1,IF($A382&lt;VLOOKUP(U$5,NFI,5,0),1,0)*Data_NFI_t[[#This Row],[Children Clothes]],0)</f>
        <v>0</v>
      </c>
      <c r="AJ382" s="131">
        <f>IF(NFI_Expiration=1,IF($A382&lt;VLOOKUP(V$5,NFI,5,0),1,0)*Data_NFI_t[[#This Row],[Sewing Kit]],0)</f>
        <v>0</v>
      </c>
      <c r="AK382" s="131" t="str">
        <f ca="1">IFERROR(OFFSET(Camp_List[P_Code],MATCH(Data_NFI_t[[#This Row],[Camp Name]],Camp_List[Camp Name],0)-1,0,1,1),"")</f>
        <v>MMR012CMP045</v>
      </c>
      <c r="AL382" s="513" t="str">
        <f ca="1">IFERROR(OFFSET(Camp_List[Status],MATCH(Data_NFI_t[[#This Row],[Camp Name]],Camp_List[Camp Name],0)-1,0,1,1),"")</f>
        <v>Open</v>
      </c>
      <c r="AM382" s="131"/>
      <c r="AP382" s="90" t="s">
        <v>890</v>
      </c>
    </row>
    <row r="383" spans="1:42" s="90" customFormat="1" ht="19.5" customHeight="1" x14ac:dyDescent="0.25">
      <c r="A383" s="242">
        <f>IF(ISBLANK(C383),"",(Report_Date-C383)/30)</f>
        <v>56.166666666666664</v>
      </c>
      <c r="B383" s="242">
        <f>YEAR(Data_NFI_t[[#This Row],[Distribution Date]])</f>
        <v>2012</v>
      </c>
      <c r="C383" s="927">
        <v>41110</v>
      </c>
      <c r="D383" s="489" t="s">
        <v>285</v>
      </c>
      <c r="E383" s="488"/>
      <c r="F383" s="489" t="s">
        <v>7</v>
      </c>
      <c r="G383" s="794" t="s">
        <v>19</v>
      </c>
      <c r="H383" s="794" t="s">
        <v>61</v>
      </c>
      <c r="I383" s="794"/>
      <c r="J383" s="51"/>
      <c r="K383" s="51"/>
      <c r="L383" s="51"/>
      <c r="M383" s="51">
        <v>383</v>
      </c>
      <c r="N383" s="51"/>
      <c r="O383" s="51"/>
      <c r="P383" s="51"/>
      <c r="Q383" s="51"/>
      <c r="R383" s="511"/>
      <c r="S383" s="51"/>
      <c r="T383" s="51"/>
      <c r="U383" s="51"/>
      <c r="V383" s="51"/>
      <c r="W383" s="131">
        <f>IF(NFI_Expiration=1,IF($A383&lt;VLOOKUP(I$5,NFI,5,0),1,0)*Data_NFI_t[[#This Row],[Hygiene Kit]],0)</f>
        <v>0</v>
      </c>
      <c r="X383" s="131">
        <f>IF(NFI_Expiration=1,IF($A383&lt;VLOOKUP(J$5,NFI,5,0),1,0)*Data_NFI_t[[#This Row],[NFI Core Kit]],0)</f>
        <v>0</v>
      </c>
      <c r="Y383" s="112">
        <f>IF(NFI_Expiration=1,IF($A383&lt;VLOOKUP(K$5,NFI,5,0),1,0)*Data_NFI_t[[#This Row],[Sanitary Kit]],0)</f>
        <v>0</v>
      </c>
      <c r="Z383" s="112">
        <f>IF(NFI_Expiration=1,IF($A383&lt;VLOOKUP(L$5,NFI,5,0),1,0)*Data_NFI_t[[#This Row],[Mosquito net]],0)</f>
        <v>0</v>
      </c>
      <c r="AA383" s="112">
        <f>IF(NFI_Expiration=1,IF($A383&lt;VLOOKUP(M$5,NFI,5,0),1,0)*Data_NFI_t[[#This Row],[Tarpaulin]],0)</f>
        <v>0</v>
      </c>
      <c r="AB383" s="112">
        <f>IF(NFI_Expiration=1,IF($A383&lt;VLOOKUP(N$5,NFI,5,0),1,0)*Data_NFI_t[[#This Row],[Blanket]],0)</f>
        <v>0</v>
      </c>
      <c r="AC383" s="112">
        <f>IF(NFI_Expiration=1,IF($A383&lt;VLOOKUP(O$5,NFI,5,0),1,0)*Data_NFI_t[[#This Row],[Kitchen Set]],0)</f>
        <v>0</v>
      </c>
      <c r="AD383" s="112">
        <f>IF(NFI_Expiration=1,IF($A383&lt;VLOOKUP(P$5,NFI,5,0),1,0)*Data_NFI_t[[#This Row],[Complementary Kit]],0)</f>
        <v>0</v>
      </c>
      <c r="AE383" s="112">
        <f>IF(NFI_Expiration=1,IF($A383&lt;VLOOKUP(Q$5,NFI,5,0),1,0)*Data_NFI_t[[#This Row],[Plastic Bucket]],0)</f>
        <v>0</v>
      </c>
      <c r="AF383" s="112">
        <f>IF(NFI_Expiration=1,IF($A383&lt;VLOOKUP(R$5,NFI,5,0),1,0)*Data_NFI_t[[#This Row],[Jerry Can]],0)</f>
        <v>0</v>
      </c>
      <c r="AG383" s="131">
        <f>IF(NFI_Expiration=1,IF($A383&lt;VLOOKUP(S$5,NFI,5,0),1,0)*Data_NFI_t[[#This Row],[Plastic Mat]],0)*IF(Data_NFI_t[[#This Row],[Distribution Date]]&gt;"01-06-2015",1,2.5)</f>
        <v>0</v>
      </c>
      <c r="AH383" s="915">
        <f>IF(NFI_Expiration=1,IF($A383&lt;VLOOKUP(T$5,NFI,5,0),1,0)*Data_NFI_t[[#This Row],[Adult Clothes]],0)</f>
        <v>0</v>
      </c>
      <c r="AI383" s="131">
        <f>IF(NFI_Expiration=1,IF($A383&lt;VLOOKUP(U$5,NFI,5,0),1,0)*Data_NFI_t[[#This Row],[Children Clothes]],0)</f>
        <v>0</v>
      </c>
      <c r="AJ383" s="131">
        <f>IF(NFI_Expiration=1,IF($A383&lt;VLOOKUP(V$5,NFI,5,0),1,0)*Data_NFI_t[[#This Row],[Sewing Kit]],0)</f>
        <v>0</v>
      </c>
      <c r="AK383" s="131" t="str">
        <f ca="1">IFERROR(OFFSET(Camp_List[P_Code],MATCH(Data_NFI_t[[#This Row],[Camp Name]],Camp_List[Camp Name],0)-1,0,1,1),"")</f>
        <v>MMR012CMP039</v>
      </c>
      <c r="AL383" s="513" t="str">
        <f ca="1">IFERROR(OFFSET(Camp_List[Status],MATCH(Data_NFI_t[[#This Row],[Camp Name]],Camp_List[Camp Name],0)-1,0,1,1),"")</f>
        <v>Open</v>
      </c>
      <c r="AM383" s="131"/>
      <c r="AP383" s="90" t="s">
        <v>890</v>
      </c>
    </row>
    <row r="384" spans="1:42" s="90" customFormat="1" ht="19.5" customHeight="1" x14ac:dyDescent="0.25">
      <c r="A384" s="242">
        <f>IF(ISBLANK(C384),"",(Report_Date-C384)/30)</f>
        <v>56.2</v>
      </c>
      <c r="B384" s="242">
        <f>YEAR(Data_NFI_t[[#This Row],[Distribution Date]])</f>
        <v>2012</v>
      </c>
      <c r="C384" s="927">
        <v>41109</v>
      </c>
      <c r="D384" s="489" t="s">
        <v>285</v>
      </c>
      <c r="E384" s="488"/>
      <c r="F384" s="489" t="s">
        <v>7</v>
      </c>
      <c r="G384" s="794" t="s">
        <v>19</v>
      </c>
      <c r="H384" s="794" t="s">
        <v>70</v>
      </c>
      <c r="I384" s="794"/>
      <c r="J384" s="51"/>
      <c r="K384" s="51"/>
      <c r="L384" s="51"/>
      <c r="M384" s="51">
        <v>572</v>
      </c>
      <c r="N384" s="51"/>
      <c r="O384" s="51"/>
      <c r="P384" s="51"/>
      <c r="Q384" s="51"/>
      <c r="R384" s="511"/>
      <c r="S384" s="51"/>
      <c r="T384" s="51"/>
      <c r="U384" s="51"/>
      <c r="V384" s="51"/>
      <c r="W384" s="131">
        <f>IF(NFI_Expiration=1,IF($A384&lt;VLOOKUP(I$5,NFI,5,0),1,0)*Data_NFI_t[[#This Row],[Hygiene Kit]],0)</f>
        <v>0</v>
      </c>
      <c r="X384" s="131">
        <f>IF(NFI_Expiration=1,IF($A384&lt;VLOOKUP(J$5,NFI,5,0),1,0)*Data_NFI_t[[#This Row],[NFI Core Kit]],0)</f>
        <v>0</v>
      </c>
      <c r="Y384" s="112">
        <f>IF(NFI_Expiration=1,IF($A384&lt;VLOOKUP(K$5,NFI,5,0),1,0)*Data_NFI_t[[#This Row],[Sanitary Kit]],0)</f>
        <v>0</v>
      </c>
      <c r="Z384" s="112">
        <f>IF(NFI_Expiration=1,IF($A384&lt;VLOOKUP(L$5,NFI,5,0),1,0)*Data_NFI_t[[#This Row],[Mosquito net]],0)</f>
        <v>0</v>
      </c>
      <c r="AA384" s="112">
        <f>IF(NFI_Expiration=1,IF($A384&lt;VLOOKUP(M$5,NFI,5,0),1,0)*Data_NFI_t[[#This Row],[Tarpaulin]],0)</f>
        <v>0</v>
      </c>
      <c r="AB384" s="112">
        <f>IF(NFI_Expiration=1,IF($A384&lt;VLOOKUP(N$5,NFI,5,0),1,0)*Data_NFI_t[[#This Row],[Blanket]],0)</f>
        <v>0</v>
      </c>
      <c r="AC384" s="112">
        <f>IF(NFI_Expiration=1,IF($A384&lt;VLOOKUP(O$5,NFI,5,0),1,0)*Data_NFI_t[[#This Row],[Kitchen Set]],0)</f>
        <v>0</v>
      </c>
      <c r="AD384" s="112">
        <f>IF(NFI_Expiration=1,IF($A384&lt;VLOOKUP(P$5,NFI,5,0),1,0)*Data_NFI_t[[#This Row],[Complementary Kit]],0)</f>
        <v>0</v>
      </c>
      <c r="AE384" s="112">
        <f>IF(NFI_Expiration=1,IF($A384&lt;VLOOKUP(Q$5,NFI,5,0),1,0)*Data_NFI_t[[#This Row],[Plastic Bucket]],0)</f>
        <v>0</v>
      </c>
      <c r="AF384" s="112">
        <f>IF(NFI_Expiration=1,IF($A384&lt;VLOOKUP(R$5,NFI,5,0),1,0)*Data_NFI_t[[#This Row],[Jerry Can]],0)</f>
        <v>0</v>
      </c>
      <c r="AG384" s="131">
        <f>IF(NFI_Expiration=1,IF($A384&lt;VLOOKUP(S$5,NFI,5,0),1,0)*Data_NFI_t[[#This Row],[Plastic Mat]],0)*IF(Data_NFI_t[[#This Row],[Distribution Date]]&gt;"01-06-2015",1,2.5)</f>
        <v>0</v>
      </c>
      <c r="AH384" s="915">
        <f>IF(NFI_Expiration=1,IF($A384&lt;VLOOKUP(T$5,NFI,5,0),1,0)*Data_NFI_t[[#This Row],[Adult Clothes]],0)</f>
        <v>0</v>
      </c>
      <c r="AI384" s="131">
        <f>IF(NFI_Expiration=1,IF($A384&lt;VLOOKUP(U$5,NFI,5,0),1,0)*Data_NFI_t[[#This Row],[Children Clothes]],0)</f>
        <v>0</v>
      </c>
      <c r="AJ384" s="131">
        <f>IF(NFI_Expiration=1,IF($A384&lt;VLOOKUP(V$5,NFI,5,0),1,0)*Data_NFI_t[[#This Row],[Sewing Kit]],0)</f>
        <v>0</v>
      </c>
      <c r="AK384" s="131" t="str">
        <f ca="1">IFERROR(OFFSET(Camp_List[P_Code],MATCH(Data_NFI_t[[#This Row],[Camp Name]],Camp_List[Camp Name],0)-1,0,1,1),"")</f>
        <v>MMR012CMP048</v>
      </c>
      <c r="AL384" s="513" t="str">
        <f ca="1">IFERROR(OFFSET(Camp_List[Status],MATCH(Data_NFI_t[[#This Row],[Camp Name]],Camp_List[Camp Name],0)-1,0,1,1),"")</f>
        <v>Open</v>
      </c>
      <c r="AM384" s="131"/>
      <c r="AP384" s="90" t="s">
        <v>890</v>
      </c>
    </row>
    <row r="385" spans="1:42" s="90" customFormat="1" ht="19.5" customHeight="1" x14ac:dyDescent="0.25">
      <c r="A385" s="242">
        <f>IF(ISBLANK(C385),"",(Report_Date-C385)/30)</f>
        <v>56.233333333333334</v>
      </c>
      <c r="B385" s="242">
        <f>YEAR(Data_NFI_t[[#This Row],[Distribution Date]])</f>
        <v>2012</v>
      </c>
      <c r="C385" s="927">
        <v>41108</v>
      </c>
      <c r="D385" s="489" t="s">
        <v>285</v>
      </c>
      <c r="E385" s="488"/>
      <c r="F385" s="489" t="s">
        <v>7</v>
      </c>
      <c r="G385" s="794" t="s">
        <v>19</v>
      </c>
      <c r="H385" s="794" t="s">
        <v>62</v>
      </c>
      <c r="I385" s="794"/>
      <c r="J385" s="51"/>
      <c r="K385" s="51"/>
      <c r="L385" s="51"/>
      <c r="M385" s="51">
        <v>248</v>
      </c>
      <c r="N385" s="51"/>
      <c r="O385" s="51"/>
      <c r="P385" s="51"/>
      <c r="Q385" s="51"/>
      <c r="R385" s="511"/>
      <c r="S385" s="51"/>
      <c r="T385" s="51"/>
      <c r="U385" s="51"/>
      <c r="V385" s="51"/>
      <c r="W385" s="131">
        <f>IF(NFI_Expiration=1,IF($A385&lt;VLOOKUP(I$5,NFI,5,0),1,0)*Data_NFI_t[[#This Row],[Hygiene Kit]],0)</f>
        <v>0</v>
      </c>
      <c r="X385" s="131">
        <f>IF(NFI_Expiration=1,IF($A385&lt;VLOOKUP(J$5,NFI,5,0),1,0)*Data_NFI_t[[#This Row],[NFI Core Kit]],0)</f>
        <v>0</v>
      </c>
      <c r="Y385" s="112">
        <f>IF(NFI_Expiration=1,IF($A385&lt;VLOOKUP(K$5,NFI,5,0),1,0)*Data_NFI_t[[#This Row],[Sanitary Kit]],0)</f>
        <v>0</v>
      </c>
      <c r="Z385" s="112">
        <f>IF(NFI_Expiration=1,IF($A385&lt;VLOOKUP(L$5,NFI,5,0),1,0)*Data_NFI_t[[#This Row],[Mosquito net]],0)</f>
        <v>0</v>
      </c>
      <c r="AA385" s="112">
        <f>IF(NFI_Expiration=1,IF($A385&lt;VLOOKUP(M$5,NFI,5,0),1,0)*Data_NFI_t[[#This Row],[Tarpaulin]],0)</f>
        <v>0</v>
      </c>
      <c r="AB385" s="112">
        <f>IF(NFI_Expiration=1,IF($A385&lt;VLOOKUP(N$5,NFI,5,0),1,0)*Data_NFI_t[[#This Row],[Blanket]],0)</f>
        <v>0</v>
      </c>
      <c r="AC385" s="112">
        <f>IF(NFI_Expiration=1,IF($A385&lt;VLOOKUP(O$5,NFI,5,0),1,0)*Data_NFI_t[[#This Row],[Kitchen Set]],0)</f>
        <v>0</v>
      </c>
      <c r="AD385" s="112">
        <f>IF(NFI_Expiration=1,IF($A385&lt;VLOOKUP(P$5,NFI,5,0),1,0)*Data_NFI_t[[#This Row],[Complementary Kit]],0)</f>
        <v>0</v>
      </c>
      <c r="AE385" s="112">
        <f>IF(NFI_Expiration=1,IF($A385&lt;VLOOKUP(Q$5,NFI,5,0),1,0)*Data_NFI_t[[#This Row],[Plastic Bucket]],0)</f>
        <v>0</v>
      </c>
      <c r="AF385" s="112">
        <f>IF(NFI_Expiration=1,IF($A385&lt;VLOOKUP(R$5,NFI,5,0),1,0)*Data_NFI_t[[#This Row],[Jerry Can]],0)</f>
        <v>0</v>
      </c>
      <c r="AG385" s="131">
        <f>IF(NFI_Expiration=1,IF($A385&lt;VLOOKUP(S$5,NFI,5,0),1,0)*Data_NFI_t[[#This Row],[Plastic Mat]],0)*IF(Data_NFI_t[[#This Row],[Distribution Date]]&gt;"01-06-2015",1,2.5)</f>
        <v>0</v>
      </c>
      <c r="AH385" s="915">
        <f>IF(NFI_Expiration=1,IF($A385&lt;VLOOKUP(T$5,NFI,5,0),1,0)*Data_NFI_t[[#This Row],[Adult Clothes]],0)</f>
        <v>0</v>
      </c>
      <c r="AI385" s="131">
        <f>IF(NFI_Expiration=1,IF($A385&lt;VLOOKUP(U$5,NFI,5,0),1,0)*Data_NFI_t[[#This Row],[Children Clothes]],0)</f>
        <v>0</v>
      </c>
      <c r="AJ385" s="131">
        <f>IF(NFI_Expiration=1,IF($A385&lt;VLOOKUP(V$5,NFI,5,0),1,0)*Data_NFI_t[[#This Row],[Sewing Kit]],0)</f>
        <v>0</v>
      </c>
      <c r="AK385" s="131" t="str">
        <f ca="1">IFERROR(OFFSET(Camp_List[P_Code],MATCH(Data_NFI_t[[#This Row],[Camp Name]],Camp_List[Camp Name],0)-1,0,1,1),"")</f>
        <v>MMR012CMP040</v>
      </c>
      <c r="AL385" s="513" t="str">
        <f ca="1">IFERROR(OFFSET(Camp_List[Status],MATCH(Data_NFI_t[[#This Row],[Camp Name]],Camp_List[Camp Name],0)-1,0,1,1),"")</f>
        <v>Close</v>
      </c>
      <c r="AM385" s="131"/>
      <c r="AP385" s="90" t="s">
        <v>890</v>
      </c>
    </row>
    <row r="386" spans="1:42" s="90" customFormat="1" ht="19.5" customHeight="1" x14ac:dyDescent="0.25">
      <c r="A386" s="242">
        <f>IF(ISBLANK(C386),"",(Report_Date-C386)/30)</f>
        <v>56.233333333333334</v>
      </c>
      <c r="B386" s="242">
        <f>YEAR(Data_NFI_t[[#This Row],[Distribution Date]])</f>
        <v>2012</v>
      </c>
      <c r="C386" s="927">
        <v>41108</v>
      </c>
      <c r="D386" s="489" t="s">
        <v>285</v>
      </c>
      <c r="E386" s="488"/>
      <c r="F386" s="489" t="s">
        <v>7</v>
      </c>
      <c r="G386" s="794" t="s">
        <v>19</v>
      </c>
      <c r="H386" s="794" t="s">
        <v>64</v>
      </c>
      <c r="I386" s="794"/>
      <c r="J386" s="51"/>
      <c r="K386" s="51"/>
      <c r="L386" s="51"/>
      <c r="M386" s="51">
        <v>121</v>
      </c>
      <c r="N386" s="51"/>
      <c r="O386" s="51"/>
      <c r="P386" s="51"/>
      <c r="Q386" s="51"/>
      <c r="R386" s="511"/>
      <c r="S386" s="51"/>
      <c r="T386" s="51"/>
      <c r="U386" s="51"/>
      <c r="V386" s="51"/>
      <c r="W386" s="131">
        <f>IF(NFI_Expiration=1,IF($A386&lt;VLOOKUP(I$5,NFI,5,0),1,0)*Data_NFI_t[[#This Row],[Hygiene Kit]],0)</f>
        <v>0</v>
      </c>
      <c r="X386" s="131">
        <f>IF(NFI_Expiration=1,IF($A386&lt;VLOOKUP(J$5,NFI,5,0),1,0)*Data_NFI_t[[#This Row],[NFI Core Kit]],0)</f>
        <v>0</v>
      </c>
      <c r="Y386" s="112">
        <f>IF(NFI_Expiration=1,IF($A386&lt;VLOOKUP(K$5,NFI,5,0),1,0)*Data_NFI_t[[#This Row],[Sanitary Kit]],0)</f>
        <v>0</v>
      </c>
      <c r="Z386" s="112">
        <f>IF(NFI_Expiration=1,IF($A386&lt;VLOOKUP(L$5,NFI,5,0),1,0)*Data_NFI_t[[#This Row],[Mosquito net]],0)</f>
        <v>0</v>
      </c>
      <c r="AA386" s="112">
        <f>IF(NFI_Expiration=1,IF($A386&lt;VLOOKUP(M$5,NFI,5,0),1,0)*Data_NFI_t[[#This Row],[Tarpaulin]],0)</f>
        <v>0</v>
      </c>
      <c r="AB386" s="112">
        <f>IF(NFI_Expiration=1,IF($A386&lt;VLOOKUP(N$5,NFI,5,0),1,0)*Data_NFI_t[[#This Row],[Blanket]],0)</f>
        <v>0</v>
      </c>
      <c r="AC386" s="112">
        <f>IF(NFI_Expiration=1,IF($A386&lt;VLOOKUP(O$5,NFI,5,0),1,0)*Data_NFI_t[[#This Row],[Kitchen Set]],0)</f>
        <v>0</v>
      </c>
      <c r="AD386" s="112">
        <f>IF(NFI_Expiration=1,IF($A386&lt;VLOOKUP(P$5,NFI,5,0),1,0)*Data_NFI_t[[#This Row],[Complementary Kit]],0)</f>
        <v>0</v>
      </c>
      <c r="AE386" s="112">
        <f>IF(NFI_Expiration=1,IF($A386&lt;VLOOKUP(Q$5,NFI,5,0),1,0)*Data_NFI_t[[#This Row],[Plastic Bucket]],0)</f>
        <v>0</v>
      </c>
      <c r="AF386" s="112">
        <f>IF(NFI_Expiration=1,IF($A386&lt;VLOOKUP(R$5,NFI,5,0),1,0)*Data_NFI_t[[#This Row],[Jerry Can]],0)</f>
        <v>0</v>
      </c>
      <c r="AG386" s="131">
        <f>IF(NFI_Expiration=1,IF($A386&lt;VLOOKUP(S$5,NFI,5,0),1,0)*Data_NFI_t[[#This Row],[Plastic Mat]],0)*IF(Data_NFI_t[[#This Row],[Distribution Date]]&gt;"01-06-2015",1,2.5)</f>
        <v>0</v>
      </c>
      <c r="AH386" s="915">
        <f>IF(NFI_Expiration=1,IF($A386&lt;VLOOKUP(T$5,NFI,5,0),1,0)*Data_NFI_t[[#This Row],[Adult Clothes]],0)</f>
        <v>0</v>
      </c>
      <c r="AI386" s="131">
        <f>IF(NFI_Expiration=1,IF($A386&lt;VLOOKUP(U$5,NFI,5,0),1,0)*Data_NFI_t[[#This Row],[Children Clothes]],0)</f>
        <v>0</v>
      </c>
      <c r="AJ386" s="131">
        <f>IF(NFI_Expiration=1,IF($A386&lt;VLOOKUP(V$5,NFI,5,0),1,0)*Data_NFI_t[[#This Row],[Sewing Kit]],0)</f>
        <v>0</v>
      </c>
      <c r="AK386" s="131" t="str">
        <f ca="1">IFERROR(OFFSET(Camp_List[P_Code],MATCH(Data_NFI_t[[#This Row],[Camp Name]],Camp_List[Camp Name],0)-1,0,1,1),"")</f>
        <v>MMR012CMP042</v>
      </c>
      <c r="AL386" s="513" t="str">
        <f ca="1">IFERROR(OFFSET(Camp_List[Status],MATCH(Data_NFI_t[[#This Row],[Camp Name]],Camp_List[Camp Name],0)-1,0,1,1),"")</f>
        <v>Open</v>
      </c>
      <c r="AM386" s="131"/>
      <c r="AP386" s="90" t="s">
        <v>890</v>
      </c>
    </row>
    <row r="387" spans="1:42" s="90" customFormat="1" ht="19.5" customHeight="1" x14ac:dyDescent="0.25">
      <c r="A387" s="242">
        <f>IF(ISBLANK(C387),"",(Report_Date-C387)/30)</f>
        <v>56.266666666666666</v>
      </c>
      <c r="B387" s="242">
        <f>YEAR(Data_NFI_t[[#This Row],[Distribution Date]])</f>
        <v>2012</v>
      </c>
      <c r="C387" s="927">
        <v>41107</v>
      </c>
      <c r="D387" s="489" t="s">
        <v>285</v>
      </c>
      <c r="E387" s="488"/>
      <c r="F387" s="489" t="s">
        <v>7</v>
      </c>
      <c r="G387" s="794" t="s">
        <v>19</v>
      </c>
      <c r="H387" s="794" t="s">
        <v>62</v>
      </c>
      <c r="I387" s="794"/>
      <c r="J387" s="51"/>
      <c r="K387" s="51"/>
      <c r="L387" s="51"/>
      <c r="M387" s="51">
        <v>630</v>
      </c>
      <c r="N387" s="51"/>
      <c r="O387" s="51"/>
      <c r="P387" s="51"/>
      <c r="Q387" s="51"/>
      <c r="R387" s="511"/>
      <c r="S387" s="51"/>
      <c r="T387" s="51"/>
      <c r="U387" s="51"/>
      <c r="V387" s="51"/>
      <c r="W387" s="131">
        <f>IF(NFI_Expiration=1,IF($A387&lt;VLOOKUP(I$5,NFI,5,0),1,0)*Data_NFI_t[[#This Row],[Hygiene Kit]],0)</f>
        <v>0</v>
      </c>
      <c r="X387" s="131">
        <f>IF(NFI_Expiration=1,IF($A387&lt;VLOOKUP(J$5,NFI,5,0),1,0)*Data_NFI_t[[#This Row],[NFI Core Kit]],0)</f>
        <v>0</v>
      </c>
      <c r="Y387" s="112">
        <f>IF(NFI_Expiration=1,IF($A387&lt;VLOOKUP(K$5,NFI,5,0),1,0)*Data_NFI_t[[#This Row],[Sanitary Kit]],0)</f>
        <v>0</v>
      </c>
      <c r="Z387" s="112">
        <f>IF(NFI_Expiration=1,IF($A387&lt;VLOOKUP(L$5,NFI,5,0),1,0)*Data_NFI_t[[#This Row],[Mosquito net]],0)</f>
        <v>0</v>
      </c>
      <c r="AA387" s="112">
        <f>IF(NFI_Expiration=1,IF($A387&lt;VLOOKUP(M$5,NFI,5,0),1,0)*Data_NFI_t[[#This Row],[Tarpaulin]],0)</f>
        <v>0</v>
      </c>
      <c r="AB387" s="112">
        <f>IF(NFI_Expiration=1,IF($A387&lt;VLOOKUP(N$5,NFI,5,0),1,0)*Data_NFI_t[[#This Row],[Blanket]],0)</f>
        <v>0</v>
      </c>
      <c r="AC387" s="112">
        <f>IF(NFI_Expiration=1,IF($A387&lt;VLOOKUP(O$5,NFI,5,0),1,0)*Data_NFI_t[[#This Row],[Kitchen Set]],0)</f>
        <v>0</v>
      </c>
      <c r="AD387" s="112">
        <f>IF(NFI_Expiration=1,IF($A387&lt;VLOOKUP(P$5,NFI,5,0),1,0)*Data_NFI_t[[#This Row],[Complementary Kit]],0)</f>
        <v>0</v>
      </c>
      <c r="AE387" s="112">
        <f>IF(NFI_Expiration=1,IF($A387&lt;VLOOKUP(Q$5,NFI,5,0),1,0)*Data_NFI_t[[#This Row],[Plastic Bucket]],0)</f>
        <v>0</v>
      </c>
      <c r="AF387" s="112">
        <f>IF(NFI_Expiration=1,IF($A387&lt;VLOOKUP(R$5,NFI,5,0),1,0)*Data_NFI_t[[#This Row],[Jerry Can]],0)</f>
        <v>0</v>
      </c>
      <c r="AG387" s="131">
        <f>IF(NFI_Expiration=1,IF($A387&lt;VLOOKUP(S$5,NFI,5,0),1,0)*Data_NFI_t[[#This Row],[Plastic Mat]],0)*IF(Data_NFI_t[[#This Row],[Distribution Date]]&gt;"01-06-2015",1,2.5)</f>
        <v>0</v>
      </c>
      <c r="AH387" s="915">
        <f>IF(NFI_Expiration=1,IF($A387&lt;VLOOKUP(T$5,NFI,5,0),1,0)*Data_NFI_t[[#This Row],[Adult Clothes]],0)</f>
        <v>0</v>
      </c>
      <c r="AI387" s="131">
        <f>IF(NFI_Expiration=1,IF($A387&lt;VLOOKUP(U$5,NFI,5,0),1,0)*Data_NFI_t[[#This Row],[Children Clothes]],0)</f>
        <v>0</v>
      </c>
      <c r="AJ387" s="131">
        <f>IF(NFI_Expiration=1,IF($A387&lt;VLOOKUP(V$5,NFI,5,0),1,0)*Data_NFI_t[[#This Row],[Sewing Kit]],0)</f>
        <v>0</v>
      </c>
      <c r="AK387" s="131" t="str">
        <f ca="1">IFERROR(OFFSET(Camp_List[P_Code],MATCH(Data_NFI_t[[#This Row],[Camp Name]],Camp_List[Camp Name],0)-1,0,1,1),"")</f>
        <v>MMR012CMP040</v>
      </c>
      <c r="AL387" s="513" t="str">
        <f ca="1">IFERROR(OFFSET(Camp_List[Status],MATCH(Data_NFI_t[[#This Row],[Camp Name]],Camp_List[Camp Name],0)-1,0,1,1),"")</f>
        <v>Close</v>
      </c>
      <c r="AM387" s="131"/>
    </row>
    <row r="388" spans="1:42" s="90" customFormat="1" ht="19.5" customHeight="1" x14ac:dyDescent="0.25">
      <c r="A388" s="242">
        <f>IF(ISBLANK(C388),"",(Report_Date-C388)/30)</f>
        <v>56.3</v>
      </c>
      <c r="B388" s="242">
        <f>YEAR(Data_NFI_t[[#This Row],[Distribution Date]])</f>
        <v>2012</v>
      </c>
      <c r="C388" s="927">
        <v>41106</v>
      </c>
      <c r="D388" s="489" t="s">
        <v>285</v>
      </c>
      <c r="E388" s="488"/>
      <c r="F388" s="489" t="s">
        <v>7</v>
      </c>
      <c r="G388" s="794" t="s">
        <v>19</v>
      </c>
      <c r="H388" s="794" t="s">
        <v>62</v>
      </c>
      <c r="I388" s="794"/>
      <c r="J388" s="51"/>
      <c r="K388" s="51"/>
      <c r="L388" s="51"/>
      <c r="M388" s="51">
        <v>120</v>
      </c>
      <c r="N388" s="51"/>
      <c r="O388" s="51"/>
      <c r="P388" s="51"/>
      <c r="Q388" s="51"/>
      <c r="R388" s="511"/>
      <c r="S388" s="51"/>
      <c r="T388" s="51"/>
      <c r="U388" s="51"/>
      <c r="V388" s="51"/>
      <c r="W388" s="131">
        <f>IF(NFI_Expiration=1,IF($A388&lt;VLOOKUP(I$5,NFI,5,0),1,0)*Data_NFI_t[[#This Row],[Hygiene Kit]],0)</f>
        <v>0</v>
      </c>
      <c r="X388" s="131">
        <f>IF(NFI_Expiration=1,IF($A388&lt;VLOOKUP(J$5,NFI,5,0),1,0)*Data_NFI_t[[#This Row],[NFI Core Kit]],0)</f>
        <v>0</v>
      </c>
      <c r="Y388" s="112">
        <f>IF(NFI_Expiration=1,IF($A388&lt;VLOOKUP(K$5,NFI,5,0),1,0)*Data_NFI_t[[#This Row],[Sanitary Kit]],0)</f>
        <v>0</v>
      </c>
      <c r="Z388" s="112">
        <f>IF(NFI_Expiration=1,IF($A388&lt;VLOOKUP(L$5,NFI,5,0),1,0)*Data_NFI_t[[#This Row],[Mosquito net]],0)</f>
        <v>0</v>
      </c>
      <c r="AA388" s="112">
        <f>IF(NFI_Expiration=1,IF($A388&lt;VLOOKUP(M$5,NFI,5,0),1,0)*Data_NFI_t[[#This Row],[Tarpaulin]],0)</f>
        <v>0</v>
      </c>
      <c r="AB388" s="112">
        <f>IF(NFI_Expiration=1,IF($A388&lt;VLOOKUP(N$5,NFI,5,0),1,0)*Data_NFI_t[[#This Row],[Blanket]],0)</f>
        <v>0</v>
      </c>
      <c r="AC388" s="112">
        <f>IF(NFI_Expiration=1,IF($A388&lt;VLOOKUP(O$5,NFI,5,0),1,0)*Data_NFI_t[[#This Row],[Kitchen Set]],0)</f>
        <v>0</v>
      </c>
      <c r="AD388" s="112">
        <f>IF(NFI_Expiration=1,IF($A388&lt;VLOOKUP(P$5,NFI,5,0),1,0)*Data_NFI_t[[#This Row],[Complementary Kit]],0)</f>
        <v>0</v>
      </c>
      <c r="AE388" s="112">
        <f>IF(NFI_Expiration=1,IF($A388&lt;VLOOKUP(Q$5,NFI,5,0),1,0)*Data_NFI_t[[#This Row],[Plastic Bucket]],0)</f>
        <v>0</v>
      </c>
      <c r="AF388" s="112">
        <f>IF(NFI_Expiration=1,IF($A388&lt;VLOOKUP(R$5,NFI,5,0),1,0)*Data_NFI_t[[#This Row],[Jerry Can]],0)</f>
        <v>0</v>
      </c>
      <c r="AG388" s="131">
        <f>IF(NFI_Expiration=1,IF($A388&lt;VLOOKUP(S$5,NFI,5,0),1,0)*Data_NFI_t[[#This Row],[Plastic Mat]],0)*IF(Data_NFI_t[[#This Row],[Distribution Date]]&gt;"01-06-2015",1,2.5)</f>
        <v>0</v>
      </c>
      <c r="AH388" s="915">
        <f>IF(NFI_Expiration=1,IF($A388&lt;VLOOKUP(T$5,NFI,5,0),1,0)*Data_NFI_t[[#This Row],[Adult Clothes]],0)</f>
        <v>0</v>
      </c>
      <c r="AI388" s="131">
        <f>IF(NFI_Expiration=1,IF($A388&lt;VLOOKUP(U$5,NFI,5,0),1,0)*Data_NFI_t[[#This Row],[Children Clothes]],0)</f>
        <v>0</v>
      </c>
      <c r="AJ388" s="131">
        <f>IF(NFI_Expiration=1,IF($A388&lt;VLOOKUP(V$5,NFI,5,0),1,0)*Data_NFI_t[[#This Row],[Sewing Kit]],0)</f>
        <v>0</v>
      </c>
      <c r="AK388" s="131" t="str">
        <f ca="1">IFERROR(OFFSET(Camp_List[P_Code],MATCH(Data_NFI_t[[#This Row],[Camp Name]],Camp_List[Camp Name],0)-1,0,1,1),"")</f>
        <v>MMR012CMP040</v>
      </c>
      <c r="AL388" s="513" t="str">
        <f ca="1">IFERROR(OFFSET(Camp_List[Status],MATCH(Data_NFI_t[[#This Row],[Camp Name]],Camp_List[Camp Name],0)-1,0,1,1),"")</f>
        <v>Close</v>
      </c>
      <c r="AM388" s="131"/>
    </row>
    <row r="389" spans="1:42" s="90" customFormat="1" ht="19.5" customHeight="1" x14ac:dyDescent="0.25">
      <c r="A389" s="242">
        <f>IF(ISBLANK(C389),"",(Report_Date-C389)/30)</f>
        <v>56.333333333333336</v>
      </c>
      <c r="B389" s="242">
        <f>YEAR(Data_NFI_t[[#This Row],[Distribution Date]])</f>
        <v>2012</v>
      </c>
      <c r="C389" s="927">
        <v>41105</v>
      </c>
      <c r="D389" s="489" t="s">
        <v>285</v>
      </c>
      <c r="E389" s="488"/>
      <c r="F389" s="489" t="s">
        <v>7</v>
      </c>
      <c r="G389" s="794" t="s">
        <v>19</v>
      </c>
      <c r="H389" s="794" t="s">
        <v>62</v>
      </c>
      <c r="I389" s="794"/>
      <c r="J389" s="51"/>
      <c r="K389" s="51"/>
      <c r="L389" s="51"/>
      <c r="M389" s="51">
        <v>150</v>
      </c>
      <c r="N389" s="51"/>
      <c r="O389" s="51"/>
      <c r="P389" s="51"/>
      <c r="Q389" s="51"/>
      <c r="R389" s="511"/>
      <c r="S389" s="51"/>
      <c r="T389" s="51"/>
      <c r="U389" s="51"/>
      <c r="V389" s="51"/>
      <c r="W389" s="131">
        <f>IF(NFI_Expiration=1,IF($A389&lt;VLOOKUP(I$5,NFI,5,0),1,0)*Data_NFI_t[[#This Row],[Hygiene Kit]],0)</f>
        <v>0</v>
      </c>
      <c r="X389" s="131">
        <f>IF(NFI_Expiration=1,IF($A389&lt;VLOOKUP(J$5,NFI,5,0),1,0)*Data_NFI_t[[#This Row],[NFI Core Kit]],0)</f>
        <v>0</v>
      </c>
      <c r="Y389" s="112">
        <f>IF(NFI_Expiration=1,IF($A389&lt;VLOOKUP(K$5,NFI,5,0),1,0)*Data_NFI_t[[#This Row],[Sanitary Kit]],0)</f>
        <v>0</v>
      </c>
      <c r="Z389" s="112">
        <f>IF(NFI_Expiration=1,IF($A389&lt;VLOOKUP(L$5,NFI,5,0),1,0)*Data_NFI_t[[#This Row],[Mosquito net]],0)</f>
        <v>0</v>
      </c>
      <c r="AA389" s="112">
        <f>IF(NFI_Expiration=1,IF($A389&lt;VLOOKUP(M$5,NFI,5,0),1,0)*Data_NFI_t[[#This Row],[Tarpaulin]],0)</f>
        <v>0</v>
      </c>
      <c r="AB389" s="112">
        <f>IF(NFI_Expiration=1,IF($A389&lt;VLOOKUP(N$5,NFI,5,0),1,0)*Data_NFI_t[[#This Row],[Blanket]],0)</f>
        <v>0</v>
      </c>
      <c r="AC389" s="112">
        <f>IF(NFI_Expiration=1,IF($A389&lt;VLOOKUP(O$5,NFI,5,0),1,0)*Data_NFI_t[[#This Row],[Kitchen Set]],0)</f>
        <v>0</v>
      </c>
      <c r="AD389" s="112">
        <f>IF(NFI_Expiration=1,IF($A389&lt;VLOOKUP(P$5,NFI,5,0),1,0)*Data_NFI_t[[#This Row],[Complementary Kit]],0)</f>
        <v>0</v>
      </c>
      <c r="AE389" s="112">
        <f>IF(NFI_Expiration=1,IF($A389&lt;VLOOKUP(Q$5,NFI,5,0),1,0)*Data_NFI_t[[#This Row],[Plastic Bucket]],0)</f>
        <v>0</v>
      </c>
      <c r="AF389" s="112">
        <f>IF(NFI_Expiration=1,IF($A389&lt;VLOOKUP(R$5,NFI,5,0),1,0)*Data_NFI_t[[#This Row],[Jerry Can]],0)</f>
        <v>0</v>
      </c>
      <c r="AG389" s="131">
        <f>IF(NFI_Expiration=1,IF($A389&lt;VLOOKUP(S$5,NFI,5,0),1,0)*Data_NFI_t[[#This Row],[Plastic Mat]],0)*IF(Data_NFI_t[[#This Row],[Distribution Date]]&gt;"01-06-2015",1,2.5)</f>
        <v>0</v>
      </c>
      <c r="AH389" s="915">
        <f>IF(NFI_Expiration=1,IF($A389&lt;VLOOKUP(T$5,NFI,5,0),1,0)*Data_NFI_t[[#This Row],[Adult Clothes]],0)</f>
        <v>0</v>
      </c>
      <c r="AI389" s="131">
        <f>IF(NFI_Expiration=1,IF($A389&lt;VLOOKUP(U$5,NFI,5,0),1,0)*Data_NFI_t[[#This Row],[Children Clothes]],0)</f>
        <v>0</v>
      </c>
      <c r="AJ389" s="131">
        <f>IF(NFI_Expiration=1,IF($A389&lt;VLOOKUP(V$5,NFI,5,0),1,0)*Data_NFI_t[[#This Row],[Sewing Kit]],0)</f>
        <v>0</v>
      </c>
      <c r="AK389" s="131" t="str">
        <f ca="1">IFERROR(OFFSET(Camp_List[P_Code],MATCH(Data_NFI_t[[#This Row],[Camp Name]],Camp_List[Camp Name],0)-1,0,1,1),"")</f>
        <v>MMR012CMP040</v>
      </c>
      <c r="AL389" s="513" t="str">
        <f ca="1">IFERROR(OFFSET(Camp_List[Status],MATCH(Data_NFI_t[[#This Row],[Camp Name]],Camp_List[Camp Name],0)-1,0,1,1),"")</f>
        <v>Close</v>
      </c>
      <c r="AM389" s="131"/>
    </row>
    <row r="390" spans="1:42" s="90" customFormat="1" ht="19.5" customHeight="1" x14ac:dyDescent="0.25">
      <c r="A390" s="242">
        <f>IF(ISBLANK(C390),"",(Report_Date-C390)/30)</f>
        <v>56.333333333333336</v>
      </c>
      <c r="B390" s="242">
        <f>YEAR(Data_NFI_t[[#This Row],[Distribution Date]])</f>
        <v>2012</v>
      </c>
      <c r="C390" s="927">
        <v>41105</v>
      </c>
      <c r="D390" s="489" t="s">
        <v>285</v>
      </c>
      <c r="E390" s="488"/>
      <c r="F390" s="489" t="s">
        <v>7</v>
      </c>
      <c r="G390" s="794" t="s">
        <v>19</v>
      </c>
      <c r="H390" s="794" t="s">
        <v>70</v>
      </c>
      <c r="I390" s="794"/>
      <c r="J390" s="51"/>
      <c r="K390" s="51"/>
      <c r="L390" s="51"/>
      <c r="M390" s="51">
        <v>200</v>
      </c>
      <c r="N390" s="51"/>
      <c r="O390" s="51"/>
      <c r="P390" s="51"/>
      <c r="Q390" s="51"/>
      <c r="R390" s="511"/>
      <c r="S390" s="51"/>
      <c r="T390" s="51"/>
      <c r="U390" s="51"/>
      <c r="V390" s="51"/>
      <c r="W390" s="131">
        <f>IF(NFI_Expiration=1,IF($A390&lt;VLOOKUP(I$5,NFI,5,0),1,0)*Data_NFI_t[[#This Row],[Hygiene Kit]],0)</f>
        <v>0</v>
      </c>
      <c r="X390" s="131">
        <f>IF(NFI_Expiration=1,IF($A390&lt;VLOOKUP(J$5,NFI,5,0),1,0)*Data_NFI_t[[#This Row],[NFI Core Kit]],0)</f>
        <v>0</v>
      </c>
      <c r="Y390" s="112">
        <f>IF(NFI_Expiration=1,IF($A390&lt;VLOOKUP(K$5,NFI,5,0),1,0)*Data_NFI_t[[#This Row],[Sanitary Kit]],0)</f>
        <v>0</v>
      </c>
      <c r="Z390" s="112">
        <f>IF(NFI_Expiration=1,IF($A390&lt;VLOOKUP(L$5,NFI,5,0),1,0)*Data_NFI_t[[#This Row],[Mosquito net]],0)</f>
        <v>0</v>
      </c>
      <c r="AA390" s="112">
        <f>IF(NFI_Expiration=1,IF($A390&lt;VLOOKUP(M$5,NFI,5,0),1,0)*Data_NFI_t[[#This Row],[Tarpaulin]],0)</f>
        <v>0</v>
      </c>
      <c r="AB390" s="112">
        <f>IF(NFI_Expiration=1,IF($A390&lt;VLOOKUP(N$5,NFI,5,0),1,0)*Data_NFI_t[[#This Row],[Blanket]],0)</f>
        <v>0</v>
      </c>
      <c r="AC390" s="112">
        <f>IF(NFI_Expiration=1,IF($A390&lt;VLOOKUP(O$5,NFI,5,0),1,0)*Data_NFI_t[[#This Row],[Kitchen Set]],0)</f>
        <v>0</v>
      </c>
      <c r="AD390" s="112">
        <f>IF(NFI_Expiration=1,IF($A390&lt;VLOOKUP(P$5,NFI,5,0),1,0)*Data_NFI_t[[#This Row],[Complementary Kit]],0)</f>
        <v>0</v>
      </c>
      <c r="AE390" s="112">
        <f>IF(NFI_Expiration=1,IF($A390&lt;VLOOKUP(Q$5,NFI,5,0),1,0)*Data_NFI_t[[#This Row],[Plastic Bucket]],0)</f>
        <v>0</v>
      </c>
      <c r="AF390" s="112">
        <f>IF(NFI_Expiration=1,IF($A390&lt;VLOOKUP(R$5,NFI,5,0),1,0)*Data_NFI_t[[#This Row],[Jerry Can]],0)</f>
        <v>0</v>
      </c>
      <c r="AG390" s="131">
        <f>IF(NFI_Expiration=1,IF($A390&lt;VLOOKUP(S$5,NFI,5,0),1,0)*Data_NFI_t[[#This Row],[Plastic Mat]],0)*IF(Data_NFI_t[[#This Row],[Distribution Date]]&gt;"01-06-2015",1,2.5)</f>
        <v>0</v>
      </c>
      <c r="AH390" s="915">
        <f>IF(NFI_Expiration=1,IF($A390&lt;VLOOKUP(T$5,NFI,5,0),1,0)*Data_NFI_t[[#This Row],[Adult Clothes]],0)</f>
        <v>0</v>
      </c>
      <c r="AI390" s="131">
        <f>IF(NFI_Expiration=1,IF($A390&lt;VLOOKUP(U$5,NFI,5,0),1,0)*Data_NFI_t[[#This Row],[Children Clothes]],0)</f>
        <v>0</v>
      </c>
      <c r="AJ390" s="131">
        <f>IF(NFI_Expiration=1,IF($A390&lt;VLOOKUP(V$5,NFI,5,0),1,0)*Data_NFI_t[[#This Row],[Sewing Kit]],0)</f>
        <v>0</v>
      </c>
      <c r="AK390" s="131" t="str">
        <f ca="1">IFERROR(OFFSET(Camp_List[P_Code],MATCH(Data_NFI_t[[#This Row],[Camp Name]],Camp_List[Camp Name],0)-1,0,1,1),"")</f>
        <v>MMR012CMP048</v>
      </c>
      <c r="AL390" s="513" t="str">
        <f ca="1">IFERROR(OFFSET(Camp_List[Status],MATCH(Data_NFI_t[[#This Row],[Camp Name]],Camp_List[Camp Name],0)-1,0,1,1),"")</f>
        <v>Open</v>
      </c>
      <c r="AM390" s="131"/>
    </row>
    <row r="391" spans="1:42" s="90" customFormat="1" ht="19.5" customHeight="1" x14ac:dyDescent="0.25">
      <c r="A391" s="242">
        <f>IF(ISBLANK(C391),"",(Report_Date-C391)/30)</f>
        <v>56.43333333333333</v>
      </c>
      <c r="B391" s="242">
        <f>YEAR(Data_NFI_t[[#This Row],[Distribution Date]])</f>
        <v>2012</v>
      </c>
      <c r="C391" s="927">
        <v>41102</v>
      </c>
      <c r="D391" s="489" t="s">
        <v>285</v>
      </c>
      <c r="E391" s="488"/>
      <c r="F391" s="489" t="s">
        <v>7</v>
      </c>
      <c r="G391" s="794" t="s">
        <v>19</v>
      </c>
      <c r="H391" s="794" t="s">
        <v>273</v>
      </c>
      <c r="I391" s="794"/>
      <c r="J391" s="51"/>
      <c r="K391" s="51"/>
      <c r="L391" s="51"/>
      <c r="M391" s="51">
        <v>4</v>
      </c>
      <c r="N391" s="51"/>
      <c r="O391" s="51"/>
      <c r="P391" s="51"/>
      <c r="Q391" s="51"/>
      <c r="R391" s="511"/>
      <c r="S391" s="51"/>
      <c r="T391" s="51"/>
      <c r="U391" s="51"/>
      <c r="V391" s="51"/>
      <c r="W391" s="131">
        <f>IF(NFI_Expiration=1,IF($A391&lt;VLOOKUP(I$5,NFI,5,0),1,0)*Data_NFI_t[[#This Row],[Hygiene Kit]],0)</f>
        <v>0</v>
      </c>
      <c r="X391" s="131">
        <f>IF(NFI_Expiration=1,IF($A391&lt;VLOOKUP(J$5,NFI,5,0),1,0)*Data_NFI_t[[#This Row],[NFI Core Kit]],0)</f>
        <v>0</v>
      </c>
      <c r="Y391" s="112">
        <f>IF(NFI_Expiration=1,IF($A391&lt;VLOOKUP(K$5,NFI,5,0),1,0)*Data_NFI_t[[#This Row],[Sanitary Kit]],0)</f>
        <v>0</v>
      </c>
      <c r="Z391" s="112">
        <f>IF(NFI_Expiration=1,IF($A391&lt;VLOOKUP(L$5,NFI,5,0),1,0)*Data_NFI_t[[#This Row],[Mosquito net]],0)</f>
        <v>0</v>
      </c>
      <c r="AA391" s="112">
        <f>IF(NFI_Expiration=1,IF($A391&lt;VLOOKUP(M$5,NFI,5,0),1,0)*Data_NFI_t[[#This Row],[Tarpaulin]],0)</f>
        <v>0</v>
      </c>
      <c r="AB391" s="112">
        <f>IF(NFI_Expiration=1,IF($A391&lt;VLOOKUP(N$5,NFI,5,0),1,0)*Data_NFI_t[[#This Row],[Blanket]],0)</f>
        <v>0</v>
      </c>
      <c r="AC391" s="112">
        <f>IF(NFI_Expiration=1,IF($A391&lt;VLOOKUP(O$5,NFI,5,0),1,0)*Data_NFI_t[[#This Row],[Kitchen Set]],0)</f>
        <v>0</v>
      </c>
      <c r="AD391" s="112">
        <f>IF(NFI_Expiration=1,IF($A391&lt;VLOOKUP(P$5,NFI,5,0),1,0)*Data_NFI_t[[#This Row],[Complementary Kit]],0)</f>
        <v>0</v>
      </c>
      <c r="AE391" s="112">
        <f>IF(NFI_Expiration=1,IF($A391&lt;VLOOKUP(Q$5,NFI,5,0),1,0)*Data_NFI_t[[#This Row],[Plastic Bucket]],0)</f>
        <v>0</v>
      </c>
      <c r="AF391" s="112">
        <f>IF(NFI_Expiration=1,IF($A391&lt;VLOOKUP(R$5,NFI,5,0),1,0)*Data_NFI_t[[#This Row],[Jerry Can]],0)</f>
        <v>0</v>
      </c>
      <c r="AG391" s="131">
        <f>IF(NFI_Expiration=1,IF($A391&lt;VLOOKUP(S$5,NFI,5,0),1,0)*Data_NFI_t[[#This Row],[Plastic Mat]],0)*IF(Data_NFI_t[[#This Row],[Distribution Date]]&gt;"01-06-2015",1,2.5)</f>
        <v>0</v>
      </c>
      <c r="AH391" s="915">
        <f>IF(NFI_Expiration=1,IF($A391&lt;VLOOKUP(T$5,NFI,5,0),1,0)*Data_NFI_t[[#This Row],[Adult Clothes]],0)</f>
        <v>0</v>
      </c>
      <c r="AI391" s="131">
        <f>IF(NFI_Expiration=1,IF($A391&lt;VLOOKUP(U$5,NFI,5,0),1,0)*Data_NFI_t[[#This Row],[Children Clothes]],0)</f>
        <v>0</v>
      </c>
      <c r="AJ391" s="131">
        <f>IF(NFI_Expiration=1,IF($A391&lt;VLOOKUP(V$5,NFI,5,0),1,0)*Data_NFI_t[[#This Row],[Sewing Kit]],0)</f>
        <v>0</v>
      </c>
      <c r="AK391" s="131" t="str">
        <f ca="1">IFERROR(OFFSET(Camp_List[P_Code],MATCH(Data_NFI_t[[#This Row],[Camp Name]],Camp_List[Camp Name],0)-1,0,1,1),"")</f>
        <v/>
      </c>
      <c r="AL391" s="513" t="str">
        <f ca="1">IFERROR(OFFSET(Camp_List[Status],MATCH(Data_NFI_t[[#This Row],[Camp Name]],Camp_List[Camp Name],0)-1,0,1,1),"")</f>
        <v/>
      </c>
      <c r="AM391" s="131"/>
    </row>
    <row r="392" spans="1:42" s="90" customFormat="1" ht="19.5" customHeight="1" x14ac:dyDescent="0.25">
      <c r="A392" s="242">
        <f>IF(ISBLANK(C392),"",(Report_Date-C392)/30)</f>
        <v>56.466666666666669</v>
      </c>
      <c r="B392" s="242">
        <f>YEAR(Data_NFI_t[[#This Row],[Distribution Date]])</f>
        <v>2012</v>
      </c>
      <c r="C392" s="927">
        <v>41101</v>
      </c>
      <c r="D392" s="489" t="s">
        <v>285</v>
      </c>
      <c r="E392" s="488"/>
      <c r="F392" s="489" t="s">
        <v>7</v>
      </c>
      <c r="G392" s="794" t="s">
        <v>19</v>
      </c>
      <c r="H392" s="794" t="s">
        <v>272</v>
      </c>
      <c r="I392" s="794"/>
      <c r="J392" s="51"/>
      <c r="K392" s="51"/>
      <c r="L392" s="51"/>
      <c r="M392" s="51">
        <v>492</v>
      </c>
      <c r="N392" s="51"/>
      <c r="O392" s="51"/>
      <c r="P392" s="51"/>
      <c r="Q392" s="51"/>
      <c r="R392" s="511"/>
      <c r="S392" s="51"/>
      <c r="T392" s="51"/>
      <c r="U392" s="51"/>
      <c r="V392" s="51"/>
      <c r="W392" s="131">
        <f>IF(NFI_Expiration=1,IF($A392&lt;VLOOKUP(I$5,NFI,5,0),1,0)*Data_NFI_t[[#This Row],[Hygiene Kit]],0)</f>
        <v>0</v>
      </c>
      <c r="X392" s="131">
        <f>IF(NFI_Expiration=1,IF($A392&lt;VLOOKUP(J$5,NFI,5,0),1,0)*Data_NFI_t[[#This Row],[NFI Core Kit]],0)</f>
        <v>0</v>
      </c>
      <c r="Y392" s="112">
        <f>IF(NFI_Expiration=1,IF($A392&lt;VLOOKUP(K$5,NFI,5,0),1,0)*Data_NFI_t[[#This Row],[Sanitary Kit]],0)</f>
        <v>0</v>
      </c>
      <c r="Z392" s="112">
        <f>IF(NFI_Expiration=1,IF($A392&lt;VLOOKUP(L$5,NFI,5,0),1,0)*Data_NFI_t[[#This Row],[Mosquito net]],0)</f>
        <v>0</v>
      </c>
      <c r="AA392" s="112">
        <f>IF(NFI_Expiration=1,IF($A392&lt;VLOOKUP(M$5,NFI,5,0),1,0)*Data_NFI_t[[#This Row],[Tarpaulin]],0)</f>
        <v>0</v>
      </c>
      <c r="AB392" s="112">
        <f>IF(NFI_Expiration=1,IF($A392&lt;VLOOKUP(N$5,NFI,5,0),1,0)*Data_NFI_t[[#This Row],[Blanket]],0)</f>
        <v>0</v>
      </c>
      <c r="AC392" s="112">
        <f>IF(NFI_Expiration=1,IF($A392&lt;VLOOKUP(O$5,NFI,5,0),1,0)*Data_NFI_t[[#This Row],[Kitchen Set]],0)</f>
        <v>0</v>
      </c>
      <c r="AD392" s="112">
        <f>IF(NFI_Expiration=1,IF($A392&lt;VLOOKUP(P$5,NFI,5,0),1,0)*Data_NFI_t[[#This Row],[Complementary Kit]],0)</f>
        <v>0</v>
      </c>
      <c r="AE392" s="112">
        <f>IF(NFI_Expiration=1,IF($A392&lt;VLOOKUP(Q$5,NFI,5,0),1,0)*Data_NFI_t[[#This Row],[Plastic Bucket]],0)</f>
        <v>0</v>
      </c>
      <c r="AF392" s="112">
        <f>IF(NFI_Expiration=1,IF($A392&lt;VLOOKUP(R$5,NFI,5,0),1,0)*Data_NFI_t[[#This Row],[Jerry Can]],0)</f>
        <v>0</v>
      </c>
      <c r="AG392" s="131">
        <f>IF(NFI_Expiration=1,IF($A392&lt;VLOOKUP(S$5,NFI,5,0),1,0)*Data_NFI_t[[#This Row],[Plastic Mat]],0)*IF(Data_NFI_t[[#This Row],[Distribution Date]]&gt;"01-06-2015",1,2.5)</f>
        <v>0</v>
      </c>
      <c r="AH392" s="915">
        <f>IF(NFI_Expiration=1,IF($A392&lt;VLOOKUP(T$5,NFI,5,0),1,0)*Data_NFI_t[[#This Row],[Adult Clothes]],0)</f>
        <v>0</v>
      </c>
      <c r="AI392" s="131">
        <f>IF(NFI_Expiration=1,IF($A392&lt;VLOOKUP(U$5,NFI,5,0),1,0)*Data_NFI_t[[#This Row],[Children Clothes]],0)</f>
        <v>0</v>
      </c>
      <c r="AJ392" s="131">
        <f>IF(NFI_Expiration=1,IF($A392&lt;VLOOKUP(V$5,NFI,5,0),1,0)*Data_NFI_t[[#This Row],[Sewing Kit]],0)</f>
        <v>0</v>
      </c>
      <c r="AK392" s="131" t="str">
        <f ca="1">IFERROR(OFFSET(Camp_List[P_Code],MATCH(Data_NFI_t[[#This Row],[Camp Name]],Camp_List[Camp Name],0)-1,0,1,1),"")</f>
        <v/>
      </c>
      <c r="AL392" s="513" t="str">
        <f ca="1">IFERROR(OFFSET(Camp_List[Status],MATCH(Data_NFI_t[[#This Row],[Camp Name]],Camp_List[Camp Name],0)-1,0,1,1),"")</f>
        <v/>
      </c>
      <c r="AM392" s="131"/>
    </row>
    <row r="393" spans="1:42" s="90" customFormat="1" ht="19.5" customHeight="1" x14ac:dyDescent="0.25">
      <c r="A393" s="242">
        <f>IF(ISBLANK(C393),"",(Report_Date-C393)/30)</f>
        <v>56.5</v>
      </c>
      <c r="B393" s="242">
        <f>YEAR(Data_NFI_t[[#This Row],[Distribution Date]])</f>
        <v>2012</v>
      </c>
      <c r="C393" s="927">
        <v>41100</v>
      </c>
      <c r="D393" s="489" t="s">
        <v>285</v>
      </c>
      <c r="E393" s="488"/>
      <c r="F393" s="489" t="s">
        <v>7</v>
      </c>
      <c r="G393" s="794" t="s">
        <v>19</v>
      </c>
      <c r="H393" s="794" t="s">
        <v>267</v>
      </c>
      <c r="I393" s="794"/>
      <c r="J393" s="51"/>
      <c r="K393" s="51"/>
      <c r="L393" s="51"/>
      <c r="M393" s="51">
        <v>32</v>
      </c>
      <c r="N393" s="51"/>
      <c r="O393" s="51"/>
      <c r="P393" s="51"/>
      <c r="Q393" s="51"/>
      <c r="R393" s="511"/>
      <c r="S393" s="51"/>
      <c r="T393" s="51"/>
      <c r="U393" s="51"/>
      <c r="V393" s="51"/>
      <c r="W393" s="131">
        <f>IF(NFI_Expiration=1,IF($A393&lt;VLOOKUP(I$5,NFI,5,0),1,0)*Data_NFI_t[[#This Row],[Hygiene Kit]],0)</f>
        <v>0</v>
      </c>
      <c r="X393" s="131">
        <f>IF(NFI_Expiration=1,IF($A393&lt;VLOOKUP(J$5,NFI,5,0),1,0)*Data_NFI_t[[#This Row],[NFI Core Kit]],0)</f>
        <v>0</v>
      </c>
      <c r="Y393" s="112">
        <f>IF(NFI_Expiration=1,IF($A393&lt;VLOOKUP(K$5,NFI,5,0),1,0)*Data_NFI_t[[#This Row],[Sanitary Kit]],0)</f>
        <v>0</v>
      </c>
      <c r="Z393" s="112">
        <f>IF(NFI_Expiration=1,IF($A393&lt;VLOOKUP(L$5,NFI,5,0),1,0)*Data_NFI_t[[#This Row],[Mosquito net]],0)</f>
        <v>0</v>
      </c>
      <c r="AA393" s="112">
        <f>IF(NFI_Expiration=1,IF($A393&lt;VLOOKUP(M$5,NFI,5,0),1,0)*Data_NFI_t[[#This Row],[Tarpaulin]],0)</f>
        <v>0</v>
      </c>
      <c r="AB393" s="112">
        <f>IF(NFI_Expiration=1,IF($A393&lt;VLOOKUP(N$5,NFI,5,0),1,0)*Data_NFI_t[[#This Row],[Blanket]],0)</f>
        <v>0</v>
      </c>
      <c r="AC393" s="112">
        <f>IF(NFI_Expiration=1,IF($A393&lt;VLOOKUP(O$5,NFI,5,0),1,0)*Data_NFI_t[[#This Row],[Kitchen Set]],0)</f>
        <v>0</v>
      </c>
      <c r="AD393" s="112">
        <f>IF(NFI_Expiration=1,IF($A393&lt;VLOOKUP(P$5,NFI,5,0),1,0)*Data_NFI_t[[#This Row],[Complementary Kit]],0)</f>
        <v>0</v>
      </c>
      <c r="AE393" s="112">
        <f>IF(NFI_Expiration=1,IF($A393&lt;VLOOKUP(Q$5,NFI,5,0),1,0)*Data_NFI_t[[#This Row],[Plastic Bucket]],0)</f>
        <v>0</v>
      </c>
      <c r="AF393" s="112">
        <f>IF(NFI_Expiration=1,IF($A393&lt;VLOOKUP(R$5,NFI,5,0),1,0)*Data_NFI_t[[#This Row],[Jerry Can]],0)</f>
        <v>0</v>
      </c>
      <c r="AG393" s="131">
        <f>IF(NFI_Expiration=1,IF($A393&lt;VLOOKUP(S$5,NFI,5,0),1,0)*Data_NFI_t[[#This Row],[Plastic Mat]],0)*IF(Data_NFI_t[[#This Row],[Distribution Date]]&gt;"01-06-2015",1,2.5)</f>
        <v>0</v>
      </c>
      <c r="AH393" s="915">
        <f>IF(NFI_Expiration=1,IF($A393&lt;VLOOKUP(T$5,NFI,5,0),1,0)*Data_NFI_t[[#This Row],[Adult Clothes]],0)</f>
        <v>0</v>
      </c>
      <c r="AI393" s="131">
        <f>IF(NFI_Expiration=1,IF($A393&lt;VLOOKUP(U$5,NFI,5,0),1,0)*Data_NFI_t[[#This Row],[Children Clothes]],0)</f>
        <v>0</v>
      </c>
      <c r="AJ393" s="131">
        <f>IF(NFI_Expiration=1,IF($A393&lt;VLOOKUP(V$5,NFI,5,0),1,0)*Data_NFI_t[[#This Row],[Sewing Kit]],0)</f>
        <v>0</v>
      </c>
      <c r="AK393" s="131" t="str">
        <f ca="1">IFERROR(OFFSET(Camp_List[P_Code],MATCH(Data_NFI_t[[#This Row],[Camp Name]],Camp_List[Camp Name],0)-1,0,1,1),"")</f>
        <v/>
      </c>
      <c r="AL393" s="513" t="str">
        <f ca="1">IFERROR(OFFSET(Camp_List[Status],MATCH(Data_NFI_t[[#This Row],[Camp Name]],Camp_List[Camp Name],0)-1,0,1,1),"")</f>
        <v/>
      </c>
      <c r="AM393" s="131"/>
    </row>
    <row r="394" spans="1:42" s="90" customFormat="1" ht="19.5" customHeight="1" x14ac:dyDescent="0.25">
      <c r="A394" s="242">
        <f>IF(ISBLANK(C394),"",(Report_Date-C394)/30)</f>
        <v>56.5</v>
      </c>
      <c r="B394" s="242">
        <f>YEAR(Data_NFI_t[[#This Row],[Distribution Date]])</f>
        <v>2012</v>
      </c>
      <c r="C394" s="927">
        <v>41100</v>
      </c>
      <c r="D394" s="489" t="s">
        <v>285</v>
      </c>
      <c r="E394" s="488"/>
      <c r="F394" s="489" t="s">
        <v>7</v>
      </c>
      <c r="G394" s="794" t="s">
        <v>19</v>
      </c>
      <c r="H394" s="794" t="s">
        <v>270</v>
      </c>
      <c r="I394" s="794"/>
      <c r="J394" s="51"/>
      <c r="K394" s="51"/>
      <c r="L394" s="51"/>
      <c r="M394" s="51">
        <v>5</v>
      </c>
      <c r="N394" s="51"/>
      <c r="O394" s="51"/>
      <c r="P394" s="51"/>
      <c r="Q394" s="51"/>
      <c r="R394" s="511"/>
      <c r="S394" s="51"/>
      <c r="T394" s="51"/>
      <c r="U394" s="51"/>
      <c r="V394" s="51"/>
      <c r="W394" s="131">
        <f>IF(NFI_Expiration=1,IF($A394&lt;VLOOKUP(I$5,NFI,5,0),1,0)*Data_NFI_t[[#This Row],[Hygiene Kit]],0)</f>
        <v>0</v>
      </c>
      <c r="X394" s="131">
        <f>IF(NFI_Expiration=1,IF($A394&lt;VLOOKUP(J$5,NFI,5,0),1,0)*Data_NFI_t[[#This Row],[NFI Core Kit]],0)</f>
        <v>0</v>
      </c>
      <c r="Y394" s="112">
        <f>IF(NFI_Expiration=1,IF($A394&lt;VLOOKUP(K$5,NFI,5,0),1,0)*Data_NFI_t[[#This Row],[Sanitary Kit]],0)</f>
        <v>0</v>
      </c>
      <c r="Z394" s="112">
        <f>IF(NFI_Expiration=1,IF($A394&lt;VLOOKUP(L$5,NFI,5,0),1,0)*Data_NFI_t[[#This Row],[Mosquito net]],0)</f>
        <v>0</v>
      </c>
      <c r="AA394" s="112">
        <f>IF(NFI_Expiration=1,IF($A394&lt;VLOOKUP(M$5,NFI,5,0),1,0)*Data_NFI_t[[#This Row],[Tarpaulin]],0)</f>
        <v>0</v>
      </c>
      <c r="AB394" s="112">
        <f>IF(NFI_Expiration=1,IF($A394&lt;VLOOKUP(N$5,NFI,5,0),1,0)*Data_NFI_t[[#This Row],[Blanket]],0)</f>
        <v>0</v>
      </c>
      <c r="AC394" s="112">
        <f>IF(NFI_Expiration=1,IF($A394&lt;VLOOKUP(O$5,NFI,5,0),1,0)*Data_NFI_t[[#This Row],[Kitchen Set]],0)</f>
        <v>0</v>
      </c>
      <c r="AD394" s="112">
        <f>IF(NFI_Expiration=1,IF($A394&lt;VLOOKUP(P$5,NFI,5,0),1,0)*Data_NFI_t[[#This Row],[Complementary Kit]],0)</f>
        <v>0</v>
      </c>
      <c r="AE394" s="112">
        <f>IF(NFI_Expiration=1,IF($A394&lt;VLOOKUP(Q$5,NFI,5,0),1,0)*Data_NFI_t[[#This Row],[Plastic Bucket]],0)</f>
        <v>0</v>
      </c>
      <c r="AF394" s="112">
        <f>IF(NFI_Expiration=1,IF($A394&lt;VLOOKUP(R$5,NFI,5,0),1,0)*Data_NFI_t[[#This Row],[Jerry Can]],0)</f>
        <v>0</v>
      </c>
      <c r="AG394" s="131">
        <f>IF(NFI_Expiration=1,IF($A394&lt;VLOOKUP(S$5,NFI,5,0),1,0)*Data_NFI_t[[#This Row],[Plastic Mat]],0)*IF(Data_NFI_t[[#This Row],[Distribution Date]]&gt;"01-06-2015",1,2.5)</f>
        <v>0</v>
      </c>
      <c r="AH394" s="915">
        <f>IF(NFI_Expiration=1,IF($A394&lt;VLOOKUP(T$5,NFI,5,0),1,0)*Data_NFI_t[[#This Row],[Adult Clothes]],0)</f>
        <v>0</v>
      </c>
      <c r="AI394" s="131">
        <f>IF(NFI_Expiration=1,IF($A394&lt;VLOOKUP(U$5,NFI,5,0),1,0)*Data_NFI_t[[#This Row],[Children Clothes]],0)</f>
        <v>0</v>
      </c>
      <c r="AJ394" s="131">
        <f>IF(NFI_Expiration=1,IF($A394&lt;VLOOKUP(V$5,NFI,5,0),1,0)*Data_NFI_t[[#This Row],[Sewing Kit]],0)</f>
        <v>0</v>
      </c>
      <c r="AK394" s="131" t="str">
        <f ca="1">IFERROR(OFFSET(Camp_List[P_Code],MATCH(Data_NFI_t[[#This Row],[Camp Name]],Camp_List[Camp Name],0)-1,0,1,1),"")</f>
        <v/>
      </c>
      <c r="AL394" s="513" t="str">
        <f ca="1">IFERROR(OFFSET(Camp_List[Status],MATCH(Data_NFI_t[[#This Row],[Camp Name]],Camp_List[Camp Name],0)-1,0,1,1),"")</f>
        <v/>
      </c>
      <c r="AM394" s="131"/>
    </row>
    <row r="395" spans="1:42" s="90" customFormat="1" ht="19.5" customHeight="1" x14ac:dyDescent="0.25">
      <c r="A395" s="242">
        <f>IF(ISBLANK(C395),"",(Report_Date-C395)/30)</f>
        <v>56.5</v>
      </c>
      <c r="B395" s="242">
        <f>YEAR(Data_NFI_t[[#This Row],[Distribution Date]])</f>
        <v>2012</v>
      </c>
      <c r="C395" s="927">
        <v>41100</v>
      </c>
      <c r="D395" s="489" t="s">
        <v>285</v>
      </c>
      <c r="E395" s="488"/>
      <c r="F395" s="489" t="s">
        <v>7</v>
      </c>
      <c r="G395" s="794" t="s">
        <v>19</v>
      </c>
      <c r="H395" s="794" t="s">
        <v>269</v>
      </c>
      <c r="I395" s="794"/>
      <c r="J395" s="51"/>
      <c r="K395" s="51"/>
      <c r="L395" s="51"/>
      <c r="M395" s="51">
        <v>16</v>
      </c>
      <c r="N395" s="51"/>
      <c r="O395" s="51"/>
      <c r="P395" s="51"/>
      <c r="Q395" s="51"/>
      <c r="R395" s="511"/>
      <c r="S395" s="51"/>
      <c r="T395" s="51"/>
      <c r="U395" s="51"/>
      <c r="V395" s="51"/>
      <c r="W395" s="131">
        <f>IF(NFI_Expiration=1,IF($A395&lt;VLOOKUP(I$5,NFI,5,0),1,0)*Data_NFI_t[[#This Row],[Hygiene Kit]],0)</f>
        <v>0</v>
      </c>
      <c r="X395" s="131">
        <f>IF(NFI_Expiration=1,IF($A395&lt;VLOOKUP(J$5,NFI,5,0),1,0)*Data_NFI_t[[#This Row],[NFI Core Kit]],0)</f>
        <v>0</v>
      </c>
      <c r="Y395" s="112">
        <f>IF(NFI_Expiration=1,IF($A395&lt;VLOOKUP(K$5,NFI,5,0),1,0)*Data_NFI_t[[#This Row],[Sanitary Kit]],0)</f>
        <v>0</v>
      </c>
      <c r="Z395" s="112">
        <f>IF(NFI_Expiration=1,IF($A395&lt;VLOOKUP(L$5,NFI,5,0),1,0)*Data_NFI_t[[#This Row],[Mosquito net]],0)</f>
        <v>0</v>
      </c>
      <c r="AA395" s="112">
        <f>IF(NFI_Expiration=1,IF($A395&lt;VLOOKUP(M$5,NFI,5,0),1,0)*Data_NFI_t[[#This Row],[Tarpaulin]],0)</f>
        <v>0</v>
      </c>
      <c r="AB395" s="112">
        <f>IF(NFI_Expiration=1,IF($A395&lt;VLOOKUP(N$5,NFI,5,0),1,0)*Data_NFI_t[[#This Row],[Blanket]],0)</f>
        <v>0</v>
      </c>
      <c r="AC395" s="112">
        <f>IF(NFI_Expiration=1,IF($A395&lt;VLOOKUP(O$5,NFI,5,0),1,0)*Data_NFI_t[[#This Row],[Kitchen Set]],0)</f>
        <v>0</v>
      </c>
      <c r="AD395" s="112">
        <f>IF(NFI_Expiration=1,IF($A395&lt;VLOOKUP(P$5,NFI,5,0),1,0)*Data_NFI_t[[#This Row],[Complementary Kit]],0)</f>
        <v>0</v>
      </c>
      <c r="AE395" s="112">
        <f>IF(NFI_Expiration=1,IF($A395&lt;VLOOKUP(Q$5,NFI,5,0),1,0)*Data_NFI_t[[#This Row],[Plastic Bucket]],0)</f>
        <v>0</v>
      </c>
      <c r="AF395" s="112">
        <f>IF(NFI_Expiration=1,IF($A395&lt;VLOOKUP(R$5,NFI,5,0),1,0)*Data_NFI_t[[#This Row],[Jerry Can]],0)</f>
        <v>0</v>
      </c>
      <c r="AG395" s="131">
        <f>IF(NFI_Expiration=1,IF($A395&lt;VLOOKUP(S$5,NFI,5,0),1,0)*Data_NFI_t[[#This Row],[Plastic Mat]],0)*IF(Data_NFI_t[[#This Row],[Distribution Date]]&gt;"01-06-2015",1,2.5)</f>
        <v>0</v>
      </c>
      <c r="AH395" s="915">
        <f>IF(NFI_Expiration=1,IF($A395&lt;VLOOKUP(T$5,NFI,5,0),1,0)*Data_NFI_t[[#This Row],[Adult Clothes]],0)</f>
        <v>0</v>
      </c>
      <c r="AI395" s="131">
        <f>IF(NFI_Expiration=1,IF($A395&lt;VLOOKUP(U$5,NFI,5,0),1,0)*Data_NFI_t[[#This Row],[Children Clothes]],0)</f>
        <v>0</v>
      </c>
      <c r="AJ395" s="131">
        <f>IF(NFI_Expiration=1,IF($A395&lt;VLOOKUP(V$5,NFI,5,0),1,0)*Data_NFI_t[[#This Row],[Sewing Kit]],0)</f>
        <v>0</v>
      </c>
      <c r="AK395" s="131" t="str">
        <f ca="1">IFERROR(OFFSET(Camp_List[P_Code],MATCH(Data_NFI_t[[#This Row],[Camp Name]],Camp_List[Camp Name],0)-1,0,1,1),"")</f>
        <v/>
      </c>
      <c r="AL395" s="513" t="str">
        <f ca="1">IFERROR(OFFSET(Camp_List[Status],MATCH(Data_NFI_t[[#This Row],[Camp Name]],Camp_List[Camp Name],0)-1,0,1,1),"")</f>
        <v/>
      </c>
      <c r="AM395" s="131"/>
    </row>
    <row r="396" spans="1:42" s="90" customFormat="1" ht="19.5" customHeight="1" x14ac:dyDescent="0.25">
      <c r="A396" s="242">
        <f>IF(ISBLANK(C396),"",(Report_Date-C396)/30)</f>
        <v>56.5</v>
      </c>
      <c r="B396" s="242">
        <f>YEAR(Data_NFI_t[[#This Row],[Distribution Date]])</f>
        <v>2012</v>
      </c>
      <c r="C396" s="927">
        <v>41100</v>
      </c>
      <c r="D396" s="489" t="s">
        <v>285</v>
      </c>
      <c r="E396" s="488"/>
      <c r="F396" s="489" t="s">
        <v>7</v>
      </c>
      <c r="G396" s="794" t="s">
        <v>19</v>
      </c>
      <c r="H396" s="794" t="s">
        <v>268</v>
      </c>
      <c r="I396" s="794"/>
      <c r="J396" s="51"/>
      <c r="K396" s="51"/>
      <c r="L396" s="51"/>
      <c r="M396" s="51">
        <v>11</v>
      </c>
      <c r="N396" s="51"/>
      <c r="O396" s="51"/>
      <c r="P396" s="51"/>
      <c r="Q396" s="51"/>
      <c r="R396" s="511"/>
      <c r="S396" s="51"/>
      <c r="T396" s="51"/>
      <c r="U396" s="51"/>
      <c r="V396" s="51"/>
      <c r="W396" s="131">
        <f>IF(NFI_Expiration=1,IF($A396&lt;VLOOKUP(I$5,NFI,5,0),1,0)*Data_NFI_t[[#This Row],[Hygiene Kit]],0)</f>
        <v>0</v>
      </c>
      <c r="X396" s="131">
        <f>IF(NFI_Expiration=1,IF($A396&lt;VLOOKUP(J$5,NFI,5,0),1,0)*Data_NFI_t[[#This Row],[NFI Core Kit]],0)</f>
        <v>0</v>
      </c>
      <c r="Y396" s="112">
        <f>IF(NFI_Expiration=1,IF($A396&lt;VLOOKUP(K$5,NFI,5,0),1,0)*Data_NFI_t[[#This Row],[Sanitary Kit]],0)</f>
        <v>0</v>
      </c>
      <c r="Z396" s="112">
        <f>IF(NFI_Expiration=1,IF($A396&lt;VLOOKUP(L$5,NFI,5,0),1,0)*Data_NFI_t[[#This Row],[Mosquito net]],0)</f>
        <v>0</v>
      </c>
      <c r="AA396" s="112">
        <f>IF(NFI_Expiration=1,IF($A396&lt;VLOOKUP(M$5,NFI,5,0),1,0)*Data_NFI_t[[#This Row],[Tarpaulin]],0)</f>
        <v>0</v>
      </c>
      <c r="AB396" s="112">
        <f>IF(NFI_Expiration=1,IF($A396&lt;VLOOKUP(N$5,NFI,5,0),1,0)*Data_NFI_t[[#This Row],[Blanket]],0)</f>
        <v>0</v>
      </c>
      <c r="AC396" s="112">
        <f>IF(NFI_Expiration=1,IF($A396&lt;VLOOKUP(O$5,NFI,5,0),1,0)*Data_NFI_t[[#This Row],[Kitchen Set]],0)</f>
        <v>0</v>
      </c>
      <c r="AD396" s="112">
        <f>IF(NFI_Expiration=1,IF($A396&lt;VLOOKUP(P$5,NFI,5,0),1,0)*Data_NFI_t[[#This Row],[Complementary Kit]],0)</f>
        <v>0</v>
      </c>
      <c r="AE396" s="112">
        <f>IF(NFI_Expiration=1,IF($A396&lt;VLOOKUP(Q$5,NFI,5,0),1,0)*Data_NFI_t[[#This Row],[Plastic Bucket]],0)</f>
        <v>0</v>
      </c>
      <c r="AF396" s="112">
        <f>IF(NFI_Expiration=1,IF($A396&lt;VLOOKUP(R$5,NFI,5,0),1,0)*Data_NFI_t[[#This Row],[Jerry Can]],0)</f>
        <v>0</v>
      </c>
      <c r="AG396" s="131">
        <f>IF(NFI_Expiration=1,IF($A396&lt;VLOOKUP(S$5,NFI,5,0),1,0)*Data_NFI_t[[#This Row],[Plastic Mat]],0)*IF(Data_NFI_t[[#This Row],[Distribution Date]]&gt;"01-06-2015",1,2.5)</f>
        <v>0</v>
      </c>
      <c r="AH396" s="915">
        <f>IF(NFI_Expiration=1,IF($A396&lt;VLOOKUP(T$5,NFI,5,0),1,0)*Data_NFI_t[[#This Row],[Adult Clothes]],0)</f>
        <v>0</v>
      </c>
      <c r="AI396" s="131">
        <f>IF(NFI_Expiration=1,IF($A396&lt;VLOOKUP(U$5,NFI,5,0),1,0)*Data_NFI_t[[#This Row],[Children Clothes]],0)</f>
        <v>0</v>
      </c>
      <c r="AJ396" s="131">
        <f>IF(NFI_Expiration=1,IF($A396&lt;VLOOKUP(V$5,NFI,5,0),1,0)*Data_NFI_t[[#This Row],[Sewing Kit]],0)</f>
        <v>0</v>
      </c>
      <c r="AK396" s="131" t="str">
        <f ca="1">IFERROR(OFFSET(Camp_List[P_Code],MATCH(Data_NFI_t[[#This Row],[Camp Name]],Camp_List[Camp Name],0)-1,0,1,1),"")</f>
        <v/>
      </c>
      <c r="AL396" s="513" t="str">
        <f ca="1">IFERROR(OFFSET(Camp_List[Status],MATCH(Data_NFI_t[[#This Row],[Camp Name]],Camp_List[Camp Name],0)-1,0,1,1),"")</f>
        <v/>
      </c>
      <c r="AM396" s="131"/>
    </row>
    <row r="397" spans="1:42" s="90" customFormat="1" ht="19.5" customHeight="1" x14ac:dyDescent="0.25">
      <c r="A397" s="242">
        <f>IF(ISBLANK(C397),"",(Report_Date-C397)/30)</f>
        <v>56.5</v>
      </c>
      <c r="B397" s="242">
        <f>YEAR(Data_NFI_t[[#This Row],[Distribution Date]])</f>
        <v>2012</v>
      </c>
      <c r="C397" s="927">
        <v>41100</v>
      </c>
      <c r="D397" s="489" t="s">
        <v>285</v>
      </c>
      <c r="E397" s="488"/>
      <c r="F397" s="489" t="s">
        <v>7</v>
      </c>
      <c r="G397" s="794" t="s">
        <v>19</v>
      </c>
      <c r="H397" s="794" t="s">
        <v>96</v>
      </c>
      <c r="I397" s="794"/>
      <c r="J397" s="51"/>
      <c r="K397" s="51"/>
      <c r="L397" s="51"/>
      <c r="M397" s="51">
        <v>20</v>
      </c>
      <c r="N397" s="51"/>
      <c r="O397" s="51"/>
      <c r="P397" s="51"/>
      <c r="Q397" s="51"/>
      <c r="R397" s="511"/>
      <c r="S397" s="51"/>
      <c r="T397" s="51"/>
      <c r="U397" s="51"/>
      <c r="V397" s="51"/>
      <c r="W397" s="131">
        <f>IF(NFI_Expiration=1,IF($A397&lt;VLOOKUP(I$5,NFI,5,0),1,0)*Data_NFI_t[[#This Row],[Hygiene Kit]],0)</f>
        <v>0</v>
      </c>
      <c r="X397" s="131">
        <f>IF(NFI_Expiration=1,IF($A397&lt;VLOOKUP(J$5,NFI,5,0),1,0)*Data_NFI_t[[#This Row],[NFI Core Kit]],0)</f>
        <v>0</v>
      </c>
      <c r="Y397" s="112">
        <f>IF(NFI_Expiration=1,IF($A397&lt;VLOOKUP(K$5,NFI,5,0),1,0)*Data_NFI_t[[#This Row],[Sanitary Kit]],0)</f>
        <v>0</v>
      </c>
      <c r="Z397" s="112">
        <f>IF(NFI_Expiration=1,IF($A397&lt;VLOOKUP(L$5,NFI,5,0),1,0)*Data_NFI_t[[#This Row],[Mosquito net]],0)</f>
        <v>0</v>
      </c>
      <c r="AA397" s="112">
        <f>IF(NFI_Expiration=1,IF($A397&lt;VLOOKUP(M$5,NFI,5,0),1,0)*Data_NFI_t[[#This Row],[Tarpaulin]],0)</f>
        <v>0</v>
      </c>
      <c r="AB397" s="112">
        <f>IF(NFI_Expiration=1,IF($A397&lt;VLOOKUP(N$5,NFI,5,0),1,0)*Data_NFI_t[[#This Row],[Blanket]],0)</f>
        <v>0</v>
      </c>
      <c r="AC397" s="112">
        <f>IF(NFI_Expiration=1,IF($A397&lt;VLOOKUP(O$5,NFI,5,0),1,0)*Data_NFI_t[[#This Row],[Kitchen Set]],0)</f>
        <v>0</v>
      </c>
      <c r="AD397" s="112">
        <f>IF(NFI_Expiration=1,IF($A397&lt;VLOOKUP(P$5,NFI,5,0),1,0)*Data_NFI_t[[#This Row],[Complementary Kit]],0)</f>
        <v>0</v>
      </c>
      <c r="AE397" s="112">
        <f>IF(NFI_Expiration=1,IF($A397&lt;VLOOKUP(Q$5,NFI,5,0),1,0)*Data_NFI_t[[#This Row],[Plastic Bucket]],0)</f>
        <v>0</v>
      </c>
      <c r="AF397" s="112">
        <f>IF(NFI_Expiration=1,IF($A397&lt;VLOOKUP(R$5,NFI,5,0),1,0)*Data_NFI_t[[#This Row],[Jerry Can]],0)</f>
        <v>0</v>
      </c>
      <c r="AG397" s="131">
        <f>IF(NFI_Expiration=1,IF($A397&lt;VLOOKUP(S$5,NFI,5,0),1,0)*Data_NFI_t[[#This Row],[Plastic Mat]],0)*IF(Data_NFI_t[[#This Row],[Distribution Date]]&gt;"01-06-2015",1,2.5)</f>
        <v>0</v>
      </c>
      <c r="AH397" s="915">
        <f>IF(NFI_Expiration=1,IF($A397&lt;VLOOKUP(T$5,NFI,5,0),1,0)*Data_NFI_t[[#This Row],[Adult Clothes]],0)</f>
        <v>0</v>
      </c>
      <c r="AI397" s="131">
        <f>IF(NFI_Expiration=1,IF($A397&lt;VLOOKUP(U$5,NFI,5,0),1,0)*Data_NFI_t[[#This Row],[Children Clothes]],0)</f>
        <v>0</v>
      </c>
      <c r="AJ397" s="131">
        <f>IF(NFI_Expiration=1,IF($A397&lt;VLOOKUP(V$5,NFI,5,0),1,0)*Data_NFI_t[[#This Row],[Sewing Kit]],0)</f>
        <v>0</v>
      </c>
      <c r="AK397" s="131" t="str">
        <f ca="1">IFERROR(OFFSET(Camp_List[P_Code],MATCH(Data_NFI_t[[#This Row],[Camp Name]],Camp_List[Camp Name],0)-1,0,1,1),"")</f>
        <v>MMR012CMP075</v>
      </c>
      <c r="AL397" s="513" t="str">
        <f ca="1">IFERROR(OFFSET(Camp_List[Status],MATCH(Data_NFI_t[[#This Row],[Camp Name]],Camp_List[Camp Name],0)-1,0,1,1),"")</f>
        <v>Close</v>
      </c>
      <c r="AM397" s="131"/>
    </row>
    <row r="398" spans="1:42" s="90" customFormat="1" ht="19.5" customHeight="1" x14ac:dyDescent="0.25">
      <c r="A398" s="242">
        <f>IF(ISBLANK(C398),"",(Report_Date-C398)/30)</f>
        <v>56.5</v>
      </c>
      <c r="B398" s="242">
        <f>YEAR(Data_NFI_t[[#This Row],[Distribution Date]])</f>
        <v>2012</v>
      </c>
      <c r="C398" s="927">
        <v>41100</v>
      </c>
      <c r="D398" s="489" t="s">
        <v>285</v>
      </c>
      <c r="E398" s="488"/>
      <c r="F398" s="489" t="s">
        <v>7</v>
      </c>
      <c r="G398" s="794" t="s">
        <v>19</v>
      </c>
      <c r="H398" s="794" t="s">
        <v>271</v>
      </c>
      <c r="I398" s="794"/>
      <c r="J398" s="51"/>
      <c r="K398" s="51"/>
      <c r="L398" s="51"/>
      <c r="M398" s="51">
        <v>2</v>
      </c>
      <c r="N398" s="51"/>
      <c r="O398" s="51"/>
      <c r="P398" s="51"/>
      <c r="Q398" s="51"/>
      <c r="R398" s="511"/>
      <c r="S398" s="51"/>
      <c r="T398" s="51"/>
      <c r="U398" s="51"/>
      <c r="V398" s="51"/>
      <c r="W398" s="131">
        <f>IF(NFI_Expiration=1,IF($A398&lt;VLOOKUP(I$5,NFI,5,0),1,0)*Data_NFI_t[[#This Row],[Hygiene Kit]],0)</f>
        <v>0</v>
      </c>
      <c r="X398" s="131">
        <f>IF(NFI_Expiration=1,IF($A398&lt;VLOOKUP(J$5,NFI,5,0),1,0)*Data_NFI_t[[#This Row],[NFI Core Kit]],0)</f>
        <v>0</v>
      </c>
      <c r="Y398" s="112">
        <f>IF(NFI_Expiration=1,IF($A398&lt;VLOOKUP(K$5,NFI,5,0),1,0)*Data_NFI_t[[#This Row],[Sanitary Kit]],0)</f>
        <v>0</v>
      </c>
      <c r="Z398" s="112">
        <f>IF(NFI_Expiration=1,IF($A398&lt;VLOOKUP(L$5,NFI,5,0),1,0)*Data_NFI_t[[#This Row],[Mosquito net]],0)</f>
        <v>0</v>
      </c>
      <c r="AA398" s="112">
        <f>IF(NFI_Expiration=1,IF($A398&lt;VLOOKUP(M$5,NFI,5,0),1,0)*Data_NFI_t[[#This Row],[Tarpaulin]],0)</f>
        <v>0</v>
      </c>
      <c r="AB398" s="112">
        <f>IF(NFI_Expiration=1,IF($A398&lt;VLOOKUP(N$5,NFI,5,0),1,0)*Data_NFI_t[[#This Row],[Blanket]],0)</f>
        <v>0</v>
      </c>
      <c r="AC398" s="112">
        <f>IF(NFI_Expiration=1,IF($A398&lt;VLOOKUP(O$5,NFI,5,0),1,0)*Data_NFI_t[[#This Row],[Kitchen Set]],0)</f>
        <v>0</v>
      </c>
      <c r="AD398" s="112">
        <f>IF(NFI_Expiration=1,IF($A398&lt;VLOOKUP(P$5,NFI,5,0),1,0)*Data_NFI_t[[#This Row],[Complementary Kit]],0)</f>
        <v>0</v>
      </c>
      <c r="AE398" s="112">
        <f>IF(NFI_Expiration=1,IF($A398&lt;VLOOKUP(Q$5,NFI,5,0),1,0)*Data_NFI_t[[#This Row],[Plastic Bucket]],0)</f>
        <v>0</v>
      </c>
      <c r="AF398" s="112">
        <f>IF(NFI_Expiration=1,IF($A398&lt;VLOOKUP(R$5,NFI,5,0),1,0)*Data_NFI_t[[#This Row],[Jerry Can]],0)</f>
        <v>0</v>
      </c>
      <c r="AG398" s="131">
        <f>IF(NFI_Expiration=1,IF($A398&lt;VLOOKUP(S$5,NFI,5,0),1,0)*Data_NFI_t[[#This Row],[Plastic Mat]],0)*IF(Data_NFI_t[[#This Row],[Distribution Date]]&gt;"01-06-2015",1,2.5)</f>
        <v>0</v>
      </c>
      <c r="AH398" s="915">
        <f>IF(NFI_Expiration=1,IF($A398&lt;VLOOKUP(T$5,NFI,5,0),1,0)*Data_NFI_t[[#This Row],[Adult Clothes]],0)</f>
        <v>0</v>
      </c>
      <c r="AI398" s="131">
        <f>IF(NFI_Expiration=1,IF($A398&lt;VLOOKUP(U$5,NFI,5,0),1,0)*Data_NFI_t[[#This Row],[Children Clothes]],0)</f>
        <v>0</v>
      </c>
      <c r="AJ398" s="131">
        <f>IF(NFI_Expiration=1,IF($A398&lt;VLOOKUP(V$5,NFI,5,0),1,0)*Data_NFI_t[[#This Row],[Sewing Kit]],0)</f>
        <v>0</v>
      </c>
      <c r="AK398" s="131" t="str">
        <f ca="1">IFERROR(OFFSET(Camp_List[P_Code],MATCH(Data_NFI_t[[#This Row],[Camp Name]],Camp_List[Camp Name],0)-1,0,1,1),"")</f>
        <v/>
      </c>
      <c r="AL398" s="513" t="str">
        <f ca="1">IFERROR(OFFSET(Camp_List[Status],MATCH(Data_NFI_t[[#This Row],[Camp Name]],Camp_List[Camp Name],0)-1,0,1,1),"")</f>
        <v/>
      </c>
      <c r="AM398" s="131"/>
    </row>
    <row r="399" spans="1:42" s="90" customFormat="1" ht="19.5" customHeight="1" x14ac:dyDescent="0.25">
      <c r="A399" s="242">
        <f>IF(ISBLANK(C399),"",(Report_Date-C399)/30)</f>
        <v>56.533333333333331</v>
      </c>
      <c r="B399" s="242">
        <f>YEAR(Data_NFI_t[[#This Row],[Distribution Date]])</f>
        <v>2012</v>
      </c>
      <c r="C399" s="927">
        <v>41099</v>
      </c>
      <c r="D399" s="489" t="s">
        <v>285</v>
      </c>
      <c r="E399" s="488"/>
      <c r="F399" s="489" t="s">
        <v>7</v>
      </c>
      <c r="G399" s="794" t="s">
        <v>19</v>
      </c>
      <c r="H399" s="794" t="s">
        <v>266</v>
      </c>
      <c r="I399" s="794"/>
      <c r="J399" s="51"/>
      <c r="K399" s="51"/>
      <c r="L399" s="51"/>
      <c r="M399" s="51">
        <v>5</v>
      </c>
      <c r="N399" s="51"/>
      <c r="O399" s="51"/>
      <c r="P399" s="51"/>
      <c r="Q399" s="51"/>
      <c r="R399" s="511"/>
      <c r="S399" s="51"/>
      <c r="T399" s="51"/>
      <c r="U399" s="51"/>
      <c r="V399" s="51"/>
      <c r="W399" s="131">
        <f>IF(NFI_Expiration=1,IF($A399&lt;VLOOKUP(I$5,NFI,5,0),1,0)*Data_NFI_t[[#This Row],[Hygiene Kit]],0)</f>
        <v>0</v>
      </c>
      <c r="X399" s="131">
        <f>IF(NFI_Expiration=1,IF($A399&lt;VLOOKUP(J$5,NFI,5,0),1,0)*Data_NFI_t[[#This Row],[NFI Core Kit]],0)</f>
        <v>0</v>
      </c>
      <c r="Y399" s="112">
        <f>IF(NFI_Expiration=1,IF($A399&lt;VLOOKUP(K$5,NFI,5,0),1,0)*Data_NFI_t[[#This Row],[Sanitary Kit]],0)</f>
        <v>0</v>
      </c>
      <c r="Z399" s="112">
        <f>IF(NFI_Expiration=1,IF($A399&lt;VLOOKUP(L$5,NFI,5,0),1,0)*Data_NFI_t[[#This Row],[Mosquito net]],0)</f>
        <v>0</v>
      </c>
      <c r="AA399" s="112">
        <f>IF(NFI_Expiration=1,IF($A399&lt;VLOOKUP(M$5,NFI,5,0),1,0)*Data_NFI_t[[#This Row],[Tarpaulin]],0)</f>
        <v>0</v>
      </c>
      <c r="AB399" s="112">
        <f>IF(NFI_Expiration=1,IF($A399&lt;VLOOKUP(N$5,NFI,5,0),1,0)*Data_NFI_t[[#This Row],[Blanket]],0)</f>
        <v>0</v>
      </c>
      <c r="AC399" s="112">
        <f>IF(NFI_Expiration=1,IF($A399&lt;VLOOKUP(O$5,NFI,5,0),1,0)*Data_NFI_t[[#This Row],[Kitchen Set]],0)</f>
        <v>0</v>
      </c>
      <c r="AD399" s="112">
        <f>IF(NFI_Expiration=1,IF($A399&lt;VLOOKUP(P$5,NFI,5,0),1,0)*Data_NFI_t[[#This Row],[Complementary Kit]],0)</f>
        <v>0</v>
      </c>
      <c r="AE399" s="112">
        <f>IF(NFI_Expiration=1,IF($A399&lt;VLOOKUP(Q$5,NFI,5,0),1,0)*Data_NFI_t[[#This Row],[Plastic Bucket]],0)</f>
        <v>0</v>
      </c>
      <c r="AF399" s="112">
        <f>IF(NFI_Expiration=1,IF($A399&lt;VLOOKUP(R$5,NFI,5,0),1,0)*Data_NFI_t[[#This Row],[Jerry Can]],0)</f>
        <v>0</v>
      </c>
      <c r="AG399" s="131">
        <f>IF(NFI_Expiration=1,IF($A399&lt;VLOOKUP(S$5,NFI,5,0),1,0)*Data_NFI_t[[#This Row],[Plastic Mat]],0)*IF(Data_NFI_t[[#This Row],[Distribution Date]]&gt;"01-06-2015",1,2.5)</f>
        <v>0</v>
      </c>
      <c r="AH399" s="915">
        <f>IF(NFI_Expiration=1,IF($A399&lt;VLOOKUP(T$5,NFI,5,0),1,0)*Data_NFI_t[[#This Row],[Adult Clothes]],0)</f>
        <v>0</v>
      </c>
      <c r="AI399" s="131">
        <f>IF(NFI_Expiration=1,IF($A399&lt;VLOOKUP(U$5,NFI,5,0),1,0)*Data_NFI_t[[#This Row],[Children Clothes]],0)</f>
        <v>0</v>
      </c>
      <c r="AJ399" s="131">
        <f>IF(NFI_Expiration=1,IF($A399&lt;VLOOKUP(V$5,NFI,5,0),1,0)*Data_NFI_t[[#This Row],[Sewing Kit]],0)</f>
        <v>0</v>
      </c>
      <c r="AK399" s="131" t="str">
        <f ca="1">IFERROR(OFFSET(Camp_List[P_Code],MATCH(Data_NFI_t[[#This Row],[Camp Name]],Camp_List[Camp Name],0)-1,0,1,1),"")</f>
        <v/>
      </c>
      <c r="AL399" s="513" t="str">
        <f ca="1">IFERROR(OFFSET(Camp_List[Status],MATCH(Data_NFI_t[[#This Row],[Camp Name]],Camp_List[Camp Name],0)-1,0,1,1),"")</f>
        <v/>
      </c>
      <c r="AM399" s="131"/>
    </row>
    <row r="400" spans="1:42" s="90" customFormat="1" ht="19.5" customHeight="1" x14ac:dyDescent="0.25">
      <c r="A400" s="242">
        <f>IF(ISBLANK(C400),"",(Report_Date-C400)/30)</f>
        <v>56.533333333333331</v>
      </c>
      <c r="B400" s="242">
        <f>YEAR(Data_NFI_t[[#This Row],[Distribution Date]])</f>
        <v>2012</v>
      </c>
      <c r="C400" s="927">
        <v>41099</v>
      </c>
      <c r="D400" s="489" t="s">
        <v>285</v>
      </c>
      <c r="E400" s="488"/>
      <c r="F400" s="489" t="s">
        <v>7</v>
      </c>
      <c r="G400" s="794" t="s">
        <v>19</v>
      </c>
      <c r="H400" s="794" t="s">
        <v>258</v>
      </c>
      <c r="I400" s="794"/>
      <c r="J400" s="51"/>
      <c r="K400" s="51"/>
      <c r="L400" s="51"/>
      <c r="M400" s="51">
        <v>10</v>
      </c>
      <c r="N400" s="51"/>
      <c r="O400" s="51"/>
      <c r="P400" s="51"/>
      <c r="Q400" s="51"/>
      <c r="R400" s="511"/>
      <c r="S400" s="51"/>
      <c r="T400" s="51"/>
      <c r="U400" s="51"/>
      <c r="V400" s="51"/>
      <c r="W400" s="131">
        <f>IF(NFI_Expiration=1,IF($A400&lt;VLOOKUP(I$5,NFI,5,0),1,0)*Data_NFI_t[[#This Row],[Hygiene Kit]],0)</f>
        <v>0</v>
      </c>
      <c r="X400" s="131">
        <f>IF(NFI_Expiration=1,IF($A400&lt;VLOOKUP(J$5,NFI,5,0),1,0)*Data_NFI_t[[#This Row],[NFI Core Kit]],0)</f>
        <v>0</v>
      </c>
      <c r="Y400" s="112">
        <f>IF(NFI_Expiration=1,IF($A400&lt;VLOOKUP(K$5,NFI,5,0),1,0)*Data_NFI_t[[#This Row],[Sanitary Kit]],0)</f>
        <v>0</v>
      </c>
      <c r="Z400" s="112">
        <f>IF(NFI_Expiration=1,IF($A400&lt;VLOOKUP(L$5,NFI,5,0),1,0)*Data_NFI_t[[#This Row],[Mosquito net]],0)</f>
        <v>0</v>
      </c>
      <c r="AA400" s="112">
        <f>IF(NFI_Expiration=1,IF($A400&lt;VLOOKUP(M$5,NFI,5,0),1,0)*Data_NFI_t[[#This Row],[Tarpaulin]],0)</f>
        <v>0</v>
      </c>
      <c r="AB400" s="112">
        <f>IF(NFI_Expiration=1,IF($A400&lt;VLOOKUP(N$5,NFI,5,0),1,0)*Data_NFI_t[[#This Row],[Blanket]],0)</f>
        <v>0</v>
      </c>
      <c r="AC400" s="112">
        <f>IF(NFI_Expiration=1,IF($A400&lt;VLOOKUP(O$5,NFI,5,0),1,0)*Data_NFI_t[[#This Row],[Kitchen Set]],0)</f>
        <v>0</v>
      </c>
      <c r="AD400" s="112">
        <f>IF(NFI_Expiration=1,IF($A400&lt;VLOOKUP(P$5,NFI,5,0),1,0)*Data_NFI_t[[#This Row],[Complementary Kit]],0)</f>
        <v>0</v>
      </c>
      <c r="AE400" s="112">
        <f>IF(NFI_Expiration=1,IF($A400&lt;VLOOKUP(Q$5,NFI,5,0),1,0)*Data_NFI_t[[#This Row],[Plastic Bucket]],0)</f>
        <v>0</v>
      </c>
      <c r="AF400" s="112">
        <f>IF(NFI_Expiration=1,IF($A400&lt;VLOOKUP(R$5,NFI,5,0),1,0)*Data_NFI_t[[#This Row],[Jerry Can]],0)</f>
        <v>0</v>
      </c>
      <c r="AG400" s="131">
        <f>IF(NFI_Expiration=1,IF($A400&lt;VLOOKUP(S$5,NFI,5,0),1,0)*Data_NFI_t[[#This Row],[Plastic Mat]],0)*IF(Data_NFI_t[[#This Row],[Distribution Date]]&gt;"01-06-2015",1,2.5)</f>
        <v>0</v>
      </c>
      <c r="AH400" s="915">
        <f>IF(NFI_Expiration=1,IF($A400&lt;VLOOKUP(T$5,NFI,5,0),1,0)*Data_NFI_t[[#This Row],[Adult Clothes]],0)</f>
        <v>0</v>
      </c>
      <c r="AI400" s="131">
        <f>IF(NFI_Expiration=1,IF($A400&lt;VLOOKUP(U$5,NFI,5,0),1,0)*Data_NFI_t[[#This Row],[Children Clothes]],0)</f>
        <v>0</v>
      </c>
      <c r="AJ400" s="131">
        <f>IF(NFI_Expiration=1,IF($A400&lt;VLOOKUP(V$5,NFI,5,0),1,0)*Data_NFI_t[[#This Row],[Sewing Kit]],0)</f>
        <v>0</v>
      </c>
      <c r="AK400" s="131" t="str">
        <f ca="1">IFERROR(OFFSET(Camp_List[P_Code],MATCH(Data_NFI_t[[#This Row],[Camp Name]],Camp_List[Camp Name],0)-1,0,1,1),"")</f>
        <v/>
      </c>
      <c r="AL400" s="513" t="str">
        <f ca="1">IFERROR(OFFSET(Camp_List[Status],MATCH(Data_NFI_t[[#This Row],[Camp Name]],Camp_List[Camp Name],0)-1,0,1,1),"")</f>
        <v/>
      </c>
      <c r="AM400" s="131"/>
    </row>
    <row r="401" spans="1:39" s="90" customFormat="1" ht="19.5" customHeight="1" x14ac:dyDescent="0.25">
      <c r="A401" s="242">
        <f>IF(ISBLANK(C401),"",(Report_Date-C401)/30)</f>
        <v>56.533333333333331</v>
      </c>
      <c r="B401" s="242">
        <f>YEAR(Data_NFI_t[[#This Row],[Distribution Date]])</f>
        <v>2012</v>
      </c>
      <c r="C401" s="927">
        <v>41099</v>
      </c>
      <c r="D401" s="489" t="s">
        <v>285</v>
      </c>
      <c r="E401" s="488"/>
      <c r="F401" s="489" t="s">
        <v>7</v>
      </c>
      <c r="G401" s="794" t="s">
        <v>19</v>
      </c>
      <c r="H401" s="794" t="s">
        <v>263</v>
      </c>
      <c r="I401" s="794"/>
      <c r="J401" s="51"/>
      <c r="K401" s="51"/>
      <c r="L401" s="51"/>
      <c r="M401" s="51">
        <v>26</v>
      </c>
      <c r="N401" s="51"/>
      <c r="O401" s="51"/>
      <c r="P401" s="51"/>
      <c r="Q401" s="51"/>
      <c r="R401" s="511"/>
      <c r="S401" s="51"/>
      <c r="T401" s="51"/>
      <c r="U401" s="51"/>
      <c r="V401" s="51"/>
      <c r="W401" s="131">
        <f>IF(NFI_Expiration=1,IF($A401&lt;VLOOKUP(I$5,NFI,5,0),1,0)*Data_NFI_t[[#This Row],[Hygiene Kit]],0)</f>
        <v>0</v>
      </c>
      <c r="X401" s="131">
        <f>IF(NFI_Expiration=1,IF($A401&lt;VLOOKUP(J$5,NFI,5,0),1,0)*Data_NFI_t[[#This Row],[NFI Core Kit]],0)</f>
        <v>0</v>
      </c>
      <c r="Y401" s="112">
        <f>IF(NFI_Expiration=1,IF($A401&lt;VLOOKUP(K$5,NFI,5,0),1,0)*Data_NFI_t[[#This Row],[Sanitary Kit]],0)</f>
        <v>0</v>
      </c>
      <c r="Z401" s="112">
        <f>IF(NFI_Expiration=1,IF($A401&lt;VLOOKUP(L$5,NFI,5,0),1,0)*Data_NFI_t[[#This Row],[Mosquito net]],0)</f>
        <v>0</v>
      </c>
      <c r="AA401" s="112">
        <f>IF(NFI_Expiration=1,IF($A401&lt;VLOOKUP(M$5,NFI,5,0),1,0)*Data_NFI_t[[#This Row],[Tarpaulin]],0)</f>
        <v>0</v>
      </c>
      <c r="AB401" s="112">
        <f>IF(NFI_Expiration=1,IF($A401&lt;VLOOKUP(N$5,NFI,5,0),1,0)*Data_NFI_t[[#This Row],[Blanket]],0)</f>
        <v>0</v>
      </c>
      <c r="AC401" s="112">
        <f>IF(NFI_Expiration=1,IF($A401&lt;VLOOKUP(O$5,NFI,5,0),1,0)*Data_NFI_t[[#This Row],[Kitchen Set]],0)</f>
        <v>0</v>
      </c>
      <c r="AD401" s="112">
        <f>IF(NFI_Expiration=1,IF($A401&lt;VLOOKUP(P$5,NFI,5,0),1,0)*Data_NFI_t[[#This Row],[Complementary Kit]],0)</f>
        <v>0</v>
      </c>
      <c r="AE401" s="112">
        <f>IF(NFI_Expiration=1,IF($A401&lt;VLOOKUP(Q$5,NFI,5,0),1,0)*Data_NFI_t[[#This Row],[Plastic Bucket]],0)</f>
        <v>0</v>
      </c>
      <c r="AF401" s="112">
        <f>IF(NFI_Expiration=1,IF($A401&lt;VLOOKUP(R$5,NFI,5,0),1,0)*Data_NFI_t[[#This Row],[Jerry Can]],0)</f>
        <v>0</v>
      </c>
      <c r="AG401" s="131">
        <f>IF(NFI_Expiration=1,IF($A401&lt;VLOOKUP(S$5,NFI,5,0),1,0)*Data_NFI_t[[#This Row],[Plastic Mat]],0)*IF(Data_NFI_t[[#This Row],[Distribution Date]]&gt;"01-06-2015",1,2.5)</f>
        <v>0</v>
      </c>
      <c r="AH401" s="915">
        <f>IF(NFI_Expiration=1,IF($A401&lt;VLOOKUP(T$5,NFI,5,0),1,0)*Data_NFI_t[[#This Row],[Adult Clothes]],0)</f>
        <v>0</v>
      </c>
      <c r="AI401" s="131">
        <f>IF(NFI_Expiration=1,IF($A401&lt;VLOOKUP(U$5,NFI,5,0),1,0)*Data_NFI_t[[#This Row],[Children Clothes]],0)</f>
        <v>0</v>
      </c>
      <c r="AJ401" s="131">
        <f>IF(NFI_Expiration=1,IF($A401&lt;VLOOKUP(V$5,NFI,5,0),1,0)*Data_NFI_t[[#This Row],[Sewing Kit]],0)</f>
        <v>0</v>
      </c>
      <c r="AK401" s="131" t="str">
        <f ca="1">IFERROR(OFFSET(Camp_List[P_Code],MATCH(Data_NFI_t[[#This Row],[Camp Name]],Camp_List[Camp Name],0)-1,0,1,1),"")</f>
        <v/>
      </c>
      <c r="AL401" s="513" t="str">
        <f ca="1">IFERROR(OFFSET(Camp_List[Status],MATCH(Data_NFI_t[[#This Row],[Camp Name]],Camp_List[Camp Name],0)-1,0,1,1),"")</f>
        <v/>
      </c>
      <c r="AM401" s="131"/>
    </row>
    <row r="402" spans="1:39" s="90" customFormat="1" ht="19.5" customHeight="1" x14ac:dyDescent="0.25">
      <c r="A402" s="242">
        <f>IF(ISBLANK(C402),"",(Report_Date-C402)/30)</f>
        <v>56.533333333333331</v>
      </c>
      <c r="B402" s="242">
        <f>YEAR(Data_NFI_t[[#This Row],[Distribution Date]])</f>
        <v>2012</v>
      </c>
      <c r="C402" s="927">
        <v>41099</v>
      </c>
      <c r="D402" s="489" t="s">
        <v>285</v>
      </c>
      <c r="E402" s="488"/>
      <c r="F402" s="489" t="s">
        <v>7</v>
      </c>
      <c r="G402" s="794" t="s">
        <v>19</v>
      </c>
      <c r="H402" s="794" t="s">
        <v>262</v>
      </c>
      <c r="I402" s="794"/>
      <c r="J402" s="51"/>
      <c r="K402" s="51"/>
      <c r="L402" s="51"/>
      <c r="M402" s="51">
        <v>12</v>
      </c>
      <c r="N402" s="51"/>
      <c r="O402" s="51"/>
      <c r="P402" s="51"/>
      <c r="Q402" s="51"/>
      <c r="R402" s="511"/>
      <c r="S402" s="51"/>
      <c r="T402" s="51"/>
      <c r="U402" s="51"/>
      <c r="V402" s="51"/>
      <c r="W402" s="131">
        <f>IF(NFI_Expiration=1,IF($A402&lt;VLOOKUP(I$5,NFI,5,0),1,0)*Data_NFI_t[[#This Row],[Hygiene Kit]],0)</f>
        <v>0</v>
      </c>
      <c r="X402" s="131">
        <f>IF(NFI_Expiration=1,IF($A402&lt;VLOOKUP(J$5,NFI,5,0),1,0)*Data_NFI_t[[#This Row],[NFI Core Kit]],0)</f>
        <v>0</v>
      </c>
      <c r="Y402" s="112">
        <f>IF(NFI_Expiration=1,IF($A402&lt;VLOOKUP(K$5,NFI,5,0),1,0)*Data_NFI_t[[#This Row],[Sanitary Kit]],0)</f>
        <v>0</v>
      </c>
      <c r="Z402" s="112">
        <f>IF(NFI_Expiration=1,IF($A402&lt;VLOOKUP(L$5,NFI,5,0),1,0)*Data_NFI_t[[#This Row],[Mosquito net]],0)</f>
        <v>0</v>
      </c>
      <c r="AA402" s="112">
        <f>IF(NFI_Expiration=1,IF($A402&lt;VLOOKUP(M$5,NFI,5,0),1,0)*Data_NFI_t[[#This Row],[Tarpaulin]],0)</f>
        <v>0</v>
      </c>
      <c r="AB402" s="112">
        <f>IF(NFI_Expiration=1,IF($A402&lt;VLOOKUP(N$5,NFI,5,0),1,0)*Data_NFI_t[[#This Row],[Blanket]],0)</f>
        <v>0</v>
      </c>
      <c r="AC402" s="112">
        <f>IF(NFI_Expiration=1,IF($A402&lt;VLOOKUP(O$5,NFI,5,0),1,0)*Data_NFI_t[[#This Row],[Kitchen Set]],0)</f>
        <v>0</v>
      </c>
      <c r="AD402" s="112">
        <f>IF(NFI_Expiration=1,IF($A402&lt;VLOOKUP(P$5,NFI,5,0),1,0)*Data_NFI_t[[#This Row],[Complementary Kit]],0)</f>
        <v>0</v>
      </c>
      <c r="AE402" s="112">
        <f>IF(NFI_Expiration=1,IF($A402&lt;VLOOKUP(Q$5,NFI,5,0),1,0)*Data_NFI_t[[#This Row],[Plastic Bucket]],0)</f>
        <v>0</v>
      </c>
      <c r="AF402" s="112">
        <f>IF(NFI_Expiration=1,IF($A402&lt;VLOOKUP(R$5,NFI,5,0),1,0)*Data_NFI_t[[#This Row],[Jerry Can]],0)</f>
        <v>0</v>
      </c>
      <c r="AG402" s="131">
        <f>IF(NFI_Expiration=1,IF($A402&lt;VLOOKUP(S$5,NFI,5,0),1,0)*Data_NFI_t[[#This Row],[Plastic Mat]],0)*IF(Data_NFI_t[[#This Row],[Distribution Date]]&gt;"01-06-2015",1,2.5)</f>
        <v>0</v>
      </c>
      <c r="AH402" s="915">
        <f>IF(NFI_Expiration=1,IF($A402&lt;VLOOKUP(T$5,NFI,5,0),1,0)*Data_NFI_t[[#This Row],[Adult Clothes]],0)</f>
        <v>0</v>
      </c>
      <c r="AI402" s="131">
        <f>IF(NFI_Expiration=1,IF($A402&lt;VLOOKUP(U$5,NFI,5,0),1,0)*Data_NFI_t[[#This Row],[Children Clothes]],0)</f>
        <v>0</v>
      </c>
      <c r="AJ402" s="131">
        <f>IF(NFI_Expiration=1,IF($A402&lt;VLOOKUP(V$5,NFI,5,0),1,0)*Data_NFI_t[[#This Row],[Sewing Kit]],0)</f>
        <v>0</v>
      </c>
      <c r="AK402" s="131" t="str">
        <f ca="1">IFERROR(OFFSET(Camp_List[P_Code],MATCH(Data_NFI_t[[#This Row],[Camp Name]],Camp_List[Camp Name],0)-1,0,1,1),"")</f>
        <v/>
      </c>
      <c r="AL402" s="513" t="str">
        <f ca="1">IFERROR(OFFSET(Camp_List[Status],MATCH(Data_NFI_t[[#This Row],[Camp Name]],Camp_List[Camp Name],0)-1,0,1,1),"")</f>
        <v/>
      </c>
      <c r="AM402" s="131"/>
    </row>
    <row r="403" spans="1:39" s="90" customFormat="1" ht="19.5" customHeight="1" x14ac:dyDescent="0.25">
      <c r="A403" s="242">
        <f>IF(ISBLANK(C403),"",(Report_Date-C403)/30)</f>
        <v>56.533333333333331</v>
      </c>
      <c r="B403" s="242">
        <f>YEAR(Data_NFI_t[[#This Row],[Distribution Date]])</f>
        <v>2012</v>
      </c>
      <c r="C403" s="927">
        <v>41099</v>
      </c>
      <c r="D403" s="489" t="s">
        <v>285</v>
      </c>
      <c r="E403" s="488"/>
      <c r="F403" s="489" t="s">
        <v>7</v>
      </c>
      <c r="G403" s="794" t="s">
        <v>19</v>
      </c>
      <c r="H403" s="794" t="s">
        <v>259</v>
      </c>
      <c r="I403" s="794"/>
      <c r="J403" s="51"/>
      <c r="K403" s="51"/>
      <c r="L403" s="51"/>
      <c r="M403" s="51">
        <v>23</v>
      </c>
      <c r="N403" s="51"/>
      <c r="O403" s="51"/>
      <c r="P403" s="51"/>
      <c r="Q403" s="51"/>
      <c r="R403" s="511"/>
      <c r="S403" s="51"/>
      <c r="T403" s="51"/>
      <c r="U403" s="51"/>
      <c r="V403" s="51"/>
      <c r="W403" s="131">
        <f>IF(NFI_Expiration=1,IF($A403&lt;VLOOKUP(I$5,NFI,5,0),1,0)*Data_NFI_t[[#This Row],[Hygiene Kit]],0)</f>
        <v>0</v>
      </c>
      <c r="X403" s="131">
        <f>IF(NFI_Expiration=1,IF($A403&lt;VLOOKUP(J$5,NFI,5,0),1,0)*Data_NFI_t[[#This Row],[NFI Core Kit]],0)</f>
        <v>0</v>
      </c>
      <c r="Y403" s="112">
        <f>IF(NFI_Expiration=1,IF($A403&lt;VLOOKUP(K$5,NFI,5,0),1,0)*Data_NFI_t[[#This Row],[Sanitary Kit]],0)</f>
        <v>0</v>
      </c>
      <c r="Z403" s="112">
        <f>IF(NFI_Expiration=1,IF($A403&lt;VLOOKUP(L$5,NFI,5,0),1,0)*Data_NFI_t[[#This Row],[Mosquito net]],0)</f>
        <v>0</v>
      </c>
      <c r="AA403" s="112">
        <f>IF(NFI_Expiration=1,IF($A403&lt;VLOOKUP(M$5,NFI,5,0),1,0)*Data_NFI_t[[#This Row],[Tarpaulin]],0)</f>
        <v>0</v>
      </c>
      <c r="AB403" s="112">
        <f>IF(NFI_Expiration=1,IF($A403&lt;VLOOKUP(N$5,NFI,5,0),1,0)*Data_NFI_t[[#This Row],[Blanket]],0)</f>
        <v>0</v>
      </c>
      <c r="AC403" s="112">
        <f>IF(NFI_Expiration=1,IF($A403&lt;VLOOKUP(O$5,NFI,5,0),1,0)*Data_NFI_t[[#This Row],[Kitchen Set]],0)</f>
        <v>0</v>
      </c>
      <c r="AD403" s="112">
        <f>IF(NFI_Expiration=1,IF($A403&lt;VLOOKUP(P$5,NFI,5,0),1,0)*Data_NFI_t[[#This Row],[Complementary Kit]],0)</f>
        <v>0</v>
      </c>
      <c r="AE403" s="112">
        <f>IF(NFI_Expiration=1,IF($A403&lt;VLOOKUP(Q$5,NFI,5,0),1,0)*Data_NFI_t[[#This Row],[Plastic Bucket]],0)</f>
        <v>0</v>
      </c>
      <c r="AF403" s="112">
        <f>IF(NFI_Expiration=1,IF($A403&lt;VLOOKUP(R$5,NFI,5,0),1,0)*Data_NFI_t[[#This Row],[Jerry Can]],0)</f>
        <v>0</v>
      </c>
      <c r="AG403" s="131">
        <f>IF(NFI_Expiration=1,IF($A403&lt;VLOOKUP(S$5,NFI,5,0),1,0)*Data_NFI_t[[#This Row],[Plastic Mat]],0)*IF(Data_NFI_t[[#This Row],[Distribution Date]]&gt;"01-06-2015",1,2.5)</f>
        <v>0</v>
      </c>
      <c r="AH403" s="915">
        <f>IF(NFI_Expiration=1,IF($A403&lt;VLOOKUP(T$5,NFI,5,0),1,0)*Data_NFI_t[[#This Row],[Adult Clothes]],0)</f>
        <v>0</v>
      </c>
      <c r="AI403" s="131">
        <f>IF(NFI_Expiration=1,IF($A403&lt;VLOOKUP(U$5,NFI,5,0),1,0)*Data_NFI_t[[#This Row],[Children Clothes]],0)</f>
        <v>0</v>
      </c>
      <c r="AJ403" s="131">
        <f>IF(NFI_Expiration=1,IF($A403&lt;VLOOKUP(V$5,NFI,5,0),1,0)*Data_NFI_t[[#This Row],[Sewing Kit]],0)</f>
        <v>0</v>
      </c>
      <c r="AK403" s="131" t="str">
        <f ca="1">IFERROR(OFFSET(Camp_List[P_Code],MATCH(Data_NFI_t[[#This Row],[Camp Name]],Camp_List[Camp Name],0)-1,0,1,1),"")</f>
        <v/>
      </c>
      <c r="AL403" s="513" t="str">
        <f ca="1">IFERROR(OFFSET(Camp_List[Status],MATCH(Data_NFI_t[[#This Row],[Camp Name]],Camp_List[Camp Name],0)-1,0,1,1),"")</f>
        <v/>
      </c>
      <c r="AM403" s="131"/>
    </row>
    <row r="404" spans="1:39" s="90" customFormat="1" ht="19.5" customHeight="1" x14ac:dyDescent="0.25">
      <c r="A404" s="242">
        <f>IF(ISBLANK(C404),"",(Report_Date-C404)/30)</f>
        <v>56.533333333333331</v>
      </c>
      <c r="B404" s="242">
        <f>YEAR(Data_NFI_t[[#This Row],[Distribution Date]])</f>
        <v>2012</v>
      </c>
      <c r="C404" s="927">
        <v>41099</v>
      </c>
      <c r="D404" s="489" t="s">
        <v>285</v>
      </c>
      <c r="E404" s="488"/>
      <c r="F404" s="489" t="s">
        <v>7</v>
      </c>
      <c r="G404" s="794" t="s">
        <v>19</v>
      </c>
      <c r="H404" s="794" t="s">
        <v>260</v>
      </c>
      <c r="I404" s="794"/>
      <c r="J404" s="51"/>
      <c r="K404" s="51"/>
      <c r="L404" s="51"/>
      <c r="M404" s="51">
        <v>36</v>
      </c>
      <c r="N404" s="51"/>
      <c r="O404" s="51"/>
      <c r="P404" s="51"/>
      <c r="Q404" s="51"/>
      <c r="R404" s="511"/>
      <c r="S404" s="51"/>
      <c r="T404" s="51"/>
      <c r="U404" s="51"/>
      <c r="V404" s="51"/>
      <c r="W404" s="131">
        <f>IF(NFI_Expiration=1,IF($A404&lt;VLOOKUP(I$5,NFI,5,0),1,0)*Data_NFI_t[[#This Row],[Hygiene Kit]],0)</f>
        <v>0</v>
      </c>
      <c r="X404" s="131">
        <f>IF(NFI_Expiration=1,IF($A404&lt;VLOOKUP(J$5,NFI,5,0),1,0)*Data_NFI_t[[#This Row],[NFI Core Kit]],0)</f>
        <v>0</v>
      </c>
      <c r="Y404" s="112">
        <f>IF(NFI_Expiration=1,IF($A404&lt;VLOOKUP(K$5,NFI,5,0),1,0)*Data_NFI_t[[#This Row],[Sanitary Kit]],0)</f>
        <v>0</v>
      </c>
      <c r="Z404" s="112">
        <f>IF(NFI_Expiration=1,IF($A404&lt;VLOOKUP(L$5,NFI,5,0),1,0)*Data_NFI_t[[#This Row],[Mosquito net]],0)</f>
        <v>0</v>
      </c>
      <c r="AA404" s="112">
        <f>IF(NFI_Expiration=1,IF($A404&lt;VLOOKUP(M$5,NFI,5,0),1,0)*Data_NFI_t[[#This Row],[Tarpaulin]],0)</f>
        <v>0</v>
      </c>
      <c r="AB404" s="112">
        <f>IF(NFI_Expiration=1,IF($A404&lt;VLOOKUP(N$5,NFI,5,0),1,0)*Data_NFI_t[[#This Row],[Blanket]],0)</f>
        <v>0</v>
      </c>
      <c r="AC404" s="112">
        <f>IF(NFI_Expiration=1,IF($A404&lt;VLOOKUP(O$5,NFI,5,0),1,0)*Data_NFI_t[[#This Row],[Kitchen Set]],0)</f>
        <v>0</v>
      </c>
      <c r="AD404" s="112">
        <f>IF(NFI_Expiration=1,IF($A404&lt;VLOOKUP(P$5,NFI,5,0),1,0)*Data_NFI_t[[#This Row],[Complementary Kit]],0)</f>
        <v>0</v>
      </c>
      <c r="AE404" s="112">
        <f>IF(NFI_Expiration=1,IF($A404&lt;VLOOKUP(Q$5,NFI,5,0),1,0)*Data_NFI_t[[#This Row],[Plastic Bucket]],0)</f>
        <v>0</v>
      </c>
      <c r="AF404" s="112">
        <f>IF(NFI_Expiration=1,IF($A404&lt;VLOOKUP(R$5,NFI,5,0),1,0)*Data_NFI_t[[#This Row],[Jerry Can]],0)</f>
        <v>0</v>
      </c>
      <c r="AG404" s="131">
        <f>IF(NFI_Expiration=1,IF($A404&lt;VLOOKUP(S$5,NFI,5,0),1,0)*Data_NFI_t[[#This Row],[Plastic Mat]],0)*IF(Data_NFI_t[[#This Row],[Distribution Date]]&gt;"01-06-2015",1,2.5)</f>
        <v>0</v>
      </c>
      <c r="AH404" s="915">
        <f>IF(NFI_Expiration=1,IF($A404&lt;VLOOKUP(T$5,NFI,5,0),1,0)*Data_NFI_t[[#This Row],[Adult Clothes]],0)</f>
        <v>0</v>
      </c>
      <c r="AI404" s="131">
        <f>IF(NFI_Expiration=1,IF($A404&lt;VLOOKUP(U$5,NFI,5,0),1,0)*Data_NFI_t[[#This Row],[Children Clothes]],0)</f>
        <v>0</v>
      </c>
      <c r="AJ404" s="131">
        <f>IF(NFI_Expiration=1,IF($A404&lt;VLOOKUP(V$5,NFI,5,0),1,0)*Data_NFI_t[[#This Row],[Sewing Kit]],0)</f>
        <v>0</v>
      </c>
      <c r="AK404" s="131" t="str">
        <f ca="1">IFERROR(OFFSET(Camp_List[P_Code],MATCH(Data_NFI_t[[#This Row],[Camp Name]],Camp_List[Camp Name],0)-1,0,1,1),"")</f>
        <v/>
      </c>
      <c r="AL404" s="513" t="str">
        <f ca="1">IFERROR(OFFSET(Camp_List[Status],MATCH(Data_NFI_t[[#This Row],[Camp Name]],Camp_List[Camp Name],0)-1,0,1,1),"")</f>
        <v/>
      </c>
      <c r="AM404" s="131"/>
    </row>
    <row r="405" spans="1:39" s="90" customFormat="1" ht="19.5" customHeight="1" x14ac:dyDescent="0.25">
      <c r="A405" s="242">
        <f>IF(ISBLANK(C405),"",(Report_Date-C405)/30)</f>
        <v>56.533333333333331</v>
      </c>
      <c r="B405" s="242">
        <f>YEAR(Data_NFI_t[[#This Row],[Distribution Date]])</f>
        <v>2012</v>
      </c>
      <c r="C405" s="927">
        <v>41099</v>
      </c>
      <c r="D405" s="489" t="s">
        <v>285</v>
      </c>
      <c r="E405" s="488"/>
      <c r="F405" s="489" t="s">
        <v>7</v>
      </c>
      <c r="G405" s="794" t="s">
        <v>19</v>
      </c>
      <c r="H405" s="794" t="s">
        <v>261</v>
      </c>
      <c r="I405" s="794"/>
      <c r="J405" s="51"/>
      <c r="K405" s="51"/>
      <c r="L405" s="51"/>
      <c r="M405" s="51">
        <v>33</v>
      </c>
      <c r="N405" s="51"/>
      <c r="O405" s="51"/>
      <c r="P405" s="51"/>
      <c r="Q405" s="51"/>
      <c r="R405" s="511"/>
      <c r="S405" s="51"/>
      <c r="T405" s="51"/>
      <c r="U405" s="51"/>
      <c r="V405" s="51"/>
      <c r="W405" s="131">
        <f>IF(NFI_Expiration=1,IF($A405&lt;VLOOKUP(I$5,NFI,5,0),1,0)*Data_NFI_t[[#This Row],[Hygiene Kit]],0)</f>
        <v>0</v>
      </c>
      <c r="X405" s="131">
        <f>IF(NFI_Expiration=1,IF($A405&lt;VLOOKUP(J$5,NFI,5,0),1,0)*Data_NFI_t[[#This Row],[NFI Core Kit]],0)</f>
        <v>0</v>
      </c>
      <c r="Y405" s="112">
        <f>IF(NFI_Expiration=1,IF($A405&lt;VLOOKUP(K$5,NFI,5,0),1,0)*Data_NFI_t[[#This Row],[Sanitary Kit]],0)</f>
        <v>0</v>
      </c>
      <c r="Z405" s="112">
        <f>IF(NFI_Expiration=1,IF($A405&lt;VLOOKUP(L$5,NFI,5,0),1,0)*Data_NFI_t[[#This Row],[Mosquito net]],0)</f>
        <v>0</v>
      </c>
      <c r="AA405" s="112">
        <f>IF(NFI_Expiration=1,IF($A405&lt;VLOOKUP(M$5,NFI,5,0),1,0)*Data_NFI_t[[#This Row],[Tarpaulin]],0)</f>
        <v>0</v>
      </c>
      <c r="AB405" s="112">
        <f>IF(NFI_Expiration=1,IF($A405&lt;VLOOKUP(N$5,NFI,5,0),1,0)*Data_NFI_t[[#This Row],[Blanket]],0)</f>
        <v>0</v>
      </c>
      <c r="AC405" s="112">
        <f>IF(NFI_Expiration=1,IF($A405&lt;VLOOKUP(O$5,NFI,5,0),1,0)*Data_NFI_t[[#This Row],[Kitchen Set]],0)</f>
        <v>0</v>
      </c>
      <c r="AD405" s="112">
        <f>IF(NFI_Expiration=1,IF($A405&lt;VLOOKUP(P$5,NFI,5,0),1,0)*Data_NFI_t[[#This Row],[Complementary Kit]],0)</f>
        <v>0</v>
      </c>
      <c r="AE405" s="112">
        <f>IF(NFI_Expiration=1,IF($A405&lt;VLOOKUP(Q$5,NFI,5,0),1,0)*Data_NFI_t[[#This Row],[Plastic Bucket]],0)</f>
        <v>0</v>
      </c>
      <c r="AF405" s="112">
        <f>IF(NFI_Expiration=1,IF($A405&lt;VLOOKUP(R$5,NFI,5,0),1,0)*Data_NFI_t[[#This Row],[Jerry Can]],0)</f>
        <v>0</v>
      </c>
      <c r="AG405" s="131">
        <f>IF(NFI_Expiration=1,IF($A405&lt;VLOOKUP(S$5,NFI,5,0),1,0)*Data_NFI_t[[#This Row],[Plastic Mat]],0)*IF(Data_NFI_t[[#This Row],[Distribution Date]]&gt;"01-06-2015",1,2.5)</f>
        <v>0</v>
      </c>
      <c r="AH405" s="915">
        <f>IF(NFI_Expiration=1,IF($A405&lt;VLOOKUP(T$5,NFI,5,0),1,0)*Data_NFI_t[[#This Row],[Adult Clothes]],0)</f>
        <v>0</v>
      </c>
      <c r="AI405" s="131">
        <f>IF(NFI_Expiration=1,IF($A405&lt;VLOOKUP(U$5,NFI,5,0),1,0)*Data_NFI_t[[#This Row],[Children Clothes]],0)</f>
        <v>0</v>
      </c>
      <c r="AJ405" s="131">
        <f>IF(NFI_Expiration=1,IF($A405&lt;VLOOKUP(V$5,NFI,5,0),1,0)*Data_NFI_t[[#This Row],[Sewing Kit]],0)</f>
        <v>0</v>
      </c>
      <c r="AK405" s="131" t="str">
        <f ca="1">IFERROR(OFFSET(Camp_List[P_Code],MATCH(Data_NFI_t[[#This Row],[Camp Name]],Camp_List[Camp Name],0)-1,0,1,1),"")</f>
        <v/>
      </c>
      <c r="AL405" s="513" t="str">
        <f ca="1">IFERROR(OFFSET(Camp_List[Status],MATCH(Data_NFI_t[[#This Row],[Camp Name]],Camp_List[Camp Name],0)-1,0,1,1),"")</f>
        <v/>
      </c>
      <c r="AM405" s="131"/>
    </row>
    <row r="406" spans="1:39" s="90" customFormat="1" ht="19.5" customHeight="1" x14ac:dyDescent="0.25">
      <c r="A406" s="242">
        <f>IF(ISBLANK(C406),"",(Report_Date-C406)/30)</f>
        <v>56.533333333333331</v>
      </c>
      <c r="B406" s="242">
        <f>YEAR(Data_NFI_t[[#This Row],[Distribution Date]])</f>
        <v>2012</v>
      </c>
      <c r="C406" s="927">
        <v>41099</v>
      </c>
      <c r="D406" s="489" t="s">
        <v>285</v>
      </c>
      <c r="E406" s="488"/>
      <c r="F406" s="489" t="s">
        <v>7</v>
      </c>
      <c r="G406" s="794" t="s">
        <v>19</v>
      </c>
      <c r="H406" s="794" t="s">
        <v>265</v>
      </c>
      <c r="I406" s="794"/>
      <c r="J406" s="51"/>
      <c r="K406" s="51"/>
      <c r="L406" s="51"/>
      <c r="M406" s="51">
        <v>3</v>
      </c>
      <c r="N406" s="51"/>
      <c r="O406" s="51"/>
      <c r="P406" s="51"/>
      <c r="Q406" s="51"/>
      <c r="R406" s="511"/>
      <c r="S406" s="51"/>
      <c r="T406" s="51"/>
      <c r="U406" s="51"/>
      <c r="V406" s="51"/>
      <c r="W406" s="131">
        <f>IF(NFI_Expiration=1,IF($A406&lt;VLOOKUP(I$5,NFI,5,0),1,0)*Data_NFI_t[[#This Row],[Hygiene Kit]],0)</f>
        <v>0</v>
      </c>
      <c r="X406" s="131">
        <f>IF(NFI_Expiration=1,IF($A406&lt;VLOOKUP(J$5,NFI,5,0),1,0)*Data_NFI_t[[#This Row],[NFI Core Kit]],0)</f>
        <v>0</v>
      </c>
      <c r="Y406" s="112">
        <f>IF(NFI_Expiration=1,IF($A406&lt;VLOOKUP(K$5,NFI,5,0),1,0)*Data_NFI_t[[#This Row],[Sanitary Kit]],0)</f>
        <v>0</v>
      </c>
      <c r="Z406" s="112">
        <f>IF(NFI_Expiration=1,IF($A406&lt;VLOOKUP(L$5,NFI,5,0),1,0)*Data_NFI_t[[#This Row],[Mosquito net]],0)</f>
        <v>0</v>
      </c>
      <c r="AA406" s="112">
        <f>IF(NFI_Expiration=1,IF($A406&lt;VLOOKUP(M$5,NFI,5,0),1,0)*Data_NFI_t[[#This Row],[Tarpaulin]],0)</f>
        <v>0</v>
      </c>
      <c r="AB406" s="112">
        <f>IF(NFI_Expiration=1,IF($A406&lt;VLOOKUP(N$5,NFI,5,0),1,0)*Data_NFI_t[[#This Row],[Blanket]],0)</f>
        <v>0</v>
      </c>
      <c r="AC406" s="112">
        <f>IF(NFI_Expiration=1,IF($A406&lt;VLOOKUP(O$5,NFI,5,0),1,0)*Data_NFI_t[[#This Row],[Kitchen Set]],0)</f>
        <v>0</v>
      </c>
      <c r="AD406" s="112">
        <f>IF(NFI_Expiration=1,IF($A406&lt;VLOOKUP(P$5,NFI,5,0),1,0)*Data_NFI_t[[#This Row],[Complementary Kit]],0)</f>
        <v>0</v>
      </c>
      <c r="AE406" s="112">
        <f>IF(NFI_Expiration=1,IF($A406&lt;VLOOKUP(Q$5,NFI,5,0),1,0)*Data_NFI_t[[#This Row],[Plastic Bucket]],0)</f>
        <v>0</v>
      </c>
      <c r="AF406" s="112">
        <f>IF(NFI_Expiration=1,IF($A406&lt;VLOOKUP(R$5,NFI,5,0),1,0)*Data_NFI_t[[#This Row],[Jerry Can]],0)</f>
        <v>0</v>
      </c>
      <c r="AG406" s="131">
        <f>IF(NFI_Expiration=1,IF($A406&lt;VLOOKUP(S$5,NFI,5,0),1,0)*Data_NFI_t[[#This Row],[Plastic Mat]],0)*IF(Data_NFI_t[[#This Row],[Distribution Date]]&gt;"01-06-2015",1,2.5)</f>
        <v>0</v>
      </c>
      <c r="AH406" s="915">
        <f>IF(NFI_Expiration=1,IF($A406&lt;VLOOKUP(T$5,NFI,5,0),1,0)*Data_NFI_t[[#This Row],[Adult Clothes]],0)</f>
        <v>0</v>
      </c>
      <c r="AI406" s="131">
        <f>IF(NFI_Expiration=1,IF($A406&lt;VLOOKUP(U$5,NFI,5,0),1,0)*Data_NFI_t[[#This Row],[Children Clothes]],0)</f>
        <v>0</v>
      </c>
      <c r="AJ406" s="131">
        <f>IF(NFI_Expiration=1,IF($A406&lt;VLOOKUP(V$5,NFI,5,0),1,0)*Data_NFI_t[[#This Row],[Sewing Kit]],0)</f>
        <v>0</v>
      </c>
      <c r="AK406" s="131" t="str">
        <f ca="1">IFERROR(OFFSET(Camp_List[P_Code],MATCH(Data_NFI_t[[#This Row],[Camp Name]],Camp_List[Camp Name],0)-1,0,1,1),"")</f>
        <v/>
      </c>
      <c r="AL406" s="513" t="str">
        <f ca="1">IFERROR(OFFSET(Camp_List[Status],MATCH(Data_NFI_t[[#This Row],[Camp Name]],Camp_List[Camp Name],0)-1,0,1,1),"")</f>
        <v/>
      </c>
      <c r="AM406" s="131"/>
    </row>
    <row r="407" spans="1:39" s="90" customFormat="1" ht="19.5" customHeight="1" x14ac:dyDescent="0.25">
      <c r="A407" s="242">
        <f>IF(ISBLANK(C407),"",(Report_Date-C407)/30)</f>
        <v>56.533333333333331</v>
      </c>
      <c r="B407" s="242">
        <f>YEAR(Data_NFI_t[[#This Row],[Distribution Date]])</f>
        <v>2012</v>
      </c>
      <c r="C407" s="927">
        <v>41099</v>
      </c>
      <c r="D407" s="489" t="s">
        <v>285</v>
      </c>
      <c r="E407" s="488"/>
      <c r="F407" s="489" t="s">
        <v>7</v>
      </c>
      <c r="G407" s="794" t="s">
        <v>19</v>
      </c>
      <c r="H407" s="794" t="s">
        <v>88</v>
      </c>
      <c r="I407" s="794"/>
      <c r="J407" s="51"/>
      <c r="K407" s="51"/>
      <c r="L407" s="51"/>
      <c r="M407" s="51">
        <v>27</v>
      </c>
      <c r="N407" s="51"/>
      <c r="O407" s="51"/>
      <c r="P407" s="51"/>
      <c r="Q407" s="51"/>
      <c r="R407" s="511"/>
      <c r="S407" s="51"/>
      <c r="T407" s="51"/>
      <c r="U407" s="51"/>
      <c r="V407" s="51"/>
      <c r="W407" s="131">
        <f>IF(NFI_Expiration=1,IF($A407&lt;VLOOKUP(I$5,NFI,5,0),1,0)*Data_NFI_t[[#This Row],[Hygiene Kit]],0)</f>
        <v>0</v>
      </c>
      <c r="X407" s="131">
        <f>IF(NFI_Expiration=1,IF($A407&lt;VLOOKUP(J$5,NFI,5,0),1,0)*Data_NFI_t[[#This Row],[NFI Core Kit]],0)</f>
        <v>0</v>
      </c>
      <c r="Y407" s="112">
        <f>IF(NFI_Expiration=1,IF($A407&lt;VLOOKUP(K$5,NFI,5,0),1,0)*Data_NFI_t[[#This Row],[Sanitary Kit]],0)</f>
        <v>0</v>
      </c>
      <c r="Z407" s="112">
        <f>IF(NFI_Expiration=1,IF($A407&lt;VLOOKUP(L$5,NFI,5,0),1,0)*Data_NFI_t[[#This Row],[Mosquito net]],0)</f>
        <v>0</v>
      </c>
      <c r="AA407" s="112">
        <f>IF(NFI_Expiration=1,IF($A407&lt;VLOOKUP(M$5,NFI,5,0),1,0)*Data_NFI_t[[#This Row],[Tarpaulin]],0)</f>
        <v>0</v>
      </c>
      <c r="AB407" s="112">
        <f>IF(NFI_Expiration=1,IF($A407&lt;VLOOKUP(N$5,NFI,5,0),1,0)*Data_NFI_t[[#This Row],[Blanket]],0)</f>
        <v>0</v>
      </c>
      <c r="AC407" s="112">
        <f>IF(NFI_Expiration=1,IF($A407&lt;VLOOKUP(O$5,NFI,5,0),1,0)*Data_NFI_t[[#This Row],[Kitchen Set]],0)</f>
        <v>0</v>
      </c>
      <c r="AD407" s="112">
        <f>IF(NFI_Expiration=1,IF($A407&lt;VLOOKUP(P$5,NFI,5,0),1,0)*Data_NFI_t[[#This Row],[Complementary Kit]],0)</f>
        <v>0</v>
      </c>
      <c r="AE407" s="112">
        <f>IF(NFI_Expiration=1,IF($A407&lt;VLOOKUP(Q$5,NFI,5,0),1,0)*Data_NFI_t[[#This Row],[Plastic Bucket]],0)</f>
        <v>0</v>
      </c>
      <c r="AF407" s="112">
        <f>IF(NFI_Expiration=1,IF($A407&lt;VLOOKUP(R$5,NFI,5,0),1,0)*Data_NFI_t[[#This Row],[Jerry Can]],0)</f>
        <v>0</v>
      </c>
      <c r="AG407" s="131">
        <f>IF(NFI_Expiration=1,IF($A407&lt;VLOOKUP(S$5,NFI,5,0),1,0)*Data_NFI_t[[#This Row],[Plastic Mat]],0)*IF(Data_NFI_t[[#This Row],[Distribution Date]]&gt;"01-06-2015",1,2.5)</f>
        <v>0</v>
      </c>
      <c r="AH407" s="915">
        <f>IF(NFI_Expiration=1,IF($A407&lt;VLOOKUP(T$5,NFI,5,0),1,0)*Data_NFI_t[[#This Row],[Adult Clothes]],0)</f>
        <v>0</v>
      </c>
      <c r="AI407" s="131">
        <f>IF(NFI_Expiration=1,IF($A407&lt;VLOOKUP(U$5,NFI,5,0),1,0)*Data_NFI_t[[#This Row],[Children Clothes]],0)</f>
        <v>0</v>
      </c>
      <c r="AJ407" s="131">
        <f>IF(NFI_Expiration=1,IF($A407&lt;VLOOKUP(V$5,NFI,5,0),1,0)*Data_NFI_t[[#This Row],[Sewing Kit]],0)</f>
        <v>0</v>
      </c>
      <c r="AK407" s="131" t="str">
        <f ca="1">IFERROR(OFFSET(Camp_List[P_Code],MATCH(Data_NFI_t[[#This Row],[Camp Name]],Camp_List[Camp Name],0)-1,0,1,1),"")</f>
        <v>MMR012CMP067</v>
      </c>
      <c r="AL407" s="513" t="str">
        <f ca="1">IFERROR(OFFSET(Camp_List[Status],MATCH(Data_NFI_t[[#This Row],[Camp Name]],Camp_List[Camp Name],0)-1,0,1,1),"")</f>
        <v>Close</v>
      </c>
      <c r="AM407" s="131"/>
    </row>
    <row r="408" spans="1:39" s="90" customFormat="1" ht="19.5" customHeight="1" x14ac:dyDescent="0.25">
      <c r="A408" s="242">
        <f>IF(ISBLANK(C408),"",(Report_Date-C408)/30)</f>
        <v>56.533333333333331</v>
      </c>
      <c r="B408" s="242">
        <f>YEAR(Data_NFI_t[[#This Row],[Distribution Date]])</f>
        <v>2012</v>
      </c>
      <c r="C408" s="927">
        <v>41099</v>
      </c>
      <c r="D408" s="489" t="s">
        <v>285</v>
      </c>
      <c r="E408" s="488"/>
      <c r="F408" s="489" t="s">
        <v>7</v>
      </c>
      <c r="G408" s="794" t="s">
        <v>19</v>
      </c>
      <c r="H408" s="794" t="s">
        <v>264</v>
      </c>
      <c r="I408" s="794"/>
      <c r="J408" s="51"/>
      <c r="K408" s="51"/>
      <c r="L408" s="51"/>
      <c r="M408" s="51">
        <v>19</v>
      </c>
      <c r="N408" s="51"/>
      <c r="O408" s="51"/>
      <c r="P408" s="51"/>
      <c r="Q408" s="51"/>
      <c r="R408" s="511"/>
      <c r="S408" s="51"/>
      <c r="T408" s="51"/>
      <c r="U408" s="51"/>
      <c r="V408" s="51"/>
      <c r="W408" s="131">
        <f>IF(NFI_Expiration=1,IF($A408&lt;VLOOKUP(I$5,NFI,5,0),1,0)*Data_NFI_t[[#This Row],[Hygiene Kit]],0)</f>
        <v>0</v>
      </c>
      <c r="X408" s="131">
        <f>IF(NFI_Expiration=1,IF($A408&lt;VLOOKUP(J$5,NFI,5,0),1,0)*Data_NFI_t[[#This Row],[NFI Core Kit]],0)</f>
        <v>0</v>
      </c>
      <c r="Y408" s="112">
        <f>IF(NFI_Expiration=1,IF($A408&lt;VLOOKUP(K$5,NFI,5,0),1,0)*Data_NFI_t[[#This Row],[Sanitary Kit]],0)</f>
        <v>0</v>
      </c>
      <c r="Z408" s="112">
        <f>IF(NFI_Expiration=1,IF($A408&lt;VLOOKUP(L$5,NFI,5,0),1,0)*Data_NFI_t[[#This Row],[Mosquito net]],0)</f>
        <v>0</v>
      </c>
      <c r="AA408" s="112">
        <f>IF(NFI_Expiration=1,IF($A408&lt;VLOOKUP(M$5,NFI,5,0),1,0)*Data_NFI_t[[#This Row],[Tarpaulin]],0)</f>
        <v>0</v>
      </c>
      <c r="AB408" s="112">
        <f>IF(NFI_Expiration=1,IF($A408&lt;VLOOKUP(N$5,NFI,5,0),1,0)*Data_NFI_t[[#This Row],[Blanket]],0)</f>
        <v>0</v>
      </c>
      <c r="AC408" s="112">
        <f>IF(NFI_Expiration=1,IF($A408&lt;VLOOKUP(O$5,NFI,5,0),1,0)*Data_NFI_t[[#This Row],[Kitchen Set]],0)</f>
        <v>0</v>
      </c>
      <c r="AD408" s="112">
        <f>IF(NFI_Expiration=1,IF($A408&lt;VLOOKUP(P$5,NFI,5,0),1,0)*Data_NFI_t[[#This Row],[Complementary Kit]],0)</f>
        <v>0</v>
      </c>
      <c r="AE408" s="112">
        <f>IF(NFI_Expiration=1,IF($A408&lt;VLOOKUP(Q$5,NFI,5,0),1,0)*Data_NFI_t[[#This Row],[Plastic Bucket]],0)</f>
        <v>0</v>
      </c>
      <c r="AF408" s="112">
        <f>IF(NFI_Expiration=1,IF($A408&lt;VLOOKUP(R$5,NFI,5,0),1,0)*Data_NFI_t[[#This Row],[Jerry Can]],0)</f>
        <v>0</v>
      </c>
      <c r="AG408" s="131">
        <f>IF(NFI_Expiration=1,IF($A408&lt;VLOOKUP(S$5,NFI,5,0),1,0)*Data_NFI_t[[#This Row],[Plastic Mat]],0)*IF(Data_NFI_t[[#This Row],[Distribution Date]]&gt;"01-06-2015",1,2.5)</f>
        <v>0</v>
      </c>
      <c r="AH408" s="915">
        <f>IF(NFI_Expiration=1,IF($A408&lt;VLOOKUP(T$5,NFI,5,0),1,0)*Data_NFI_t[[#This Row],[Adult Clothes]],0)</f>
        <v>0</v>
      </c>
      <c r="AI408" s="131">
        <f>IF(NFI_Expiration=1,IF($A408&lt;VLOOKUP(U$5,NFI,5,0),1,0)*Data_NFI_t[[#This Row],[Children Clothes]],0)</f>
        <v>0</v>
      </c>
      <c r="AJ408" s="131">
        <f>IF(NFI_Expiration=1,IF($A408&lt;VLOOKUP(V$5,NFI,5,0),1,0)*Data_NFI_t[[#This Row],[Sewing Kit]],0)</f>
        <v>0</v>
      </c>
      <c r="AK408" s="131" t="str">
        <f ca="1">IFERROR(OFFSET(Camp_List[P_Code],MATCH(Data_NFI_t[[#This Row],[Camp Name]],Camp_List[Camp Name],0)-1,0,1,1),"")</f>
        <v/>
      </c>
      <c r="AL408" s="513" t="str">
        <f ca="1">IFERROR(OFFSET(Camp_List[Status],MATCH(Data_NFI_t[[#This Row],[Camp Name]],Camp_List[Camp Name],0)-1,0,1,1),"")</f>
        <v/>
      </c>
      <c r="AM408" s="131"/>
    </row>
    <row r="409" spans="1:39" s="90" customFormat="1" ht="19.5" customHeight="1" x14ac:dyDescent="0.25">
      <c r="A409" s="242">
        <f>IF(ISBLANK(C409),"",(Report_Date-C409)/30)</f>
        <v>56.6</v>
      </c>
      <c r="B409" s="242">
        <f>YEAR(Data_NFI_t[[#This Row],[Distribution Date]])</f>
        <v>2012</v>
      </c>
      <c r="C409" s="927">
        <v>41097</v>
      </c>
      <c r="D409" s="489" t="s">
        <v>285</v>
      </c>
      <c r="E409" s="488"/>
      <c r="F409" s="489" t="s">
        <v>7</v>
      </c>
      <c r="G409" s="794" t="s">
        <v>19</v>
      </c>
      <c r="H409" s="794" t="s">
        <v>257</v>
      </c>
      <c r="I409" s="794"/>
      <c r="J409" s="51"/>
      <c r="K409" s="51"/>
      <c r="L409" s="51"/>
      <c r="M409" s="51">
        <v>33</v>
      </c>
      <c r="N409" s="51"/>
      <c r="O409" s="51"/>
      <c r="P409" s="51"/>
      <c r="Q409" s="51"/>
      <c r="R409" s="511"/>
      <c r="S409" s="51"/>
      <c r="T409" s="51"/>
      <c r="U409" s="51"/>
      <c r="V409" s="51"/>
      <c r="W409" s="131">
        <f>IF(NFI_Expiration=1,IF($A409&lt;VLOOKUP(I$5,NFI,5,0),1,0)*Data_NFI_t[[#This Row],[Hygiene Kit]],0)</f>
        <v>0</v>
      </c>
      <c r="X409" s="131">
        <f>IF(NFI_Expiration=1,IF($A409&lt;VLOOKUP(J$5,NFI,5,0),1,0)*Data_NFI_t[[#This Row],[NFI Core Kit]],0)</f>
        <v>0</v>
      </c>
      <c r="Y409" s="112">
        <f>IF(NFI_Expiration=1,IF($A409&lt;VLOOKUP(K$5,NFI,5,0),1,0)*Data_NFI_t[[#This Row],[Sanitary Kit]],0)</f>
        <v>0</v>
      </c>
      <c r="Z409" s="112">
        <f>IF(NFI_Expiration=1,IF($A409&lt;VLOOKUP(L$5,NFI,5,0),1,0)*Data_NFI_t[[#This Row],[Mosquito net]],0)</f>
        <v>0</v>
      </c>
      <c r="AA409" s="112">
        <f>IF(NFI_Expiration=1,IF($A409&lt;VLOOKUP(M$5,NFI,5,0),1,0)*Data_NFI_t[[#This Row],[Tarpaulin]],0)</f>
        <v>0</v>
      </c>
      <c r="AB409" s="112">
        <f>IF(NFI_Expiration=1,IF($A409&lt;VLOOKUP(N$5,NFI,5,0),1,0)*Data_NFI_t[[#This Row],[Blanket]],0)</f>
        <v>0</v>
      </c>
      <c r="AC409" s="112">
        <f>IF(NFI_Expiration=1,IF($A409&lt;VLOOKUP(O$5,NFI,5,0),1,0)*Data_NFI_t[[#This Row],[Kitchen Set]],0)</f>
        <v>0</v>
      </c>
      <c r="AD409" s="112">
        <f>IF(NFI_Expiration=1,IF($A409&lt;VLOOKUP(P$5,NFI,5,0),1,0)*Data_NFI_t[[#This Row],[Complementary Kit]],0)</f>
        <v>0</v>
      </c>
      <c r="AE409" s="112">
        <f>IF(NFI_Expiration=1,IF($A409&lt;VLOOKUP(Q$5,NFI,5,0),1,0)*Data_NFI_t[[#This Row],[Plastic Bucket]],0)</f>
        <v>0</v>
      </c>
      <c r="AF409" s="112">
        <f>IF(NFI_Expiration=1,IF($A409&lt;VLOOKUP(R$5,NFI,5,0),1,0)*Data_NFI_t[[#This Row],[Jerry Can]],0)</f>
        <v>0</v>
      </c>
      <c r="AG409" s="131">
        <f>IF(NFI_Expiration=1,IF($A409&lt;VLOOKUP(S$5,NFI,5,0),1,0)*Data_NFI_t[[#This Row],[Plastic Mat]],0)*IF(Data_NFI_t[[#This Row],[Distribution Date]]&gt;"01-06-2015",1,2.5)</f>
        <v>0</v>
      </c>
      <c r="AH409" s="915">
        <f>IF(NFI_Expiration=1,IF($A409&lt;VLOOKUP(T$5,NFI,5,0),1,0)*Data_NFI_t[[#This Row],[Adult Clothes]],0)</f>
        <v>0</v>
      </c>
      <c r="AI409" s="131">
        <f>IF(NFI_Expiration=1,IF($A409&lt;VLOOKUP(U$5,NFI,5,0),1,0)*Data_NFI_t[[#This Row],[Children Clothes]],0)</f>
        <v>0</v>
      </c>
      <c r="AJ409" s="131">
        <f>IF(NFI_Expiration=1,IF($A409&lt;VLOOKUP(V$5,NFI,5,0),1,0)*Data_NFI_t[[#This Row],[Sewing Kit]],0)</f>
        <v>0</v>
      </c>
      <c r="AK409" s="131" t="str">
        <f ca="1">IFERROR(OFFSET(Camp_List[P_Code],MATCH(Data_NFI_t[[#This Row],[Camp Name]],Camp_List[Camp Name],0)-1,0,1,1),"")</f>
        <v/>
      </c>
      <c r="AL409" s="513" t="str">
        <f ca="1">IFERROR(OFFSET(Camp_List[Status],MATCH(Data_NFI_t[[#This Row],[Camp Name]],Camp_List[Camp Name],0)-1,0,1,1),"")</f>
        <v/>
      </c>
      <c r="AM409" s="131"/>
    </row>
    <row r="410" spans="1:39" s="90" customFormat="1" ht="19.5" customHeight="1" x14ac:dyDescent="0.25">
      <c r="A410" s="242">
        <f>IF(ISBLANK(C410),"",(Report_Date-C410)/30)</f>
        <v>56.6</v>
      </c>
      <c r="B410" s="242">
        <f>YEAR(Data_NFI_t[[#This Row],[Distribution Date]])</f>
        <v>2012</v>
      </c>
      <c r="C410" s="927">
        <v>41097</v>
      </c>
      <c r="D410" s="489" t="s">
        <v>285</v>
      </c>
      <c r="E410" s="488"/>
      <c r="F410" s="489" t="s">
        <v>7</v>
      </c>
      <c r="G410" s="794" t="s">
        <v>19</v>
      </c>
      <c r="H410" s="794" t="s">
        <v>83</v>
      </c>
      <c r="I410" s="794"/>
      <c r="J410" s="51"/>
      <c r="K410" s="51"/>
      <c r="L410" s="51"/>
      <c r="M410" s="51">
        <v>9</v>
      </c>
      <c r="N410" s="51"/>
      <c r="O410" s="51"/>
      <c r="P410" s="51"/>
      <c r="Q410" s="51"/>
      <c r="R410" s="511"/>
      <c r="S410" s="51"/>
      <c r="T410" s="51"/>
      <c r="U410" s="51"/>
      <c r="V410" s="51"/>
      <c r="W410" s="131">
        <f>IF(NFI_Expiration=1,IF($A410&lt;VLOOKUP(I$5,NFI,5,0),1,0)*Data_NFI_t[[#This Row],[Hygiene Kit]],0)</f>
        <v>0</v>
      </c>
      <c r="X410" s="131">
        <f>IF(NFI_Expiration=1,IF($A410&lt;VLOOKUP(J$5,NFI,5,0),1,0)*Data_NFI_t[[#This Row],[NFI Core Kit]],0)</f>
        <v>0</v>
      </c>
      <c r="Y410" s="112">
        <f>IF(NFI_Expiration=1,IF($A410&lt;VLOOKUP(K$5,NFI,5,0),1,0)*Data_NFI_t[[#This Row],[Sanitary Kit]],0)</f>
        <v>0</v>
      </c>
      <c r="Z410" s="112">
        <f>IF(NFI_Expiration=1,IF($A410&lt;VLOOKUP(L$5,NFI,5,0),1,0)*Data_NFI_t[[#This Row],[Mosquito net]],0)</f>
        <v>0</v>
      </c>
      <c r="AA410" s="112">
        <f>IF(NFI_Expiration=1,IF($A410&lt;VLOOKUP(M$5,NFI,5,0),1,0)*Data_NFI_t[[#This Row],[Tarpaulin]],0)</f>
        <v>0</v>
      </c>
      <c r="AB410" s="112">
        <f>IF(NFI_Expiration=1,IF($A410&lt;VLOOKUP(N$5,NFI,5,0),1,0)*Data_NFI_t[[#This Row],[Blanket]],0)</f>
        <v>0</v>
      </c>
      <c r="AC410" s="112">
        <f>IF(NFI_Expiration=1,IF($A410&lt;VLOOKUP(O$5,NFI,5,0),1,0)*Data_NFI_t[[#This Row],[Kitchen Set]],0)</f>
        <v>0</v>
      </c>
      <c r="AD410" s="112">
        <f>IF(NFI_Expiration=1,IF($A410&lt;VLOOKUP(P$5,NFI,5,0),1,0)*Data_NFI_t[[#This Row],[Complementary Kit]],0)</f>
        <v>0</v>
      </c>
      <c r="AE410" s="112">
        <f>IF(NFI_Expiration=1,IF($A410&lt;VLOOKUP(Q$5,NFI,5,0),1,0)*Data_NFI_t[[#This Row],[Plastic Bucket]],0)</f>
        <v>0</v>
      </c>
      <c r="AF410" s="112">
        <f>IF(NFI_Expiration=1,IF($A410&lt;VLOOKUP(R$5,NFI,5,0),1,0)*Data_NFI_t[[#This Row],[Jerry Can]],0)</f>
        <v>0</v>
      </c>
      <c r="AG410" s="131">
        <f>IF(NFI_Expiration=1,IF($A410&lt;VLOOKUP(S$5,NFI,5,0),1,0)*Data_NFI_t[[#This Row],[Plastic Mat]],0)*IF(Data_NFI_t[[#This Row],[Distribution Date]]&gt;"01-06-2015",1,2.5)</f>
        <v>0</v>
      </c>
      <c r="AH410" s="915">
        <f>IF(NFI_Expiration=1,IF($A410&lt;VLOOKUP(T$5,NFI,5,0),1,0)*Data_NFI_t[[#This Row],[Adult Clothes]],0)</f>
        <v>0</v>
      </c>
      <c r="AI410" s="131">
        <f>IF(NFI_Expiration=1,IF($A410&lt;VLOOKUP(U$5,NFI,5,0),1,0)*Data_NFI_t[[#This Row],[Children Clothes]],0)</f>
        <v>0</v>
      </c>
      <c r="AJ410" s="131">
        <f>IF(NFI_Expiration=1,IF($A410&lt;VLOOKUP(V$5,NFI,5,0),1,0)*Data_NFI_t[[#This Row],[Sewing Kit]],0)</f>
        <v>0</v>
      </c>
      <c r="AK410" s="131" t="str">
        <f ca="1">IFERROR(OFFSET(Camp_List[P_Code],MATCH(Data_NFI_t[[#This Row],[Camp Name]],Camp_List[Camp Name],0)-1,0,1,1),"")</f>
        <v>MMR012CMP062</v>
      </c>
      <c r="AL410" s="513" t="str">
        <f ca="1">IFERROR(OFFSET(Camp_List[Status],MATCH(Data_NFI_t[[#This Row],[Camp Name]],Camp_List[Camp Name],0)-1,0,1,1),"")</f>
        <v>Close</v>
      </c>
      <c r="AM410" s="131"/>
    </row>
    <row r="411" spans="1:39" s="90" customFormat="1" ht="19.5" customHeight="1" x14ac:dyDescent="0.25">
      <c r="A411" s="242">
        <f>IF(ISBLANK(C411),"",(Report_Date-C411)/30)</f>
        <v>56.6</v>
      </c>
      <c r="B411" s="242">
        <f>YEAR(Data_NFI_t[[#This Row],[Distribution Date]])</f>
        <v>2012</v>
      </c>
      <c r="C411" s="927">
        <v>41097</v>
      </c>
      <c r="D411" s="489" t="s">
        <v>285</v>
      </c>
      <c r="E411" s="488"/>
      <c r="F411" s="489" t="s">
        <v>7</v>
      </c>
      <c r="G411" s="794" t="s">
        <v>19</v>
      </c>
      <c r="H411" s="794" t="s">
        <v>86</v>
      </c>
      <c r="I411" s="794"/>
      <c r="J411" s="51"/>
      <c r="K411" s="51"/>
      <c r="L411" s="51"/>
      <c r="M411" s="51">
        <v>201</v>
      </c>
      <c r="N411" s="51"/>
      <c r="O411" s="51"/>
      <c r="P411" s="51"/>
      <c r="Q411" s="51"/>
      <c r="R411" s="511"/>
      <c r="S411" s="51"/>
      <c r="T411" s="51"/>
      <c r="U411" s="51"/>
      <c r="V411" s="51"/>
      <c r="W411" s="131">
        <f>IF(NFI_Expiration=1,IF($A411&lt;VLOOKUP(I$5,NFI,5,0),1,0)*Data_NFI_t[[#This Row],[Hygiene Kit]],0)</f>
        <v>0</v>
      </c>
      <c r="X411" s="131">
        <f>IF(NFI_Expiration=1,IF($A411&lt;VLOOKUP(J$5,NFI,5,0),1,0)*Data_NFI_t[[#This Row],[NFI Core Kit]],0)</f>
        <v>0</v>
      </c>
      <c r="Y411" s="112">
        <f>IF(NFI_Expiration=1,IF($A411&lt;VLOOKUP(K$5,NFI,5,0),1,0)*Data_NFI_t[[#This Row],[Sanitary Kit]],0)</f>
        <v>0</v>
      </c>
      <c r="Z411" s="112">
        <f>IF(NFI_Expiration=1,IF($A411&lt;VLOOKUP(L$5,NFI,5,0),1,0)*Data_NFI_t[[#This Row],[Mosquito net]],0)</f>
        <v>0</v>
      </c>
      <c r="AA411" s="112">
        <f>IF(NFI_Expiration=1,IF($A411&lt;VLOOKUP(M$5,NFI,5,0),1,0)*Data_NFI_t[[#This Row],[Tarpaulin]],0)</f>
        <v>0</v>
      </c>
      <c r="AB411" s="112">
        <f>IF(NFI_Expiration=1,IF($A411&lt;VLOOKUP(N$5,NFI,5,0),1,0)*Data_NFI_t[[#This Row],[Blanket]],0)</f>
        <v>0</v>
      </c>
      <c r="AC411" s="112">
        <f>IF(NFI_Expiration=1,IF($A411&lt;VLOOKUP(O$5,NFI,5,0),1,0)*Data_NFI_t[[#This Row],[Kitchen Set]],0)</f>
        <v>0</v>
      </c>
      <c r="AD411" s="112">
        <f>IF(NFI_Expiration=1,IF($A411&lt;VLOOKUP(P$5,NFI,5,0),1,0)*Data_NFI_t[[#This Row],[Complementary Kit]],0)</f>
        <v>0</v>
      </c>
      <c r="AE411" s="112">
        <f>IF(NFI_Expiration=1,IF($A411&lt;VLOOKUP(Q$5,NFI,5,0),1,0)*Data_NFI_t[[#This Row],[Plastic Bucket]],0)</f>
        <v>0</v>
      </c>
      <c r="AF411" s="112">
        <f>IF(NFI_Expiration=1,IF($A411&lt;VLOOKUP(R$5,NFI,5,0),1,0)*Data_NFI_t[[#This Row],[Jerry Can]],0)</f>
        <v>0</v>
      </c>
      <c r="AG411" s="131">
        <f>IF(NFI_Expiration=1,IF($A411&lt;VLOOKUP(S$5,NFI,5,0),1,0)*Data_NFI_t[[#This Row],[Plastic Mat]],0)*IF(Data_NFI_t[[#This Row],[Distribution Date]]&gt;"01-06-2015",1,2.5)</f>
        <v>0</v>
      </c>
      <c r="AH411" s="915">
        <f>IF(NFI_Expiration=1,IF($A411&lt;VLOOKUP(T$5,NFI,5,0),1,0)*Data_NFI_t[[#This Row],[Adult Clothes]],0)</f>
        <v>0</v>
      </c>
      <c r="AI411" s="131">
        <f>IF(NFI_Expiration=1,IF($A411&lt;VLOOKUP(U$5,NFI,5,0),1,0)*Data_NFI_t[[#This Row],[Children Clothes]],0)</f>
        <v>0</v>
      </c>
      <c r="AJ411" s="131">
        <f>IF(NFI_Expiration=1,IF($A411&lt;VLOOKUP(V$5,NFI,5,0),1,0)*Data_NFI_t[[#This Row],[Sewing Kit]],0)</f>
        <v>0</v>
      </c>
      <c r="AK411" s="131" t="str">
        <f ca="1">IFERROR(OFFSET(Camp_List[P_Code],MATCH(Data_NFI_t[[#This Row],[Camp Name]],Camp_List[Camp Name],0)-1,0,1,1),"")</f>
        <v>MMR012CMP065</v>
      </c>
      <c r="AL411" s="513" t="str">
        <f ca="1">IFERROR(OFFSET(Camp_List[Status],MATCH(Data_NFI_t[[#This Row],[Camp Name]],Camp_List[Camp Name],0)-1,0,1,1),"")</f>
        <v>Close</v>
      </c>
      <c r="AM411" s="131"/>
    </row>
    <row r="412" spans="1:39" s="90" customFormat="1" ht="19.5" customHeight="1" x14ac:dyDescent="0.25">
      <c r="A412" s="242">
        <f>IF(ISBLANK(C412),"",(Report_Date-C412)/30)</f>
        <v>56.6</v>
      </c>
      <c r="B412" s="242">
        <f>YEAR(Data_NFI_t[[#This Row],[Distribution Date]])</f>
        <v>2012</v>
      </c>
      <c r="C412" s="927">
        <v>41097</v>
      </c>
      <c r="D412" s="489" t="s">
        <v>285</v>
      </c>
      <c r="E412" s="488"/>
      <c r="F412" s="489" t="s">
        <v>7</v>
      </c>
      <c r="G412" s="794" t="s">
        <v>19</v>
      </c>
      <c r="H412" s="794" t="s">
        <v>95</v>
      </c>
      <c r="I412" s="794"/>
      <c r="J412" s="51"/>
      <c r="K412" s="51"/>
      <c r="L412" s="51"/>
      <c r="M412" s="51">
        <v>52</v>
      </c>
      <c r="N412" s="51"/>
      <c r="O412" s="51"/>
      <c r="P412" s="51"/>
      <c r="Q412" s="51"/>
      <c r="R412" s="511"/>
      <c r="S412" s="51"/>
      <c r="T412" s="51"/>
      <c r="U412" s="51"/>
      <c r="V412" s="51"/>
      <c r="W412" s="131">
        <f>IF(NFI_Expiration=1,IF($A412&lt;VLOOKUP(I$5,NFI,5,0),1,0)*Data_NFI_t[[#This Row],[Hygiene Kit]],0)</f>
        <v>0</v>
      </c>
      <c r="X412" s="131">
        <f>IF(NFI_Expiration=1,IF($A412&lt;VLOOKUP(J$5,NFI,5,0),1,0)*Data_NFI_t[[#This Row],[NFI Core Kit]],0)</f>
        <v>0</v>
      </c>
      <c r="Y412" s="112">
        <f>IF(NFI_Expiration=1,IF($A412&lt;VLOOKUP(K$5,NFI,5,0),1,0)*Data_NFI_t[[#This Row],[Sanitary Kit]],0)</f>
        <v>0</v>
      </c>
      <c r="Z412" s="112">
        <f>IF(NFI_Expiration=1,IF($A412&lt;VLOOKUP(L$5,NFI,5,0),1,0)*Data_NFI_t[[#This Row],[Mosquito net]],0)</f>
        <v>0</v>
      </c>
      <c r="AA412" s="112">
        <f>IF(NFI_Expiration=1,IF($A412&lt;VLOOKUP(M$5,NFI,5,0),1,0)*Data_NFI_t[[#This Row],[Tarpaulin]],0)</f>
        <v>0</v>
      </c>
      <c r="AB412" s="112">
        <f>IF(NFI_Expiration=1,IF($A412&lt;VLOOKUP(N$5,NFI,5,0),1,0)*Data_NFI_t[[#This Row],[Blanket]],0)</f>
        <v>0</v>
      </c>
      <c r="AC412" s="112">
        <f>IF(NFI_Expiration=1,IF($A412&lt;VLOOKUP(O$5,NFI,5,0),1,0)*Data_NFI_t[[#This Row],[Kitchen Set]],0)</f>
        <v>0</v>
      </c>
      <c r="AD412" s="112">
        <f>IF(NFI_Expiration=1,IF($A412&lt;VLOOKUP(P$5,NFI,5,0),1,0)*Data_NFI_t[[#This Row],[Complementary Kit]],0)</f>
        <v>0</v>
      </c>
      <c r="AE412" s="112">
        <f>IF(NFI_Expiration=1,IF($A412&lt;VLOOKUP(Q$5,NFI,5,0),1,0)*Data_NFI_t[[#This Row],[Plastic Bucket]],0)</f>
        <v>0</v>
      </c>
      <c r="AF412" s="112">
        <f>IF(NFI_Expiration=1,IF($A412&lt;VLOOKUP(R$5,NFI,5,0),1,0)*Data_NFI_t[[#This Row],[Jerry Can]],0)</f>
        <v>0</v>
      </c>
      <c r="AG412" s="131">
        <f>IF(NFI_Expiration=1,IF($A412&lt;VLOOKUP(S$5,NFI,5,0),1,0)*Data_NFI_t[[#This Row],[Plastic Mat]],0)*IF(Data_NFI_t[[#This Row],[Distribution Date]]&gt;"01-06-2015",1,2.5)</f>
        <v>0</v>
      </c>
      <c r="AH412" s="915">
        <f>IF(NFI_Expiration=1,IF($A412&lt;VLOOKUP(T$5,NFI,5,0),1,0)*Data_NFI_t[[#This Row],[Adult Clothes]],0)</f>
        <v>0</v>
      </c>
      <c r="AI412" s="131">
        <f>IF(NFI_Expiration=1,IF($A412&lt;VLOOKUP(U$5,NFI,5,0),1,0)*Data_NFI_t[[#This Row],[Children Clothes]],0)</f>
        <v>0</v>
      </c>
      <c r="AJ412" s="131">
        <f>IF(NFI_Expiration=1,IF($A412&lt;VLOOKUP(V$5,NFI,5,0),1,0)*Data_NFI_t[[#This Row],[Sewing Kit]],0)</f>
        <v>0</v>
      </c>
      <c r="AK412" s="131" t="str">
        <f ca="1">IFERROR(OFFSET(Camp_List[P_Code],MATCH(Data_NFI_t[[#This Row],[Camp Name]],Camp_List[Camp Name],0)-1,0,1,1),"")</f>
        <v>MMR012CMP074</v>
      </c>
      <c r="AL412" s="513" t="str">
        <f ca="1">IFERROR(OFFSET(Camp_List[Status],MATCH(Data_NFI_t[[#This Row],[Camp Name]],Camp_List[Camp Name],0)-1,0,1,1),"")</f>
        <v>Close</v>
      </c>
      <c r="AM412" s="131"/>
    </row>
    <row r="413" spans="1:39" s="90" customFormat="1" ht="19.5" customHeight="1" x14ac:dyDescent="0.25">
      <c r="A413" s="242">
        <f>IF(ISBLANK(C413),"",(Report_Date-C413)/30)</f>
        <v>56.666666666666664</v>
      </c>
      <c r="B413" s="242">
        <f>YEAR(Data_NFI_t[[#This Row],[Distribution Date]])</f>
        <v>2012</v>
      </c>
      <c r="C413" s="927">
        <v>41095</v>
      </c>
      <c r="D413" s="489" t="s">
        <v>285</v>
      </c>
      <c r="E413" s="488"/>
      <c r="F413" s="489" t="s">
        <v>7</v>
      </c>
      <c r="G413" s="794" t="s">
        <v>19</v>
      </c>
      <c r="H413" s="794" t="s">
        <v>90</v>
      </c>
      <c r="I413" s="794"/>
      <c r="J413" s="51"/>
      <c r="K413" s="51"/>
      <c r="L413" s="51"/>
      <c r="M413" s="51">
        <v>43</v>
      </c>
      <c r="N413" s="51"/>
      <c r="O413" s="51"/>
      <c r="P413" s="51"/>
      <c r="Q413" s="51"/>
      <c r="R413" s="511"/>
      <c r="S413" s="51"/>
      <c r="T413" s="51"/>
      <c r="U413" s="51"/>
      <c r="V413" s="51"/>
      <c r="W413" s="131">
        <f>IF(NFI_Expiration=1,IF($A413&lt;VLOOKUP(I$5,NFI,5,0),1,0)*Data_NFI_t[[#This Row],[Hygiene Kit]],0)</f>
        <v>0</v>
      </c>
      <c r="X413" s="131">
        <f>IF(NFI_Expiration=1,IF($A413&lt;VLOOKUP(J$5,NFI,5,0),1,0)*Data_NFI_t[[#This Row],[NFI Core Kit]],0)</f>
        <v>0</v>
      </c>
      <c r="Y413" s="112">
        <f>IF(NFI_Expiration=1,IF($A413&lt;VLOOKUP(K$5,NFI,5,0),1,0)*Data_NFI_t[[#This Row],[Sanitary Kit]],0)</f>
        <v>0</v>
      </c>
      <c r="Z413" s="112">
        <f>IF(NFI_Expiration=1,IF($A413&lt;VLOOKUP(L$5,NFI,5,0),1,0)*Data_NFI_t[[#This Row],[Mosquito net]],0)</f>
        <v>0</v>
      </c>
      <c r="AA413" s="112">
        <f>IF(NFI_Expiration=1,IF($A413&lt;VLOOKUP(M$5,NFI,5,0),1,0)*Data_NFI_t[[#This Row],[Tarpaulin]],0)</f>
        <v>0</v>
      </c>
      <c r="AB413" s="112">
        <f>IF(NFI_Expiration=1,IF($A413&lt;VLOOKUP(N$5,NFI,5,0),1,0)*Data_NFI_t[[#This Row],[Blanket]],0)</f>
        <v>0</v>
      </c>
      <c r="AC413" s="112">
        <f>IF(NFI_Expiration=1,IF($A413&lt;VLOOKUP(O$5,NFI,5,0),1,0)*Data_NFI_t[[#This Row],[Kitchen Set]],0)</f>
        <v>0</v>
      </c>
      <c r="AD413" s="112">
        <f>IF(NFI_Expiration=1,IF($A413&lt;VLOOKUP(P$5,NFI,5,0),1,0)*Data_NFI_t[[#This Row],[Complementary Kit]],0)</f>
        <v>0</v>
      </c>
      <c r="AE413" s="112">
        <f>IF(NFI_Expiration=1,IF($A413&lt;VLOOKUP(Q$5,NFI,5,0),1,0)*Data_NFI_t[[#This Row],[Plastic Bucket]],0)</f>
        <v>0</v>
      </c>
      <c r="AF413" s="112">
        <f>IF(NFI_Expiration=1,IF($A413&lt;VLOOKUP(R$5,NFI,5,0),1,0)*Data_NFI_t[[#This Row],[Jerry Can]],0)</f>
        <v>0</v>
      </c>
      <c r="AG413" s="131">
        <f>IF(NFI_Expiration=1,IF($A413&lt;VLOOKUP(S$5,NFI,5,0),1,0)*Data_NFI_t[[#This Row],[Plastic Mat]],0)*IF(Data_NFI_t[[#This Row],[Distribution Date]]&gt;"01-06-2015",1,2.5)</f>
        <v>0</v>
      </c>
      <c r="AH413" s="915">
        <f>IF(NFI_Expiration=1,IF($A413&lt;VLOOKUP(T$5,NFI,5,0),1,0)*Data_NFI_t[[#This Row],[Adult Clothes]],0)</f>
        <v>0</v>
      </c>
      <c r="AI413" s="131">
        <f>IF(NFI_Expiration=1,IF($A413&lt;VLOOKUP(U$5,NFI,5,0),1,0)*Data_NFI_t[[#This Row],[Children Clothes]],0)</f>
        <v>0</v>
      </c>
      <c r="AJ413" s="131">
        <f>IF(NFI_Expiration=1,IF($A413&lt;VLOOKUP(V$5,NFI,5,0),1,0)*Data_NFI_t[[#This Row],[Sewing Kit]],0)</f>
        <v>0</v>
      </c>
      <c r="AK413" s="131" t="str">
        <f ca="1">IFERROR(OFFSET(Camp_List[P_Code],MATCH(Data_NFI_t[[#This Row],[Camp Name]],Camp_List[Camp Name],0)-1,0,1,1),"")</f>
        <v>MMR012CMP069</v>
      </c>
      <c r="AL413" s="513" t="str">
        <f ca="1">IFERROR(OFFSET(Camp_List[Status],MATCH(Data_NFI_t[[#This Row],[Camp Name]],Camp_List[Camp Name],0)-1,0,1,1),"")</f>
        <v>Close</v>
      </c>
      <c r="AM413" s="131"/>
    </row>
    <row r="414" spans="1:39" s="90" customFormat="1" ht="19.5" customHeight="1" x14ac:dyDescent="0.25">
      <c r="A414" s="242">
        <f>IF(ISBLANK(C414),"",(Report_Date-C414)/30)</f>
        <v>56.666666666666664</v>
      </c>
      <c r="B414" s="242">
        <f>YEAR(Data_NFI_t[[#This Row],[Distribution Date]])</f>
        <v>2012</v>
      </c>
      <c r="C414" s="927">
        <v>41095</v>
      </c>
      <c r="D414" s="489" t="s">
        <v>285</v>
      </c>
      <c r="E414" s="488"/>
      <c r="F414" s="489" t="s">
        <v>7</v>
      </c>
      <c r="G414" s="794" t="s">
        <v>19</v>
      </c>
      <c r="H414" s="794" t="s">
        <v>256</v>
      </c>
      <c r="I414" s="794"/>
      <c r="J414" s="51"/>
      <c r="K414" s="51"/>
      <c r="L414" s="51"/>
      <c r="M414" s="51">
        <v>171</v>
      </c>
      <c r="N414" s="51"/>
      <c r="O414" s="51"/>
      <c r="P414" s="51"/>
      <c r="Q414" s="51"/>
      <c r="R414" s="511"/>
      <c r="S414" s="51"/>
      <c r="T414" s="51"/>
      <c r="U414" s="51"/>
      <c r="V414" s="51"/>
      <c r="W414" s="131">
        <f>IF(NFI_Expiration=1,IF($A414&lt;VLOOKUP(I$5,NFI,5,0),1,0)*Data_NFI_t[[#This Row],[Hygiene Kit]],0)</f>
        <v>0</v>
      </c>
      <c r="X414" s="131">
        <f>IF(NFI_Expiration=1,IF($A414&lt;VLOOKUP(J$5,NFI,5,0),1,0)*Data_NFI_t[[#This Row],[NFI Core Kit]],0)</f>
        <v>0</v>
      </c>
      <c r="Y414" s="112">
        <f>IF(NFI_Expiration=1,IF($A414&lt;VLOOKUP(K$5,NFI,5,0),1,0)*Data_NFI_t[[#This Row],[Sanitary Kit]],0)</f>
        <v>0</v>
      </c>
      <c r="Z414" s="112">
        <f>IF(NFI_Expiration=1,IF($A414&lt;VLOOKUP(L$5,NFI,5,0),1,0)*Data_NFI_t[[#This Row],[Mosquito net]],0)</f>
        <v>0</v>
      </c>
      <c r="AA414" s="112">
        <f>IF(NFI_Expiration=1,IF($A414&lt;VLOOKUP(M$5,NFI,5,0),1,0)*Data_NFI_t[[#This Row],[Tarpaulin]],0)</f>
        <v>0</v>
      </c>
      <c r="AB414" s="112">
        <f>IF(NFI_Expiration=1,IF($A414&lt;VLOOKUP(N$5,NFI,5,0),1,0)*Data_NFI_t[[#This Row],[Blanket]],0)</f>
        <v>0</v>
      </c>
      <c r="AC414" s="112">
        <f>IF(NFI_Expiration=1,IF($A414&lt;VLOOKUP(O$5,NFI,5,0),1,0)*Data_NFI_t[[#This Row],[Kitchen Set]],0)</f>
        <v>0</v>
      </c>
      <c r="AD414" s="112">
        <f>IF(NFI_Expiration=1,IF($A414&lt;VLOOKUP(P$5,NFI,5,0),1,0)*Data_NFI_t[[#This Row],[Complementary Kit]],0)</f>
        <v>0</v>
      </c>
      <c r="AE414" s="112">
        <f>IF(NFI_Expiration=1,IF($A414&lt;VLOOKUP(Q$5,NFI,5,0),1,0)*Data_NFI_t[[#This Row],[Plastic Bucket]],0)</f>
        <v>0</v>
      </c>
      <c r="AF414" s="112">
        <f>IF(NFI_Expiration=1,IF($A414&lt;VLOOKUP(R$5,NFI,5,0),1,0)*Data_NFI_t[[#This Row],[Jerry Can]],0)</f>
        <v>0</v>
      </c>
      <c r="AG414" s="131">
        <f>IF(NFI_Expiration=1,IF($A414&lt;VLOOKUP(S$5,NFI,5,0),1,0)*Data_NFI_t[[#This Row],[Plastic Mat]],0)*IF(Data_NFI_t[[#This Row],[Distribution Date]]&gt;"01-06-2015",1,2.5)</f>
        <v>0</v>
      </c>
      <c r="AH414" s="915">
        <f>IF(NFI_Expiration=1,IF($A414&lt;VLOOKUP(T$5,NFI,5,0),1,0)*Data_NFI_t[[#This Row],[Adult Clothes]],0)</f>
        <v>0</v>
      </c>
      <c r="AI414" s="131">
        <f>IF(NFI_Expiration=1,IF($A414&lt;VLOOKUP(U$5,NFI,5,0),1,0)*Data_NFI_t[[#This Row],[Children Clothes]],0)</f>
        <v>0</v>
      </c>
      <c r="AJ414" s="131">
        <f>IF(NFI_Expiration=1,IF($A414&lt;VLOOKUP(V$5,NFI,5,0),1,0)*Data_NFI_t[[#This Row],[Sewing Kit]],0)</f>
        <v>0</v>
      </c>
      <c r="AK414" s="131" t="str">
        <f ca="1">IFERROR(OFFSET(Camp_List[P_Code],MATCH(Data_NFI_t[[#This Row],[Camp Name]],Camp_List[Camp Name],0)-1,0,1,1),"")</f>
        <v/>
      </c>
      <c r="AL414" s="513" t="str">
        <f ca="1">IFERROR(OFFSET(Camp_List[Status],MATCH(Data_NFI_t[[#This Row],[Camp Name]],Camp_List[Camp Name],0)-1,0,1,1),"")</f>
        <v/>
      </c>
      <c r="AM414" s="131"/>
    </row>
    <row r="415" spans="1:39" s="90" customFormat="1" ht="19.5" customHeight="1" x14ac:dyDescent="0.25">
      <c r="A415" s="242">
        <f>IF(ISBLANK(C415),"",(Report_Date-C415)/30)</f>
        <v>56.666666666666664</v>
      </c>
      <c r="B415" s="242">
        <f>YEAR(Data_NFI_t[[#This Row],[Distribution Date]])</f>
        <v>2012</v>
      </c>
      <c r="C415" s="927">
        <v>41095</v>
      </c>
      <c r="D415" s="489" t="s">
        <v>285</v>
      </c>
      <c r="E415" s="488"/>
      <c r="F415" s="489" t="s">
        <v>7</v>
      </c>
      <c r="G415" s="794" t="s">
        <v>19</v>
      </c>
      <c r="H415" s="794" t="s">
        <v>63</v>
      </c>
      <c r="I415" s="794"/>
      <c r="J415" s="51"/>
      <c r="K415" s="51"/>
      <c r="L415" s="51"/>
      <c r="M415" s="51">
        <v>18</v>
      </c>
      <c r="N415" s="51"/>
      <c r="O415" s="51"/>
      <c r="P415" s="51"/>
      <c r="Q415" s="51"/>
      <c r="R415" s="511"/>
      <c r="S415" s="51"/>
      <c r="T415" s="51"/>
      <c r="U415" s="51"/>
      <c r="V415" s="51"/>
      <c r="W415" s="131">
        <f>IF(NFI_Expiration=1,IF($A415&lt;VLOOKUP(I$5,NFI,5,0),1,0)*Data_NFI_t[[#This Row],[Hygiene Kit]],0)</f>
        <v>0</v>
      </c>
      <c r="X415" s="131">
        <f>IF(NFI_Expiration=1,IF($A415&lt;VLOOKUP(J$5,NFI,5,0),1,0)*Data_NFI_t[[#This Row],[NFI Core Kit]],0)</f>
        <v>0</v>
      </c>
      <c r="Y415" s="112">
        <f>IF(NFI_Expiration=1,IF($A415&lt;VLOOKUP(K$5,NFI,5,0),1,0)*Data_NFI_t[[#This Row],[Sanitary Kit]],0)</f>
        <v>0</v>
      </c>
      <c r="Z415" s="112">
        <f>IF(NFI_Expiration=1,IF($A415&lt;VLOOKUP(L$5,NFI,5,0),1,0)*Data_NFI_t[[#This Row],[Mosquito net]],0)</f>
        <v>0</v>
      </c>
      <c r="AA415" s="112">
        <f>IF(NFI_Expiration=1,IF($A415&lt;VLOOKUP(M$5,NFI,5,0),1,0)*Data_NFI_t[[#This Row],[Tarpaulin]],0)</f>
        <v>0</v>
      </c>
      <c r="AB415" s="112">
        <f>IF(NFI_Expiration=1,IF($A415&lt;VLOOKUP(N$5,NFI,5,0),1,0)*Data_NFI_t[[#This Row],[Blanket]],0)</f>
        <v>0</v>
      </c>
      <c r="AC415" s="112">
        <f>IF(NFI_Expiration=1,IF($A415&lt;VLOOKUP(O$5,NFI,5,0),1,0)*Data_NFI_t[[#This Row],[Kitchen Set]],0)</f>
        <v>0</v>
      </c>
      <c r="AD415" s="112">
        <f>IF(NFI_Expiration=1,IF($A415&lt;VLOOKUP(P$5,NFI,5,0),1,0)*Data_NFI_t[[#This Row],[Complementary Kit]],0)</f>
        <v>0</v>
      </c>
      <c r="AE415" s="112">
        <f>IF(NFI_Expiration=1,IF($A415&lt;VLOOKUP(Q$5,NFI,5,0),1,0)*Data_NFI_t[[#This Row],[Plastic Bucket]],0)</f>
        <v>0</v>
      </c>
      <c r="AF415" s="112">
        <f>IF(NFI_Expiration=1,IF($A415&lt;VLOOKUP(R$5,NFI,5,0),1,0)*Data_NFI_t[[#This Row],[Jerry Can]],0)</f>
        <v>0</v>
      </c>
      <c r="AG415" s="131">
        <f>IF(NFI_Expiration=1,IF($A415&lt;VLOOKUP(S$5,NFI,5,0),1,0)*Data_NFI_t[[#This Row],[Plastic Mat]],0)*IF(Data_NFI_t[[#This Row],[Distribution Date]]&gt;"01-06-2015",1,2.5)</f>
        <v>0</v>
      </c>
      <c r="AH415" s="915">
        <f>IF(NFI_Expiration=1,IF($A415&lt;VLOOKUP(T$5,NFI,5,0),1,0)*Data_NFI_t[[#This Row],[Adult Clothes]],0)</f>
        <v>0</v>
      </c>
      <c r="AI415" s="131">
        <f>IF(NFI_Expiration=1,IF($A415&lt;VLOOKUP(U$5,NFI,5,0),1,0)*Data_NFI_t[[#This Row],[Children Clothes]],0)</f>
        <v>0</v>
      </c>
      <c r="AJ415" s="131">
        <f>IF(NFI_Expiration=1,IF($A415&lt;VLOOKUP(V$5,NFI,5,0),1,0)*Data_NFI_t[[#This Row],[Sewing Kit]],0)</f>
        <v>0</v>
      </c>
      <c r="AK415" s="131" t="str">
        <f ca="1">IFERROR(OFFSET(Camp_List[P_Code],MATCH(Data_NFI_t[[#This Row],[Camp Name]],Camp_List[Camp Name],0)-1,0,1,1),"")</f>
        <v>MMR012CMP041</v>
      </c>
      <c r="AL415" s="513" t="str">
        <f ca="1">IFERROR(OFFSET(Camp_List[Status],MATCH(Data_NFI_t[[#This Row],[Camp Name]],Camp_List[Camp Name],0)-1,0,1,1),"")</f>
        <v>Open</v>
      </c>
      <c r="AM415" s="131"/>
    </row>
    <row r="416" spans="1:39" s="90" customFormat="1" ht="19.5" customHeight="1" x14ac:dyDescent="0.25">
      <c r="A416" s="242">
        <f>IF(ISBLANK(C416),"",(Report_Date-C416)/30)</f>
        <v>56.666666666666664</v>
      </c>
      <c r="B416" s="242">
        <f>YEAR(Data_NFI_t[[#This Row],[Distribution Date]])</f>
        <v>2012</v>
      </c>
      <c r="C416" s="927">
        <v>41095</v>
      </c>
      <c r="D416" s="489" t="s">
        <v>285</v>
      </c>
      <c r="E416" s="488"/>
      <c r="F416" s="489" t="s">
        <v>7</v>
      </c>
      <c r="G416" s="794" t="s">
        <v>19</v>
      </c>
      <c r="H416" s="794" t="s">
        <v>94</v>
      </c>
      <c r="I416" s="794"/>
      <c r="J416" s="51"/>
      <c r="K416" s="51"/>
      <c r="L416" s="51"/>
      <c r="M416" s="51">
        <v>36</v>
      </c>
      <c r="N416" s="51"/>
      <c r="O416" s="51"/>
      <c r="P416" s="51"/>
      <c r="Q416" s="51"/>
      <c r="R416" s="511"/>
      <c r="S416" s="51"/>
      <c r="T416" s="51"/>
      <c r="U416" s="51"/>
      <c r="V416" s="51"/>
      <c r="W416" s="131">
        <f>IF(NFI_Expiration=1,IF($A416&lt;VLOOKUP(I$5,NFI,5,0),1,0)*Data_NFI_t[[#This Row],[Hygiene Kit]],0)</f>
        <v>0</v>
      </c>
      <c r="X416" s="131">
        <f>IF(NFI_Expiration=1,IF($A416&lt;VLOOKUP(J$5,NFI,5,0),1,0)*Data_NFI_t[[#This Row],[NFI Core Kit]],0)</f>
        <v>0</v>
      </c>
      <c r="Y416" s="112">
        <f>IF(NFI_Expiration=1,IF($A416&lt;VLOOKUP(K$5,NFI,5,0),1,0)*Data_NFI_t[[#This Row],[Sanitary Kit]],0)</f>
        <v>0</v>
      </c>
      <c r="Z416" s="112">
        <f>IF(NFI_Expiration=1,IF($A416&lt;VLOOKUP(L$5,NFI,5,0),1,0)*Data_NFI_t[[#This Row],[Mosquito net]],0)</f>
        <v>0</v>
      </c>
      <c r="AA416" s="112">
        <f>IF(NFI_Expiration=1,IF($A416&lt;VLOOKUP(M$5,NFI,5,0),1,0)*Data_NFI_t[[#This Row],[Tarpaulin]],0)</f>
        <v>0</v>
      </c>
      <c r="AB416" s="112">
        <f>IF(NFI_Expiration=1,IF($A416&lt;VLOOKUP(N$5,NFI,5,0),1,0)*Data_NFI_t[[#This Row],[Blanket]],0)</f>
        <v>0</v>
      </c>
      <c r="AC416" s="112">
        <f>IF(NFI_Expiration=1,IF($A416&lt;VLOOKUP(O$5,NFI,5,0),1,0)*Data_NFI_t[[#This Row],[Kitchen Set]],0)</f>
        <v>0</v>
      </c>
      <c r="AD416" s="112">
        <f>IF(NFI_Expiration=1,IF($A416&lt;VLOOKUP(P$5,NFI,5,0),1,0)*Data_NFI_t[[#This Row],[Complementary Kit]],0)</f>
        <v>0</v>
      </c>
      <c r="AE416" s="112">
        <f>IF(NFI_Expiration=1,IF($A416&lt;VLOOKUP(Q$5,NFI,5,0),1,0)*Data_NFI_t[[#This Row],[Plastic Bucket]],0)</f>
        <v>0</v>
      </c>
      <c r="AF416" s="112">
        <f>IF(NFI_Expiration=1,IF($A416&lt;VLOOKUP(R$5,NFI,5,0),1,0)*Data_NFI_t[[#This Row],[Jerry Can]],0)</f>
        <v>0</v>
      </c>
      <c r="AG416" s="131">
        <f>IF(NFI_Expiration=1,IF($A416&lt;VLOOKUP(S$5,NFI,5,0),1,0)*Data_NFI_t[[#This Row],[Plastic Mat]],0)*IF(Data_NFI_t[[#This Row],[Distribution Date]]&gt;"01-06-2015",1,2.5)</f>
        <v>0</v>
      </c>
      <c r="AH416" s="915">
        <f>IF(NFI_Expiration=1,IF($A416&lt;VLOOKUP(T$5,NFI,5,0),1,0)*Data_NFI_t[[#This Row],[Adult Clothes]],0)</f>
        <v>0</v>
      </c>
      <c r="AI416" s="131">
        <f>IF(NFI_Expiration=1,IF($A416&lt;VLOOKUP(U$5,NFI,5,0),1,0)*Data_NFI_t[[#This Row],[Children Clothes]],0)</f>
        <v>0</v>
      </c>
      <c r="AJ416" s="131">
        <f>IF(NFI_Expiration=1,IF($A416&lt;VLOOKUP(V$5,NFI,5,0),1,0)*Data_NFI_t[[#This Row],[Sewing Kit]],0)</f>
        <v>0</v>
      </c>
      <c r="AK416" s="131" t="str">
        <f ca="1">IFERROR(OFFSET(Camp_List[P_Code],MATCH(Data_NFI_t[[#This Row],[Camp Name]],Camp_List[Camp Name],0)-1,0,1,1),"")</f>
        <v>MMR012CMP073</v>
      </c>
      <c r="AL416" s="513" t="str">
        <f ca="1">IFERROR(OFFSET(Camp_List[Status],MATCH(Data_NFI_t[[#This Row],[Camp Name]],Camp_List[Camp Name],0)-1,0,1,1),"")</f>
        <v>Close</v>
      </c>
      <c r="AM416" s="131"/>
    </row>
    <row r="417" spans="1:39" s="90" customFormat="1" ht="19.5" customHeight="1" x14ac:dyDescent="0.25">
      <c r="A417" s="242">
        <f>IF(ISBLANK(C417),"",(Report_Date-C417)/30)</f>
        <v>56.666666666666664</v>
      </c>
      <c r="B417" s="242">
        <f>YEAR(Data_NFI_t[[#This Row],[Distribution Date]])</f>
        <v>2012</v>
      </c>
      <c r="C417" s="927">
        <v>41095</v>
      </c>
      <c r="D417" s="489" t="s">
        <v>285</v>
      </c>
      <c r="E417" s="488"/>
      <c r="F417" s="489" t="s">
        <v>7</v>
      </c>
      <c r="G417" s="794" t="s">
        <v>19</v>
      </c>
      <c r="H417" s="794" t="s">
        <v>82</v>
      </c>
      <c r="I417" s="794"/>
      <c r="J417" s="51"/>
      <c r="K417" s="51"/>
      <c r="L417" s="51"/>
      <c r="M417" s="51">
        <v>69</v>
      </c>
      <c r="N417" s="51"/>
      <c r="O417" s="51"/>
      <c r="P417" s="51"/>
      <c r="Q417" s="51"/>
      <c r="R417" s="511"/>
      <c r="S417" s="51"/>
      <c r="T417" s="51"/>
      <c r="U417" s="51"/>
      <c r="V417" s="51"/>
      <c r="W417" s="131">
        <f>IF(NFI_Expiration=1,IF($A417&lt;VLOOKUP(I$5,NFI,5,0),1,0)*Data_NFI_t[[#This Row],[Hygiene Kit]],0)</f>
        <v>0</v>
      </c>
      <c r="X417" s="131">
        <f>IF(NFI_Expiration=1,IF($A417&lt;VLOOKUP(J$5,NFI,5,0),1,0)*Data_NFI_t[[#This Row],[NFI Core Kit]],0)</f>
        <v>0</v>
      </c>
      <c r="Y417" s="112">
        <f>IF(NFI_Expiration=1,IF($A417&lt;VLOOKUP(K$5,NFI,5,0),1,0)*Data_NFI_t[[#This Row],[Sanitary Kit]],0)</f>
        <v>0</v>
      </c>
      <c r="Z417" s="112">
        <f>IF(NFI_Expiration=1,IF($A417&lt;VLOOKUP(L$5,NFI,5,0),1,0)*Data_NFI_t[[#This Row],[Mosquito net]],0)</f>
        <v>0</v>
      </c>
      <c r="AA417" s="112">
        <f>IF(NFI_Expiration=1,IF($A417&lt;VLOOKUP(M$5,NFI,5,0),1,0)*Data_NFI_t[[#This Row],[Tarpaulin]],0)</f>
        <v>0</v>
      </c>
      <c r="AB417" s="112">
        <f>IF(NFI_Expiration=1,IF($A417&lt;VLOOKUP(N$5,NFI,5,0),1,0)*Data_NFI_t[[#This Row],[Blanket]],0)</f>
        <v>0</v>
      </c>
      <c r="AC417" s="112">
        <f>IF(NFI_Expiration=1,IF($A417&lt;VLOOKUP(O$5,NFI,5,0),1,0)*Data_NFI_t[[#This Row],[Kitchen Set]],0)</f>
        <v>0</v>
      </c>
      <c r="AD417" s="112">
        <f>IF(NFI_Expiration=1,IF($A417&lt;VLOOKUP(P$5,NFI,5,0),1,0)*Data_NFI_t[[#This Row],[Complementary Kit]],0)</f>
        <v>0</v>
      </c>
      <c r="AE417" s="112">
        <f>IF(NFI_Expiration=1,IF($A417&lt;VLOOKUP(Q$5,NFI,5,0),1,0)*Data_NFI_t[[#This Row],[Plastic Bucket]],0)</f>
        <v>0</v>
      </c>
      <c r="AF417" s="112">
        <f>IF(NFI_Expiration=1,IF($A417&lt;VLOOKUP(R$5,NFI,5,0),1,0)*Data_NFI_t[[#This Row],[Jerry Can]],0)</f>
        <v>0</v>
      </c>
      <c r="AG417" s="131">
        <f>IF(NFI_Expiration=1,IF($A417&lt;VLOOKUP(S$5,NFI,5,0),1,0)*Data_NFI_t[[#This Row],[Plastic Mat]],0)*IF(Data_NFI_t[[#This Row],[Distribution Date]]&gt;"01-06-2015",1,2.5)</f>
        <v>0</v>
      </c>
      <c r="AH417" s="915">
        <f>IF(NFI_Expiration=1,IF($A417&lt;VLOOKUP(T$5,NFI,5,0),1,0)*Data_NFI_t[[#This Row],[Adult Clothes]],0)</f>
        <v>0</v>
      </c>
      <c r="AI417" s="131">
        <f>IF(NFI_Expiration=1,IF($A417&lt;VLOOKUP(U$5,NFI,5,0),1,0)*Data_NFI_t[[#This Row],[Children Clothes]],0)</f>
        <v>0</v>
      </c>
      <c r="AJ417" s="131">
        <f>IF(NFI_Expiration=1,IF($A417&lt;VLOOKUP(V$5,NFI,5,0),1,0)*Data_NFI_t[[#This Row],[Sewing Kit]],0)</f>
        <v>0</v>
      </c>
      <c r="AK417" s="131" t="str">
        <f ca="1">IFERROR(OFFSET(Camp_List[P_Code],MATCH(Data_NFI_t[[#This Row],[Camp Name]],Camp_List[Camp Name],0)-1,0,1,1),"")</f>
        <v>MMR012CMP061</v>
      </c>
      <c r="AL417" s="513" t="str">
        <f ca="1">IFERROR(OFFSET(Camp_List[Status],MATCH(Data_NFI_t[[#This Row],[Camp Name]],Camp_List[Camp Name],0)-1,0,1,1),"")</f>
        <v>Close</v>
      </c>
      <c r="AM417" s="131"/>
    </row>
    <row r="418" spans="1:39" s="90" customFormat="1" ht="19.5" customHeight="1" x14ac:dyDescent="0.25">
      <c r="A418" s="242">
        <f>IF(ISBLANK(C418),"",(Report_Date-C418)/30)</f>
        <v>56.666666666666664</v>
      </c>
      <c r="B418" s="242">
        <f>YEAR(Data_NFI_t[[#This Row],[Distribution Date]])</f>
        <v>2012</v>
      </c>
      <c r="C418" s="927">
        <v>41095</v>
      </c>
      <c r="D418" s="489" t="s">
        <v>285</v>
      </c>
      <c r="E418" s="488"/>
      <c r="F418" s="489" t="s">
        <v>7</v>
      </c>
      <c r="G418" s="794" t="s">
        <v>19</v>
      </c>
      <c r="H418" s="794" t="s">
        <v>64</v>
      </c>
      <c r="I418" s="794"/>
      <c r="J418" s="51"/>
      <c r="K418" s="51"/>
      <c r="L418" s="51"/>
      <c r="M418" s="51">
        <v>132</v>
      </c>
      <c r="N418" s="51"/>
      <c r="O418" s="51"/>
      <c r="P418" s="51"/>
      <c r="Q418" s="51"/>
      <c r="R418" s="511"/>
      <c r="S418" s="51"/>
      <c r="T418" s="51"/>
      <c r="U418" s="51"/>
      <c r="V418" s="51"/>
      <c r="W418" s="131">
        <f>IF(NFI_Expiration=1,IF($A418&lt;VLOOKUP(I$5,NFI,5,0),1,0)*Data_NFI_t[[#This Row],[Hygiene Kit]],0)</f>
        <v>0</v>
      </c>
      <c r="X418" s="131">
        <f>IF(NFI_Expiration=1,IF($A418&lt;VLOOKUP(J$5,NFI,5,0),1,0)*Data_NFI_t[[#This Row],[NFI Core Kit]],0)</f>
        <v>0</v>
      </c>
      <c r="Y418" s="112">
        <f>IF(NFI_Expiration=1,IF($A418&lt;VLOOKUP(K$5,NFI,5,0),1,0)*Data_NFI_t[[#This Row],[Sanitary Kit]],0)</f>
        <v>0</v>
      </c>
      <c r="Z418" s="112">
        <f>IF(NFI_Expiration=1,IF($A418&lt;VLOOKUP(L$5,NFI,5,0),1,0)*Data_NFI_t[[#This Row],[Mosquito net]],0)</f>
        <v>0</v>
      </c>
      <c r="AA418" s="112">
        <f>IF(NFI_Expiration=1,IF($A418&lt;VLOOKUP(M$5,NFI,5,0),1,0)*Data_NFI_t[[#This Row],[Tarpaulin]],0)</f>
        <v>0</v>
      </c>
      <c r="AB418" s="112">
        <f>IF(NFI_Expiration=1,IF($A418&lt;VLOOKUP(N$5,NFI,5,0),1,0)*Data_NFI_t[[#This Row],[Blanket]],0)</f>
        <v>0</v>
      </c>
      <c r="AC418" s="112">
        <f>IF(NFI_Expiration=1,IF($A418&lt;VLOOKUP(O$5,NFI,5,0),1,0)*Data_NFI_t[[#This Row],[Kitchen Set]],0)</f>
        <v>0</v>
      </c>
      <c r="AD418" s="112">
        <f>IF(NFI_Expiration=1,IF($A418&lt;VLOOKUP(P$5,NFI,5,0),1,0)*Data_NFI_t[[#This Row],[Complementary Kit]],0)</f>
        <v>0</v>
      </c>
      <c r="AE418" s="112">
        <f>IF(NFI_Expiration=1,IF($A418&lt;VLOOKUP(Q$5,NFI,5,0),1,0)*Data_NFI_t[[#This Row],[Plastic Bucket]],0)</f>
        <v>0</v>
      </c>
      <c r="AF418" s="112">
        <f>IF(NFI_Expiration=1,IF($A418&lt;VLOOKUP(R$5,NFI,5,0),1,0)*Data_NFI_t[[#This Row],[Jerry Can]],0)</f>
        <v>0</v>
      </c>
      <c r="AG418" s="131">
        <f>IF(NFI_Expiration=1,IF($A418&lt;VLOOKUP(S$5,NFI,5,0),1,0)*Data_NFI_t[[#This Row],[Plastic Mat]],0)*IF(Data_NFI_t[[#This Row],[Distribution Date]]&gt;"01-06-2015",1,2.5)</f>
        <v>0</v>
      </c>
      <c r="AH418" s="915">
        <f>IF(NFI_Expiration=1,IF($A418&lt;VLOOKUP(T$5,NFI,5,0),1,0)*Data_NFI_t[[#This Row],[Adult Clothes]],0)</f>
        <v>0</v>
      </c>
      <c r="AI418" s="131">
        <f>IF(NFI_Expiration=1,IF($A418&lt;VLOOKUP(U$5,NFI,5,0),1,0)*Data_NFI_t[[#This Row],[Children Clothes]],0)</f>
        <v>0</v>
      </c>
      <c r="AJ418" s="131">
        <f>IF(NFI_Expiration=1,IF($A418&lt;VLOOKUP(V$5,NFI,5,0),1,0)*Data_NFI_t[[#This Row],[Sewing Kit]],0)</f>
        <v>0</v>
      </c>
      <c r="AK418" s="131" t="str">
        <f ca="1">IFERROR(OFFSET(Camp_List[P_Code],MATCH(Data_NFI_t[[#This Row],[Camp Name]],Camp_List[Camp Name],0)-1,0,1,1),"")</f>
        <v>MMR012CMP042</v>
      </c>
      <c r="AL418" s="513" t="str">
        <f ca="1">IFERROR(OFFSET(Camp_List[Status],MATCH(Data_NFI_t[[#This Row],[Camp Name]],Camp_List[Camp Name],0)-1,0,1,1),"")</f>
        <v>Open</v>
      </c>
      <c r="AM418" s="131"/>
    </row>
    <row r="419" spans="1:39" s="90" customFormat="1" ht="19.5" customHeight="1" x14ac:dyDescent="0.25">
      <c r="A419" s="242">
        <f>IF(ISBLANK(C419),"",(Report_Date-C419)/30)</f>
        <v>56.666666666666664</v>
      </c>
      <c r="B419" s="242">
        <f>YEAR(Data_NFI_t[[#This Row],[Distribution Date]])</f>
        <v>2012</v>
      </c>
      <c r="C419" s="927">
        <v>41095</v>
      </c>
      <c r="D419" s="489" t="s">
        <v>285</v>
      </c>
      <c r="E419" s="488"/>
      <c r="F419" s="489" t="s">
        <v>7</v>
      </c>
      <c r="G419" s="794" t="s">
        <v>19</v>
      </c>
      <c r="H419" s="794" t="s">
        <v>87</v>
      </c>
      <c r="I419" s="794"/>
      <c r="J419" s="51"/>
      <c r="K419" s="51"/>
      <c r="L419" s="51"/>
      <c r="M419" s="51">
        <v>280</v>
      </c>
      <c r="N419" s="51"/>
      <c r="O419" s="51"/>
      <c r="P419" s="51"/>
      <c r="Q419" s="51"/>
      <c r="R419" s="511"/>
      <c r="S419" s="51"/>
      <c r="T419" s="51"/>
      <c r="U419" s="51"/>
      <c r="V419" s="51"/>
      <c r="W419" s="131">
        <f>IF(NFI_Expiration=1,IF($A419&lt;VLOOKUP(I$5,NFI,5,0),1,0)*Data_NFI_t[[#This Row],[Hygiene Kit]],0)</f>
        <v>0</v>
      </c>
      <c r="X419" s="131">
        <f>IF(NFI_Expiration=1,IF($A419&lt;VLOOKUP(J$5,NFI,5,0),1,0)*Data_NFI_t[[#This Row],[NFI Core Kit]],0)</f>
        <v>0</v>
      </c>
      <c r="Y419" s="112">
        <f>IF(NFI_Expiration=1,IF($A419&lt;VLOOKUP(K$5,NFI,5,0),1,0)*Data_NFI_t[[#This Row],[Sanitary Kit]],0)</f>
        <v>0</v>
      </c>
      <c r="Z419" s="112">
        <f>IF(NFI_Expiration=1,IF($A419&lt;VLOOKUP(L$5,NFI,5,0),1,0)*Data_NFI_t[[#This Row],[Mosquito net]],0)</f>
        <v>0</v>
      </c>
      <c r="AA419" s="112">
        <f>IF(NFI_Expiration=1,IF($A419&lt;VLOOKUP(M$5,NFI,5,0),1,0)*Data_NFI_t[[#This Row],[Tarpaulin]],0)</f>
        <v>0</v>
      </c>
      <c r="AB419" s="112">
        <f>IF(NFI_Expiration=1,IF($A419&lt;VLOOKUP(N$5,NFI,5,0),1,0)*Data_NFI_t[[#This Row],[Blanket]],0)</f>
        <v>0</v>
      </c>
      <c r="AC419" s="112">
        <f>IF(NFI_Expiration=1,IF($A419&lt;VLOOKUP(O$5,NFI,5,0),1,0)*Data_NFI_t[[#This Row],[Kitchen Set]],0)</f>
        <v>0</v>
      </c>
      <c r="AD419" s="112">
        <f>IF(NFI_Expiration=1,IF($A419&lt;VLOOKUP(P$5,NFI,5,0),1,0)*Data_NFI_t[[#This Row],[Complementary Kit]],0)</f>
        <v>0</v>
      </c>
      <c r="AE419" s="112">
        <f>IF(NFI_Expiration=1,IF($A419&lt;VLOOKUP(Q$5,NFI,5,0),1,0)*Data_NFI_t[[#This Row],[Plastic Bucket]],0)</f>
        <v>0</v>
      </c>
      <c r="AF419" s="112">
        <f>IF(NFI_Expiration=1,IF($A419&lt;VLOOKUP(R$5,NFI,5,0),1,0)*Data_NFI_t[[#This Row],[Jerry Can]],0)</f>
        <v>0</v>
      </c>
      <c r="AG419" s="131">
        <f>IF(NFI_Expiration=1,IF($A419&lt;VLOOKUP(S$5,NFI,5,0),1,0)*Data_NFI_t[[#This Row],[Plastic Mat]],0)*IF(Data_NFI_t[[#This Row],[Distribution Date]]&gt;"01-06-2015",1,2.5)</f>
        <v>0</v>
      </c>
      <c r="AH419" s="915">
        <f>IF(NFI_Expiration=1,IF($A419&lt;VLOOKUP(T$5,NFI,5,0),1,0)*Data_NFI_t[[#This Row],[Adult Clothes]],0)</f>
        <v>0</v>
      </c>
      <c r="AI419" s="131">
        <f>IF(NFI_Expiration=1,IF($A419&lt;VLOOKUP(U$5,NFI,5,0),1,0)*Data_NFI_t[[#This Row],[Children Clothes]],0)</f>
        <v>0</v>
      </c>
      <c r="AJ419" s="131">
        <f>IF(NFI_Expiration=1,IF($A419&lt;VLOOKUP(V$5,NFI,5,0),1,0)*Data_NFI_t[[#This Row],[Sewing Kit]],0)</f>
        <v>0</v>
      </c>
      <c r="AK419" s="131" t="str">
        <f ca="1">IFERROR(OFFSET(Camp_List[P_Code],MATCH(Data_NFI_t[[#This Row],[Camp Name]],Camp_List[Camp Name],0)-1,0,1,1),"")</f>
        <v>MMR012CMP066</v>
      </c>
      <c r="AL419" s="513" t="str">
        <f ca="1">IFERROR(OFFSET(Camp_List[Status],MATCH(Data_NFI_t[[#This Row],[Camp Name]],Camp_List[Camp Name],0)-1,0,1,1),"")</f>
        <v>Close</v>
      </c>
      <c r="AM419" s="131"/>
    </row>
    <row r="420" spans="1:39" s="90" customFormat="1" ht="19.5" customHeight="1" x14ac:dyDescent="0.25">
      <c r="A420" s="242">
        <f>IF(ISBLANK(C420),"",(Report_Date-C420)/30)</f>
        <v>56.833333333333336</v>
      </c>
      <c r="B420" s="242">
        <f>YEAR(Data_NFI_t[[#This Row],[Distribution Date]])</f>
        <v>2012</v>
      </c>
      <c r="C420" s="927">
        <v>41090</v>
      </c>
      <c r="D420" s="489" t="s">
        <v>285</v>
      </c>
      <c r="E420" s="488"/>
      <c r="F420" s="489" t="s">
        <v>7</v>
      </c>
      <c r="G420" s="794" t="s">
        <v>19</v>
      </c>
      <c r="H420" s="794" t="s">
        <v>77</v>
      </c>
      <c r="I420" s="794"/>
      <c r="J420" s="51"/>
      <c r="K420" s="51"/>
      <c r="L420" s="51"/>
      <c r="M420" s="51">
        <v>103</v>
      </c>
      <c r="N420" s="51"/>
      <c r="O420" s="51"/>
      <c r="P420" s="51"/>
      <c r="Q420" s="51"/>
      <c r="R420" s="511"/>
      <c r="S420" s="51"/>
      <c r="T420" s="51"/>
      <c r="U420" s="51"/>
      <c r="V420" s="51"/>
      <c r="W420" s="131">
        <f>IF(NFI_Expiration=1,IF($A420&lt;VLOOKUP(I$5,NFI,5,0),1,0)*Data_NFI_t[[#This Row],[Hygiene Kit]],0)</f>
        <v>0</v>
      </c>
      <c r="X420" s="131">
        <f>IF(NFI_Expiration=1,IF($A420&lt;VLOOKUP(J$5,NFI,5,0),1,0)*Data_NFI_t[[#This Row],[NFI Core Kit]],0)</f>
        <v>0</v>
      </c>
      <c r="Y420" s="112">
        <f>IF(NFI_Expiration=1,IF($A420&lt;VLOOKUP(K$5,NFI,5,0),1,0)*Data_NFI_t[[#This Row],[Sanitary Kit]],0)</f>
        <v>0</v>
      </c>
      <c r="Z420" s="112">
        <f>IF(NFI_Expiration=1,IF($A420&lt;VLOOKUP(L$5,NFI,5,0),1,0)*Data_NFI_t[[#This Row],[Mosquito net]],0)</f>
        <v>0</v>
      </c>
      <c r="AA420" s="112">
        <f>IF(NFI_Expiration=1,IF($A420&lt;VLOOKUP(M$5,NFI,5,0),1,0)*Data_NFI_t[[#This Row],[Tarpaulin]],0)</f>
        <v>0</v>
      </c>
      <c r="AB420" s="112">
        <f>IF(NFI_Expiration=1,IF($A420&lt;VLOOKUP(N$5,NFI,5,0),1,0)*Data_NFI_t[[#This Row],[Blanket]],0)</f>
        <v>0</v>
      </c>
      <c r="AC420" s="112">
        <f>IF(NFI_Expiration=1,IF($A420&lt;VLOOKUP(O$5,NFI,5,0),1,0)*Data_NFI_t[[#This Row],[Kitchen Set]],0)</f>
        <v>0</v>
      </c>
      <c r="AD420" s="112">
        <f>IF(NFI_Expiration=1,IF($A420&lt;VLOOKUP(P$5,NFI,5,0),1,0)*Data_NFI_t[[#This Row],[Complementary Kit]],0)</f>
        <v>0</v>
      </c>
      <c r="AE420" s="112">
        <f>IF(NFI_Expiration=1,IF($A420&lt;VLOOKUP(Q$5,NFI,5,0),1,0)*Data_NFI_t[[#This Row],[Plastic Bucket]],0)</f>
        <v>0</v>
      </c>
      <c r="AF420" s="112">
        <f>IF(NFI_Expiration=1,IF($A420&lt;VLOOKUP(R$5,NFI,5,0),1,0)*Data_NFI_t[[#This Row],[Jerry Can]],0)</f>
        <v>0</v>
      </c>
      <c r="AG420" s="131">
        <f>IF(NFI_Expiration=1,IF($A420&lt;VLOOKUP(S$5,NFI,5,0),1,0)*Data_NFI_t[[#This Row],[Plastic Mat]],0)*IF(Data_NFI_t[[#This Row],[Distribution Date]]&gt;"01-06-2015",1,2.5)</f>
        <v>0</v>
      </c>
      <c r="AH420" s="915">
        <f>IF(NFI_Expiration=1,IF($A420&lt;VLOOKUP(T$5,NFI,5,0),1,0)*Data_NFI_t[[#This Row],[Adult Clothes]],0)</f>
        <v>0</v>
      </c>
      <c r="AI420" s="131">
        <f>IF(NFI_Expiration=1,IF($A420&lt;VLOOKUP(U$5,NFI,5,0),1,0)*Data_NFI_t[[#This Row],[Children Clothes]],0)</f>
        <v>0</v>
      </c>
      <c r="AJ420" s="131">
        <f>IF(NFI_Expiration=1,IF($A420&lt;VLOOKUP(V$5,NFI,5,0),1,0)*Data_NFI_t[[#This Row],[Sewing Kit]],0)</f>
        <v>0</v>
      </c>
      <c r="AK420" s="131" t="str">
        <f ca="1">IFERROR(OFFSET(Camp_List[P_Code],MATCH(Data_NFI_t[[#This Row],[Camp Name]],Camp_List[Camp Name],0)-1,0,1,1),"")</f>
        <v>MMR012CMP055</v>
      </c>
      <c r="AL420" s="513" t="str">
        <f ca="1">IFERROR(OFFSET(Camp_List[Status],MATCH(Data_NFI_t[[#This Row],[Camp Name]],Camp_List[Camp Name],0)-1,0,1,1),"")</f>
        <v>Close</v>
      </c>
      <c r="AM420" s="131"/>
    </row>
    <row r="421" spans="1:39" s="90" customFormat="1" ht="19.5" customHeight="1" x14ac:dyDescent="0.25">
      <c r="A421" s="242">
        <f>IF(ISBLANK(C421),"",(Report_Date-C421)/30)</f>
        <v>56.833333333333336</v>
      </c>
      <c r="B421" s="242">
        <f>YEAR(Data_NFI_t[[#This Row],[Distribution Date]])</f>
        <v>2012</v>
      </c>
      <c r="C421" s="927">
        <v>41090</v>
      </c>
      <c r="D421" s="489" t="s">
        <v>285</v>
      </c>
      <c r="E421" s="488"/>
      <c r="F421" s="489" t="s">
        <v>7</v>
      </c>
      <c r="G421" s="794" t="s">
        <v>19</v>
      </c>
      <c r="H421" s="794" t="s">
        <v>253</v>
      </c>
      <c r="I421" s="794"/>
      <c r="J421" s="51"/>
      <c r="K421" s="51"/>
      <c r="L421" s="51"/>
      <c r="M421" s="51">
        <v>36</v>
      </c>
      <c r="N421" s="51"/>
      <c r="O421" s="51"/>
      <c r="P421" s="51"/>
      <c r="Q421" s="51"/>
      <c r="R421" s="511"/>
      <c r="S421" s="51"/>
      <c r="T421" s="51"/>
      <c r="U421" s="51"/>
      <c r="V421" s="51"/>
      <c r="W421" s="131">
        <f>IF(NFI_Expiration=1,IF($A421&lt;VLOOKUP(I$5,NFI,5,0),1,0)*Data_NFI_t[[#This Row],[Hygiene Kit]],0)</f>
        <v>0</v>
      </c>
      <c r="X421" s="131">
        <f>IF(NFI_Expiration=1,IF($A421&lt;VLOOKUP(J$5,NFI,5,0),1,0)*Data_NFI_t[[#This Row],[NFI Core Kit]],0)</f>
        <v>0</v>
      </c>
      <c r="Y421" s="112">
        <f>IF(NFI_Expiration=1,IF($A421&lt;VLOOKUP(K$5,NFI,5,0),1,0)*Data_NFI_t[[#This Row],[Sanitary Kit]],0)</f>
        <v>0</v>
      </c>
      <c r="Z421" s="112">
        <f>IF(NFI_Expiration=1,IF($A421&lt;VLOOKUP(L$5,NFI,5,0),1,0)*Data_NFI_t[[#This Row],[Mosquito net]],0)</f>
        <v>0</v>
      </c>
      <c r="AA421" s="112">
        <f>IF(NFI_Expiration=1,IF($A421&lt;VLOOKUP(M$5,NFI,5,0),1,0)*Data_NFI_t[[#This Row],[Tarpaulin]],0)</f>
        <v>0</v>
      </c>
      <c r="AB421" s="112">
        <f>IF(NFI_Expiration=1,IF($A421&lt;VLOOKUP(N$5,NFI,5,0),1,0)*Data_NFI_t[[#This Row],[Blanket]],0)</f>
        <v>0</v>
      </c>
      <c r="AC421" s="112">
        <f>IF(NFI_Expiration=1,IF($A421&lt;VLOOKUP(O$5,NFI,5,0),1,0)*Data_NFI_t[[#This Row],[Kitchen Set]],0)</f>
        <v>0</v>
      </c>
      <c r="AD421" s="112">
        <f>IF(NFI_Expiration=1,IF($A421&lt;VLOOKUP(P$5,NFI,5,0),1,0)*Data_NFI_t[[#This Row],[Complementary Kit]],0)</f>
        <v>0</v>
      </c>
      <c r="AE421" s="112">
        <f>IF(NFI_Expiration=1,IF($A421&lt;VLOOKUP(Q$5,NFI,5,0),1,0)*Data_NFI_t[[#This Row],[Plastic Bucket]],0)</f>
        <v>0</v>
      </c>
      <c r="AF421" s="112">
        <f>IF(NFI_Expiration=1,IF($A421&lt;VLOOKUP(R$5,NFI,5,0),1,0)*Data_NFI_t[[#This Row],[Jerry Can]],0)</f>
        <v>0</v>
      </c>
      <c r="AG421" s="131">
        <f>IF(NFI_Expiration=1,IF($A421&lt;VLOOKUP(S$5,NFI,5,0),1,0)*Data_NFI_t[[#This Row],[Plastic Mat]],0)*IF(Data_NFI_t[[#This Row],[Distribution Date]]&gt;"01-06-2015",1,2.5)</f>
        <v>0</v>
      </c>
      <c r="AH421" s="915">
        <f>IF(NFI_Expiration=1,IF($A421&lt;VLOOKUP(T$5,NFI,5,0),1,0)*Data_NFI_t[[#This Row],[Adult Clothes]],0)</f>
        <v>0</v>
      </c>
      <c r="AI421" s="131">
        <f>IF(NFI_Expiration=1,IF($A421&lt;VLOOKUP(U$5,NFI,5,0),1,0)*Data_NFI_t[[#This Row],[Children Clothes]],0)</f>
        <v>0</v>
      </c>
      <c r="AJ421" s="131">
        <f>IF(NFI_Expiration=1,IF($A421&lt;VLOOKUP(V$5,NFI,5,0),1,0)*Data_NFI_t[[#This Row],[Sewing Kit]],0)</f>
        <v>0</v>
      </c>
      <c r="AK421" s="131" t="str">
        <f ca="1">IFERROR(OFFSET(Camp_List[P_Code],MATCH(Data_NFI_t[[#This Row],[Camp Name]],Camp_List[Camp Name],0)-1,0,1,1),"")</f>
        <v/>
      </c>
      <c r="AL421" s="513" t="str">
        <f ca="1">IFERROR(OFFSET(Camp_List[Status],MATCH(Data_NFI_t[[#This Row],[Camp Name]],Camp_List[Camp Name],0)-1,0,1,1),"")</f>
        <v/>
      </c>
      <c r="AM421" s="131"/>
    </row>
    <row r="422" spans="1:39" s="90" customFormat="1" ht="19.5" customHeight="1" x14ac:dyDescent="0.25">
      <c r="A422" s="242">
        <f>IF(ISBLANK(C422),"",(Report_Date-C422)/30)</f>
        <v>56.833333333333336</v>
      </c>
      <c r="B422" s="242">
        <f>YEAR(Data_NFI_t[[#This Row],[Distribution Date]])</f>
        <v>2012</v>
      </c>
      <c r="C422" s="927">
        <v>41090</v>
      </c>
      <c r="D422" s="489" t="s">
        <v>285</v>
      </c>
      <c r="E422" s="488"/>
      <c r="F422" s="489" t="s">
        <v>7</v>
      </c>
      <c r="G422" s="794" t="s">
        <v>19</v>
      </c>
      <c r="H422" s="794" t="s">
        <v>255</v>
      </c>
      <c r="I422" s="794"/>
      <c r="J422" s="51"/>
      <c r="K422" s="51"/>
      <c r="L422" s="51"/>
      <c r="M422" s="51">
        <v>36</v>
      </c>
      <c r="N422" s="51"/>
      <c r="O422" s="51"/>
      <c r="P422" s="51"/>
      <c r="Q422" s="51"/>
      <c r="R422" s="511"/>
      <c r="S422" s="51"/>
      <c r="T422" s="51"/>
      <c r="U422" s="51"/>
      <c r="V422" s="51"/>
      <c r="W422" s="131">
        <f>IF(NFI_Expiration=1,IF($A422&lt;VLOOKUP(I$5,NFI,5,0),1,0)*Data_NFI_t[[#This Row],[Hygiene Kit]],0)</f>
        <v>0</v>
      </c>
      <c r="X422" s="131">
        <f>IF(NFI_Expiration=1,IF($A422&lt;VLOOKUP(J$5,NFI,5,0),1,0)*Data_NFI_t[[#This Row],[NFI Core Kit]],0)</f>
        <v>0</v>
      </c>
      <c r="Y422" s="112">
        <f>IF(NFI_Expiration=1,IF($A422&lt;VLOOKUP(K$5,NFI,5,0),1,0)*Data_NFI_t[[#This Row],[Sanitary Kit]],0)</f>
        <v>0</v>
      </c>
      <c r="Z422" s="112">
        <f>IF(NFI_Expiration=1,IF($A422&lt;VLOOKUP(L$5,NFI,5,0),1,0)*Data_NFI_t[[#This Row],[Mosquito net]],0)</f>
        <v>0</v>
      </c>
      <c r="AA422" s="112">
        <f>IF(NFI_Expiration=1,IF($A422&lt;VLOOKUP(M$5,NFI,5,0),1,0)*Data_NFI_t[[#This Row],[Tarpaulin]],0)</f>
        <v>0</v>
      </c>
      <c r="AB422" s="112">
        <f>IF(NFI_Expiration=1,IF($A422&lt;VLOOKUP(N$5,NFI,5,0),1,0)*Data_NFI_t[[#This Row],[Blanket]],0)</f>
        <v>0</v>
      </c>
      <c r="AC422" s="112">
        <f>IF(NFI_Expiration=1,IF($A422&lt;VLOOKUP(O$5,NFI,5,0),1,0)*Data_NFI_t[[#This Row],[Kitchen Set]],0)</f>
        <v>0</v>
      </c>
      <c r="AD422" s="112">
        <f>IF(NFI_Expiration=1,IF($A422&lt;VLOOKUP(P$5,NFI,5,0),1,0)*Data_NFI_t[[#This Row],[Complementary Kit]],0)</f>
        <v>0</v>
      </c>
      <c r="AE422" s="112">
        <f>IF(NFI_Expiration=1,IF($A422&lt;VLOOKUP(Q$5,NFI,5,0),1,0)*Data_NFI_t[[#This Row],[Plastic Bucket]],0)</f>
        <v>0</v>
      </c>
      <c r="AF422" s="112">
        <f>IF(NFI_Expiration=1,IF($A422&lt;VLOOKUP(R$5,NFI,5,0),1,0)*Data_NFI_t[[#This Row],[Jerry Can]],0)</f>
        <v>0</v>
      </c>
      <c r="AG422" s="131">
        <f>IF(NFI_Expiration=1,IF($A422&lt;VLOOKUP(S$5,NFI,5,0),1,0)*Data_NFI_t[[#This Row],[Plastic Mat]],0)*IF(Data_NFI_t[[#This Row],[Distribution Date]]&gt;"01-06-2015",1,2.5)</f>
        <v>0</v>
      </c>
      <c r="AH422" s="915">
        <f>IF(NFI_Expiration=1,IF($A422&lt;VLOOKUP(T$5,NFI,5,0),1,0)*Data_NFI_t[[#This Row],[Adult Clothes]],0)</f>
        <v>0</v>
      </c>
      <c r="AI422" s="131">
        <f>IF(NFI_Expiration=1,IF($A422&lt;VLOOKUP(U$5,NFI,5,0),1,0)*Data_NFI_t[[#This Row],[Children Clothes]],0)</f>
        <v>0</v>
      </c>
      <c r="AJ422" s="131">
        <f>IF(NFI_Expiration=1,IF($A422&lt;VLOOKUP(V$5,NFI,5,0),1,0)*Data_NFI_t[[#This Row],[Sewing Kit]],0)</f>
        <v>0</v>
      </c>
      <c r="AK422" s="131" t="str">
        <f ca="1">IFERROR(OFFSET(Camp_List[P_Code],MATCH(Data_NFI_t[[#This Row],[Camp Name]],Camp_List[Camp Name],0)-1,0,1,1),"")</f>
        <v/>
      </c>
      <c r="AL422" s="513" t="str">
        <f ca="1">IFERROR(OFFSET(Camp_List[Status],MATCH(Data_NFI_t[[#This Row],[Camp Name]],Camp_List[Camp Name],0)-1,0,1,1),"")</f>
        <v/>
      </c>
      <c r="AM422" s="131"/>
    </row>
    <row r="423" spans="1:39" s="90" customFormat="1" ht="19.5" customHeight="1" x14ac:dyDescent="0.25">
      <c r="A423" s="242">
        <f>IF(ISBLANK(C423),"",(Report_Date-C423)/30)</f>
        <v>56.833333333333336</v>
      </c>
      <c r="B423" s="242">
        <f>YEAR(Data_NFI_t[[#This Row],[Distribution Date]])</f>
        <v>2012</v>
      </c>
      <c r="C423" s="927">
        <v>41090</v>
      </c>
      <c r="D423" s="489" t="s">
        <v>285</v>
      </c>
      <c r="E423" s="488"/>
      <c r="F423" s="489" t="s">
        <v>7</v>
      </c>
      <c r="G423" s="794" t="s">
        <v>19</v>
      </c>
      <c r="H423" s="794" t="s">
        <v>85</v>
      </c>
      <c r="I423" s="794"/>
      <c r="J423" s="51"/>
      <c r="K423" s="51"/>
      <c r="L423" s="51"/>
      <c r="M423" s="51">
        <v>9</v>
      </c>
      <c r="N423" s="51"/>
      <c r="O423" s="51"/>
      <c r="P423" s="51"/>
      <c r="Q423" s="51"/>
      <c r="R423" s="511"/>
      <c r="S423" s="51"/>
      <c r="T423" s="51"/>
      <c r="U423" s="51"/>
      <c r="V423" s="51"/>
      <c r="W423" s="131">
        <f>IF(NFI_Expiration=1,IF($A423&lt;VLOOKUP(I$5,NFI,5,0),1,0)*Data_NFI_t[[#This Row],[Hygiene Kit]],0)</f>
        <v>0</v>
      </c>
      <c r="X423" s="131">
        <f>IF(NFI_Expiration=1,IF($A423&lt;VLOOKUP(J$5,NFI,5,0),1,0)*Data_NFI_t[[#This Row],[NFI Core Kit]],0)</f>
        <v>0</v>
      </c>
      <c r="Y423" s="112">
        <f>IF(NFI_Expiration=1,IF($A423&lt;VLOOKUP(K$5,NFI,5,0),1,0)*Data_NFI_t[[#This Row],[Sanitary Kit]],0)</f>
        <v>0</v>
      </c>
      <c r="Z423" s="112">
        <f>IF(NFI_Expiration=1,IF($A423&lt;VLOOKUP(L$5,NFI,5,0),1,0)*Data_NFI_t[[#This Row],[Mosquito net]],0)</f>
        <v>0</v>
      </c>
      <c r="AA423" s="112">
        <f>IF(NFI_Expiration=1,IF($A423&lt;VLOOKUP(M$5,NFI,5,0),1,0)*Data_NFI_t[[#This Row],[Tarpaulin]],0)</f>
        <v>0</v>
      </c>
      <c r="AB423" s="112">
        <f>IF(NFI_Expiration=1,IF($A423&lt;VLOOKUP(N$5,NFI,5,0),1,0)*Data_NFI_t[[#This Row],[Blanket]],0)</f>
        <v>0</v>
      </c>
      <c r="AC423" s="112">
        <f>IF(NFI_Expiration=1,IF($A423&lt;VLOOKUP(O$5,NFI,5,0),1,0)*Data_NFI_t[[#This Row],[Kitchen Set]],0)</f>
        <v>0</v>
      </c>
      <c r="AD423" s="112">
        <f>IF(NFI_Expiration=1,IF($A423&lt;VLOOKUP(P$5,NFI,5,0),1,0)*Data_NFI_t[[#This Row],[Complementary Kit]],0)</f>
        <v>0</v>
      </c>
      <c r="AE423" s="112">
        <f>IF(NFI_Expiration=1,IF($A423&lt;VLOOKUP(Q$5,NFI,5,0),1,0)*Data_NFI_t[[#This Row],[Plastic Bucket]],0)</f>
        <v>0</v>
      </c>
      <c r="AF423" s="112">
        <f>IF(NFI_Expiration=1,IF($A423&lt;VLOOKUP(R$5,NFI,5,0),1,0)*Data_NFI_t[[#This Row],[Jerry Can]],0)</f>
        <v>0</v>
      </c>
      <c r="AG423" s="131">
        <f>IF(NFI_Expiration=1,IF($A423&lt;VLOOKUP(S$5,NFI,5,0),1,0)*Data_NFI_t[[#This Row],[Plastic Mat]],0)*IF(Data_NFI_t[[#This Row],[Distribution Date]]&gt;"01-06-2015",1,2.5)</f>
        <v>0</v>
      </c>
      <c r="AH423" s="915">
        <f>IF(NFI_Expiration=1,IF($A423&lt;VLOOKUP(T$5,NFI,5,0),1,0)*Data_NFI_t[[#This Row],[Adult Clothes]],0)</f>
        <v>0</v>
      </c>
      <c r="AI423" s="131">
        <f>IF(NFI_Expiration=1,IF($A423&lt;VLOOKUP(U$5,NFI,5,0),1,0)*Data_NFI_t[[#This Row],[Children Clothes]],0)</f>
        <v>0</v>
      </c>
      <c r="AJ423" s="131">
        <f>IF(NFI_Expiration=1,IF($A423&lt;VLOOKUP(V$5,NFI,5,0),1,0)*Data_NFI_t[[#This Row],[Sewing Kit]],0)</f>
        <v>0</v>
      </c>
      <c r="AK423" s="131" t="str">
        <f ca="1">IFERROR(OFFSET(Camp_List[P_Code],MATCH(Data_NFI_t[[#This Row],[Camp Name]],Camp_List[Camp Name],0)-1,0,1,1),"")</f>
        <v>MMR012CMP064</v>
      </c>
      <c r="AL423" s="513" t="str">
        <f ca="1">IFERROR(OFFSET(Camp_List[Status],MATCH(Data_NFI_t[[#This Row],[Camp Name]],Camp_List[Camp Name],0)-1,0,1,1),"")</f>
        <v>Close</v>
      </c>
      <c r="AM423" s="131"/>
    </row>
    <row r="424" spans="1:39" s="90" customFormat="1" ht="19.5" customHeight="1" x14ac:dyDescent="0.25">
      <c r="A424" s="242">
        <f>IF(ISBLANK(C424),"",(Report_Date-C424)/30)</f>
        <v>56.833333333333336</v>
      </c>
      <c r="B424" s="242">
        <f>YEAR(Data_NFI_t[[#This Row],[Distribution Date]])</f>
        <v>2012</v>
      </c>
      <c r="C424" s="927">
        <v>41090</v>
      </c>
      <c r="D424" s="489" t="s">
        <v>285</v>
      </c>
      <c r="E424" s="488"/>
      <c r="F424" s="489" t="s">
        <v>7</v>
      </c>
      <c r="G424" s="794" t="s">
        <v>19</v>
      </c>
      <c r="H424" s="794" t="s">
        <v>254</v>
      </c>
      <c r="I424" s="794"/>
      <c r="J424" s="51"/>
      <c r="K424" s="51"/>
      <c r="L424" s="51"/>
      <c r="M424" s="51">
        <v>20</v>
      </c>
      <c r="N424" s="51"/>
      <c r="O424" s="51"/>
      <c r="P424" s="51"/>
      <c r="Q424" s="51"/>
      <c r="R424" s="511"/>
      <c r="S424" s="51"/>
      <c r="T424" s="51"/>
      <c r="U424" s="51"/>
      <c r="V424" s="51"/>
      <c r="W424" s="131">
        <f>IF(NFI_Expiration=1,IF($A424&lt;VLOOKUP(I$5,NFI,5,0),1,0)*Data_NFI_t[[#This Row],[Hygiene Kit]],0)</f>
        <v>0</v>
      </c>
      <c r="X424" s="131">
        <f>IF(NFI_Expiration=1,IF($A424&lt;VLOOKUP(J$5,NFI,5,0),1,0)*Data_NFI_t[[#This Row],[NFI Core Kit]],0)</f>
        <v>0</v>
      </c>
      <c r="Y424" s="112">
        <f>IF(NFI_Expiration=1,IF($A424&lt;VLOOKUP(K$5,NFI,5,0),1,0)*Data_NFI_t[[#This Row],[Sanitary Kit]],0)</f>
        <v>0</v>
      </c>
      <c r="Z424" s="112">
        <f>IF(NFI_Expiration=1,IF($A424&lt;VLOOKUP(L$5,NFI,5,0),1,0)*Data_NFI_t[[#This Row],[Mosquito net]],0)</f>
        <v>0</v>
      </c>
      <c r="AA424" s="112">
        <f>IF(NFI_Expiration=1,IF($A424&lt;VLOOKUP(M$5,NFI,5,0),1,0)*Data_NFI_t[[#This Row],[Tarpaulin]],0)</f>
        <v>0</v>
      </c>
      <c r="AB424" s="112">
        <f>IF(NFI_Expiration=1,IF($A424&lt;VLOOKUP(N$5,NFI,5,0),1,0)*Data_NFI_t[[#This Row],[Blanket]],0)</f>
        <v>0</v>
      </c>
      <c r="AC424" s="112">
        <f>IF(NFI_Expiration=1,IF($A424&lt;VLOOKUP(O$5,NFI,5,0),1,0)*Data_NFI_t[[#This Row],[Kitchen Set]],0)</f>
        <v>0</v>
      </c>
      <c r="AD424" s="112">
        <f>IF(NFI_Expiration=1,IF($A424&lt;VLOOKUP(P$5,NFI,5,0),1,0)*Data_NFI_t[[#This Row],[Complementary Kit]],0)</f>
        <v>0</v>
      </c>
      <c r="AE424" s="112">
        <f>IF(NFI_Expiration=1,IF($A424&lt;VLOOKUP(Q$5,NFI,5,0),1,0)*Data_NFI_t[[#This Row],[Plastic Bucket]],0)</f>
        <v>0</v>
      </c>
      <c r="AF424" s="112">
        <f>IF(NFI_Expiration=1,IF($A424&lt;VLOOKUP(R$5,NFI,5,0),1,0)*Data_NFI_t[[#This Row],[Jerry Can]],0)</f>
        <v>0</v>
      </c>
      <c r="AG424" s="131">
        <f>IF(NFI_Expiration=1,IF($A424&lt;VLOOKUP(S$5,NFI,5,0),1,0)*Data_NFI_t[[#This Row],[Plastic Mat]],0)*IF(Data_NFI_t[[#This Row],[Distribution Date]]&gt;"01-06-2015",1,2.5)</f>
        <v>0</v>
      </c>
      <c r="AH424" s="915">
        <f>IF(NFI_Expiration=1,IF($A424&lt;VLOOKUP(T$5,NFI,5,0),1,0)*Data_NFI_t[[#This Row],[Adult Clothes]],0)</f>
        <v>0</v>
      </c>
      <c r="AI424" s="131">
        <f>IF(NFI_Expiration=1,IF($A424&lt;VLOOKUP(U$5,NFI,5,0),1,0)*Data_NFI_t[[#This Row],[Children Clothes]],0)</f>
        <v>0</v>
      </c>
      <c r="AJ424" s="131">
        <f>IF(NFI_Expiration=1,IF($A424&lt;VLOOKUP(V$5,NFI,5,0),1,0)*Data_NFI_t[[#This Row],[Sewing Kit]],0)</f>
        <v>0</v>
      </c>
      <c r="AK424" s="131" t="str">
        <f ca="1">IFERROR(OFFSET(Camp_List[P_Code],MATCH(Data_NFI_t[[#This Row],[Camp Name]],Camp_List[Camp Name],0)-1,0,1,1),"")</f>
        <v/>
      </c>
      <c r="AL424" s="513" t="str">
        <f ca="1">IFERROR(OFFSET(Camp_List[Status],MATCH(Data_NFI_t[[#This Row],[Camp Name]],Camp_List[Camp Name],0)-1,0,1,1),"")</f>
        <v/>
      </c>
      <c r="AM424" s="131"/>
    </row>
    <row r="425" spans="1:39" s="90" customFormat="1" ht="19.5" customHeight="1" x14ac:dyDescent="0.25">
      <c r="A425" s="242">
        <f>IF(ISBLANK(C425),"",(Report_Date-C425)/30)</f>
        <v>56.833333333333336</v>
      </c>
      <c r="B425" s="242">
        <f>YEAR(Data_NFI_t[[#This Row],[Distribution Date]])</f>
        <v>2012</v>
      </c>
      <c r="C425" s="927">
        <v>41090</v>
      </c>
      <c r="D425" s="489" t="s">
        <v>285</v>
      </c>
      <c r="E425" s="488"/>
      <c r="F425" s="489" t="s">
        <v>7</v>
      </c>
      <c r="G425" s="794" t="s">
        <v>19</v>
      </c>
      <c r="H425" s="794" t="s">
        <v>252</v>
      </c>
      <c r="I425" s="794"/>
      <c r="J425" s="51"/>
      <c r="K425" s="51"/>
      <c r="L425" s="51"/>
      <c r="M425" s="51">
        <v>35</v>
      </c>
      <c r="N425" s="51"/>
      <c r="O425" s="51"/>
      <c r="P425" s="51"/>
      <c r="Q425" s="51"/>
      <c r="R425" s="511"/>
      <c r="S425" s="51"/>
      <c r="T425" s="51"/>
      <c r="U425" s="51"/>
      <c r="V425" s="51"/>
      <c r="W425" s="131">
        <f>IF(NFI_Expiration=1,IF($A425&lt;VLOOKUP(I$5,NFI,5,0),1,0)*Data_NFI_t[[#This Row],[Hygiene Kit]],0)</f>
        <v>0</v>
      </c>
      <c r="X425" s="131">
        <f>IF(NFI_Expiration=1,IF($A425&lt;VLOOKUP(J$5,NFI,5,0),1,0)*Data_NFI_t[[#This Row],[NFI Core Kit]],0)</f>
        <v>0</v>
      </c>
      <c r="Y425" s="112">
        <f>IF(NFI_Expiration=1,IF($A425&lt;VLOOKUP(K$5,NFI,5,0),1,0)*Data_NFI_t[[#This Row],[Sanitary Kit]],0)</f>
        <v>0</v>
      </c>
      <c r="Z425" s="112">
        <f>IF(NFI_Expiration=1,IF($A425&lt;VLOOKUP(L$5,NFI,5,0),1,0)*Data_NFI_t[[#This Row],[Mosquito net]],0)</f>
        <v>0</v>
      </c>
      <c r="AA425" s="112">
        <f>IF(NFI_Expiration=1,IF($A425&lt;VLOOKUP(M$5,NFI,5,0),1,0)*Data_NFI_t[[#This Row],[Tarpaulin]],0)</f>
        <v>0</v>
      </c>
      <c r="AB425" s="112">
        <f>IF(NFI_Expiration=1,IF($A425&lt;VLOOKUP(N$5,NFI,5,0),1,0)*Data_NFI_t[[#This Row],[Blanket]],0)</f>
        <v>0</v>
      </c>
      <c r="AC425" s="112">
        <f>IF(NFI_Expiration=1,IF($A425&lt;VLOOKUP(O$5,NFI,5,0),1,0)*Data_NFI_t[[#This Row],[Kitchen Set]],0)</f>
        <v>0</v>
      </c>
      <c r="AD425" s="112">
        <f>IF(NFI_Expiration=1,IF($A425&lt;VLOOKUP(P$5,NFI,5,0),1,0)*Data_NFI_t[[#This Row],[Complementary Kit]],0)</f>
        <v>0</v>
      </c>
      <c r="AE425" s="112">
        <f>IF(NFI_Expiration=1,IF($A425&lt;VLOOKUP(Q$5,NFI,5,0),1,0)*Data_NFI_t[[#This Row],[Plastic Bucket]],0)</f>
        <v>0</v>
      </c>
      <c r="AF425" s="112">
        <f>IF(NFI_Expiration=1,IF($A425&lt;VLOOKUP(R$5,NFI,5,0),1,0)*Data_NFI_t[[#This Row],[Jerry Can]],0)</f>
        <v>0</v>
      </c>
      <c r="AG425" s="131">
        <f>IF(NFI_Expiration=1,IF($A425&lt;VLOOKUP(S$5,NFI,5,0),1,0)*Data_NFI_t[[#This Row],[Plastic Mat]],0)*IF(Data_NFI_t[[#This Row],[Distribution Date]]&gt;"01-06-2015",1,2.5)</f>
        <v>0</v>
      </c>
      <c r="AH425" s="915">
        <f>IF(NFI_Expiration=1,IF($A425&lt;VLOOKUP(T$5,NFI,5,0),1,0)*Data_NFI_t[[#This Row],[Adult Clothes]],0)</f>
        <v>0</v>
      </c>
      <c r="AI425" s="131">
        <f>IF(NFI_Expiration=1,IF($A425&lt;VLOOKUP(U$5,NFI,5,0),1,0)*Data_NFI_t[[#This Row],[Children Clothes]],0)</f>
        <v>0</v>
      </c>
      <c r="AJ425" s="131">
        <f>IF(NFI_Expiration=1,IF($A425&lt;VLOOKUP(V$5,NFI,5,0),1,0)*Data_NFI_t[[#This Row],[Sewing Kit]],0)</f>
        <v>0</v>
      </c>
      <c r="AK425" s="131" t="str">
        <f ca="1">IFERROR(OFFSET(Camp_List[P_Code],MATCH(Data_NFI_t[[#This Row],[Camp Name]],Camp_List[Camp Name],0)-1,0,1,1),"")</f>
        <v/>
      </c>
      <c r="AL425" s="513" t="str">
        <f ca="1">IFERROR(OFFSET(Camp_List[Status],MATCH(Data_NFI_t[[#This Row],[Camp Name]],Camp_List[Camp Name],0)-1,0,1,1),"")</f>
        <v/>
      </c>
      <c r="AM425" s="131"/>
    </row>
    <row r="426" spans="1:39" s="90" customFormat="1" ht="19.5" customHeight="1" x14ac:dyDescent="0.25">
      <c r="A426" s="242">
        <f>IF(ISBLANK(C426),"",(Report_Date-C426)/30)</f>
        <v>56.866666666666667</v>
      </c>
      <c r="B426" s="242">
        <f>YEAR(Data_NFI_t[[#This Row],[Distribution Date]])</f>
        <v>2012</v>
      </c>
      <c r="C426" s="927">
        <v>41089</v>
      </c>
      <c r="D426" s="489" t="s">
        <v>285</v>
      </c>
      <c r="E426" s="488"/>
      <c r="F426" s="489" t="s">
        <v>7</v>
      </c>
      <c r="G426" s="794" t="s">
        <v>19</v>
      </c>
      <c r="H426" s="794" t="s">
        <v>80</v>
      </c>
      <c r="I426" s="794"/>
      <c r="J426" s="51"/>
      <c r="K426" s="51"/>
      <c r="L426" s="51"/>
      <c r="M426" s="51">
        <v>66</v>
      </c>
      <c r="N426" s="51"/>
      <c r="O426" s="51"/>
      <c r="P426" s="51"/>
      <c r="Q426" s="51"/>
      <c r="R426" s="511"/>
      <c r="S426" s="51"/>
      <c r="T426" s="51"/>
      <c r="U426" s="51"/>
      <c r="V426" s="51"/>
      <c r="W426" s="131">
        <f>IF(NFI_Expiration=1,IF($A426&lt;VLOOKUP(I$5,NFI,5,0),1,0)*Data_NFI_t[[#This Row],[Hygiene Kit]],0)</f>
        <v>0</v>
      </c>
      <c r="X426" s="131">
        <f>IF(NFI_Expiration=1,IF($A426&lt;VLOOKUP(J$5,NFI,5,0),1,0)*Data_NFI_t[[#This Row],[NFI Core Kit]],0)</f>
        <v>0</v>
      </c>
      <c r="Y426" s="112">
        <f>IF(NFI_Expiration=1,IF($A426&lt;VLOOKUP(K$5,NFI,5,0),1,0)*Data_NFI_t[[#This Row],[Sanitary Kit]],0)</f>
        <v>0</v>
      </c>
      <c r="Z426" s="112">
        <f>IF(NFI_Expiration=1,IF($A426&lt;VLOOKUP(L$5,NFI,5,0),1,0)*Data_NFI_t[[#This Row],[Mosquito net]],0)</f>
        <v>0</v>
      </c>
      <c r="AA426" s="112">
        <f>IF(NFI_Expiration=1,IF($A426&lt;VLOOKUP(M$5,NFI,5,0),1,0)*Data_NFI_t[[#This Row],[Tarpaulin]],0)</f>
        <v>0</v>
      </c>
      <c r="AB426" s="112">
        <f>IF(NFI_Expiration=1,IF($A426&lt;VLOOKUP(N$5,NFI,5,0),1,0)*Data_NFI_t[[#This Row],[Blanket]],0)</f>
        <v>0</v>
      </c>
      <c r="AC426" s="112">
        <f>IF(NFI_Expiration=1,IF($A426&lt;VLOOKUP(O$5,NFI,5,0),1,0)*Data_NFI_t[[#This Row],[Kitchen Set]],0)</f>
        <v>0</v>
      </c>
      <c r="AD426" s="112">
        <f>IF(NFI_Expiration=1,IF($A426&lt;VLOOKUP(P$5,NFI,5,0),1,0)*Data_NFI_t[[#This Row],[Complementary Kit]],0)</f>
        <v>0</v>
      </c>
      <c r="AE426" s="112">
        <f>IF(NFI_Expiration=1,IF($A426&lt;VLOOKUP(Q$5,NFI,5,0),1,0)*Data_NFI_t[[#This Row],[Plastic Bucket]],0)</f>
        <v>0</v>
      </c>
      <c r="AF426" s="112">
        <f>IF(NFI_Expiration=1,IF($A426&lt;VLOOKUP(R$5,NFI,5,0),1,0)*Data_NFI_t[[#This Row],[Jerry Can]],0)</f>
        <v>0</v>
      </c>
      <c r="AG426" s="131">
        <f>IF(NFI_Expiration=1,IF($A426&lt;VLOOKUP(S$5,NFI,5,0),1,0)*Data_NFI_t[[#This Row],[Plastic Mat]],0)*IF(Data_NFI_t[[#This Row],[Distribution Date]]&gt;"01-06-2015",1,2.5)</f>
        <v>0</v>
      </c>
      <c r="AH426" s="915">
        <f>IF(NFI_Expiration=1,IF($A426&lt;VLOOKUP(T$5,NFI,5,0),1,0)*Data_NFI_t[[#This Row],[Adult Clothes]],0)</f>
        <v>0</v>
      </c>
      <c r="AI426" s="131">
        <f>IF(NFI_Expiration=1,IF($A426&lt;VLOOKUP(U$5,NFI,5,0),1,0)*Data_NFI_t[[#This Row],[Children Clothes]],0)</f>
        <v>0</v>
      </c>
      <c r="AJ426" s="131">
        <f>IF(NFI_Expiration=1,IF($A426&lt;VLOOKUP(V$5,NFI,5,0),1,0)*Data_NFI_t[[#This Row],[Sewing Kit]],0)</f>
        <v>0</v>
      </c>
      <c r="AK426" s="131" t="str">
        <f ca="1">IFERROR(OFFSET(Camp_List[P_Code],MATCH(Data_NFI_t[[#This Row],[Camp Name]],Camp_List[Camp Name],0)-1,0,1,1),"")</f>
        <v>MMR012CMP059</v>
      </c>
      <c r="AL426" s="513" t="str">
        <f ca="1">IFERROR(OFFSET(Camp_List[Status],MATCH(Data_NFI_t[[#This Row],[Camp Name]],Camp_List[Camp Name],0)-1,0,1,1),"")</f>
        <v>Close</v>
      </c>
      <c r="AM426" s="131"/>
    </row>
    <row r="427" spans="1:39" s="90" customFormat="1" ht="19.5" customHeight="1" x14ac:dyDescent="0.25">
      <c r="A427" s="242">
        <f>IF(ISBLANK(C427),"",(Report_Date-C427)/30)</f>
        <v>56.866666666666667</v>
      </c>
      <c r="B427" s="242">
        <f>YEAR(Data_NFI_t[[#This Row],[Distribution Date]])</f>
        <v>2012</v>
      </c>
      <c r="C427" s="927">
        <v>41089</v>
      </c>
      <c r="D427" s="489" t="s">
        <v>285</v>
      </c>
      <c r="E427" s="488"/>
      <c r="F427" s="489" t="s">
        <v>7</v>
      </c>
      <c r="G427" s="794" t="s">
        <v>19</v>
      </c>
      <c r="H427" s="794" t="s">
        <v>251</v>
      </c>
      <c r="I427" s="794"/>
      <c r="J427" s="51"/>
      <c r="K427" s="51"/>
      <c r="L427" s="51"/>
      <c r="M427" s="51">
        <v>37</v>
      </c>
      <c r="N427" s="51"/>
      <c r="O427" s="51"/>
      <c r="P427" s="51"/>
      <c r="Q427" s="51"/>
      <c r="R427" s="511"/>
      <c r="S427" s="51"/>
      <c r="T427" s="51"/>
      <c r="U427" s="51"/>
      <c r="V427" s="51"/>
      <c r="W427" s="131">
        <f>IF(NFI_Expiration=1,IF($A427&lt;VLOOKUP(I$5,NFI,5,0),1,0)*Data_NFI_t[[#This Row],[Hygiene Kit]],0)</f>
        <v>0</v>
      </c>
      <c r="X427" s="131">
        <f>IF(NFI_Expiration=1,IF($A427&lt;VLOOKUP(J$5,NFI,5,0),1,0)*Data_NFI_t[[#This Row],[NFI Core Kit]],0)</f>
        <v>0</v>
      </c>
      <c r="Y427" s="112">
        <f>IF(NFI_Expiration=1,IF($A427&lt;VLOOKUP(K$5,NFI,5,0),1,0)*Data_NFI_t[[#This Row],[Sanitary Kit]],0)</f>
        <v>0</v>
      </c>
      <c r="Z427" s="112">
        <f>IF(NFI_Expiration=1,IF($A427&lt;VLOOKUP(L$5,NFI,5,0),1,0)*Data_NFI_t[[#This Row],[Mosquito net]],0)</f>
        <v>0</v>
      </c>
      <c r="AA427" s="112">
        <f>IF(NFI_Expiration=1,IF($A427&lt;VLOOKUP(M$5,NFI,5,0),1,0)*Data_NFI_t[[#This Row],[Tarpaulin]],0)</f>
        <v>0</v>
      </c>
      <c r="AB427" s="112">
        <f>IF(NFI_Expiration=1,IF($A427&lt;VLOOKUP(N$5,NFI,5,0),1,0)*Data_NFI_t[[#This Row],[Blanket]],0)</f>
        <v>0</v>
      </c>
      <c r="AC427" s="112">
        <f>IF(NFI_Expiration=1,IF($A427&lt;VLOOKUP(O$5,NFI,5,0),1,0)*Data_NFI_t[[#This Row],[Kitchen Set]],0)</f>
        <v>0</v>
      </c>
      <c r="AD427" s="112">
        <f>IF(NFI_Expiration=1,IF($A427&lt;VLOOKUP(P$5,NFI,5,0),1,0)*Data_NFI_t[[#This Row],[Complementary Kit]],0)</f>
        <v>0</v>
      </c>
      <c r="AE427" s="112">
        <f>IF(NFI_Expiration=1,IF($A427&lt;VLOOKUP(Q$5,NFI,5,0),1,0)*Data_NFI_t[[#This Row],[Plastic Bucket]],0)</f>
        <v>0</v>
      </c>
      <c r="AF427" s="112">
        <f>IF(NFI_Expiration=1,IF($A427&lt;VLOOKUP(R$5,NFI,5,0),1,0)*Data_NFI_t[[#This Row],[Jerry Can]],0)</f>
        <v>0</v>
      </c>
      <c r="AG427" s="131">
        <f>IF(NFI_Expiration=1,IF($A427&lt;VLOOKUP(S$5,NFI,5,0),1,0)*Data_NFI_t[[#This Row],[Plastic Mat]],0)*IF(Data_NFI_t[[#This Row],[Distribution Date]]&gt;"01-06-2015",1,2.5)</f>
        <v>0</v>
      </c>
      <c r="AH427" s="915">
        <f>IF(NFI_Expiration=1,IF($A427&lt;VLOOKUP(T$5,NFI,5,0),1,0)*Data_NFI_t[[#This Row],[Adult Clothes]],0)</f>
        <v>0</v>
      </c>
      <c r="AI427" s="131">
        <f>IF(NFI_Expiration=1,IF($A427&lt;VLOOKUP(U$5,NFI,5,0),1,0)*Data_NFI_t[[#This Row],[Children Clothes]],0)</f>
        <v>0</v>
      </c>
      <c r="AJ427" s="131">
        <f>IF(NFI_Expiration=1,IF($A427&lt;VLOOKUP(V$5,NFI,5,0),1,0)*Data_NFI_t[[#This Row],[Sewing Kit]],0)</f>
        <v>0</v>
      </c>
      <c r="AK427" s="131" t="str">
        <f ca="1">IFERROR(OFFSET(Camp_List[P_Code],MATCH(Data_NFI_t[[#This Row],[Camp Name]],Camp_List[Camp Name],0)-1,0,1,1),"")</f>
        <v/>
      </c>
      <c r="AL427" s="513" t="str">
        <f ca="1">IFERROR(OFFSET(Camp_List[Status],MATCH(Data_NFI_t[[#This Row],[Camp Name]],Camp_List[Camp Name],0)-1,0,1,1),"")</f>
        <v/>
      </c>
      <c r="AM427" s="131"/>
    </row>
    <row r="428" spans="1:39" s="90" customFormat="1" ht="19.5" customHeight="1" x14ac:dyDescent="0.25">
      <c r="A428" s="242">
        <f>IF(ISBLANK(C428),"",(Report_Date-C428)/30)</f>
        <v>56.866666666666667</v>
      </c>
      <c r="B428" s="242">
        <f>YEAR(Data_NFI_t[[#This Row],[Distribution Date]])</f>
        <v>2012</v>
      </c>
      <c r="C428" s="927">
        <v>41089</v>
      </c>
      <c r="D428" s="489" t="s">
        <v>285</v>
      </c>
      <c r="E428" s="488"/>
      <c r="F428" s="489" t="s">
        <v>7</v>
      </c>
      <c r="G428" s="794" t="s">
        <v>19</v>
      </c>
      <c r="H428" s="794" t="s">
        <v>84</v>
      </c>
      <c r="I428" s="794"/>
      <c r="J428" s="51"/>
      <c r="K428" s="51"/>
      <c r="L428" s="51"/>
      <c r="M428" s="51">
        <v>66</v>
      </c>
      <c r="N428" s="51"/>
      <c r="O428" s="51"/>
      <c r="P428" s="51"/>
      <c r="Q428" s="51"/>
      <c r="R428" s="511"/>
      <c r="S428" s="51"/>
      <c r="T428" s="51"/>
      <c r="U428" s="51"/>
      <c r="V428" s="51"/>
      <c r="W428" s="131">
        <f>IF(NFI_Expiration=1,IF($A428&lt;VLOOKUP(I$5,NFI,5,0),1,0)*Data_NFI_t[[#This Row],[Hygiene Kit]],0)</f>
        <v>0</v>
      </c>
      <c r="X428" s="131">
        <f>IF(NFI_Expiration=1,IF($A428&lt;VLOOKUP(J$5,NFI,5,0),1,0)*Data_NFI_t[[#This Row],[NFI Core Kit]],0)</f>
        <v>0</v>
      </c>
      <c r="Y428" s="112">
        <f>IF(NFI_Expiration=1,IF($A428&lt;VLOOKUP(K$5,NFI,5,0),1,0)*Data_NFI_t[[#This Row],[Sanitary Kit]],0)</f>
        <v>0</v>
      </c>
      <c r="Z428" s="112">
        <f>IF(NFI_Expiration=1,IF($A428&lt;VLOOKUP(L$5,NFI,5,0),1,0)*Data_NFI_t[[#This Row],[Mosquito net]],0)</f>
        <v>0</v>
      </c>
      <c r="AA428" s="112">
        <f>IF(NFI_Expiration=1,IF($A428&lt;VLOOKUP(M$5,NFI,5,0),1,0)*Data_NFI_t[[#This Row],[Tarpaulin]],0)</f>
        <v>0</v>
      </c>
      <c r="AB428" s="112">
        <f>IF(NFI_Expiration=1,IF($A428&lt;VLOOKUP(N$5,NFI,5,0),1,0)*Data_NFI_t[[#This Row],[Blanket]],0)</f>
        <v>0</v>
      </c>
      <c r="AC428" s="112">
        <f>IF(NFI_Expiration=1,IF($A428&lt;VLOOKUP(O$5,NFI,5,0),1,0)*Data_NFI_t[[#This Row],[Kitchen Set]],0)</f>
        <v>0</v>
      </c>
      <c r="AD428" s="112">
        <f>IF(NFI_Expiration=1,IF($A428&lt;VLOOKUP(P$5,NFI,5,0),1,0)*Data_NFI_t[[#This Row],[Complementary Kit]],0)</f>
        <v>0</v>
      </c>
      <c r="AE428" s="112">
        <f>IF(NFI_Expiration=1,IF($A428&lt;VLOOKUP(Q$5,NFI,5,0),1,0)*Data_NFI_t[[#This Row],[Plastic Bucket]],0)</f>
        <v>0</v>
      </c>
      <c r="AF428" s="112">
        <f>IF(NFI_Expiration=1,IF($A428&lt;VLOOKUP(R$5,NFI,5,0),1,0)*Data_NFI_t[[#This Row],[Jerry Can]],0)</f>
        <v>0</v>
      </c>
      <c r="AG428" s="131">
        <f>IF(NFI_Expiration=1,IF($A428&lt;VLOOKUP(S$5,NFI,5,0),1,0)*Data_NFI_t[[#This Row],[Plastic Mat]],0)*IF(Data_NFI_t[[#This Row],[Distribution Date]]&gt;"01-06-2015",1,2.5)</f>
        <v>0</v>
      </c>
      <c r="AH428" s="915">
        <f>IF(NFI_Expiration=1,IF($A428&lt;VLOOKUP(T$5,NFI,5,0),1,0)*Data_NFI_t[[#This Row],[Adult Clothes]],0)</f>
        <v>0</v>
      </c>
      <c r="AI428" s="131">
        <f>IF(NFI_Expiration=1,IF($A428&lt;VLOOKUP(U$5,NFI,5,0),1,0)*Data_NFI_t[[#This Row],[Children Clothes]],0)</f>
        <v>0</v>
      </c>
      <c r="AJ428" s="131">
        <f>IF(NFI_Expiration=1,IF($A428&lt;VLOOKUP(V$5,NFI,5,0),1,0)*Data_NFI_t[[#This Row],[Sewing Kit]],0)</f>
        <v>0</v>
      </c>
      <c r="AK428" s="131" t="str">
        <f ca="1">IFERROR(OFFSET(Camp_List[P_Code],MATCH(Data_NFI_t[[#This Row],[Camp Name]],Camp_List[Camp Name],0)-1,0,1,1),"")</f>
        <v>MMR012CMP063</v>
      </c>
      <c r="AL428" s="513" t="str">
        <f ca="1">IFERROR(OFFSET(Camp_List[Status],MATCH(Data_NFI_t[[#This Row],[Camp Name]],Camp_List[Camp Name],0)-1,0,1,1),"")</f>
        <v>Close</v>
      </c>
      <c r="AM428" s="131"/>
    </row>
    <row r="429" spans="1:39" s="90" customFormat="1" ht="19.5" customHeight="1" x14ac:dyDescent="0.25">
      <c r="A429" s="242">
        <f>IF(ISBLANK(C429),"",(Report_Date-C429)/30)</f>
        <v>56.866666666666667</v>
      </c>
      <c r="B429" s="242">
        <f>YEAR(Data_NFI_t[[#This Row],[Distribution Date]])</f>
        <v>2012</v>
      </c>
      <c r="C429" s="927">
        <v>41089</v>
      </c>
      <c r="D429" s="489" t="s">
        <v>285</v>
      </c>
      <c r="E429" s="488"/>
      <c r="F429" s="489" t="s">
        <v>7</v>
      </c>
      <c r="G429" s="794" t="s">
        <v>19</v>
      </c>
      <c r="H429" s="794" t="s">
        <v>89</v>
      </c>
      <c r="I429" s="794"/>
      <c r="J429" s="51"/>
      <c r="K429" s="51"/>
      <c r="L429" s="51"/>
      <c r="M429" s="51">
        <v>62</v>
      </c>
      <c r="N429" s="51"/>
      <c r="O429" s="51"/>
      <c r="P429" s="51"/>
      <c r="Q429" s="51"/>
      <c r="R429" s="511"/>
      <c r="S429" s="51"/>
      <c r="T429" s="51"/>
      <c r="U429" s="51"/>
      <c r="V429" s="51"/>
      <c r="W429" s="131">
        <f>IF(NFI_Expiration=1,IF($A429&lt;VLOOKUP(I$5,NFI,5,0),1,0)*Data_NFI_t[[#This Row],[Hygiene Kit]],0)</f>
        <v>0</v>
      </c>
      <c r="X429" s="131">
        <f>IF(NFI_Expiration=1,IF($A429&lt;VLOOKUP(J$5,NFI,5,0),1,0)*Data_NFI_t[[#This Row],[NFI Core Kit]],0)</f>
        <v>0</v>
      </c>
      <c r="Y429" s="112">
        <f>IF(NFI_Expiration=1,IF($A429&lt;VLOOKUP(K$5,NFI,5,0),1,0)*Data_NFI_t[[#This Row],[Sanitary Kit]],0)</f>
        <v>0</v>
      </c>
      <c r="Z429" s="112">
        <f>IF(NFI_Expiration=1,IF($A429&lt;VLOOKUP(L$5,NFI,5,0),1,0)*Data_NFI_t[[#This Row],[Mosquito net]],0)</f>
        <v>0</v>
      </c>
      <c r="AA429" s="112">
        <f>IF(NFI_Expiration=1,IF($A429&lt;VLOOKUP(M$5,NFI,5,0),1,0)*Data_NFI_t[[#This Row],[Tarpaulin]],0)</f>
        <v>0</v>
      </c>
      <c r="AB429" s="112">
        <f>IF(NFI_Expiration=1,IF($A429&lt;VLOOKUP(N$5,NFI,5,0),1,0)*Data_NFI_t[[#This Row],[Blanket]],0)</f>
        <v>0</v>
      </c>
      <c r="AC429" s="112">
        <f>IF(NFI_Expiration=1,IF($A429&lt;VLOOKUP(O$5,NFI,5,0),1,0)*Data_NFI_t[[#This Row],[Kitchen Set]],0)</f>
        <v>0</v>
      </c>
      <c r="AD429" s="112">
        <f>IF(NFI_Expiration=1,IF($A429&lt;VLOOKUP(P$5,NFI,5,0),1,0)*Data_NFI_t[[#This Row],[Complementary Kit]],0)</f>
        <v>0</v>
      </c>
      <c r="AE429" s="112">
        <f>IF(NFI_Expiration=1,IF($A429&lt;VLOOKUP(Q$5,NFI,5,0),1,0)*Data_NFI_t[[#This Row],[Plastic Bucket]],0)</f>
        <v>0</v>
      </c>
      <c r="AF429" s="112">
        <f>IF(NFI_Expiration=1,IF($A429&lt;VLOOKUP(R$5,NFI,5,0),1,0)*Data_NFI_t[[#This Row],[Jerry Can]],0)</f>
        <v>0</v>
      </c>
      <c r="AG429" s="131">
        <f>IF(NFI_Expiration=1,IF($A429&lt;VLOOKUP(S$5,NFI,5,0),1,0)*Data_NFI_t[[#This Row],[Plastic Mat]],0)*IF(Data_NFI_t[[#This Row],[Distribution Date]]&gt;"01-06-2015",1,2.5)</f>
        <v>0</v>
      </c>
      <c r="AH429" s="915">
        <f>IF(NFI_Expiration=1,IF($A429&lt;VLOOKUP(T$5,NFI,5,0),1,0)*Data_NFI_t[[#This Row],[Adult Clothes]],0)</f>
        <v>0</v>
      </c>
      <c r="AI429" s="131">
        <f>IF(NFI_Expiration=1,IF($A429&lt;VLOOKUP(U$5,NFI,5,0),1,0)*Data_NFI_t[[#This Row],[Children Clothes]],0)</f>
        <v>0</v>
      </c>
      <c r="AJ429" s="131">
        <f>IF(NFI_Expiration=1,IF($A429&lt;VLOOKUP(V$5,NFI,5,0),1,0)*Data_NFI_t[[#This Row],[Sewing Kit]],0)</f>
        <v>0</v>
      </c>
      <c r="AK429" s="131" t="str">
        <f ca="1">IFERROR(OFFSET(Camp_List[P_Code],MATCH(Data_NFI_t[[#This Row],[Camp Name]],Camp_List[Camp Name],0)-1,0,1,1),"")</f>
        <v>MMR012CMP068</v>
      </c>
      <c r="AL429" s="513" t="str">
        <f ca="1">IFERROR(OFFSET(Camp_List[Status],MATCH(Data_NFI_t[[#This Row],[Camp Name]],Camp_List[Camp Name],0)-1,0,1,1),"")</f>
        <v>Close</v>
      </c>
      <c r="AM429" s="131"/>
    </row>
    <row r="430" spans="1:39" s="90" customFormat="1" ht="19.5" customHeight="1" x14ac:dyDescent="0.25">
      <c r="A430" s="242">
        <f>IF(ISBLANK(C430),"",(Report_Date-C430)/30)</f>
        <v>56.866666666666667</v>
      </c>
      <c r="B430" s="242">
        <f>YEAR(Data_NFI_t[[#This Row],[Distribution Date]])</f>
        <v>2012</v>
      </c>
      <c r="C430" s="927">
        <v>41089</v>
      </c>
      <c r="D430" s="489" t="s">
        <v>285</v>
      </c>
      <c r="E430" s="488"/>
      <c r="F430" s="489" t="s">
        <v>7</v>
      </c>
      <c r="G430" s="794" t="s">
        <v>19</v>
      </c>
      <c r="H430" s="794" t="s">
        <v>70</v>
      </c>
      <c r="I430" s="794"/>
      <c r="J430" s="51"/>
      <c r="K430" s="51"/>
      <c r="L430" s="51"/>
      <c r="M430" s="51">
        <v>200</v>
      </c>
      <c r="N430" s="51"/>
      <c r="O430" s="51"/>
      <c r="P430" s="51"/>
      <c r="Q430" s="51"/>
      <c r="R430" s="511"/>
      <c r="S430" s="51"/>
      <c r="T430" s="51"/>
      <c r="U430" s="51"/>
      <c r="V430" s="51"/>
      <c r="W430" s="131">
        <f>IF(NFI_Expiration=1,IF($A430&lt;VLOOKUP(I$5,NFI,5,0),1,0)*Data_NFI_t[[#This Row],[Hygiene Kit]],0)</f>
        <v>0</v>
      </c>
      <c r="X430" s="131">
        <f>IF(NFI_Expiration=1,IF($A430&lt;VLOOKUP(J$5,NFI,5,0),1,0)*Data_NFI_t[[#This Row],[NFI Core Kit]],0)</f>
        <v>0</v>
      </c>
      <c r="Y430" s="112">
        <f>IF(NFI_Expiration=1,IF($A430&lt;VLOOKUP(K$5,NFI,5,0),1,0)*Data_NFI_t[[#This Row],[Sanitary Kit]],0)</f>
        <v>0</v>
      </c>
      <c r="Z430" s="112">
        <f>IF(NFI_Expiration=1,IF($A430&lt;VLOOKUP(L$5,NFI,5,0),1,0)*Data_NFI_t[[#This Row],[Mosquito net]],0)</f>
        <v>0</v>
      </c>
      <c r="AA430" s="112">
        <f>IF(NFI_Expiration=1,IF($A430&lt;VLOOKUP(M$5,NFI,5,0),1,0)*Data_NFI_t[[#This Row],[Tarpaulin]],0)</f>
        <v>0</v>
      </c>
      <c r="AB430" s="112">
        <f>IF(NFI_Expiration=1,IF($A430&lt;VLOOKUP(N$5,NFI,5,0),1,0)*Data_NFI_t[[#This Row],[Blanket]],0)</f>
        <v>0</v>
      </c>
      <c r="AC430" s="112">
        <f>IF(NFI_Expiration=1,IF($A430&lt;VLOOKUP(O$5,NFI,5,0),1,0)*Data_NFI_t[[#This Row],[Kitchen Set]],0)</f>
        <v>0</v>
      </c>
      <c r="AD430" s="112">
        <f>IF(NFI_Expiration=1,IF($A430&lt;VLOOKUP(P$5,NFI,5,0),1,0)*Data_NFI_t[[#This Row],[Complementary Kit]],0)</f>
        <v>0</v>
      </c>
      <c r="AE430" s="112">
        <f>IF(NFI_Expiration=1,IF($A430&lt;VLOOKUP(Q$5,NFI,5,0),1,0)*Data_NFI_t[[#This Row],[Plastic Bucket]],0)</f>
        <v>0</v>
      </c>
      <c r="AF430" s="112">
        <f>IF(NFI_Expiration=1,IF($A430&lt;VLOOKUP(R$5,NFI,5,0),1,0)*Data_NFI_t[[#This Row],[Jerry Can]],0)</f>
        <v>0</v>
      </c>
      <c r="AG430" s="131">
        <f>IF(NFI_Expiration=1,IF($A430&lt;VLOOKUP(S$5,NFI,5,0),1,0)*Data_NFI_t[[#This Row],[Plastic Mat]],0)*IF(Data_NFI_t[[#This Row],[Distribution Date]]&gt;"01-06-2015",1,2.5)</f>
        <v>0</v>
      </c>
      <c r="AH430" s="915">
        <f>IF(NFI_Expiration=1,IF($A430&lt;VLOOKUP(T$5,NFI,5,0),1,0)*Data_NFI_t[[#This Row],[Adult Clothes]],0)</f>
        <v>0</v>
      </c>
      <c r="AI430" s="131">
        <f>IF(NFI_Expiration=1,IF($A430&lt;VLOOKUP(U$5,NFI,5,0),1,0)*Data_NFI_t[[#This Row],[Children Clothes]],0)</f>
        <v>0</v>
      </c>
      <c r="AJ430" s="131">
        <f>IF(NFI_Expiration=1,IF($A430&lt;VLOOKUP(V$5,NFI,5,0),1,0)*Data_NFI_t[[#This Row],[Sewing Kit]],0)</f>
        <v>0</v>
      </c>
      <c r="AK430" s="131" t="str">
        <f ca="1">IFERROR(OFFSET(Camp_List[P_Code],MATCH(Data_NFI_t[[#This Row],[Camp Name]],Camp_List[Camp Name],0)-1,0,1,1),"")</f>
        <v>MMR012CMP048</v>
      </c>
      <c r="AL430" s="513" t="str">
        <f ca="1">IFERROR(OFFSET(Camp_List[Status],MATCH(Data_NFI_t[[#This Row],[Camp Name]],Camp_List[Camp Name],0)-1,0,1,1),"")</f>
        <v>Open</v>
      </c>
      <c r="AM430" s="131"/>
    </row>
    <row r="431" spans="1:39" s="90" customFormat="1" ht="19.5" customHeight="1" x14ac:dyDescent="0.25">
      <c r="A431" s="242">
        <f>IF(ISBLANK(C431),"",(Report_Date-C431)/30)</f>
        <v>56.9</v>
      </c>
      <c r="B431" s="242">
        <f>YEAR(Data_NFI_t[[#This Row],[Distribution Date]])</f>
        <v>2012</v>
      </c>
      <c r="C431" s="927">
        <v>41088</v>
      </c>
      <c r="D431" s="489" t="s">
        <v>285</v>
      </c>
      <c r="E431" s="488"/>
      <c r="F431" s="489" t="s">
        <v>7</v>
      </c>
      <c r="G431" s="794" t="s">
        <v>19</v>
      </c>
      <c r="H431" s="794" t="s">
        <v>290</v>
      </c>
      <c r="I431" s="794"/>
      <c r="J431" s="51"/>
      <c r="K431" s="51"/>
      <c r="L431" s="51"/>
      <c r="M431" s="51">
        <v>52</v>
      </c>
      <c r="N431" s="51"/>
      <c r="O431" s="51"/>
      <c r="P431" s="51"/>
      <c r="Q431" s="51"/>
      <c r="R431" s="511"/>
      <c r="S431" s="51"/>
      <c r="T431" s="51"/>
      <c r="U431" s="51"/>
      <c r="V431" s="51"/>
      <c r="W431" s="131">
        <f>IF(NFI_Expiration=1,IF($A431&lt;VLOOKUP(I$5,NFI,5,0),1,0)*Data_NFI_t[[#This Row],[Hygiene Kit]],0)</f>
        <v>0</v>
      </c>
      <c r="X431" s="131">
        <f>IF(NFI_Expiration=1,IF($A431&lt;VLOOKUP(J$5,NFI,5,0),1,0)*Data_NFI_t[[#This Row],[NFI Core Kit]],0)</f>
        <v>0</v>
      </c>
      <c r="Y431" s="112">
        <f>IF(NFI_Expiration=1,IF($A431&lt;VLOOKUP(K$5,NFI,5,0),1,0)*Data_NFI_t[[#This Row],[Sanitary Kit]],0)</f>
        <v>0</v>
      </c>
      <c r="Z431" s="112">
        <f>IF(NFI_Expiration=1,IF($A431&lt;VLOOKUP(L$5,NFI,5,0),1,0)*Data_NFI_t[[#This Row],[Mosquito net]],0)</f>
        <v>0</v>
      </c>
      <c r="AA431" s="112">
        <f>IF(NFI_Expiration=1,IF($A431&lt;VLOOKUP(M$5,NFI,5,0),1,0)*Data_NFI_t[[#This Row],[Tarpaulin]],0)</f>
        <v>0</v>
      </c>
      <c r="AB431" s="112">
        <f>IF(NFI_Expiration=1,IF($A431&lt;VLOOKUP(N$5,NFI,5,0),1,0)*Data_NFI_t[[#This Row],[Blanket]],0)</f>
        <v>0</v>
      </c>
      <c r="AC431" s="112">
        <f>IF(NFI_Expiration=1,IF($A431&lt;VLOOKUP(O$5,NFI,5,0),1,0)*Data_NFI_t[[#This Row],[Kitchen Set]],0)</f>
        <v>0</v>
      </c>
      <c r="AD431" s="112">
        <f>IF(NFI_Expiration=1,IF($A431&lt;VLOOKUP(P$5,NFI,5,0),1,0)*Data_NFI_t[[#This Row],[Complementary Kit]],0)</f>
        <v>0</v>
      </c>
      <c r="AE431" s="112">
        <f>IF(NFI_Expiration=1,IF($A431&lt;VLOOKUP(Q$5,NFI,5,0),1,0)*Data_NFI_t[[#This Row],[Plastic Bucket]],0)</f>
        <v>0</v>
      </c>
      <c r="AF431" s="112">
        <f>IF(NFI_Expiration=1,IF($A431&lt;VLOOKUP(R$5,NFI,5,0),1,0)*Data_NFI_t[[#This Row],[Jerry Can]],0)</f>
        <v>0</v>
      </c>
      <c r="AG431" s="131">
        <f>IF(NFI_Expiration=1,IF($A431&lt;VLOOKUP(S$5,NFI,5,0),1,0)*Data_NFI_t[[#This Row],[Plastic Mat]],0)*IF(Data_NFI_t[[#This Row],[Distribution Date]]&gt;"01-06-2015",1,2.5)</f>
        <v>0</v>
      </c>
      <c r="AH431" s="915">
        <f>IF(NFI_Expiration=1,IF($A431&lt;VLOOKUP(T$5,NFI,5,0),1,0)*Data_NFI_t[[#This Row],[Adult Clothes]],0)</f>
        <v>0</v>
      </c>
      <c r="AI431" s="131">
        <f>IF(NFI_Expiration=1,IF($A431&lt;VLOOKUP(U$5,NFI,5,0),1,0)*Data_NFI_t[[#This Row],[Children Clothes]],0)</f>
        <v>0</v>
      </c>
      <c r="AJ431" s="131">
        <f>IF(NFI_Expiration=1,IF($A431&lt;VLOOKUP(V$5,NFI,5,0),1,0)*Data_NFI_t[[#This Row],[Sewing Kit]],0)</f>
        <v>0</v>
      </c>
      <c r="AK431" s="131" t="str">
        <f ca="1">IFERROR(OFFSET(Camp_List[P_Code],MATCH(Data_NFI_t[[#This Row],[Camp Name]],Camp_List[Camp Name],0)-1,0,1,1),"")</f>
        <v/>
      </c>
      <c r="AL431" s="513" t="str">
        <f ca="1">IFERROR(OFFSET(Camp_List[Status],MATCH(Data_NFI_t[[#This Row],[Camp Name]],Camp_List[Camp Name],0)-1,0,1,1),"")</f>
        <v/>
      </c>
      <c r="AM431" s="131"/>
    </row>
    <row r="432" spans="1:39" s="90" customFormat="1" ht="19.5" customHeight="1" x14ac:dyDescent="0.25">
      <c r="A432" s="242">
        <f>IF(ISBLANK(C432),"",(Report_Date-C432)/30)</f>
        <v>56.9</v>
      </c>
      <c r="B432" s="242">
        <f>YEAR(Data_NFI_t[[#This Row],[Distribution Date]])</f>
        <v>2012</v>
      </c>
      <c r="C432" s="927">
        <v>41088</v>
      </c>
      <c r="D432" s="489" t="s">
        <v>285</v>
      </c>
      <c r="E432" s="488"/>
      <c r="F432" s="489" t="s">
        <v>7</v>
      </c>
      <c r="G432" s="794" t="s">
        <v>19</v>
      </c>
      <c r="H432" s="794" t="s">
        <v>63</v>
      </c>
      <c r="I432" s="794"/>
      <c r="J432" s="51"/>
      <c r="K432" s="51"/>
      <c r="L432" s="51"/>
      <c r="M432" s="51">
        <v>300</v>
      </c>
      <c r="N432" s="51"/>
      <c r="O432" s="51"/>
      <c r="P432" s="51"/>
      <c r="Q432" s="51"/>
      <c r="R432" s="511"/>
      <c r="S432" s="51"/>
      <c r="T432" s="51"/>
      <c r="U432" s="51"/>
      <c r="V432" s="51"/>
      <c r="W432" s="131">
        <f>IF(NFI_Expiration=1,IF($A432&lt;VLOOKUP(I$5,NFI,5,0),1,0)*Data_NFI_t[[#This Row],[Hygiene Kit]],0)</f>
        <v>0</v>
      </c>
      <c r="X432" s="131">
        <f>IF(NFI_Expiration=1,IF($A432&lt;VLOOKUP(J$5,NFI,5,0),1,0)*Data_NFI_t[[#This Row],[NFI Core Kit]],0)</f>
        <v>0</v>
      </c>
      <c r="Y432" s="112">
        <f>IF(NFI_Expiration=1,IF($A432&lt;VLOOKUP(K$5,NFI,5,0),1,0)*Data_NFI_t[[#This Row],[Sanitary Kit]],0)</f>
        <v>0</v>
      </c>
      <c r="Z432" s="112">
        <f>IF(NFI_Expiration=1,IF($A432&lt;VLOOKUP(L$5,NFI,5,0),1,0)*Data_NFI_t[[#This Row],[Mosquito net]],0)</f>
        <v>0</v>
      </c>
      <c r="AA432" s="112">
        <f>IF(NFI_Expiration=1,IF($A432&lt;VLOOKUP(M$5,NFI,5,0),1,0)*Data_NFI_t[[#This Row],[Tarpaulin]],0)</f>
        <v>0</v>
      </c>
      <c r="AB432" s="112">
        <f>IF(NFI_Expiration=1,IF($A432&lt;VLOOKUP(N$5,NFI,5,0),1,0)*Data_NFI_t[[#This Row],[Blanket]],0)</f>
        <v>0</v>
      </c>
      <c r="AC432" s="112">
        <f>IF(NFI_Expiration=1,IF($A432&lt;VLOOKUP(O$5,NFI,5,0),1,0)*Data_NFI_t[[#This Row],[Kitchen Set]],0)</f>
        <v>0</v>
      </c>
      <c r="AD432" s="112">
        <f>IF(NFI_Expiration=1,IF($A432&lt;VLOOKUP(P$5,NFI,5,0),1,0)*Data_NFI_t[[#This Row],[Complementary Kit]],0)</f>
        <v>0</v>
      </c>
      <c r="AE432" s="112">
        <f>IF(NFI_Expiration=1,IF($A432&lt;VLOOKUP(Q$5,NFI,5,0),1,0)*Data_NFI_t[[#This Row],[Plastic Bucket]],0)</f>
        <v>0</v>
      </c>
      <c r="AF432" s="112">
        <f>IF(NFI_Expiration=1,IF($A432&lt;VLOOKUP(R$5,NFI,5,0),1,0)*Data_NFI_t[[#This Row],[Jerry Can]],0)</f>
        <v>0</v>
      </c>
      <c r="AG432" s="131">
        <f>IF(NFI_Expiration=1,IF($A432&lt;VLOOKUP(S$5,NFI,5,0),1,0)*Data_NFI_t[[#This Row],[Plastic Mat]],0)*IF(Data_NFI_t[[#This Row],[Distribution Date]]&gt;"01-06-2015",1,2.5)</f>
        <v>0</v>
      </c>
      <c r="AH432" s="915">
        <f>IF(NFI_Expiration=1,IF($A432&lt;VLOOKUP(T$5,NFI,5,0),1,0)*Data_NFI_t[[#This Row],[Adult Clothes]],0)</f>
        <v>0</v>
      </c>
      <c r="AI432" s="131">
        <f>IF(NFI_Expiration=1,IF($A432&lt;VLOOKUP(U$5,NFI,5,0),1,0)*Data_NFI_t[[#This Row],[Children Clothes]],0)</f>
        <v>0</v>
      </c>
      <c r="AJ432" s="131">
        <f>IF(NFI_Expiration=1,IF($A432&lt;VLOOKUP(V$5,NFI,5,0),1,0)*Data_NFI_t[[#This Row],[Sewing Kit]],0)</f>
        <v>0</v>
      </c>
      <c r="AK432" s="131" t="str">
        <f ca="1">IFERROR(OFFSET(Camp_List[P_Code],MATCH(Data_NFI_t[[#This Row],[Camp Name]],Camp_List[Camp Name],0)-1,0,1,1),"")</f>
        <v>MMR012CMP041</v>
      </c>
      <c r="AL432" s="513" t="str">
        <f ca="1">IFERROR(OFFSET(Camp_List[Status],MATCH(Data_NFI_t[[#This Row],[Camp Name]],Camp_List[Camp Name],0)-1,0,1,1),"")</f>
        <v>Open</v>
      </c>
      <c r="AM432" s="131"/>
    </row>
    <row r="433" spans="1:39" s="90" customFormat="1" ht="19.5" customHeight="1" x14ac:dyDescent="0.25">
      <c r="A433" s="242">
        <f>IF(ISBLANK(C433),"",(Report_Date-C433)/30)</f>
        <v>56.9</v>
      </c>
      <c r="B433" s="242">
        <f>YEAR(Data_NFI_t[[#This Row],[Distribution Date]])</f>
        <v>2012</v>
      </c>
      <c r="C433" s="927">
        <v>41088</v>
      </c>
      <c r="D433" s="489" t="s">
        <v>285</v>
      </c>
      <c r="E433" s="488"/>
      <c r="F433" s="489" t="s">
        <v>7</v>
      </c>
      <c r="G433" s="794" t="s">
        <v>19</v>
      </c>
      <c r="H433" s="794" t="s">
        <v>250</v>
      </c>
      <c r="I433" s="794"/>
      <c r="J433" s="51"/>
      <c r="K433" s="51"/>
      <c r="L433" s="51"/>
      <c r="M433" s="51">
        <v>9</v>
      </c>
      <c r="N433" s="51"/>
      <c r="O433" s="51"/>
      <c r="P433" s="51"/>
      <c r="Q433" s="51"/>
      <c r="R433" s="511"/>
      <c r="S433" s="51"/>
      <c r="T433" s="51"/>
      <c r="U433" s="51"/>
      <c r="V433" s="51"/>
      <c r="W433" s="131">
        <f>IF(NFI_Expiration=1,IF($A433&lt;VLOOKUP(I$5,NFI,5,0),1,0)*Data_NFI_t[[#This Row],[Hygiene Kit]],0)</f>
        <v>0</v>
      </c>
      <c r="X433" s="131">
        <f>IF(NFI_Expiration=1,IF($A433&lt;VLOOKUP(J$5,NFI,5,0),1,0)*Data_NFI_t[[#This Row],[NFI Core Kit]],0)</f>
        <v>0</v>
      </c>
      <c r="Y433" s="112">
        <f>IF(NFI_Expiration=1,IF($A433&lt;VLOOKUP(K$5,NFI,5,0),1,0)*Data_NFI_t[[#This Row],[Sanitary Kit]],0)</f>
        <v>0</v>
      </c>
      <c r="Z433" s="112">
        <f>IF(NFI_Expiration=1,IF($A433&lt;VLOOKUP(L$5,NFI,5,0),1,0)*Data_NFI_t[[#This Row],[Mosquito net]],0)</f>
        <v>0</v>
      </c>
      <c r="AA433" s="112">
        <f>IF(NFI_Expiration=1,IF($A433&lt;VLOOKUP(M$5,NFI,5,0),1,0)*Data_NFI_t[[#This Row],[Tarpaulin]],0)</f>
        <v>0</v>
      </c>
      <c r="AB433" s="112">
        <f>IF(NFI_Expiration=1,IF($A433&lt;VLOOKUP(N$5,NFI,5,0),1,0)*Data_NFI_t[[#This Row],[Blanket]],0)</f>
        <v>0</v>
      </c>
      <c r="AC433" s="112">
        <f>IF(NFI_Expiration=1,IF($A433&lt;VLOOKUP(O$5,NFI,5,0),1,0)*Data_NFI_t[[#This Row],[Kitchen Set]],0)</f>
        <v>0</v>
      </c>
      <c r="AD433" s="112">
        <f>IF(NFI_Expiration=1,IF($A433&lt;VLOOKUP(P$5,NFI,5,0),1,0)*Data_NFI_t[[#This Row],[Complementary Kit]],0)</f>
        <v>0</v>
      </c>
      <c r="AE433" s="112">
        <f>IF(NFI_Expiration=1,IF($A433&lt;VLOOKUP(Q$5,NFI,5,0),1,0)*Data_NFI_t[[#This Row],[Plastic Bucket]],0)</f>
        <v>0</v>
      </c>
      <c r="AF433" s="112">
        <f>IF(NFI_Expiration=1,IF($A433&lt;VLOOKUP(R$5,NFI,5,0),1,0)*Data_NFI_t[[#This Row],[Jerry Can]],0)</f>
        <v>0</v>
      </c>
      <c r="AG433" s="131">
        <f>IF(NFI_Expiration=1,IF($A433&lt;VLOOKUP(S$5,NFI,5,0),1,0)*Data_NFI_t[[#This Row],[Plastic Mat]],0)*IF(Data_NFI_t[[#This Row],[Distribution Date]]&gt;"01-06-2015",1,2.5)</f>
        <v>0</v>
      </c>
      <c r="AH433" s="915">
        <f>IF(NFI_Expiration=1,IF($A433&lt;VLOOKUP(T$5,NFI,5,0),1,0)*Data_NFI_t[[#This Row],[Adult Clothes]],0)</f>
        <v>0</v>
      </c>
      <c r="AI433" s="131">
        <f>IF(NFI_Expiration=1,IF($A433&lt;VLOOKUP(U$5,NFI,5,0),1,0)*Data_NFI_t[[#This Row],[Children Clothes]],0)</f>
        <v>0</v>
      </c>
      <c r="AJ433" s="131">
        <f>IF(NFI_Expiration=1,IF($A433&lt;VLOOKUP(V$5,NFI,5,0),1,0)*Data_NFI_t[[#This Row],[Sewing Kit]],0)</f>
        <v>0</v>
      </c>
      <c r="AK433" s="131" t="str">
        <f ca="1">IFERROR(OFFSET(Camp_List[P_Code],MATCH(Data_NFI_t[[#This Row],[Camp Name]],Camp_List[Camp Name],0)-1,0,1,1),"")</f>
        <v/>
      </c>
      <c r="AL433" s="513" t="str">
        <f ca="1">IFERROR(OFFSET(Camp_List[Status],MATCH(Data_NFI_t[[#This Row],[Camp Name]],Camp_List[Camp Name],0)-1,0,1,1),"")</f>
        <v/>
      </c>
      <c r="AM433" s="131"/>
    </row>
    <row r="434" spans="1:39" s="90" customFormat="1" ht="19.5" customHeight="1" x14ac:dyDescent="0.25">
      <c r="A434" s="242">
        <f>IF(ISBLANK(C434),"",(Report_Date-C434)/30)</f>
        <v>56.9</v>
      </c>
      <c r="B434" s="242">
        <f>YEAR(Data_NFI_t[[#This Row],[Distribution Date]])</f>
        <v>2012</v>
      </c>
      <c r="C434" s="927">
        <v>41088</v>
      </c>
      <c r="D434" s="489" t="s">
        <v>285</v>
      </c>
      <c r="E434" s="488"/>
      <c r="F434" s="489" t="s">
        <v>7</v>
      </c>
      <c r="G434" s="794" t="s">
        <v>19</v>
      </c>
      <c r="H434" s="794" t="s">
        <v>249</v>
      </c>
      <c r="I434" s="794"/>
      <c r="J434" s="51"/>
      <c r="K434" s="51"/>
      <c r="L434" s="51"/>
      <c r="M434" s="51">
        <v>11</v>
      </c>
      <c r="N434" s="51"/>
      <c r="O434" s="51"/>
      <c r="P434" s="51"/>
      <c r="Q434" s="51"/>
      <c r="R434" s="511"/>
      <c r="S434" s="51"/>
      <c r="T434" s="51"/>
      <c r="U434" s="51"/>
      <c r="V434" s="51"/>
      <c r="W434" s="131">
        <f>IF(NFI_Expiration=1,IF($A434&lt;VLOOKUP(I$5,NFI,5,0),1,0)*Data_NFI_t[[#This Row],[Hygiene Kit]],0)</f>
        <v>0</v>
      </c>
      <c r="X434" s="131">
        <f>IF(NFI_Expiration=1,IF($A434&lt;VLOOKUP(J$5,NFI,5,0),1,0)*Data_NFI_t[[#This Row],[NFI Core Kit]],0)</f>
        <v>0</v>
      </c>
      <c r="Y434" s="112">
        <f>IF(NFI_Expiration=1,IF($A434&lt;VLOOKUP(K$5,NFI,5,0),1,0)*Data_NFI_t[[#This Row],[Sanitary Kit]],0)</f>
        <v>0</v>
      </c>
      <c r="Z434" s="112">
        <f>IF(NFI_Expiration=1,IF($A434&lt;VLOOKUP(L$5,NFI,5,0),1,0)*Data_NFI_t[[#This Row],[Mosquito net]],0)</f>
        <v>0</v>
      </c>
      <c r="AA434" s="112">
        <f>IF(NFI_Expiration=1,IF($A434&lt;VLOOKUP(M$5,NFI,5,0),1,0)*Data_NFI_t[[#This Row],[Tarpaulin]],0)</f>
        <v>0</v>
      </c>
      <c r="AB434" s="112">
        <f>IF(NFI_Expiration=1,IF($A434&lt;VLOOKUP(N$5,NFI,5,0),1,0)*Data_NFI_t[[#This Row],[Blanket]],0)</f>
        <v>0</v>
      </c>
      <c r="AC434" s="112">
        <f>IF(NFI_Expiration=1,IF($A434&lt;VLOOKUP(O$5,NFI,5,0),1,0)*Data_NFI_t[[#This Row],[Kitchen Set]],0)</f>
        <v>0</v>
      </c>
      <c r="AD434" s="112">
        <f>IF(NFI_Expiration=1,IF($A434&lt;VLOOKUP(P$5,NFI,5,0),1,0)*Data_NFI_t[[#This Row],[Complementary Kit]],0)</f>
        <v>0</v>
      </c>
      <c r="AE434" s="112">
        <f>IF(NFI_Expiration=1,IF($A434&lt;VLOOKUP(Q$5,NFI,5,0),1,0)*Data_NFI_t[[#This Row],[Plastic Bucket]],0)</f>
        <v>0</v>
      </c>
      <c r="AF434" s="112">
        <f>IF(NFI_Expiration=1,IF($A434&lt;VLOOKUP(R$5,NFI,5,0),1,0)*Data_NFI_t[[#This Row],[Jerry Can]],0)</f>
        <v>0</v>
      </c>
      <c r="AG434" s="131">
        <f>IF(NFI_Expiration=1,IF($A434&lt;VLOOKUP(S$5,NFI,5,0),1,0)*Data_NFI_t[[#This Row],[Plastic Mat]],0)*IF(Data_NFI_t[[#This Row],[Distribution Date]]&gt;"01-06-2015",1,2.5)</f>
        <v>0</v>
      </c>
      <c r="AH434" s="915">
        <f>IF(NFI_Expiration=1,IF($A434&lt;VLOOKUP(T$5,NFI,5,0),1,0)*Data_NFI_t[[#This Row],[Adult Clothes]],0)</f>
        <v>0</v>
      </c>
      <c r="AI434" s="131">
        <f>IF(NFI_Expiration=1,IF($A434&lt;VLOOKUP(U$5,NFI,5,0),1,0)*Data_NFI_t[[#This Row],[Children Clothes]],0)</f>
        <v>0</v>
      </c>
      <c r="AJ434" s="131">
        <f>IF(NFI_Expiration=1,IF($A434&lt;VLOOKUP(V$5,NFI,5,0),1,0)*Data_NFI_t[[#This Row],[Sewing Kit]],0)</f>
        <v>0</v>
      </c>
      <c r="AK434" s="131" t="str">
        <f ca="1">IFERROR(OFFSET(Camp_List[P_Code],MATCH(Data_NFI_t[[#This Row],[Camp Name]],Camp_List[Camp Name],0)-1,0,1,1),"")</f>
        <v/>
      </c>
      <c r="AL434" s="513" t="str">
        <f ca="1">IFERROR(OFFSET(Camp_List[Status],MATCH(Data_NFI_t[[#This Row],[Camp Name]],Camp_List[Camp Name],0)-1,0,1,1),"")</f>
        <v/>
      </c>
      <c r="AM434" s="131"/>
    </row>
    <row r="435" spans="1:39" ht="19.5" customHeight="1" x14ac:dyDescent="0.25">
      <c r="A435" s="242">
        <f>IF(ISBLANK(C435),"",(Report_Date-C435)/30)</f>
        <v>56.9</v>
      </c>
      <c r="B435" s="522">
        <f>YEAR(Data_NFI_t[[#This Row],[Distribution Date]])</f>
        <v>2012</v>
      </c>
      <c r="C435" s="927">
        <v>41088</v>
      </c>
      <c r="D435" s="489" t="s">
        <v>285</v>
      </c>
      <c r="E435" s="488"/>
      <c r="F435" s="489" t="s">
        <v>7</v>
      </c>
      <c r="G435" s="794" t="s">
        <v>19</v>
      </c>
      <c r="H435" s="794" t="s">
        <v>248</v>
      </c>
      <c r="I435" s="794"/>
      <c r="J435" s="51"/>
      <c r="K435" s="51"/>
      <c r="L435" s="119"/>
      <c r="M435" s="119">
        <v>89</v>
      </c>
      <c r="N435" s="119"/>
      <c r="O435" s="119"/>
      <c r="P435" s="119"/>
      <c r="Q435" s="119"/>
      <c r="R435" s="512"/>
      <c r="S435" s="119"/>
      <c r="T435" s="119"/>
      <c r="U435" s="119"/>
      <c r="V435" s="119"/>
      <c r="W435" s="131">
        <f>IF(NFI_Expiration=1,IF($A435&lt;VLOOKUP(I$5,NFI,5,0),1,0)*Data_NFI_t[[#This Row],[Hygiene Kit]],0)</f>
        <v>0</v>
      </c>
      <c r="X435" s="131">
        <f>IF(NFI_Expiration=1,IF($A435&lt;VLOOKUP(J$5,NFI,5,0),1,0)*Data_NFI_t[[#This Row],[NFI Core Kit]],0)</f>
        <v>0</v>
      </c>
      <c r="Y435" s="112">
        <f>IF(NFI_Expiration=1,IF($A435&lt;VLOOKUP(K$5,NFI,5,0),1,0)*Data_NFI_t[[#This Row],[Sanitary Kit]],0)</f>
        <v>0</v>
      </c>
      <c r="Z435" s="112">
        <f>IF(NFI_Expiration=1,IF($A435&lt;VLOOKUP(L$5,NFI,5,0),1,0)*Data_NFI_t[[#This Row],[Mosquito net]],0)</f>
        <v>0</v>
      </c>
      <c r="AA435" s="112">
        <f>IF(NFI_Expiration=1,IF($A435&lt;VLOOKUP(M$5,NFI,5,0),1,0)*Data_NFI_t[[#This Row],[Tarpaulin]],0)</f>
        <v>0</v>
      </c>
      <c r="AB435" s="112">
        <f>IF(NFI_Expiration=1,IF($A435&lt;VLOOKUP(N$5,NFI,5,0),1,0)*Data_NFI_t[[#This Row],[Blanket]],0)</f>
        <v>0</v>
      </c>
      <c r="AC435" s="112">
        <f>IF(NFI_Expiration=1,IF($A435&lt;VLOOKUP(O$5,NFI,5,0),1,0)*Data_NFI_t[[#This Row],[Kitchen Set]],0)</f>
        <v>0</v>
      </c>
      <c r="AD435" s="112">
        <f>IF(NFI_Expiration=1,IF($A435&lt;VLOOKUP(P$5,NFI,5,0),1,0)*Data_NFI_t[[#This Row],[Complementary Kit]],0)</f>
        <v>0</v>
      </c>
      <c r="AE435" s="112">
        <f>IF(NFI_Expiration=1,IF($A435&lt;VLOOKUP(Q$5,NFI,5,0),1,0)*Data_NFI_t[[#This Row],[Plastic Bucket]],0)</f>
        <v>0</v>
      </c>
      <c r="AF435" s="112">
        <f>IF(NFI_Expiration=1,IF($A435&lt;VLOOKUP(R$5,NFI,5,0),1,0)*Data_NFI_t[[#This Row],[Jerry Can]],0)</f>
        <v>0</v>
      </c>
      <c r="AG435" s="131">
        <f>IF(NFI_Expiration=1,IF($A435&lt;VLOOKUP(S$5,NFI,5,0),1,0)*Data_NFI_t[[#This Row],[Plastic Mat]],0)*IF(Data_NFI_t[[#This Row],[Distribution Date]]&gt;"01-06-2015",1,2.5)</f>
        <v>0</v>
      </c>
      <c r="AH435" s="915">
        <f>IF(NFI_Expiration=1,IF($A435&lt;VLOOKUP(T$5,NFI,5,0),1,0)*Data_NFI_t[[#This Row],[Adult Clothes]],0)</f>
        <v>0</v>
      </c>
      <c r="AI435" s="131">
        <f>IF(NFI_Expiration=1,IF($A435&lt;VLOOKUP(U$5,NFI,5,0),1,0)*Data_NFI_t[[#This Row],[Children Clothes]],0)</f>
        <v>0</v>
      </c>
      <c r="AJ435" s="131">
        <f>IF(NFI_Expiration=1,IF($A435&lt;VLOOKUP(V$5,NFI,5,0),1,0)*Data_NFI_t[[#This Row],[Sewing Kit]],0)</f>
        <v>0</v>
      </c>
      <c r="AK435" s="131" t="str">
        <f ca="1">IFERROR(OFFSET(Camp_List[P_Code],MATCH(Data_NFI_t[[#This Row],[Camp Name]],Camp_List[Camp Name],0)-1,0,1,1),"")</f>
        <v/>
      </c>
      <c r="AL435" s="513" t="str">
        <f ca="1">IFERROR(OFFSET(Camp_List[Status],MATCH(Data_NFI_t[[#This Row],[Camp Name]],Camp_List[Camp Name],0)-1,0,1,1),"")</f>
        <v/>
      </c>
      <c r="AM435" s="131"/>
    </row>
    <row r="436" spans="1:39" ht="19.5" customHeight="1" x14ac:dyDescent="0.25">
      <c r="A436" s="242">
        <f>IF(ISBLANK(C436),"",(Report_Date-C436)/30)</f>
        <v>56.93333333333333</v>
      </c>
      <c r="B436" s="522">
        <f>YEAR(Data_NFI_t[[#This Row],[Distribution Date]])</f>
        <v>2012</v>
      </c>
      <c r="C436" s="927">
        <v>41087</v>
      </c>
      <c r="D436" s="489" t="s">
        <v>285</v>
      </c>
      <c r="E436" s="488"/>
      <c r="F436" s="489" t="s">
        <v>7</v>
      </c>
      <c r="G436" s="794" t="s">
        <v>19</v>
      </c>
      <c r="H436" s="794" t="s">
        <v>93</v>
      </c>
      <c r="I436" s="794"/>
      <c r="J436" s="51"/>
      <c r="K436" s="51"/>
      <c r="L436" s="119"/>
      <c r="M436" s="119">
        <v>120</v>
      </c>
      <c r="N436" s="119"/>
      <c r="O436" s="119"/>
      <c r="P436" s="119"/>
      <c r="Q436" s="119"/>
      <c r="R436" s="512"/>
      <c r="S436" s="119"/>
      <c r="T436" s="119"/>
      <c r="U436" s="119"/>
      <c r="V436" s="119"/>
      <c r="W436" s="131">
        <f>IF(NFI_Expiration=1,IF($A436&lt;VLOOKUP(I$5,NFI,5,0),1,0)*Data_NFI_t[[#This Row],[Hygiene Kit]],0)</f>
        <v>0</v>
      </c>
      <c r="X436" s="131">
        <f>IF(NFI_Expiration=1,IF($A436&lt;VLOOKUP(J$5,NFI,5,0),1,0)*Data_NFI_t[[#This Row],[NFI Core Kit]],0)</f>
        <v>0</v>
      </c>
      <c r="Y436" s="112">
        <f>IF(NFI_Expiration=1,IF($A436&lt;VLOOKUP(K$5,NFI,5,0),1,0)*Data_NFI_t[[#This Row],[Sanitary Kit]],0)</f>
        <v>0</v>
      </c>
      <c r="Z436" s="112">
        <f>IF(NFI_Expiration=1,IF($A436&lt;VLOOKUP(L$5,NFI,5,0),1,0)*Data_NFI_t[[#This Row],[Mosquito net]],0)</f>
        <v>0</v>
      </c>
      <c r="AA436" s="112">
        <f>IF(NFI_Expiration=1,IF($A436&lt;VLOOKUP(M$5,NFI,5,0),1,0)*Data_NFI_t[[#This Row],[Tarpaulin]],0)</f>
        <v>0</v>
      </c>
      <c r="AB436" s="112">
        <f>IF(NFI_Expiration=1,IF($A436&lt;VLOOKUP(N$5,NFI,5,0),1,0)*Data_NFI_t[[#This Row],[Blanket]],0)</f>
        <v>0</v>
      </c>
      <c r="AC436" s="112">
        <f>IF(NFI_Expiration=1,IF($A436&lt;VLOOKUP(O$5,NFI,5,0),1,0)*Data_NFI_t[[#This Row],[Kitchen Set]],0)</f>
        <v>0</v>
      </c>
      <c r="AD436" s="112">
        <f>IF(NFI_Expiration=1,IF($A436&lt;VLOOKUP(P$5,NFI,5,0),1,0)*Data_NFI_t[[#This Row],[Complementary Kit]],0)</f>
        <v>0</v>
      </c>
      <c r="AE436" s="112">
        <f>IF(NFI_Expiration=1,IF($A436&lt;VLOOKUP(Q$5,NFI,5,0),1,0)*Data_NFI_t[[#This Row],[Plastic Bucket]],0)</f>
        <v>0</v>
      </c>
      <c r="AF436" s="112">
        <f>IF(NFI_Expiration=1,IF($A436&lt;VLOOKUP(R$5,NFI,5,0),1,0)*Data_NFI_t[[#This Row],[Jerry Can]],0)</f>
        <v>0</v>
      </c>
      <c r="AG436" s="131">
        <f>IF(NFI_Expiration=1,IF($A436&lt;VLOOKUP(S$5,NFI,5,0),1,0)*Data_NFI_t[[#This Row],[Plastic Mat]],0)*IF(Data_NFI_t[[#This Row],[Distribution Date]]&gt;"01-06-2015",1,2.5)</f>
        <v>0</v>
      </c>
      <c r="AH436" s="915">
        <f>IF(NFI_Expiration=1,IF($A436&lt;VLOOKUP(T$5,NFI,5,0),1,0)*Data_NFI_t[[#This Row],[Adult Clothes]],0)</f>
        <v>0</v>
      </c>
      <c r="AI436" s="131">
        <f>IF(NFI_Expiration=1,IF($A436&lt;VLOOKUP(U$5,NFI,5,0),1,0)*Data_NFI_t[[#This Row],[Children Clothes]],0)</f>
        <v>0</v>
      </c>
      <c r="AJ436" s="131">
        <f>IF(NFI_Expiration=1,IF($A436&lt;VLOOKUP(V$5,NFI,5,0),1,0)*Data_NFI_t[[#This Row],[Sewing Kit]],0)</f>
        <v>0</v>
      </c>
      <c r="AK436" s="131" t="str">
        <f ca="1">IFERROR(OFFSET(Camp_List[P_Code],MATCH(Data_NFI_t[[#This Row],[Camp Name]],Camp_List[Camp Name],0)-1,0,1,1),"")</f>
        <v>MMR012CMP072</v>
      </c>
      <c r="AL436" s="513" t="str">
        <f ca="1">IFERROR(OFFSET(Camp_List[Status],MATCH(Data_NFI_t[[#This Row],[Camp Name]],Camp_List[Camp Name],0)-1,0,1,1),"")</f>
        <v>Close</v>
      </c>
      <c r="AM436" s="131"/>
    </row>
    <row r="437" spans="1:39" ht="19.5" customHeight="1" x14ac:dyDescent="0.25">
      <c r="A437" s="242">
        <f>IF(ISBLANK(C437),"",(Report_Date-C437)/30)</f>
        <v>56.93333333333333</v>
      </c>
      <c r="B437" s="522">
        <f>YEAR(Data_NFI_t[[#This Row],[Distribution Date]])</f>
        <v>2012</v>
      </c>
      <c r="C437" s="927">
        <v>41087</v>
      </c>
      <c r="D437" s="489" t="s">
        <v>285</v>
      </c>
      <c r="E437" s="488"/>
      <c r="F437" s="489" t="s">
        <v>7</v>
      </c>
      <c r="G437" s="794" t="s">
        <v>19</v>
      </c>
      <c r="H437" s="794" t="s">
        <v>246</v>
      </c>
      <c r="I437" s="794"/>
      <c r="J437" s="51"/>
      <c r="K437" s="51"/>
      <c r="L437" s="119"/>
      <c r="M437" s="119">
        <v>11</v>
      </c>
      <c r="N437" s="119"/>
      <c r="O437" s="119"/>
      <c r="P437" s="119"/>
      <c r="Q437" s="119"/>
      <c r="R437" s="512"/>
      <c r="S437" s="119"/>
      <c r="T437" s="119"/>
      <c r="U437" s="119"/>
      <c r="V437" s="119"/>
      <c r="W437" s="131">
        <f>IF(NFI_Expiration=1,IF($A437&lt;VLOOKUP(I$5,NFI,5,0),1,0)*Data_NFI_t[[#This Row],[Hygiene Kit]],0)</f>
        <v>0</v>
      </c>
      <c r="X437" s="131">
        <f>IF(NFI_Expiration=1,IF($A437&lt;VLOOKUP(J$5,NFI,5,0),1,0)*Data_NFI_t[[#This Row],[NFI Core Kit]],0)</f>
        <v>0</v>
      </c>
      <c r="Y437" s="112">
        <f>IF(NFI_Expiration=1,IF($A437&lt;VLOOKUP(K$5,NFI,5,0),1,0)*Data_NFI_t[[#This Row],[Sanitary Kit]],0)</f>
        <v>0</v>
      </c>
      <c r="Z437" s="112">
        <f>IF(NFI_Expiration=1,IF($A437&lt;VLOOKUP(L$5,NFI,5,0),1,0)*Data_NFI_t[[#This Row],[Mosquito net]],0)</f>
        <v>0</v>
      </c>
      <c r="AA437" s="112">
        <f>IF(NFI_Expiration=1,IF($A437&lt;VLOOKUP(M$5,NFI,5,0),1,0)*Data_NFI_t[[#This Row],[Tarpaulin]],0)</f>
        <v>0</v>
      </c>
      <c r="AB437" s="112">
        <f>IF(NFI_Expiration=1,IF($A437&lt;VLOOKUP(N$5,NFI,5,0),1,0)*Data_NFI_t[[#This Row],[Blanket]],0)</f>
        <v>0</v>
      </c>
      <c r="AC437" s="112">
        <f>IF(NFI_Expiration=1,IF($A437&lt;VLOOKUP(O$5,NFI,5,0),1,0)*Data_NFI_t[[#This Row],[Kitchen Set]],0)</f>
        <v>0</v>
      </c>
      <c r="AD437" s="112">
        <f>IF(NFI_Expiration=1,IF($A437&lt;VLOOKUP(P$5,NFI,5,0),1,0)*Data_NFI_t[[#This Row],[Complementary Kit]],0)</f>
        <v>0</v>
      </c>
      <c r="AE437" s="112">
        <f>IF(NFI_Expiration=1,IF($A437&lt;VLOOKUP(Q$5,NFI,5,0),1,0)*Data_NFI_t[[#This Row],[Plastic Bucket]],0)</f>
        <v>0</v>
      </c>
      <c r="AF437" s="112">
        <f>IF(NFI_Expiration=1,IF($A437&lt;VLOOKUP(R$5,NFI,5,0),1,0)*Data_NFI_t[[#This Row],[Jerry Can]],0)</f>
        <v>0</v>
      </c>
      <c r="AG437" s="131">
        <f>IF(NFI_Expiration=1,IF($A437&lt;VLOOKUP(S$5,NFI,5,0),1,0)*Data_NFI_t[[#This Row],[Plastic Mat]],0)*IF(Data_NFI_t[[#This Row],[Distribution Date]]&gt;"01-06-2015",1,2.5)</f>
        <v>0</v>
      </c>
      <c r="AH437" s="915">
        <f>IF(NFI_Expiration=1,IF($A437&lt;VLOOKUP(T$5,NFI,5,0),1,0)*Data_NFI_t[[#This Row],[Adult Clothes]],0)</f>
        <v>0</v>
      </c>
      <c r="AI437" s="131">
        <f>IF(NFI_Expiration=1,IF($A437&lt;VLOOKUP(U$5,NFI,5,0),1,0)*Data_NFI_t[[#This Row],[Children Clothes]],0)</f>
        <v>0</v>
      </c>
      <c r="AJ437" s="131">
        <f>IF(NFI_Expiration=1,IF($A437&lt;VLOOKUP(V$5,NFI,5,0),1,0)*Data_NFI_t[[#This Row],[Sewing Kit]],0)</f>
        <v>0</v>
      </c>
      <c r="AK437" s="131" t="str">
        <f ca="1">IFERROR(OFFSET(Camp_List[P_Code],MATCH(Data_NFI_t[[#This Row],[Camp Name]],Camp_List[Camp Name],0)-1,0,1,1),"")</f>
        <v/>
      </c>
      <c r="AL437" s="513" t="str">
        <f ca="1">IFERROR(OFFSET(Camp_List[Status],MATCH(Data_NFI_t[[#This Row],[Camp Name]],Camp_List[Camp Name],0)-1,0,1,1),"")</f>
        <v/>
      </c>
      <c r="AM437" s="131"/>
    </row>
    <row r="438" spans="1:39" ht="19.5" customHeight="1" x14ac:dyDescent="0.25">
      <c r="A438" s="242">
        <f>IF(ISBLANK(C438),"",(Report_Date-C438)/30)</f>
        <v>56.93333333333333</v>
      </c>
      <c r="B438" s="522">
        <f>YEAR(Data_NFI_t[[#This Row],[Distribution Date]])</f>
        <v>2012</v>
      </c>
      <c r="C438" s="927">
        <v>41087</v>
      </c>
      <c r="D438" s="489" t="s">
        <v>285</v>
      </c>
      <c r="E438" s="488"/>
      <c r="F438" s="489" t="s">
        <v>7</v>
      </c>
      <c r="G438" s="794" t="s">
        <v>19</v>
      </c>
      <c r="H438" s="794" t="s">
        <v>247</v>
      </c>
      <c r="I438" s="794"/>
      <c r="J438" s="51"/>
      <c r="K438" s="51"/>
      <c r="L438" s="119"/>
      <c r="M438" s="119">
        <v>200</v>
      </c>
      <c r="N438" s="119"/>
      <c r="O438" s="119"/>
      <c r="P438" s="119"/>
      <c r="Q438" s="119"/>
      <c r="R438" s="512"/>
      <c r="S438" s="119"/>
      <c r="T438" s="119"/>
      <c r="U438" s="119"/>
      <c r="V438" s="119"/>
      <c r="W438" s="131">
        <f>IF(NFI_Expiration=1,IF($A438&lt;VLOOKUP(I$5,NFI,5,0),1,0)*Data_NFI_t[[#This Row],[Hygiene Kit]],0)</f>
        <v>0</v>
      </c>
      <c r="X438" s="131">
        <f>IF(NFI_Expiration=1,IF($A438&lt;VLOOKUP(J$5,NFI,5,0),1,0)*Data_NFI_t[[#This Row],[NFI Core Kit]],0)</f>
        <v>0</v>
      </c>
      <c r="Y438" s="112">
        <f>IF(NFI_Expiration=1,IF($A438&lt;VLOOKUP(K$5,NFI,5,0),1,0)*Data_NFI_t[[#This Row],[Sanitary Kit]],0)</f>
        <v>0</v>
      </c>
      <c r="Z438" s="112">
        <f>IF(NFI_Expiration=1,IF($A438&lt;VLOOKUP(L$5,NFI,5,0),1,0)*Data_NFI_t[[#This Row],[Mosquito net]],0)</f>
        <v>0</v>
      </c>
      <c r="AA438" s="112">
        <f>IF(NFI_Expiration=1,IF($A438&lt;VLOOKUP(M$5,NFI,5,0),1,0)*Data_NFI_t[[#This Row],[Tarpaulin]],0)</f>
        <v>0</v>
      </c>
      <c r="AB438" s="112">
        <f>IF(NFI_Expiration=1,IF($A438&lt;VLOOKUP(N$5,NFI,5,0),1,0)*Data_NFI_t[[#This Row],[Blanket]],0)</f>
        <v>0</v>
      </c>
      <c r="AC438" s="112">
        <f>IF(NFI_Expiration=1,IF($A438&lt;VLOOKUP(O$5,NFI,5,0),1,0)*Data_NFI_t[[#This Row],[Kitchen Set]],0)</f>
        <v>0</v>
      </c>
      <c r="AD438" s="112">
        <f>IF(NFI_Expiration=1,IF($A438&lt;VLOOKUP(P$5,NFI,5,0),1,0)*Data_NFI_t[[#This Row],[Complementary Kit]],0)</f>
        <v>0</v>
      </c>
      <c r="AE438" s="112">
        <f>IF(NFI_Expiration=1,IF($A438&lt;VLOOKUP(Q$5,NFI,5,0),1,0)*Data_NFI_t[[#This Row],[Plastic Bucket]],0)</f>
        <v>0</v>
      </c>
      <c r="AF438" s="112">
        <f>IF(NFI_Expiration=1,IF($A438&lt;VLOOKUP(R$5,NFI,5,0),1,0)*Data_NFI_t[[#This Row],[Jerry Can]],0)</f>
        <v>0</v>
      </c>
      <c r="AG438" s="131">
        <f>IF(NFI_Expiration=1,IF($A438&lt;VLOOKUP(S$5,NFI,5,0),1,0)*Data_NFI_t[[#This Row],[Plastic Mat]],0)*IF(Data_NFI_t[[#This Row],[Distribution Date]]&gt;"01-06-2015",1,2.5)</f>
        <v>0</v>
      </c>
      <c r="AH438" s="915">
        <f>IF(NFI_Expiration=1,IF($A438&lt;VLOOKUP(T$5,NFI,5,0),1,0)*Data_NFI_t[[#This Row],[Adult Clothes]],0)</f>
        <v>0</v>
      </c>
      <c r="AI438" s="131">
        <f>IF(NFI_Expiration=1,IF($A438&lt;VLOOKUP(U$5,NFI,5,0),1,0)*Data_NFI_t[[#This Row],[Children Clothes]],0)</f>
        <v>0</v>
      </c>
      <c r="AJ438" s="131">
        <f>IF(NFI_Expiration=1,IF($A438&lt;VLOOKUP(V$5,NFI,5,0),1,0)*Data_NFI_t[[#This Row],[Sewing Kit]],0)</f>
        <v>0</v>
      </c>
      <c r="AK438" s="131" t="str">
        <f ca="1">IFERROR(OFFSET(Camp_List[P_Code],MATCH(Data_NFI_t[[#This Row],[Camp Name]],Camp_List[Camp Name],0)-1,0,1,1),"")</f>
        <v/>
      </c>
      <c r="AL438" s="513" t="str">
        <f ca="1">IFERROR(OFFSET(Camp_List[Status],MATCH(Data_NFI_t[[#This Row],[Camp Name]],Camp_List[Camp Name],0)-1,0,1,1),"")</f>
        <v/>
      </c>
      <c r="AM438" s="131"/>
    </row>
    <row r="439" spans="1:39" ht="19.5" customHeight="1" x14ac:dyDescent="0.25">
      <c r="A439" s="242"/>
      <c r="B439" s="522"/>
      <c r="C439" s="927"/>
      <c r="D439" s="489"/>
      <c r="E439" s="488"/>
      <c r="F439" s="489"/>
      <c r="G439" s="794"/>
      <c r="H439" s="794"/>
      <c r="I439" s="794"/>
      <c r="J439" s="51"/>
      <c r="K439" s="51"/>
      <c r="L439" s="119"/>
      <c r="M439" s="119"/>
      <c r="N439" s="119"/>
      <c r="O439" s="119"/>
      <c r="P439" s="119"/>
      <c r="Q439" s="119"/>
      <c r="R439" s="512"/>
      <c r="S439" s="119"/>
      <c r="T439" s="119"/>
      <c r="U439" s="119"/>
      <c r="V439" s="119"/>
      <c r="W439" s="131"/>
      <c r="X439" s="131"/>
      <c r="Y439" s="112"/>
      <c r="Z439" s="112"/>
      <c r="AA439" s="112"/>
      <c r="AB439" s="112"/>
      <c r="AC439" s="112"/>
      <c r="AD439" s="112"/>
      <c r="AE439" s="112"/>
      <c r="AF439" s="131"/>
      <c r="AG439" s="131"/>
      <c r="AH439" s="915">
        <f>IF(NFI_Expiration=1,IF($A439&lt;VLOOKUP(T$5,NFI,5,0),1,0)*Data_NFI_t[[#This Row],[Adult Clothes]],0)</f>
        <v>0</v>
      </c>
      <c r="AI439" s="131">
        <f>IF(NFI_Expiration=1,IF($A439&lt;VLOOKUP(U$5,NFI,5,0),1,0)*Data_NFI_t[[#This Row],[Children Clothes]],0)</f>
        <v>0</v>
      </c>
      <c r="AJ439" s="131">
        <f>IF(NFI_Expiration=1,IF($A439&lt;VLOOKUP(V$5,NFI,5,0),1,0)*Data_NFI_t[[#This Row],[Sewing Kit]],0)</f>
        <v>0</v>
      </c>
      <c r="AK439" s="131"/>
      <c r="AL439" s="513"/>
      <c r="AM439" s="131"/>
    </row>
    <row r="440" spans="1:39" s="793" customFormat="1" ht="19.5" customHeight="1" x14ac:dyDescent="0.25">
      <c r="A440" s="242" t="str">
        <f>IF(ISBLANK(C440),"",(Report_Date-C440)/30)</f>
        <v/>
      </c>
      <c r="B440" s="522">
        <f>YEAR(Data_NFI_t[[#This Row],[Distribution Date]])</f>
        <v>1900</v>
      </c>
      <c r="C440" s="927"/>
      <c r="D440" s="489"/>
      <c r="E440" s="488"/>
      <c r="F440" s="489"/>
      <c r="G440" s="794"/>
      <c r="H440" s="794"/>
      <c r="I440" s="794"/>
      <c r="J440" s="51"/>
      <c r="K440" s="51"/>
      <c r="L440" s="119"/>
      <c r="M440" s="119"/>
      <c r="N440" s="119"/>
      <c r="O440" s="119"/>
      <c r="P440" s="119"/>
      <c r="Q440" s="119"/>
      <c r="R440" s="512"/>
      <c r="S440" s="119"/>
      <c r="T440" s="119"/>
      <c r="U440" s="119"/>
      <c r="V440" s="119"/>
      <c r="W440" s="131">
        <f>IF(NFI_Expiration=1,IF($A440&lt;VLOOKUP(I$5,NFI,5,0),1,0)*Data_NFI_t[[#This Row],[Hygiene Kit]],0)</f>
        <v>0</v>
      </c>
      <c r="X440" s="131">
        <f>IF(NFI_Expiration=1,IF($A440&lt;VLOOKUP(J$5,NFI,5,0),1,0)*Data_NFI_t[[#This Row],[NFI Core Kit]],0)</f>
        <v>0</v>
      </c>
      <c r="Y440" s="112">
        <f>IF(NFI_Expiration=1,IF($A440&lt;VLOOKUP(K$5,NFI,5,0),1,0)*Data_NFI_t[[#This Row],[Sanitary Kit]],0)</f>
        <v>0</v>
      </c>
      <c r="Z440" s="112">
        <f>IF(NFI_Expiration=1,IF($A440&lt;VLOOKUP(L$5,NFI,5,0),1,0)*Data_NFI_t[[#This Row],[Mosquito net]],0)</f>
        <v>0</v>
      </c>
      <c r="AA440" s="112">
        <f>IF(NFI_Expiration=1,IF($A440&lt;VLOOKUP(M$5,NFI,5,0),1,0)*Data_NFI_t[[#This Row],[Tarpaulin]],0)</f>
        <v>0</v>
      </c>
      <c r="AB440" s="112">
        <f>IF(NFI_Expiration=1,IF($A440&lt;VLOOKUP(N$5,NFI,5,0),1,0)*Data_NFI_t[[#This Row],[Blanket]],0)</f>
        <v>0</v>
      </c>
      <c r="AC440" s="112">
        <f>IF(NFI_Expiration=1,IF($A440&lt;VLOOKUP(O$5,NFI,5,0),1,0)*Data_NFI_t[[#This Row],[Kitchen Set]],0)</f>
        <v>0</v>
      </c>
      <c r="AD440" s="112">
        <f>IF(NFI_Expiration=1,IF($A440&lt;VLOOKUP(P$5,NFI,5,0),1,0)*Data_NFI_t[[#This Row],[Complementary Kit]],0)</f>
        <v>0</v>
      </c>
      <c r="AE440" s="112">
        <f>IF(NFI_Expiration=1,IF($A440&lt;VLOOKUP(Q$5,NFI,5,0),1,0)*Data_NFI_t[[#This Row],[Plastic Bucket]],0)</f>
        <v>0</v>
      </c>
      <c r="AF440" s="131">
        <f>IF(NFI_Expiration=1,IF($A440&lt;VLOOKUP(R$5,NFI,5,0),1,0)*Data_NFI_t[[#This Row],[Jerry Can]],0)</f>
        <v>0</v>
      </c>
      <c r="AG440" s="131">
        <f>IF(NFI_Expiration=1,IF($A440&lt;VLOOKUP(S$5,NFI,5,0),1,0)*Data_NFI_t[[#This Row],[Plastic Mat]],0)*IF(Data_NFI_t[[#This Row],[Distribution Date]]&gt;"01-06-2015",1,2.5)</f>
        <v>0</v>
      </c>
      <c r="AH440" s="915">
        <f>IF(NFI_Expiration=1,IF($A440&lt;VLOOKUP(T$5,NFI,5,0),1,0)*Data_NFI_t[[#This Row],[Adult Clothes]],0)</f>
        <v>0</v>
      </c>
      <c r="AI440" s="131">
        <f>IF(NFI_Expiration=1,IF($A440&lt;VLOOKUP(U$5,NFI,5,0),1,0)*Data_NFI_t[[#This Row],[Children Clothes]],0)</f>
        <v>0</v>
      </c>
      <c r="AJ440" s="131">
        <f>IF(NFI_Expiration=1,IF($A440&lt;VLOOKUP(V$5,NFI,5,0),1,0)*Data_NFI_t[[#This Row],[Sewing Kit]],0)</f>
        <v>0</v>
      </c>
      <c r="AK440" s="131" t="str">
        <f ca="1">IFERROR(OFFSET(Camp_List[P_Code],MATCH(Data_NFI_t[[#This Row],[Camp Name]],Camp_List[Camp Name],0)-1,0,1,1),"")</f>
        <v/>
      </c>
      <c r="AL440" s="513" t="str">
        <f ca="1">IFERROR(OFFSET(Camp_List[Status],MATCH(Data_NFI_t[[#This Row],[Camp Name]],Camp_List[Camp Name],0)-1,0,1,1),"")</f>
        <v/>
      </c>
      <c r="AM440" s="131"/>
    </row>
    <row r="441" spans="1:39" s="793" customFormat="1" ht="19.5" customHeight="1" x14ac:dyDescent="0.25">
      <c r="A441" s="242" t="str">
        <f>IF(ISBLANK(C441),"",(Report_Date-C441)/30)</f>
        <v/>
      </c>
      <c r="B441" s="522">
        <f>YEAR(Data_NFI_t[[#This Row],[Distribution Date]])</f>
        <v>1900</v>
      </c>
      <c r="C441" s="927"/>
      <c r="D441" s="489"/>
      <c r="E441" s="488"/>
      <c r="F441" s="489"/>
      <c r="G441" s="794"/>
      <c r="H441" s="794"/>
      <c r="I441" s="794"/>
      <c r="J441" s="51"/>
      <c r="K441" s="51"/>
      <c r="L441" s="119"/>
      <c r="M441" s="119"/>
      <c r="N441" s="119"/>
      <c r="O441" s="119"/>
      <c r="P441" s="119"/>
      <c r="Q441" s="119"/>
      <c r="R441" s="512"/>
      <c r="S441" s="119"/>
      <c r="T441" s="119"/>
      <c r="U441" s="119"/>
      <c r="V441" s="119"/>
      <c r="W441" s="131">
        <f>IF(NFI_Expiration=1,IF($A441&lt;VLOOKUP(I$5,NFI,5,0),1,0)*Data_NFI_t[[#This Row],[Hygiene Kit]],0)</f>
        <v>0</v>
      </c>
      <c r="X441" s="131">
        <f>IF(NFI_Expiration=1,IF($A441&lt;VLOOKUP(J$5,NFI,5,0),1,0)*Data_NFI_t[[#This Row],[NFI Core Kit]],0)</f>
        <v>0</v>
      </c>
      <c r="Y441" s="112">
        <f>IF(NFI_Expiration=1,IF($A441&lt;VLOOKUP(K$5,NFI,5,0),1,0)*Data_NFI_t[[#This Row],[Sanitary Kit]],0)</f>
        <v>0</v>
      </c>
      <c r="Z441" s="112">
        <f>IF(NFI_Expiration=1,IF($A441&lt;VLOOKUP(L$5,NFI,5,0),1,0)*Data_NFI_t[[#This Row],[Mosquito net]],0)</f>
        <v>0</v>
      </c>
      <c r="AA441" s="112">
        <f>IF(NFI_Expiration=1,IF($A441&lt;VLOOKUP(M$5,NFI,5,0),1,0)*Data_NFI_t[[#This Row],[Tarpaulin]],0)</f>
        <v>0</v>
      </c>
      <c r="AB441" s="112">
        <f>IF(NFI_Expiration=1,IF($A441&lt;VLOOKUP(N$5,NFI,5,0),1,0)*Data_NFI_t[[#This Row],[Blanket]],0)</f>
        <v>0</v>
      </c>
      <c r="AC441" s="112">
        <f>IF(NFI_Expiration=1,IF($A441&lt;VLOOKUP(O$5,NFI,5,0),1,0)*Data_NFI_t[[#This Row],[Kitchen Set]],0)</f>
        <v>0</v>
      </c>
      <c r="AD441" s="112">
        <f>IF(NFI_Expiration=1,IF($A441&lt;VLOOKUP(P$5,NFI,5,0),1,0)*Data_NFI_t[[#This Row],[Complementary Kit]],0)</f>
        <v>0</v>
      </c>
      <c r="AE441" s="112">
        <f>IF(NFI_Expiration=1,IF($A441&lt;VLOOKUP(Q$5,NFI,5,0),1,0)*Data_NFI_t[[#This Row],[Plastic Bucket]],0)</f>
        <v>0</v>
      </c>
      <c r="AF441" s="131">
        <f>IF(NFI_Expiration=1,IF($A441&lt;VLOOKUP(R$5,NFI,5,0),1,0)*Data_NFI_t[[#This Row],[Jerry Can]],0)</f>
        <v>0</v>
      </c>
      <c r="AG441" s="131">
        <f>IF(NFI_Expiration=1,IF($A441&lt;VLOOKUP(S$5,NFI,5,0),1,0)*Data_NFI_t[[#This Row],[Plastic Mat]],0)*IF(Data_NFI_t[[#This Row],[Distribution Date]]&gt;"01-06-2015",1,2.5)</f>
        <v>0</v>
      </c>
      <c r="AH441" s="915">
        <f>IF(NFI_Expiration=1,IF($A441&lt;VLOOKUP(T$5,NFI,5,0),1,0)*Data_NFI_t[[#This Row],[Adult Clothes]],0)</f>
        <v>0</v>
      </c>
      <c r="AI441" s="131">
        <f>IF(NFI_Expiration=1,IF($A441&lt;VLOOKUP(U$5,NFI,5,0),1,0)*Data_NFI_t[[#This Row],[Children Clothes]],0)</f>
        <v>0</v>
      </c>
      <c r="AJ441" s="131">
        <f>IF(NFI_Expiration=1,IF($A441&lt;VLOOKUP(V$5,NFI,5,0),1,0)*Data_NFI_t[[#This Row],[Sewing Kit]],0)</f>
        <v>0</v>
      </c>
      <c r="AK441" s="131" t="str">
        <f ca="1">IFERROR(OFFSET(Camp_List[P_Code],MATCH(Data_NFI_t[[#This Row],[Camp Name]],Camp_List[Camp Name],0)-1,0,1,1),"")</f>
        <v/>
      </c>
      <c r="AL441" s="513" t="str">
        <f ca="1">IFERROR(OFFSET(Camp_List[Status],MATCH(Data_NFI_t[[#This Row],[Camp Name]],Camp_List[Camp Name],0)-1,0,1,1),"")</f>
        <v/>
      </c>
      <c r="AM441" s="131"/>
    </row>
    <row r="442" spans="1:39" s="793" customFormat="1" ht="19.5" customHeight="1" x14ac:dyDescent="0.25">
      <c r="A442" s="242" t="str">
        <f>IF(ISBLANK(C442),"",(Report_Date-C442)/30)</f>
        <v/>
      </c>
      <c r="B442" s="522">
        <f>YEAR(Data_NFI_t[[#This Row],[Distribution Date]])</f>
        <v>1900</v>
      </c>
      <c r="C442" s="927"/>
      <c r="D442" s="489"/>
      <c r="E442" s="488"/>
      <c r="F442" s="489"/>
      <c r="G442" s="794"/>
      <c r="H442" s="794"/>
      <c r="I442" s="794"/>
      <c r="J442" s="51"/>
      <c r="K442" s="51"/>
      <c r="L442" s="119"/>
      <c r="M442" s="119"/>
      <c r="N442" s="119"/>
      <c r="O442" s="119"/>
      <c r="P442" s="119"/>
      <c r="Q442" s="119"/>
      <c r="R442" s="512"/>
      <c r="S442" s="119"/>
      <c r="T442" s="119"/>
      <c r="U442" s="119"/>
      <c r="V442" s="119"/>
      <c r="W442" s="131">
        <f>IF(NFI_Expiration=1,IF($A442&lt;VLOOKUP(I$5,NFI,5,0),1,0)*Data_NFI_t[[#This Row],[Hygiene Kit]],0)</f>
        <v>0</v>
      </c>
      <c r="X442" s="131">
        <f>IF(NFI_Expiration=1,IF($A442&lt;VLOOKUP(J$5,NFI,5,0),1,0)*Data_NFI_t[[#This Row],[NFI Core Kit]],0)</f>
        <v>0</v>
      </c>
      <c r="Y442" s="112">
        <f>IF(NFI_Expiration=1,IF($A442&lt;VLOOKUP(K$5,NFI,5,0),1,0)*Data_NFI_t[[#This Row],[Sanitary Kit]],0)</f>
        <v>0</v>
      </c>
      <c r="Z442" s="112">
        <f>IF(NFI_Expiration=1,IF($A442&lt;VLOOKUP(L$5,NFI,5,0),1,0)*Data_NFI_t[[#This Row],[Mosquito net]],0)</f>
        <v>0</v>
      </c>
      <c r="AA442" s="112">
        <f>IF(NFI_Expiration=1,IF($A442&lt;VLOOKUP(M$5,NFI,5,0),1,0)*Data_NFI_t[[#This Row],[Tarpaulin]],0)</f>
        <v>0</v>
      </c>
      <c r="AB442" s="112">
        <f>IF(NFI_Expiration=1,IF($A442&lt;VLOOKUP(N$5,NFI,5,0),1,0)*Data_NFI_t[[#This Row],[Blanket]],0)</f>
        <v>0</v>
      </c>
      <c r="AC442" s="112">
        <f>IF(NFI_Expiration=1,IF($A442&lt;VLOOKUP(O$5,NFI,5,0),1,0)*Data_NFI_t[[#This Row],[Kitchen Set]],0)</f>
        <v>0</v>
      </c>
      <c r="AD442" s="112">
        <f>IF(NFI_Expiration=1,IF($A442&lt;VLOOKUP(P$5,NFI,5,0),1,0)*Data_NFI_t[[#This Row],[Complementary Kit]],0)</f>
        <v>0</v>
      </c>
      <c r="AE442" s="112">
        <f>IF(NFI_Expiration=1,IF($A442&lt;VLOOKUP(Q$5,NFI,5,0),1,0)*Data_NFI_t[[#This Row],[Plastic Bucket]],0)</f>
        <v>0</v>
      </c>
      <c r="AF442" s="131">
        <f>IF(NFI_Expiration=1,IF($A442&lt;VLOOKUP(R$5,NFI,5,0),1,0)*Data_NFI_t[[#This Row],[Jerry Can]],0)</f>
        <v>0</v>
      </c>
      <c r="AG442" s="131">
        <f>IF(NFI_Expiration=1,IF($A442&lt;VLOOKUP(S$5,NFI,5,0),1,0)*Data_NFI_t[[#This Row],[Plastic Mat]],0)*IF(Data_NFI_t[[#This Row],[Distribution Date]]&gt;"01-06-2015",1,2.5)</f>
        <v>0</v>
      </c>
      <c r="AH442" s="915">
        <f>IF(NFI_Expiration=1,IF($A442&lt;VLOOKUP(T$5,NFI,5,0),1,0)*Data_NFI_t[[#This Row],[Adult Clothes]],0)</f>
        <v>0</v>
      </c>
      <c r="AI442" s="131">
        <f>IF(NFI_Expiration=1,IF($A442&lt;VLOOKUP(U$5,NFI,5,0),1,0)*Data_NFI_t[[#This Row],[Children Clothes]],0)</f>
        <v>0</v>
      </c>
      <c r="AJ442" s="131">
        <f>IF(NFI_Expiration=1,IF($A442&lt;VLOOKUP(V$5,NFI,5,0),1,0)*Data_NFI_t[[#This Row],[Sewing Kit]],0)</f>
        <v>0</v>
      </c>
      <c r="AK442" s="131" t="str">
        <f ca="1">IFERROR(OFFSET(Camp_List[P_Code],MATCH(Data_NFI_t[[#This Row],[Camp Name]],Camp_List[Camp Name],0)-1,0,1,1),"")</f>
        <v/>
      </c>
      <c r="AL442" s="513" t="str">
        <f ca="1">IFERROR(OFFSET(Camp_List[Status],MATCH(Data_NFI_t[[#This Row],[Camp Name]],Camp_List[Camp Name],0)-1,0,1,1),"")</f>
        <v/>
      </c>
      <c r="AM442" s="131"/>
    </row>
    <row r="443" spans="1:39" s="793" customFormat="1" ht="19.5" customHeight="1" x14ac:dyDescent="0.25">
      <c r="A443" s="242" t="str">
        <f>IF(ISBLANK(C443),"",(Report_Date-C443)/30)</f>
        <v/>
      </c>
      <c r="B443" s="522">
        <f>YEAR(Data_NFI_t[[#This Row],[Distribution Date]])</f>
        <v>1900</v>
      </c>
      <c r="C443" s="927"/>
      <c r="D443" s="489"/>
      <c r="E443" s="488"/>
      <c r="F443" s="489"/>
      <c r="G443" s="794"/>
      <c r="H443" s="794"/>
      <c r="I443" s="794"/>
      <c r="J443" s="51"/>
      <c r="K443" s="51"/>
      <c r="L443" s="119"/>
      <c r="M443" s="119"/>
      <c r="N443" s="119"/>
      <c r="O443" s="119"/>
      <c r="P443" s="119"/>
      <c r="Q443" s="119"/>
      <c r="R443" s="512"/>
      <c r="S443" s="119"/>
      <c r="T443" s="119"/>
      <c r="U443" s="119"/>
      <c r="V443" s="119"/>
      <c r="W443" s="131">
        <f>IF(NFI_Expiration=1,IF($A443&lt;VLOOKUP(I$5,NFI,5,0),1,0)*Data_NFI_t[[#This Row],[Hygiene Kit]],0)</f>
        <v>0</v>
      </c>
      <c r="X443" s="131">
        <f>IF(NFI_Expiration=1,IF($A443&lt;VLOOKUP(J$5,NFI,5,0),1,0)*Data_NFI_t[[#This Row],[NFI Core Kit]],0)</f>
        <v>0</v>
      </c>
      <c r="Y443" s="112">
        <f>IF(NFI_Expiration=1,IF($A443&lt;VLOOKUP(K$5,NFI,5,0),1,0)*Data_NFI_t[[#This Row],[Sanitary Kit]],0)</f>
        <v>0</v>
      </c>
      <c r="Z443" s="112">
        <f>IF(NFI_Expiration=1,IF($A443&lt;VLOOKUP(L$5,NFI,5,0),1,0)*Data_NFI_t[[#This Row],[Mosquito net]],0)</f>
        <v>0</v>
      </c>
      <c r="AA443" s="112">
        <f>IF(NFI_Expiration=1,IF($A443&lt;VLOOKUP(M$5,NFI,5,0),1,0)*Data_NFI_t[[#This Row],[Tarpaulin]],0)</f>
        <v>0</v>
      </c>
      <c r="AB443" s="112">
        <f>IF(NFI_Expiration=1,IF($A443&lt;VLOOKUP(N$5,NFI,5,0),1,0)*Data_NFI_t[[#This Row],[Blanket]],0)</f>
        <v>0</v>
      </c>
      <c r="AC443" s="112">
        <f>IF(NFI_Expiration=1,IF($A443&lt;VLOOKUP(O$5,NFI,5,0),1,0)*Data_NFI_t[[#This Row],[Kitchen Set]],0)</f>
        <v>0</v>
      </c>
      <c r="AD443" s="112">
        <f>IF(NFI_Expiration=1,IF($A443&lt;VLOOKUP(P$5,NFI,5,0),1,0)*Data_NFI_t[[#This Row],[Complementary Kit]],0)</f>
        <v>0</v>
      </c>
      <c r="AE443" s="112">
        <f>IF(NFI_Expiration=1,IF($A443&lt;VLOOKUP(Q$5,NFI,5,0),1,0)*Data_NFI_t[[#This Row],[Plastic Bucket]],0)</f>
        <v>0</v>
      </c>
      <c r="AF443" s="131">
        <f>IF(NFI_Expiration=1,IF($A443&lt;VLOOKUP(R$5,NFI,5,0),1,0)*Data_NFI_t[[#This Row],[Jerry Can]],0)</f>
        <v>0</v>
      </c>
      <c r="AG443" s="131">
        <f>IF(NFI_Expiration=1,IF($A443&lt;VLOOKUP(S$5,NFI,5,0),1,0)*Data_NFI_t[[#This Row],[Plastic Mat]],0)*IF(Data_NFI_t[[#This Row],[Distribution Date]]&gt;"01-06-2015",1,2.5)</f>
        <v>0</v>
      </c>
      <c r="AH443" s="915">
        <f>IF(NFI_Expiration=1,IF($A443&lt;VLOOKUP(T$5,NFI,5,0),1,0)*Data_NFI_t[[#This Row],[Adult Clothes]],0)</f>
        <v>0</v>
      </c>
      <c r="AI443" s="131">
        <f>IF(NFI_Expiration=1,IF($A443&lt;VLOOKUP(U$5,NFI,5,0),1,0)*Data_NFI_t[[#This Row],[Children Clothes]],0)</f>
        <v>0</v>
      </c>
      <c r="AJ443" s="131">
        <f>IF(NFI_Expiration=1,IF($A443&lt;VLOOKUP(V$5,NFI,5,0),1,0)*Data_NFI_t[[#This Row],[Sewing Kit]],0)</f>
        <v>0</v>
      </c>
      <c r="AK443" s="131" t="str">
        <f ca="1">IFERROR(OFFSET(Camp_List[P_Code],MATCH(Data_NFI_t[[#This Row],[Camp Name]],Camp_List[Camp Name],0)-1,0,1,1),"")</f>
        <v/>
      </c>
      <c r="AL443" s="513" t="str">
        <f ca="1">IFERROR(OFFSET(Camp_List[Status],MATCH(Data_NFI_t[[#This Row],[Camp Name]],Camp_List[Camp Name],0)-1,0,1,1),"")</f>
        <v/>
      </c>
      <c r="AM443" s="131"/>
    </row>
    <row r="444" spans="1:39" s="793" customFormat="1" ht="19.5" customHeight="1" x14ac:dyDescent="0.25">
      <c r="A444" s="242" t="str">
        <f>IF(ISBLANK(C444),"",(Report_Date-C444)/30)</f>
        <v/>
      </c>
      <c r="B444" s="522">
        <f>YEAR(Data_NFI_t[[#This Row],[Distribution Date]])</f>
        <v>1900</v>
      </c>
      <c r="C444" s="927"/>
      <c r="D444" s="489"/>
      <c r="E444" s="488"/>
      <c r="F444" s="489"/>
      <c r="G444" s="794"/>
      <c r="H444" s="794"/>
      <c r="I444" s="794"/>
      <c r="J444" s="51"/>
      <c r="K444" s="51"/>
      <c r="L444" s="119"/>
      <c r="M444" s="119"/>
      <c r="N444" s="119"/>
      <c r="O444" s="119"/>
      <c r="P444" s="119"/>
      <c r="Q444" s="119"/>
      <c r="R444" s="512"/>
      <c r="S444" s="119"/>
      <c r="T444" s="119"/>
      <c r="U444" s="119"/>
      <c r="V444" s="119"/>
      <c r="W444" s="131">
        <f>IF(NFI_Expiration=1,IF($A444&lt;VLOOKUP(I$5,NFI,5,0),1,0)*Data_NFI_t[[#This Row],[Hygiene Kit]],0)</f>
        <v>0</v>
      </c>
      <c r="X444" s="131">
        <f>IF(NFI_Expiration=1,IF($A444&lt;VLOOKUP(J$5,NFI,5,0),1,0)*Data_NFI_t[[#This Row],[NFI Core Kit]],0)</f>
        <v>0</v>
      </c>
      <c r="Y444" s="112">
        <f>IF(NFI_Expiration=1,IF($A444&lt;VLOOKUP(K$5,NFI,5,0),1,0)*Data_NFI_t[[#This Row],[Sanitary Kit]],0)</f>
        <v>0</v>
      </c>
      <c r="Z444" s="112">
        <f>IF(NFI_Expiration=1,IF($A444&lt;VLOOKUP(L$5,NFI,5,0),1,0)*Data_NFI_t[[#This Row],[Mosquito net]],0)</f>
        <v>0</v>
      </c>
      <c r="AA444" s="112">
        <f>IF(NFI_Expiration=1,IF($A444&lt;VLOOKUP(M$5,NFI,5,0),1,0)*Data_NFI_t[[#This Row],[Tarpaulin]],0)</f>
        <v>0</v>
      </c>
      <c r="AB444" s="112">
        <f>IF(NFI_Expiration=1,IF($A444&lt;VLOOKUP(N$5,NFI,5,0),1,0)*Data_NFI_t[[#This Row],[Blanket]],0)</f>
        <v>0</v>
      </c>
      <c r="AC444" s="112">
        <f>IF(NFI_Expiration=1,IF($A444&lt;VLOOKUP(O$5,NFI,5,0),1,0)*Data_NFI_t[[#This Row],[Kitchen Set]],0)</f>
        <v>0</v>
      </c>
      <c r="AD444" s="112">
        <f>IF(NFI_Expiration=1,IF($A444&lt;VLOOKUP(P$5,NFI,5,0),1,0)*Data_NFI_t[[#This Row],[Complementary Kit]],0)</f>
        <v>0</v>
      </c>
      <c r="AE444" s="112">
        <f>IF(NFI_Expiration=1,IF($A444&lt;VLOOKUP(Q$5,NFI,5,0),1,0)*Data_NFI_t[[#This Row],[Plastic Bucket]],0)</f>
        <v>0</v>
      </c>
      <c r="AF444" s="131">
        <f>IF(NFI_Expiration=1,IF($A444&lt;VLOOKUP(R$5,NFI,5,0),1,0)*Data_NFI_t[[#This Row],[Jerry Can]],0)</f>
        <v>0</v>
      </c>
      <c r="AG444" s="131">
        <f>IF(NFI_Expiration=1,IF($A444&lt;VLOOKUP(S$5,NFI,5,0),1,0)*Data_NFI_t[[#This Row],[Plastic Mat]],0)*IF(Data_NFI_t[[#This Row],[Distribution Date]]&gt;"01-06-2015",1,2.5)</f>
        <v>0</v>
      </c>
      <c r="AH444" s="915">
        <f>IF(NFI_Expiration=1,IF($A444&lt;VLOOKUP(T$5,NFI,5,0),1,0)*Data_NFI_t[[#This Row],[Adult Clothes]],0)</f>
        <v>0</v>
      </c>
      <c r="AI444" s="131">
        <f>IF(NFI_Expiration=1,IF($A444&lt;VLOOKUP(U$5,NFI,5,0),1,0)*Data_NFI_t[[#This Row],[Children Clothes]],0)</f>
        <v>0</v>
      </c>
      <c r="AJ444" s="131">
        <f>IF(NFI_Expiration=1,IF($A444&lt;VLOOKUP(V$5,NFI,5,0),1,0)*Data_NFI_t[[#This Row],[Sewing Kit]],0)</f>
        <v>0</v>
      </c>
      <c r="AK444" s="131" t="str">
        <f ca="1">IFERROR(OFFSET(Camp_List[P_Code],MATCH(Data_NFI_t[[#This Row],[Camp Name]],Camp_List[Camp Name],0)-1,0,1,1),"")</f>
        <v/>
      </c>
      <c r="AL444" s="513" t="str">
        <f ca="1">IFERROR(OFFSET(Camp_List[Status],MATCH(Data_NFI_t[[#This Row],[Camp Name]],Camp_List[Camp Name],0)-1,0,1,1),"")</f>
        <v/>
      </c>
      <c r="AM444" s="131"/>
    </row>
    <row r="445" spans="1:39" s="793" customFormat="1" ht="19.5" customHeight="1" x14ac:dyDescent="0.25">
      <c r="A445" s="242" t="str">
        <f>IF(ISBLANK(C445),"",(Report_Date-C445)/30)</f>
        <v/>
      </c>
      <c r="B445" s="522">
        <f>YEAR(Data_NFI_t[[#This Row],[Distribution Date]])</f>
        <v>1900</v>
      </c>
      <c r="C445" s="927"/>
      <c r="D445" s="489"/>
      <c r="E445" s="488"/>
      <c r="F445" s="489"/>
      <c r="G445" s="794"/>
      <c r="H445" s="794"/>
      <c r="I445" s="794"/>
      <c r="J445" s="51"/>
      <c r="K445" s="51"/>
      <c r="L445" s="119"/>
      <c r="M445" s="119"/>
      <c r="N445" s="119"/>
      <c r="O445" s="119"/>
      <c r="P445" s="119"/>
      <c r="Q445" s="119"/>
      <c r="R445" s="512"/>
      <c r="S445" s="119"/>
      <c r="T445" s="119"/>
      <c r="U445" s="119"/>
      <c r="V445" s="119"/>
      <c r="W445" s="131">
        <f>IF(NFI_Expiration=1,IF($A445&lt;VLOOKUP(I$5,NFI,5,0),1,0)*Data_NFI_t[[#This Row],[Hygiene Kit]],0)</f>
        <v>0</v>
      </c>
      <c r="X445" s="131">
        <f>IF(NFI_Expiration=1,IF($A445&lt;VLOOKUP(J$5,NFI,5,0),1,0)*Data_NFI_t[[#This Row],[NFI Core Kit]],0)</f>
        <v>0</v>
      </c>
      <c r="Y445" s="112">
        <f>IF(NFI_Expiration=1,IF($A445&lt;VLOOKUP(K$5,NFI,5,0),1,0)*Data_NFI_t[[#This Row],[Sanitary Kit]],0)</f>
        <v>0</v>
      </c>
      <c r="Z445" s="112">
        <f>IF(NFI_Expiration=1,IF($A445&lt;VLOOKUP(L$5,NFI,5,0),1,0)*Data_NFI_t[[#This Row],[Mosquito net]],0)</f>
        <v>0</v>
      </c>
      <c r="AA445" s="112">
        <f>IF(NFI_Expiration=1,IF($A445&lt;VLOOKUP(M$5,NFI,5,0),1,0)*Data_NFI_t[[#This Row],[Tarpaulin]],0)</f>
        <v>0</v>
      </c>
      <c r="AB445" s="112">
        <f>IF(NFI_Expiration=1,IF($A445&lt;VLOOKUP(N$5,NFI,5,0),1,0)*Data_NFI_t[[#This Row],[Blanket]],0)</f>
        <v>0</v>
      </c>
      <c r="AC445" s="112">
        <f>IF(NFI_Expiration=1,IF($A445&lt;VLOOKUP(O$5,NFI,5,0),1,0)*Data_NFI_t[[#This Row],[Kitchen Set]],0)</f>
        <v>0</v>
      </c>
      <c r="AD445" s="112">
        <f>IF(NFI_Expiration=1,IF($A445&lt;VLOOKUP(P$5,NFI,5,0),1,0)*Data_NFI_t[[#This Row],[Complementary Kit]],0)</f>
        <v>0</v>
      </c>
      <c r="AE445" s="112">
        <f>IF(NFI_Expiration=1,IF($A445&lt;VLOOKUP(Q$5,NFI,5,0),1,0)*Data_NFI_t[[#This Row],[Plastic Bucket]],0)</f>
        <v>0</v>
      </c>
      <c r="AF445" s="131">
        <f>IF(NFI_Expiration=1,IF($A445&lt;VLOOKUP(R$5,NFI,5,0),1,0)*Data_NFI_t[[#This Row],[Jerry Can]],0)</f>
        <v>0</v>
      </c>
      <c r="AG445" s="131">
        <f>IF(NFI_Expiration=1,IF($A445&lt;VLOOKUP(S$5,NFI,5,0),1,0)*Data_NFI_t[[#This Row],[Plastic Mat]],0)*IF(Data_NFI_t[[#This Row],[Distribution Date]]&gt;"01-06-2015",1,2.5)</f>
        <v>0</v>
      </c>
      <c r="AH445" s="915">
        <f>IF(NFI_Expiration=1,IF($A445&lt;VLOOKUP(T$5,NFI,5,0),1,0)*Data_NFI_t[[#This Row],[Adult Clothes]],0)</f>
        <v>0</v>
      </c>
      <c r="AI445" s="131">
        <f>IF(NFI_Expiration=1,IF($A445&lt;VLOOKUP(U$5,NFI,5,0),1,0)*Data_NFI_t[[#This Row],[Children Clothes]],0)</f>
        <v>0</v>
      </c>
      <c r="AJ445" s="131">
        <f>IF(NFI_Expiration=1,IF($A445&lt;VLOOKUP(V$5,NFI,5,0),1,0)*Data_NFI_t[[#This Row],[Sewing Kit]],0)</f>
        <v>0</v>
      </c>
      <c r="AK445" s="131" t="str">
        <f ca="1">IFERROR(OFFSET(Camp_List[P_Code],MATCH(Data_NFI_t[[#This Row],[Camp Name]],Camp_List[Camp Name],0)-1,0,1,1),"")</f>
        <v/>
      </c>
      <c r="AL445" s="513" t="str">
        <f ca="1">IFERROR(OFFSET(Camp_List[Status],MATCH(Data_NFI_t[[#This Row],[Camp Name]],Camp_List[Camp Name],0)-1,0,1,1),"")</f>
        <v/>
      </c>
      <c r="AM445" s="131"/>
    </row>
    <row r="446" spans="1:39" s="793" customFormat="1" ht="19.5" customHeight="1" x14ac:dyDescent="0.25">
      <c r="A446" s="242" t="str">
        <f>IF(ISBLANK(C446),"",(Report_Date-C446)/30)</f>
        <v/>
      </c>
      <c r="B446" s="522">
        <f>YEAR(Data_NFI_t[[#This Row],[Distribution Date]])</f>
        <v>1900</v>
      </c>
      <c r="C446" s="927"/>
      <c r="D446" s="489"/>
      <c r="E446" s="488"/>
      <c r="F446" s="489"/>
      <c r="G446" s="794"/>
      <c r="H446" s="794"/>
      <c r="I446" s="794"/>
      <c r="J446" s="51"/>
      <c r="K446" s="51"/>
      <c r="L446" s="119"/>
      <c r="M446" s="119"/>
      <c r="N446" s="119"/>
      <c r="O446" s="119"/>
      <c r="P446" s="119"/>
      <c r="Q446" s="119"/>
      <c r="R446" s="512"/>
      <c r="S446" s="119"/>
      <c r="T446" s="119"/>
      <c r="U446" s="119"/>
      <c r="V446" s="119"/>
      <c r="W446" s="131">
        <f>IF(NFI_Expiration=1,IF($A446&lt;VLOOKUP(I$5,NFI,5,0),1,0)*Data_NFI_t[[#This Row],[Hygiene Kit]],0)</f>
        <v>0</v>
      </c>
      <c r="X446" s="131">
        <f>IF(NFI_Expiration=1,IF($A446&lt;VLOOKUP(J$5,NFI,5,0),1,0)*Data_NFI_t[[#This Row],[NFI Core Kit]],0)</f>
        <v>0</v>
      </c>
      <c r="Y446" s="112">
        <f>IF(NFI_Expiration=1,IF($A446&lt;VLOOKUP(K$5,NFI,5,0),1,0)*Data_NFI_t[[#This Row],[Sanitary Kit]],0)</f>
        <v>0</v>
      </c>
      <c r="Z446" s="112">
        <f>IF(NFI_Expiration=1,IF($A446&lt;VLOOKUP(L$5,NFI,5,0),1,0)*Data_NFI_t[[#This Row],[Mosquito net]],0)</f>
        <v>0</v>
      </c>
      <c r="AA446" s="112">
        <f>IF(NFI_Expiration=1,IF($A446&lt;VLOOKUP(M$5,NFI,5,0),1,0)*Data_NFI_t[[#This Row],[Tarpaulin]],0)</f>
        <v>0</v>
      </c>
      <c r="AB446" s="112">
        <f>IF(NFI_Expiration=1,IF($A446&lt;VLOOKUP(N$5,NFI,5,0),1,0)*Data_NFI_t[[#This Row],[Blanket]],0)</f>
        <v>0</v>
      </c>
      <c r="AC446" s="112">
        <f>IF(NFI_Expiration=1,IF($A446&lt;VLOOKUP(O$5,NFI,5,0),1,0)*Data_NFI_t[[#This Row],[Kitchen Set]],0)</f>
        <v>0</v>
      </c>
      <c r="AD446" s="112">
        <f>IF(NFI_Expiration=1,IF($A446&lt;VLOOKUP(P$5,NFI,5,0),1,0)*Data_NFI_t[[#This Row],[Complementary Kit]],0)</f>
        <v>0</v>
      </c>
      <c r="AE446" s="112">
        <f>IF(NFI_Expiration=1,IF($A446&lt;VLOOKUP(Q$5,NFI,5,0),1,0)*Data_NFI_t[[#This Row],[Plastic Bucket]],0)</f>
        <v>0</v>
      </c>
      <c r="AF446" s="131">
        <f>IF(NFI_Expiration=1,IF($A446&lt;VLOOKUP(R$5,NFI,5,0),1,0)*Data_NFI_t[[#This Row],[Jerry Can]],0)</f>
        <v>0</v>
      </c>
      <c r="AG446" s="131">
        <f>IF(NFI_Expiration=1,IF($A446&lt;VLOOKUP(S$5,NFI,5,0),1,0)*Data_NFI_t[[#This Row],[Plastic Mat]],0)*IF(Data_NFI_t[[#This Row],[Distribution Date]]&gt;"01-06-2015",1,2.5)</f>
        <v>0</v>
      </c>
      <c r="AH446" s="915">
        <f>IF(NFI_Expiration=1,IF($A446&lt;VLOOKUP(T$5,NFI,5,0),1,0)*Data_NFI_t[[#This Row],[Adult Clothes]],0)</f>
        <v>0</v>
      </c>
      <c r="AI446" s="131">
        <f>IF(NFI_Expiration=1,IF($A446&lt;VLOOKUP(U$5,NFI,5,0),1,0)*Data_NFI_t[[#This Row],[Children Clothes]],0)</f>
        <v>0</v>
      </c>
      <c r="AJ446" s="131">
        <f>IF(NFI_Expiration=1,IF($A446&lt;VLOOKUP(V$5,NFI,5,0),1,0)*Data_NFI_t[[#This Row],[Sewing Kit]],0)</f>
        <v>0</v>
      </c>
      <c r="AK446" s="131" t="str">
        <f ca="1">IFERROR(OFFSET(Camp_List[P_Code],MATCH(Data_NFI_t[[#This Row],[Camp Name]],Camp_List[Camp Name],0)-1,0,1,1),"")</f>
        <v/>
      </c>
      <c r="AL446" s="513" t="str">
        <f ca="1">IFERROR(OFFSET(Camp_List[Status],MATCH(Data_NFI_t[[#This Row],[Camp Name]],Camp_List[Camp Name],0)-1,0,1,1),"")</f>
        <v/>
      </c>
      <c r="AM446" s="131"/>
    </row>
    <row r="447" spans="1:39" s="793" customFormat="1" ht="19.5" customHeight="1" x14ac:dyDescent="0.25">
      <c r="A447" s="242" t="str">
        <f>IF(ISBLANK(C447),"",(Report_Date-C447)/30)</f>
        <v/>
      </c>
      <c r="B447" s="522">
        <f>YEAR(Data_NFI_t[[#This Row],[Distribution Date]])</f>
        <v>1900</v>
      </c>
      <c r="C447" s="927"/>
      <c r="D447" s="489"/>
      <c r="E447" s="488"/>
      <c r="F447" s="489"/>
      <c r="G447" s="794"/>
      <c r="H447" s="794"/>
      <c r="I447" s="794"/>
      <c r="J447" s="51"/>
      <c r="K447" s="51"/>
      <c r="L447" s="119"/>
      <c r="M447" s="119"/>
      <c r="N447" s="119"/>
      <c r="O447" s="119"/>
      <c r="P447" s="119"/>
      <c r="Q447" s="119"/>
      <c r="R447" s="512"/>
      <c r="S447" s="119"/>
      <c r="T447" s="119"/>
      <c r="U447" s="119"/>
      <c r="V447" s="119"/>
      <c r="W447" s="131">
        <f>IF(NFI_Expiration=1,IF($A447&lt;VLOOKUP(I$5,NFI,5,0),1,0)*Data_NFI_t[[#This Row],[Hygiene Kit]],0)</f>
        <v>0</v>
      </c>
      <c r="X447" s="131">
        <f>IF(NFI_Expiration=1,IF($A447&lt;VLOOKUP(J$5,NFI,5,0),1,0)*Data_NFI_t[[#This Row],[NFI Core Kit]],0)</f>
        <v>0</v>
      </c>
      <c r="Y447" s="112">
        <f>IF(NFI_Expiration=1,IF($A447&lt;VLOOKUP(K$5,NFI,5,0),1,0)*Data_NFI_t[[#This Row],[Sanitary Kit]],0)</f>
        <v>0</v>
      </c>
      <c r="Z447" s="112">
        <f>IF(NFI_Expiration=1,IF($A447&lt;VLOOKUP(L$5,NFI,5,0),1,0)*Data_NFI_t[[#This Row],[Mosquito net]],0)</f>
        <v>0</v>
      </c>
      <c r="AA447" s="112">
        <f>IF(NFI_Expiration=1,IF($A447&lt;VLOOKUP(M$5,NFI,5,0),1,0)*Data_NFI_t[[#This Row],[Tarpaulin]],0)</f>
        <v>0</v>
      </c>
      <c r="AB447" s="112">
        <f>IF(NFI_Expiration=1,IF($A447&lt;VLOOKUP(N$5,NFI,5,0),1,0)*Data_NFI_t[[#This Row],[Blanket]],0)</f>
        <v>0</v>
      </c>
      <c r="AC447" s="112">
        <f>IF(NFI_Expiration=1,IF($A447&lt;VLOOKUP(O$5,NFI,5,0),1,0)*Data_NFI_t[[#This Row],[Kitchen Set]],0)</f>
        <v>0</v>
      </c>
      <c r="AD447" s="112">
        <f>IF(NFI_Expiration=1,IF($A447&lt;VLOOKUP(P$5,NFI,5,0),1,0)*Data_NFI_t[[#This Row],[Complementary Kit]],0)</f>
        <v>0</v>
      </c>
      <c r="AE447" s="112">
        <f>IF(NFI_Expiration=1,IF($A447&lt;VLOOKUP(Q$5,NFI,5,0),1,0)*Data_NFI_t[[#This Row],[Plastic Bucket]],0)</f>
        <v>0</v>
      </c>
      <c r="AF447" s="131">
        <f>IF(NFI_Expiration=1,IF($A447&lt;VLOOKUP(R$5,NFI,5,0),1,0)*Data_NFI_t[[#This Row],[Jerry Can]],0)</f>
        <v>0</v>
      </c>
      <c r="AG447" s="131">
        <f>IF(NFI_Expiration=1,IF($A447&lt;VLOOKUP(S$5,NFI,5,0),1,0)*Data_NFI_t[[#This Row],[Plastic Mat]],0)*IF(Data_NFI_t[[#This Row],[Distribution Date]]&gt;"01-06-2015",1,2.5)</f>
        <v>0</v>
      </c>
      <c r="AH447" s="915">
        <f>IF(NFI_Expiration=1,IF($A447&lt;VLOOKUP(T$5,NFI,5,0),1,0)*Data_NFI_t[[#This Row],[Adult Clothes]],0)</f>
        <v>0</v>
      </c>
      <c r="AI447" s="131">
        <f>IF(NFI_Expiration=1,IF($A447&lt;VLOOKUP(U$5,NFI,5,0),1,0)*Data_NFI_t[[#This Row],[Children Clothes]],0)</f>
        <v>0</v>
      </c>
      <c r="AJ447" s="131">
        <f>IF(NFI_Expiration=1,IF($A447&lt;VLOOKUP(V$5,NFI,5,0),1,0)*Data_NFI_t[[#This Row],[Sewing Kit]],0)</f>
        <v>0</v>
      </c>
      <c r="AK447" s="131" t="str">
        <f ca="1">IFERROR(OFFSET(Camp_List[P_Code],MATCH(Data_NFI_t[[#This Row],[Camp Name]],Camp_List[Camp Name],0)-1,0,1,1),"")</f>
        <v/>
      </c>
      <c r="AL447" s="513" t="str">
        <f ca="1">IFERROR(OFFSET(Camp_List[Status],MATCH(Data_NFI_t[[#This Row],[Camp Name]],Camp_List[Camp Name],0)-1,0,1,1),"")</f>
        <v/>
      </c>
      <c r="AM447" s="131"/>
    </row>
    <row r="448" spans="1:39" s="793" customFormat="1" ht="19.5" customHeight="1" x14ac:dyDescent="0.25">
      <c r="A448" s="242" t="str">
        <f>IF(ISBLANK(C448),"",(Report_Date-C448)/30)</f>
        <v/>
      </c>
      <c r="B448" s="522">
        <f>YEAR(Data_NFI_t[[#This Row],[Distribution Date]])</f>
        <v>1900</v>
      </c>
      <c r="C448" s="927"/>
      <c r="D448" s="489"/>
      <c r="E448" s="488"/>
      <c r="F448" s="489"/>
      <c r="G448" s="794"/>
      <c r="H448" s="794"/>
      <c r="I448" s="794"/>
      <c r="J448" s="51"/>
      <c r="K448" s="51"/>
      <c r="L448" s="119"/>
      <c r="M448" s="119"/>
      <c r="N448" s="119"/>
      <c r="O448" s="119"/>
      <c r="P448" s="119"/>
      <c r="Q448" s="119"/>
      <c r="R448" s="512"/>
      <c r="S448" s="119"/>
      <c r="T448" s="119"/>
      <c r="U448" s="119"/>
      <c r="V448" s="119"/>
      <c r="W448" s="131">
        <f>IF(NFI_Expiration=1,IF($A448&lt;VLOOKUP(I$5,NFI,5,0),1,0)*Data_NFI_t[[#This Row],[Hygiene Kit]],0)</f>
        <v>0</v>
      </c>
      <c r="X448" s="131">
        <f>IF(NFI_Expiration=1,IF($A448&lt;VLOOKUP(J$5,NFI,5,0),1,0)*Data_NFI_t[[#This Row],[NFI Core Kit]],0)</f>
        <v>0</v>
      </c>
      <c r="Y448" s="112">
        <f>IF(NFI_Expiration=1,IF($A448&lt;VLOOKUP(K$5,NFI,5,0),1,0)*Data_NFI_t[[#This Row],[Sanitary Kit]],0)</f>
        <v>0</v>
      </c>
      <c r="Z448" s="112">
        <f>IF(NFI_Expiration=1,IF($A448&lt;VLOOKUP(L$5,NFI,5,0),1,0)*Data_NFI_t[[#This Row],[Mosquito net]],0)</f>
        <v>0</v>
      </c>
      <c r="AA448" s="112">
        <f>IF(NFI_Expiration=1,IF($A448&lt;VLOOKUP(M$5,NFI,5,0),1,0)*Data_NFI_t[[#This Row],[Tarpaulin]],0)</f>
        <v>0</v>
      </c>
      <c r="AB448" s="112">
        <f>IF(NFI_Expiration=1,IF($A448&lt;VLOOKUP(N$5,NFI,5,0),1,0)*Data_NFI_t[[#This Row],[Blanket]],0)</f>
        <v>0</v>
      </c>
      <c r="AC448" s="112">
        <f>IF(NFI_Expiration=1,IF($A448&lt;VLOOKUP(O$5,NFI,5,0),1,0)*Data_NFI_t[[#This Row],[Kitchen Set]],0)</f>
        <v>0</v>
      </c>
      <c r="AD448" s="112">
        <f>IF(NFI_Expiration=1,IF($A448&lt;VLOOKUP(P$5,NFI,5,0),1,0)*Data_NFI_t[[#This Row],[Complementary Kit]],0)</f>
        <v>0</v>
      </c>
      <c r="AE448" s="112">
        <f>IF(NFI_Expiration=1,IF($A448&lt;VLOOKUP(Q$5,NFI,5,0),1,0)*Data_NFI_t[[#This Row],[Plastic Bucket]],0)</f>
        <v>0</v>
      </c>
      <c r="AF448" s="131">
        <f>IF(NFI_Expiration=1,IF($A448&lt;VLOOKUP(R$5,NFI,5,0),1,0)*Data_NFI_t[[#This Row],[Jerry Can]],0)</f>
        <v>0</v>
      </c>
      <c r="AG448" s="131">
        <f>IF(NFI_Expiration=1,IF($A448&lt;VLOOKUP(S$5,NFI,5,0),1,0)*Data_NFI_t[[#This Row],[Plastic Mat]],0)*IF(Data_NFI_t[[#This Row],[Distribution Date]]&gt;"01-06-2015",1,2.5)</f>
        <v>0</v>
      </c>
      <c r="AH448" s="915">
        <f>IF(NFI_Expiration=1,IF($A448&lt;VLOOKUP(T$5,NFI,5,0),1,0)*Data_NFI_t[[#This Row],[Adult Clothes]],0)</f>
        <v>0</v>
      </c>
      <c r="AI448" s="131">
        <f>IF(NFI_Expiration=1,IF($A448&lt;VLOOKUP(U$5,NFI,5,0),1,0)*Data_NFI_t[[#This Row],[Children Clothes]],0)</f>
        <v>0</v>
      </c>
      <c r="AJ448" s="131">
        <f>IF(NFI_Expiration=1,IF($A448&lt;VLOOKUP(V$5,NFI,5,0),1,0)*Data_NFI_t[[#This Row],[Sewing Kit]],0)</f>
        <v>0</v>
      </c>
      <c r="AK448" s="131" t="str">
        <f ca="1">IFERROR(OFFSET(Camp_List[P_Code],MATCH(Data_NFI_t[[#This Row],[Camp Name]],Camp_List[Camp Name],0)-1,0,1,1),"")</f>
        <v/>
      </c>
      <c r="AL448" s="513" t="str">
        <f ca="1">IFERROR(OFFSET(Camp_List[Status],MATCH(Data_NFI_t[[#This Row],[Camp Name]],Camp_List[Camp Name],0)-1,0,1,1),"")</f>
        <v/>
      </c>
      <c r="AM448" s="131"/>
    </row>
    <row r="449" spans="1:39" s="793" customFormat="1" ht="19.5" customHeight="1" x14ac:dyDescent="0.25">
      <c r="A449" s="242" t="str">
        <f>IF(ISBLANK(C449),"",(Report_Date-C449)/30)</f>
        <v/>
      </c>
      <c r="B449" s="522">
        <f>YEAR(Data_NFI_t[[#This Row],[Distribution Date]])</f>
        <v>1900</v>
      </c>
      <c r="C449" s="927"/>
      <c r="D449" s="489"/>
      <c r="E449" s="488"/>
      <c r="F449" s="489"/>
      <c r="G449" s="794"/>
      <c r="H449" s="794"/>
      <c r="I449" s="794"/>
      <c r="J449" s="51"/>
      <c r="K449" s="51"/>
      <c r="L449" s="119"/>
      <c r="M449" s="119"/>
      <c r="N449" s="119"/>
      <c r="O449" s="119"/>
      <c r="P449" s="119"/>
      <c r="Q449" s="119"/>
      <c r="R449" s="512"/>
      <c r="S449" s="119"/>
      <c r="T449" s="119"/>
      <c r="U449" s="119"/>
      <c r="V449" s="119"/>
      <c r="W449" s="131">
        <f>IF(NFI_Expiration=1,IF($A449&lt;VLOOKUP(I$5,NFI,5,0),1,0)*Data_NFI_t[[#This Row],[Hygiene Kit]],0)</f>
        <v>0</v>
      </c>
      <c r="X449" s="131">
        <f>IF(NFI_Expiration=1,IF($A449&lt;VLOOKUP(J$5,NFI,5,0),1,0)*Data_NFI_t[[#This Row],[NFI Core Kit]],0)</f>
        <v>0</v>
      </c>
      <c r="Y449" s="112">
        <f>IF(NFI_Expiration=1,IF($A449&lt;VLOOKUP(K$5,NFI,5,0),1,0)*Data_NFI_t[[#This Row],[Sanitary Kit]],0)</f>
        <v>0</v>
      </c>
      <c r="Z449" s="112">
        <f>IF(NFI_Expiration=1,IF($A449&lt;VLOOKUP(L$5,NFI,5,0),1,0)*Data_NFI_t[[#This Row],[Mosquito net]],0)</f>
        <v>0</v>
      </c>
      <c r="AA449" s="112">
        <f>IF(NFI_Expiration=1,IF($A449&lt;VLOOKUP(M$5,NFI,5,0),1,0)*Data_NFI_t[[#This Row],[Tarpaulin]],0)</f>
        <v>0</v>
      </c>
      <c r="AB449" s="112">
        <f>IF(NFI_Expiration=1,IF($A449&lt;VLOOKUP(N$5,NFI,5,0),1,0)*Data_NFI_t[[#This Row],[Blanket]],0)</f>
        <v>0</v>
      </c>
      <c r="AC449" s="112">
        <f>IF(NFI_Expiration=1,IF($A449&lt;VLOOKUP(O$5,NFI,5,0),1,0)*Data_NFI_t[[#This Row],[Kitchen Set]],0)</f>
        <v>0</v>
      </c>
      <c r="AD449" s="112">
        <f>IF(NFI_Expiration=1,IF($A449&lt;VLOOKUP(P$5,NFI,5,0),1,0)*Data_NFI_t[[#This Row],[Complementary Kit]],0)</f>
        <v>0</v>
      </c>
      <c r="AE449" s="112">
        <f>IF(NFI_Expiration=1,IF($A449&lt;VLOOKUP(Q$5,NFI,5,0),1,0)*Data_NFI_t[[#This Row],[Plastic Bucket]],0)</f>
        <v>0</v>
      </c>
      <c r="AF449" s="131">
        <f>IF(NFI_Expiration=1,IF($A449&lt;VLOOKUP(R$5,NFI,5,0),1,0)*Data_NFI_t[[#This Row],[Jerry Can]],0)</f>
        <v>0</v>
      </c>
      <c r="AG449" s="131">
        <f>IF(NFI_Expiration=1,IF($A449&lt;VLOOKUP(S$5,NFI,5,0),1,0)*Data_NFI_t[[#This Row],[Plastic Mat]],0)*IF(Data_NFI_t[[#This Row],[Distribution Date]]&gt;"01-06-2015",1,2.5)</f>
        <v>0</v>
      </c>
      <c r="AH449" s="915">
        <f>IF(NFI_Expiration=1,IF($A449&lt;VLOOKUP(T$5,NFI,5,0),1,0)*Data_NFI_t[[#This Row],[Adult Clothes]],0)</f>
        <v>0</v>
      </c>
      <c r="AI449" s="131">
        <f>IF(NFI_Expiration=1,IF($A449&lt;VLOOKUP(U$5,NFI,5,0),1,0)*Data_NFI_t[[#This Row],[Children Clothes]],0)</f>
        <v>0</v>
      </c>
      <c r="AJ449" s="131">
        <f>IF(NFI_Expiration=1,IF($A449&lt;VLOOKUP(V$5,NFI,5,0),1,0)*Data_NFI_t[[#This Row],[Sewing Kit]],0)</f>
        <v>0</v>
      </c>
      <c r="AK449" s="131" t="str">
        <f ca="1">IFERROR(OFFSET(Camp_List[P_Code],MATCH(Data_NFI_t[[#This Row],[Camp Name]],Camp_List[Camp Name],0)-1,0,1,1),"")</f>
        <v/>
      </c>
      <c r="AL449" s="513" t="str">
        <f ca="1">IFERROR(OFFSET(Camp_List[Status],MATCH(Data_NFI_t[[#This Row],[Camp Name]],Camp_List[Camp Name],0)-1,0,1,1),"")</f>
        <v/>
      </c>
      <c r="AM449" s="131"/>
    </row>
    <row r="450" spans="1:39" s="793" customFormat="1" ht="19.5" customHeight="1" x14ac:dyDescent="0.25">
      <c r="A450" s="242" t="str">
        <f>IF(ISBLANK(C450),"",(Report_Date-C450)/30)</f>
        <v/>
      </c>
      <c r="B450" s="522">
        <f>YEAR(Data_NFI_t[[#This Row],[Distribution Date]])</f>
        <v>1900</v>
      </c>
      <c r="C450" s="927"/>
      <c r="D450" s="489"/>
      <c r="E450" s="488"/>
      <c r="F450" s="489"/>
      <c r="G450" s="794"/>
      <c r="H450" s="794"/>
      <c r="I450" s="794"/>
      <c r="J450" s="51"/>
      <c r="K450" s="51"/>
      <c r="L450" s="119"/>
      <c r="M450" s="119"/>
      <c r="N450" s="119"/>
      <c r="O450" s="119"/>
      <c r="P450" s="119"/>
      <c r="Q450" s="119"/>
      <c r="R450" s="512"/>
      <c r="S450" s="119"/>
      <c r="T450" s="119"/>
      <c r="U450" s="119"/>
      <c r="V450" s="119"/>
      <c r="W450" s="131">
        <f>IF(NFI_Expiration=1,IF($A450&lt;VLOOKUP(I$5,NFI,5,0),1,0)*Data_NFI_t[[#This Row],[Hygiene Kit]],0)</f>
        <v>0</v>
      </c>
      <c r="X450" s="131">
        <f>IF(NFI_Expiration=1,IF($A450&lt;VLOOKUP(J$5,NFI,5,0),1,0)*Data_NFI_t[[#This Row],[NFI Core Kit]],0)</f>
        <v>0</v>
      </c>
      <c r="Y450" s="112">
        <f>IF(NFI_Expiration=1,IF($A450&lt;VLOOKUP(K$5,NFI,5,0),1,0)*Data_NFI_t[[#This Row],[Sanitary Kit]],0)</f>
        <v>0</v>
      </c>
      <c r="Z450" s="112">
        <f>IF(NFI_Expiration=1,IF($A450&lt;VLOOKUP(L$5,NFI,5,0),1,0)*Data_NFI_t[[#This Row],[Mosquito net]],0)</f>
        <v>0</v>
      </c>
      <c r="AA450" s="112">
        <f>IF(NFI_Expiration=1,IF($A450&lt;VLOOKUP(M$5,NFI,5,0),1,0)*Data_NFI_t[[#This Row],[Tarpaulin]],0)</f>
        <v>0</v>
      </c>
      <c r="AB450" s="112">
        <f>IF(NFI_Expiration=1,IF($A450&lt;VLOOKUP(N$5,NFI,5,0),1,0)*Data_NFI_t[[#This Row],[Blanket]],0)</f>
        <v>0</v>
      </c>
      <c r="AC450" s="112">
        <f>IF(NFI_Expiration=1,IF($A450&lt;VLOOKUP(O$5,NFI,5,0),1,0)*Data_NFI_t[[#This Row],[Kitchen Set]],0)</f>
        <v>0</v>
      </c>
      <c r="AD450" s="112">
        <f>IF(NFI_Expiration=1,IF($A450&lt;VLOOKUP(P$5,NFI,5,0),1,0)*Data_NFI_t[[#This Row],[Complementary Kit]],0)</f>
        <v>0</v>
      </c>
      <c r="AE450" s="112">
        <f>IF(NFI_Expiration=1,IF($A450&lt;VLOOKUP(Q$5,NFI,5,0),1,0)*Data_NFI_t[[#This Row],[Plastic Bucket]],0)</f>
        <v>0</v>
      </c>
      <c r="AF450" s="131">
        <f>IF(NFI_Expiration=1,IF($A450&lt;VLOOKUP(R$5,NFI,5,0),1,0)*Data_NFI_t[[#This Row],[Jerry Can]],0)</f>
        <v>0</v>
      </c>
      <c r="AG450" s="131">
        <f>IF(NFI_Expiration=1,IF($A450&lt;VLOOKUP(S$5,NFI,5,0),1,0)*Data_NFI_t[[#This Row],[Plastic Mat]],0)*IF(Data_NFI_t[[#This Row],[Distribution Date]]&gt;"01-06-2015",1,2.5)</f>
        <v>0</v>
      </c>
      <c r="AH450" s="915">
        <f>IF(NFI_Expiration=1,IF($A450&lt;VLOOKUP(T$5,NFI,5,0),1,0)*Data_NFI_t[[#This Row],[Adult Clothes]],0)</f>
        <v>0</v>
      </c>
      <c r="AI450" s="131">
        <f>IF(NFI_Expiration=1,IF($A450&lt;VLOOKUP(U$5,NFI,5,0),1,0)*Data_NFI_t[[#This Row],[Children Clothes]],0)</f>
        <v>0</v>
      </c>
      <c r="AJ450" s="131">
        <f>IF(NFI_Expiration=1,IF($A450&lt;VLOOKUP(V$5,NFI,5,0),1,0)*Data_NFI_t[[#This Row],[Sewing Kit]],0)</f>
        <v>0</v>
      </c>
      <c r="AK450" s="131" t="str">
        <f ca="1">IFERROR(OFFSET(Camp_List[P_Code],MATCH(Data_NFI_t[[#This Row],[Camp Name]],Camp_List[Camp Name],0)-1,0,1,1),"")</f>
        <v/>
      </c>
      <c r="AL450" s="513" t="str">
        <f ca="1">IFERROR(OFFSET(Camp_List[Status],MATCH(Data_NFI_t[[#This Row],[Camp Name]],Camp_List[Camp Name],0)-1,0,1,1),"")</f>
        <v/>
      </c>
      <c r="AM450" s="131"/>
    </row>
    <row r="451" spans="1:39" s="793" customFormat="1" ht="19.5" customHeight="1" x14ac:dyDescent="0.25">
      <c r="A451" s="242" t="str">
        <f>IF(ISBLANK(C451),"",(Report_Date-C451)/30)</f>
        <v/>
      </c>
      <c r="B451" s="522">
        <f>YEAR(Data_NFI_t[[#This Row],[Distribution Date]])</f>
        <v>1900</v>
      </c>
      <c r="C451" s="927"/>
      <c r="D451" s="489"/>
      <c r="E451" s="488"/>
      <c r="F451" s="489"/>
      <c r="G451" s="794"/>
      <c r="H451" s="794"/>
      <c r="I451" s="794"/>
      <c r="J451" s="51"/>
      <c r="K451" s="51"/>
      <c r="L451" s="119"/>
      <c r="M451" s="119"/>
      <c r="N451" s="119"/>
      <c r="O451" s="119"/>
      <c r="P451" s="119"/>
      <c r="Q451" s="119"/>
      <c r="R451" s="512"/>
      <c r="S451" s="119"/>
      <c r="T451" s="119"/>
      <c r="U451" s="119"/>
      <c r="V451" s="119"/>
      <c r="W451" s="131">
        <f>IF(NFI_Expiration=1,IF($A451&lt;VLOOKUP(I$5,NFI,5,0),1,0)*Data_NFI_t[[#This Row],[Hygiene Kit]],0)</f>
        <v>0</v>
      </c>
      <c r="X451" s="131">
        <f>IF(NFI_Expiration=1,IF($A451&lt;VLOOKUP(J$5,NFI,5,0),1,0)*Data_NFI_t[[#This Row],[NFI Core Kit]],0)</f>
        <v>0</v>
      </c>
      <c r="Y451" s="112">
        <f>IF(NFI_Expiration=1,IF($A451&lt;VLOOKUP(K$5,NFI,5,0),1,0)*Data_NFI_t[[#This Row],[Sanitary Kit]],0)</f>
        <v>0</v>
      </c>
      <c r="Z451" s="112">
        <f>IF(NFI_Expiration=1,IF($A451&lt;VLOOKUP(L$5,NFI,5,0),1,0)*Data_NFI_t[[#This Row],[Mosquito net]],0)</f>
        <v>0</v>
      </c>
      <c r="AA451" s="112">
        <f>IF(NFI_Expiration=1,IF($A451&lt;VLOOKUP(M$5,NFI,5,0),1,0)*Data_NFI_t[[#This Row],[Tarpaulin]],0)</f>
        <v>0</v>
      </c>
      <c r="AB451" s="112">
        <f>IF(NFI_Expiration=1,IF($A451&lt;VLOOKUP(N$5,NFI,5,0),1,0)*Data_NFI_t[[#This Row],[Blanket]],0)</f>
        <v>0</v>
      </c>
      <c r="AC451" s="112">
        <f>IF(NFI_Expiration=1,IF($A451&lt;VLOOKUP(O$5,NFI,5,0),1,0)*Data_NFI_t[[#This Row],[Kitchen Set]],0)</f>
        <v>0</v>
      </c>
      <c r="AD451" s="112">
        <f>IF(NFI_Expiration=1,IF($A451&lt;VLOOKUP(P$5,NFI,5,0),1,0)*Data_NFI_t[[#This Row],[Complementary Kit]],0)</f>
        <v>0</v>
      </c>
      <c r="AE451" s="112">
        <f>IF(NFI_Expiration=1,IF($A451&lt;VLOOKUP(Q$5,NFI,5,0),1,0)*Data_NFI_t[[#This Row],[Plastic Bucket]],0)</f>
        <v>0</v>
      </c>
      <c r="AF451" s="131">
        <f>IF(NFI_Expiration=1,IF($A451&lt;VLOOKUP(R$5,NFI,5,0),1,0)*Data_NFI_t[[#This Row],[Jerry Can]],0)</f>
        <v>0</v>
      </c>
      <c r="AG451" s="131">
        <f>IF(NFI_Expiration=1,IF($A451&lt;VLOOKUP(S$5,NFI,5,0),1,0)*Data_NFI_t[[#This Row],[Plastic Mat]],0)*IF(Data_NFI_t[[#This Row],[Distribution Date]]&gt;"01-06-2015",1,2.5)</f>
        <v>0</v>
      </c>
      <c r="AH451" s="915">
        <f>IF(NFI_Expiration=1,IF($A451&lt;VLOOKUP(T$5,NFI,5,0),1,0)*Data_NFI_t[[#This Row],[Adult Clothes]],0)</f>
        <v>0</v>
      </c>
      <c r="AI451" s="131">
        <f>IF(NFI_Expiration=1,IF($A451&lt;VLOOKUP(U$5,NFI,5,0),1,0)*Data_NFI_t[[#This Row],[Children Clothes]],0)</f>
        <v>0</v>
      </c>
      <c r="AJ451" s="131">
        <f>IF(NFI_Expiration=1,IF($A451&lt;VLOOKUP(V$5,NFI,5,0),1,0)*Data_NFI_t[[#This Row],[Sewing Kit]],0)</f>
        <v>0</v>
      </c>
      <c r="AK451" s="131" t="str">
        <f ca="1">IFERROR(OFFSET(Camp_List[P_Code],MATCH(Data_NFI_t[[#This Row],[Camp Name]],Camp_List[Camp Name],0)-1,0,1,1),"")</f>
        <v/>
      </c>
      <c r="AL451" s="513" t="str">
        <f ca="1">IFERROR(OFFSET(Camp_List[Status],MATCH(Data_NFI_t[[#This Row],[Camp Name]],Camp_List[Camp Name],0)-1,0,1,1),"")</f>
        <v/>
      </c>
      <c r="AM451" s="131"/>
    </row>
    <row r="452" spans="1:39" s="793" customFormat="1" ht="19.5" customHeight="1" x14ac:dyDescent="0.25">
      <c r="A452" s="242" t="str">
        <f>IF(ISBLANK(C452),"",(Report_Date-C452)/30)</f>
        <v/>
      </c>
      <c r="B452" s="522">
        <f>YEAR(Data_NFI_t[[#This Row],[Distribution Date]])</f>
        <v>1900</v>
      </c>
      <c r="C452" s="927"/>
      <c r="D452" s="489"/>
      <c r="E452" s="488"/>
      <c r="F452" s="489"/>
      <c r="G452" s="794"/>
      <c r="H452" s="794"/>
      <c r="I452" s="794"/>
      <c r="J452" s="51"/>
      <c r="K452" s="51"/>
      <c r="L452" s="119"/>
      <c r="M452" s="119"/>
      <c r="N452" s="119"/>
      <c r="O452" s="119"/>
      <c r="P452" s="119"/>
      <c r="Q452" s="119"/>
      <c r="R452" s="512"/>
      <c r="S452" s="119"/>
      <c r="T452" s="119"/>
      <c r="U452" s="119"/>
      <c r="V452" s="119"/>
      <c r="W452" s="131">
        <f>IF(NFI_Expiration=1,IF($A452&lt;VLOOKUP(I$5,NFI,5,0),1,0)*Data_NFI_t[[#This Row],[Hygiene Kit]],0)</f>
        <v>0</v>
      </c>
      <c r="X452" s="131">
        <f>IF(NFI_Expiration=1,IF($A452&lt;VLOOKUP(J$5,NFI,5,0),1,0)*Data_NFI_t[[#This Row],[NFI Core Kit]],0)</f>
        <v>0</v>
      </c>
      <c r="Y452" s="112">
        <f>IF(NFI_Expiration=1,IF($A452&lt;VLOOKUP(K$5,NFI,5,0),1,0)*Data_NFI_t[[#This Row],[Sanitary Kit]],0)</f>
        <v>0</v>
      </c>
      <c r="Z452" s="112">
        <f>IF(NFI_Expiration=1,IF($A452&lt;VLOOKUP(L$5,NFI,5,0),1,0)*Data_NFI_t[[#This Row],[Mosquito net]],0)</f>
        <v>0</v>
      </c>
      <c r="AA452" s="112">
        <f>IF(NFI_Expiration=1,IF($A452&lt;VLOOKUP(M$5,NFI,5,0),1,0)*Data_NFI_t[[#This Row],[Tarpaulin]],0)</f>
        <v>0</v>
      </c>
      <c r="AB452" s="112">
        <f>IF(NFI_Expiration=1,IF($A452&lt;VLOOKUP(N$5,NFI,5,0),1,0)*Data_NFI_t[[#This Row],[Blanket]],0)</f>
        <v>0</v>
      </c>
      <c r="AC452" s="112">
        <f>IF(NFI_Expiration=1,IF($A452&lt;VLOOKUP(O$5,NFI,5,0),1,0)*Data_NFI_t[[#This Row],[Kitchen Set]],0)</f>
        <v>0</v>
      </c>
      <c r="AD452" s="112">
        <f>IF(NFI_Expiration=1,IF($A452&lt;VLOOKUP(P$5,NFI,5,0),1,0)*Data_NFI_t[[#This Row],[Complementary Kit]],0)</f>
        <v>0</v>
      </c>
      <c r="AE452" s="112">
        <f>IF(NFI_Expiration=1,IF($A452&lt;VLOOKUP(Q$5,NFI,5,0),1,0)*Data_NFI_t[[#This Row],[Plastic Bucket]],0)</f>
        <v>0</v>
      </c>
      <c r="AF452" s="131">
        <f>IF(NFI_Expiration=1,IF($A452&lt;VLOOKUP(R$5,NFI,5,0),1,0)*Data_NFI_t[[#This Row],[Jerry Can]],0)</f>
        <v>0</v>
      </c>
      <c r="AG452" s="131">
        <f>IF(NFI_Expiration=1,IF($A452&lt;VLOOKUP(S$5,NFI,5,0),1,0)*Data_NFI_t[[#This Row],[Plastic Mat]],0)*IF(Data_NFI_t[[#This Row],[Distribution Date]]&gt;"01-06-2015",1,2.5)</f>
        <v>0</v>
      </c>
      <c r="AH452" s="915">
        <f>IF(NFI_Expiration=1,IF($A452&lt;VLOOKUP(T$5,NFI,5,0),1,0)*Data_NFI_t[[#This Row],[Adult Clothes]],0)</f>
        <v>0</v>
      </c>
      <c r="AI452" s="131">
        <f>IF(NFI_Expiration=1,IF($A452&lt;VLOOKUP(U$5,NFI,5,0),1,0)*Data_NFI_t[[#This Row],[Children Clothes]],0)</f>
        <v>0</v>
      </c>
      <c r="AJ452" s="131">
        <f>IF(NFI_Expiration=1,IF($A452&lt;VLOOKUP(V$5,NFI,5,0),1,0)*Data_NFI_t[[#This Row],[Sewing Kit]],0)</f>
        <v>0</v>
      </c>
      <c r="AK452" s="131" t="str">
        <f ca="1">IFERROR(OFFSET(Camp_List[P_Code],MATCH(Data_NFI_t[[#This Row],[Camp Name]],Camp_List[Camp Name],0)-1,0,1,1),"")</f>
        <v/>
      </c>
      <c r="AL452" s="513" t="str">
        <f ca="1">IFERROR(OFFSET(Camp_List[Status],MATCH(Data_NFI_t[[#This Row],[Camp Name]],Camp_List[Camp Name],0)-1,0,1,1),"")</f>
        <v/>
      </c>
      <c r="AM452" s="131"/>
    </row>
    <row r="453" spans="1:39" s="793" customFormat="1" ht="19.5" customHeight="1" x14ac:dyDescent="0.25">
      <c r="A453" s="242" t="str">
        <f>IF(ISBLANK(C453),"",(Report_Date-C453)/30)</f>
        <v/>
      </c>
      <c r="B453" s="522">
        <f>YEAR(Data_NFI_t[[#This Row],[Distribution Date]])</f>
        <v>1900</v>
      </c>
      <c r="C453" s="927"/>
      <c r="D453" s="489"/>
      <c r="E453" s="488"/>
      <c r="F453" s="489"/>
      <c r="G453" s="794"/>
      <c r="H453" s="794"/>
      <c r="I453" s="794"/>
      <c r="J453" s="51"/>
      <c r="K453" s="51"/>
      <c r="L453" s="119"/>
      <c r="M453" s="119"/>
      <c r="N453" s="119"/>
      <c r="O453" s="119"/>
      <c r="P453" s="119"/>
      <c r="Q453" s="119"/>
      <c r="R453" s="512"/>
      <c r="S453" s="119"/>
      <c r="T453" s="119"/>
      <c r="U453" s="119"/>
      <c r="V453" s="119"/>
      <c r="W453" s="131">
        <f>IF(NFI_Expiration=1,IF($A453&lt;VLOOKUP(I$5,NFI,5,0),1,0)*Data_NFI_t[[#This Row],[Hygiene Kit]],0)</f>
        <v>0</v>
      </c>
      <c r="X453" s="131">
        <f>IF(NFI_Expiration=1,IF($A453&lt;VLOOKUP(J$5,NFI,5,0),1,0)*Data_NFI_t[[#This Row],[NFI Core Kit]],0)</f>
        <v>0</v>
      </c>
      <c r="Y453" s="112">
        <f>IF(NFI_Expiration=1,IF($A453&lt;VLOOKUP(K$5,NFI,5,0),1,0)*Data_NFI_t[[#This Row],[Sanitary Kit]],0)</f>
        <v>0</v>
      </c>
      <c r="Z453" s="112">
        <f>IF(NFI_Expiration=1,IF($A453&lt;VLOOKUP(L$5,NFI,5,0),1,0)*Data_NFI_t[[#This Row],[Mosquito net]],0)</f>
        <v>0</v>
      </c>
      <c r="AA453" s="112">
        <f>IF(NFI_Expiration=1,IF($A453&lt;VLOOKUP(M$5,NFI,5,0),1,0)*Data_NFI_t[[#This Row],[Tarpaulin]],0)</f>
        <v>0</v>
      </c>
      <c r="AB453" s="112">
        <f>IF(NFI_Expiration=1,IF($A453&lt;VLOOKUP(N$5,NFI,5,0),1,0)*Data_NFI_t[[#This Row],[Blanket]],0)</f>
        <v>0</v>
      </c>
      <c r="AC453" s="112">
        <f>IF(NFI_Expiration=1,IF($A453&lt;VLOOKUP(O$5,NFI,5,0),1,0)*Data_NFI_t[[#This Row],[Kitchen Set]],0)</f>
        <v>0</v>
      </c>
      <c r="AD453" s="112">
        <f>IF(NFI_Expiration=1,IF($A453&lt;VLOOKUP(P$5,NFI,5,0),1,0)*Data_NFI_t[[#This Row],[Complementary Kit]],0)</f>
        <v>0</v>
      </c>
      <c r="AE453" s="112">
        <f>IF(NFI_Expiration=1,IF($A453&lt;VLOOKUP(Q$5,NFI,5,0),1,0)*Data_NFI_t[[#This Row],[Plastic Bucket]],0)</f>
        <v>0</v>
      </c>
      <c r="AF453" s="131">
        <f>IF(NFI_Expiration=1,IF($A453&lt;VLOOKUP(R$5,NFI,5,0),1,0)*Data_NFI_t[[#This Row],[Jerry Can]],0)</f>
        <v>0</v>
      </c>
      <c r="AG453" s="131">
        <f>IF(NFI_Expiration=1,IF($A453&lt;VLOOKUP(S$5,NFI,5,0),1,0)*Data_NFI_t[[#This Row],[Plastic Mat]],0)*IF(Data_NFI_t[[#This Row],[Distribution Date]]&gt;"01-06-2015",1,2.5)</f>
        <v>0</v>
      </c>
      <c r="AH453" s="915">
        <f>IF(NFI_Expiration=1,IF($A453&lt;VLOOKUP(T$5,NFI,5,0),1,0)*Data_NFI_t[[#This Row],[Adult Clothes]],0)</f>
        <v>0</v>
      </c>
      <c r="AI453" s="131">
        <f>IF(NFI_Expiration=1,IF($A453&lt;VLOOKUP(U$5,NFI,5,0),1,0)*Data_NFI_t[[#This Row],[Children Clothes]],0)</f>
        <v>0</v>
      </c>
      <c r="AJ453" s="131">
        <f>IF(NFI_Expiration=1,IF($A453&lt;VLOOKUP(V$5,NFI,5,0),1,0)*Data_NFI_t[[#This Row],[Sewing Kit]],0)</f>
        <v>0</v>
      </c>
      <c r="AK453" s="131" t="str">
        <f ca="1">IFERROR(OFFSET(Camp_List[P_Code],MATCH(Data_NFI_t[[#This Row],[Camp Name]],Camp_List[Camp Name],0)-1,0,1,1),"")</f>
        <v/>
      </c>
      <c r="AL453" s="513" t="str">
        <f ca="1">IFERROR(OFFSET(Camp_List[Status],MATCH(Data_NFI_t[[#This Row],[Camp Name]],Camp_List[Camp Name],0)-1,0,1,1),"")</f>
        <v/>
      </c>
      <c r="AM453" s="131"/>
    </row>
    <row r="454" spans="1:39" s="793" customFormat="1" ht="19.5" customHeight="1" x14ac:dyDescent="0.25">
      <c r="A454" s="242" t="str">
        <f>IF(ISBLANK(C454),"",(Report_Date-C454)/30)</f>
        <v/>
      </c>
      <c r="B454" s="522">
        <f>YEAR(Data_NFI_t[[#This Row],[Distribution Date]])</f>
        <v>1900</v>
      </c>
      <c r="C454" s="927"/>
      <c r="D454" s="489"/>
      <c r="E454" s="488"/>
      <c r="F454" s="489"/>
      <c r="G454" s="794"/>
      <c r="H454" s="794"/>
      <c r="I454" s="794"/>
      <c r="J454" s="51"/>
      <c r="K454" s="51"/>
      <c r="L454" s="119"/>
      <c r="M454" s="119"/>
      <c r="N454" s="119"/>
      <c r="O454" s="119"/>
      <c r="P454" s="119"/>
      <c r="Q454" s="119"/>
      <c r="R454" s="512"/>
      <c r="S454" s="119"/>
      <c r="T454" s="119"/>
      <c r="U454" s="119"/>
      <c r="V454" s="119"/>
      <c r="W454" s="131">
        <f>IF(NFI_Expiration=1,IF($A454&lt;VLOOKUP(I$5,NFI,5,0),1,0)*Data_NFI_t[[#This Row],[Hygiene Kit]],0)</f>
        <v>0</v>
      </c>
      <c r="X454" s="131">
        <f>IF(NFI_Expiration=1,IF($A454&lt;VLOOKUP(J$5,NFI,5,0),1,0)*Data_NFI_t[[#This Row],[NFI Core Kit]],0)</f>
        <v>0</v>
      </c>
      <c r="Y454" s="112">
        <f>IF(NFI_Expiration=1,IF($A454&lt;VLOOKUP(K$5,NFI,5,0),1,0)*Data_NFI_t[[#This Row],[Sanitary Kit]],0)</f>
        <v>0</v>
      </c>
      <c r="Z454" s="112">
        <f>IF(NFI_Expiration=1,IF($A454&lt;VLOOKUP(L$5,NFI,5,0),1,0)*Data_NFI_t[[#This Row],[Mosquito net]],0)</f>
        <v>0</v>
      </c>
      <c r="AA454" s="112">
        <f>IF(NFI_Expiration=1,IF($A454&lt;VLOOKUP(M$5,NFI,5,0),1,0)*Data_NFI_t[[#This Row],[Tarpaulin]],0)</f>
        <v>0</v>
      </c>
      <c r="AB454" s="112">
        <f>IF(NFI_Expiration=1,IF($A454&lt;VLOOKUP(N$5,NFI,5,0),1,0)*Data_NFI_t[[#This Row],[Blanket]],0)</f>
        <v>0</v>
      </c>
      <c r="AC454" s="112">
        <f>IF(NFI_Expiration=1,IF($A454&lt;VLOOKUP(O$5,NFI,5,0),1,0)*Data_NFI_t[[#This Row],[Kitchen Set]],0)</f>
        <v>0</v>
      </c>
      <c r="AD454" s="112">
        <f>IF(NFI_Expiration=1,IF($A454&lt;VLOOKUP(P$5,NFI,5,0),1,0)*Data_NFI_t[[#This Row],[Complementary Kit]],0)</f>
        <v>0</v>
      </c>
      <c r="AE454" s="112">
        <f>IF(NFI_Expiration=1,IF($A454&lt;VLOOKUP(Q$5,NFI,5,0),1,0)*Data_NFI_t[[#This Row],[Plastic Bucket]],0)</f>
        <v>0</v>
      </c>
      <c r="AF454" s="131">
        <f>IF(NFI_Expiration=1,IF($A454&lt;VLOOKUP(R$5,NFI,5,0),1,0)*Data_NFI_t[[#This Row],[Jerry Can]],0)</f>
        <v>0</v>
      </c>
      <c r="AG454" s="131">
        <f>IF(NFI_Expiration=1,IF($A454&lt;VLOOKUP(S$5,NFI,5,0),1,0)*Data_NFI_t[[#This Row],[Plastic Mat]],0)*IF(Data_NFI_t[[#This Row],[Distribution Date]]&gt;"01-06-2015",1,2.5)</f>
        <v>0</v>
      </c>
      <c r="AH454" s="915">
        <f>IF(NFI_Expiration=1,IF($A454&lt;VLOOKUP(T$5,NFI,5,0),1,0)*Data_NFI_t[[#This Row],[Adult Clothes]],0)</f>
        <v>0</v>
      </c>
      <c r="AI454" s="131">
        <f>IF(NFI_Expiration=1,IF($A454&lt;VLOOKUP(U$5,NFI,5,0),1,0)*Data_NFI_t[[#This Row],[Children Clothes]],0)</f>
        <v>0</v>
      </c>
      <c r="AJ454" s="131">
        <f>IF(NFI_Expiration=1,IF($A454&lt;VLOOKUP(V$5,NFI,5,0),1,0)*Data_NFI_t[[#This Row],[Sewing Kit]],0)</f>
        <v>0</v>
      </c>
      <c r="AK454" s="131" t="str">
        <f ca="1">IFERROR(OFFSET(Camp_List[P_Code],MATCH(Data_NFI_t[[#This Row],[Camp Name]],Camp_List[Camp Name],0)-1,0,1,1),"")</f>
        <v/>
      </c>
      <c r="AL454" s="513" t="str">
        <f ca="1">IFERROR(OFFSET(Camp_List[Status],MATCH(Data_NFI_t[[#This Row],[Camp Name]],Camp_List[Camp Name],0)-1,0,1,1),"")</f>
        <v/>
      </c>
      <c r="AM454" s="131"/>
    </row>
    <row r="455" spans="1:39" s="793" customFormat="1" ht="19.5" customHeight="1" x14ac:dyDescent="0.25">
      <c r="A455" s="242" t="str">
        <f>IF(ISBLANK(C455),"",(Report_Date-C455)/30)</f>
        <v/>
      </c>
      <c r="B455" s="522">
        <f>YEAR(Data_NFI_t[[#This Row],[Distribution Date]])</f>
        <v>1900</v>
      </c>
      <c r="C455" s="927"/>
      <c r="D455" s="489"/>
      <c r="E455" s="488"/>
      <c r="F455" s="489"/>
      <c r="G455" s="794"/>
      <c r="H455" s="794"/>
      <c r="I455" s="794"/>
      <c r="J455" s="51"/>
      <c r="K455" s="51"/>
      <c r="L455" s="119"/>
      <c r="M455" s="119"/>
      <c r="N455" s="119"/>
      <c r="O455" s="119"/>
      <c r="P455" s="119"/>
      <c r="Q455" s="119"/>
      <c r="R455" s="512"/>
      <c r="S455" s="119"/>
      <c r="T455" s="119"/>
      <c r="U455" s="119"/>
      <c r="V455" s="119"/>
      <c r="W455" s="131">
        <f>IF(NFI_Expiration=1,IF($A455&lt;VLOOKUP(I$5,NFI,5,0),1,0)*Data_NFI_t[[#This Row],[Hygiene Kit]],0)</f>
        <v>0</v>
      </c>
      <c r="X455" s="131">
        <f>IF(NFI_Expiration=1,IF($A455&lt;VLOOKUP(J$5,NFI,5,0),1,0)*Data_NFI_t[[#This Row],[NFI Core Kit]],0)</f>
        <v>0</v>
      </c>
      <c r="Y455" s="112">
        <f>IF(NFI_Expiration=1,IF($A455&lt;VLOOKUP(K$5,NFI,5,0),1,0)*Data_NFI_t[[#This Row],[Sanitary Kit]],0)</f>
        <v>0</v>
      </c>
      <c r="Z455" s="112">
        <f>IF(NFI_Expiration=1,IF($A455&lt;VLOOKUP(L$5,NFI,5,0),1,0)*Data_NFI_t[[#This Row],[Mosquito net]],0)</f>
        <v>0</v>
      </c>
      <c r="AA455" s="112">
        <f>IF(NFI_Expiration=1,IF($A455&lt;VLOOKUP(M$5,NFI,5,0),1,0)*Data_NFI_t[[#This Row],[Tarpaulin]],0)</f>
        <v>0</v>
      </c>
      <c r="AB455" s="112">
        <f>IF(NFI_Expiration=1,IF($A455&lt;VLOOKUP(N$5,NFI,5,0),1,0)*Data_NFI_t[[#This Row],[Blanket]],0)</f>
        <v>0</v>
      </c>
      <c r="AC455" s="112">
        <f>IF(NFI_Expiration=1,IF($A455&lt;VLOOKUP(O$5,NFI,5,0),1,0)*Data_NFI_t[[#This Row],[Kitchen Set]],0)</f>
        <v>0</v>
      </c>
      <c r="AD455" s="112">
        <f>IF(NFI_Expiration=1,IF($A455&lt;VLOOKUP(P$5,NFI,5,0),1,0)*Data_NFI_t[[#This Row],[Complementary Kit]],0)</f>
        <v>0</v>
      </c>
      <c r="AE455" s="112">
        <f>IF(NFI_Expiration=1,IF($A455&lt;VLOOKUP(Q$5,NFI,5,0),1,0)*Data_NFI_t[[#This Row],[Plastic Bucket]],0)</f>
        <v>0</v>
      </c>
      <c r="AF455" s="131">
        <f>IF(NFI_Expiration=1,IF($A455&lt;VLOOKUP(R$5,NFI,5,0),1,0)*Data_NFI_t[[#This Row],[Jerry Can]],0)</f>
        <v>0</v>
      </c>
      <c r="AG455" s="131">
        <f>IF(NFI_Expiration=1,IF($A455&lt;VLOOKUP(S$5,NFI,5,0),1,0)*Data_NFI_t[[#This Row],[Plastic Mat]],0)*IF(Data_NFI_t[[#This Row],[Distribution Date]]&gt;"01-06-2015",1,2.5)</f>
        <v>0</v>
      </c>
      <c r="AH455" s="915">
        <f>IF(NFI_Expiration=1,IF($A455&lt;VLOOKUP(T$5,NFI,5,0),1,0)*Data_NFI_t[[#This Row],[Adult Clothes]],0)</f>
        <v>0</v>
      </c>
      <c r="AI455" s="131">
        <f>IF(NFI_Expiration=1,IF($A455&lt;VLOOKUP(U$5,NFI,5,0),1,0)*Data_NFI_t[[#This Row],[Children Clothes]],0)</f>
        <v>0</v>
      </c>
      <c r="AJ455" s="131">
        <f>IF(NFI_Expiration=1,IF($A455&lt;VLOOKUP(V$5,NFI,5,0),1,0)*Data_NFI_t[[#This Row],[Sewing Kit]],0)</f>
        <v>0</v>
      </c>
      <c r="AK455" s="131" t="str">
        <f ca="1">IFERROR(OFFSET(Camp_List[P_Code],MATCH(Data_NFI_t[[#This Row],[Camp Name]],Camp_List[Camp Name],0)-1,0,1,1),"")</f>
        <v/>
      </c>
      <c r="AL455" s="513" t="str">
        <f ca="1">IFERROR(OFFSET(Camp_List[Status],MATCH(Data_NFI_t[[#This Row],[Camp Name]],Camp_List[Camp Name],0)-1,0,1,1),"")</f>
        <v/>
      </c>
      <c r="AM455" s="131"/>
    </row>
    <row r="456" spans="1:39" s="793" customFormat="1" ht="19.5" customHeight="1" x14ac:dyDescent="0.25">
      <c r="A456" s="242" t="str">
        <f>IF(ISBLANK(C456),"",(Report_Date-C456)/30)</f>
        <v/>
      </c>
      <c r="B456" s="522">
        <f>YEAR(Data_NFI_t[[#This Row],[Distribution Date]])</f>
        <v>1900</v>
      </c>
      <c r="C456" s="927"/>
      <c r="D456" s="489"/>
      <c r="E456" s="488"/>
      <c r="F456" s="489"/>
      <c r="G456" s="794"/>
      <c r="H456" s="794"/>
      <c r="I456" s="794"/>
      <c r="J456" s="51"/>
      <c r="K456" s="51"/>
      <c r="L456" s="119"/>
      <c r="M456" s="119"/>
      <c r="N456" s="119"/>
      <c r="O456" s="119"/>
      <c r="P456" s="119"/>
      <c r="Q456" s="119"/>
      <c r="R456" s="512"/>
      <c r="S456" s="119"/>
      <c r="T456" s="119"/>
      <c r="U456" s="119"/>
      <c r="V456" s="119"/>
      <c r="W456" s="131">
        <f>IF(NFI_Expiration=1,IF($A456&lt;VLOOKUP(I$5,NFI,5,0),1,0)*Data_NFI_t[[#This Row],[Hygiene Kit]],0)</f>
        <v>0</v>
      </c>
      <c r="X456" s="131">
        <f>IF(NFI_Expiration=1,IF($A456&lt;VLOOKUP(J$5,NFI,5,0),1,0)*Data_NFI_t[[#This Row],[NFI Core Kit]],0)</f>
        <v>0</v>
      </c>
      <c r="Y456" s="112">
        <f>IF(NFI_Expiration=1,IF($A456&lt;VLOOKUP(K$5,NFI,5,0),1,0)*Data_NFI_t[[#This Row],[Sanitary Kit]],0)</f>
        <v>0</v>
      </c>
      <c r="Z456" s="112">
        <f>IF(NFI_Expiration=1,IF($A456&lt;VLOOKUP(L$5,NFI,5,0),1,0)*Data_NFI_t[[#This Row],[Mosquito net]],0)</f>
        <v>0</v>
      </c>
      <c r="AA456" s="112">
        <f>IF(NFI_Expiration=1,IF($A456&lt;VLOOKUP(M$5,NFI,5,0),1,0)*Data_NFI_t[[#This Row],[Tarpaulin]],0)</f>
        <v>0</v>
      </c>
      <c r="AB456" s="112">
        <f>IF(NFI_Expiration=1,IF($A456&lt;VLOOKUP(N$5,NFI,5,0),1,0)*Data_NFI_t[[#This Row],[Blanket]],0)</f>
        <v>0</v>
      </c>
      <c r="AC456" s="112">
        <f>IF(NFI_Expiration=1,IF($A456&lt;VLOOKUP(O$5,NFI,5,0),1,0)*Data_NFI_t[[#This Row],[Kitchen Set]],0)</f>
        <v>0</v>
      </c>
      <c r="AD456" s="112">
        <f>IF(NFI_Expiration=1,IF($A456&lt;VLOOKUP(P$5,NFI,5,0),1,0)*Data_NFI_t[[#This Row],[Complementary Kit]],0)</f>
        <v>0</v>
      </c>
      <c r="AE456" s="112">
        <f>IF(NFI_Expiration=1,IF($A456&lt;VLOOKUP(Q$5,NFI,5,0),1,0)*Data_NFI_t[[#This Row],[Plastic Bucket]],0)</f>
        <v>0</v>
      </c>
      <c r="AF456" s="131">
        <f>IF(NFI_Expiration=1,IF($A456&lt;VLOOKUP(R$5,NFI,5,0),1,0)*Data_NFI_t[[#This Row],[Jerry Can]],0)</f>
        <v>0</v>
      </c>
      <c r="AG456" s="131">
        <f>IF(NFI_Expiration=1,IF($A456&lt;VLOOKUP(S$5,NFI,5,0),1,0)*Data_NFI_t[[#This Row],[Plastic Mat]],0)*IF(Data_NFI_t[[#This Row],[Distribution Date]]&gt;"01-06-2015",1,2.5)</f>
        <v>0</v>
      </c>
      <c r="AH456" s="915">
        <f>IF(NFI_Expiration=1,IF($A456&lt;VLOOKUP(T$5,NFI,5,0),1,0)*Data_NFI_t[[#This Row],[Adult Clothes]],0)</f>
        <v>0</v>
      </c>
      <c r="AI456" s="131">
        <f>IF(NFI_Expiration=1,IF($A456&lt;VLOOKUP(U$5,NFI,5,0),1,0)*Data_NFI_t[[#This Row],[Children Clothes]],0)</f>
        <v>0</v>
      </c>
      <c r="AJ456" s="131">
        <f>IF(NFI_Expiration=1,IF($A456&lt;VLOOKUP(V$5,NFI,5,0),1,0)*Data_NFI_t[[#This Row],[Sewing Kit]],0)</f>
        <v>0</v>
      </c>
      <c r="AK456" s="131" t="str">
        <f ca="1">IFERROR(OFFSET(Camp_List[P_Code],MATCH(Data_NFI_t[[#This Row],[Camp Name]],Camp_List[Camp Name],0)-1,0,1,1),"")</f>
        <v/>
      </c>
      <c r="AL456" s="513" t="str">
        <f ca="1">IFERROR(OFFSET(Camp_List[Status],MATCH(Data_NFI_t[[#This Row],[Camp Name]],Camp_List[Camp Name],0)-1,0,1,1),"")</f>
        <v/>
      </c>
      <c r="AM456" s="131"/>
    </row>
    <row r="457" spans="1:39" s="793" customFormat="1" ht="19.5" customHeight="1" x14ac:dyDescent="0.25">
      <c r="A457" s="242" t="str">
        <f>IF(ISBLANK(C457),"",(Report_Date-C457)/30)</f>
        <v/>
      </c>
      <c r="B457" s="522">
        <f>YEAR(Data_NFI_t[[#This Row],[Distribution Date]])</f>
        <v>1900</v>
      </c>
      <c r="C457" s="927"/>
      <c r="D457" s="489"/>
      <c r="E457" s="488"/>
      <c r="F457" s="489"/>
      <c r="G457" s="794"/>
      <c r="H457" s="794"/>
      <c r="I457" s="794"/>
      <c r="J457" s="51"/>
      <c r="K457" s="51"/>
      <c r="L457" s="119"/>
      <c r="M457" s="119"/>
      <c r="N457" s="119"/>
      <c r="O457" s="119"/>
      <c r="P457" s="119"/>
      <c r="Q457" s="119"/>
      <c r="R457" s="512"/>
      <c r="S457" s="119"/>
      <c r="T457" s="119"/>
      <c r="U457" s="119"/>
      <c r="V457" s="119"/>
      <c r="W457" s="131">
        <f>IF(NFI_Expiration=1,IF($A457&lt;VLOOKUP(I$5,NFI,5,0),1,0)*Data_NFI_t[[#This Row],[Hygiene Kit]],0)</f>
        <v>0</v>
      </c>
      <c r="X457" s="131">
        <f>IF(NFI_Expiration=1,IF($A457&lt;VLOOKUP(J$5,NFI,5,0),1,0)*Data_NFI_t[[#This Row],[NFI Core Kit]],0)</f>
        <v>0</v>
      </c>
      <c r="Y457" s="112">
        <f>IF(NFI_Expiration=1,IF($A457&lt;VLOOKUP(K$5,NFI,5,0),1,0)*Data_NFI_t[[#This Row],[Sanitary Kit]],0)</f>
        <v>0</v>
      </c>
      <c r="Z457" s="112">
        <f>IF(NFI_Expiration=1,IF($A457&lt;VLOOKUP(L$5,NFI,5,0),1,0)*Data_NFI_t[[#This Row],[Mosquito net]],0)</f>
        <v>0</v>
      </c>
      <c r="AA457" s="112">
        <f>IF(NFI_Expiration=1,IF($A457&lt;VLOOKUP(M$5,NFI,5,0),1,0)*Data_NFI_t[[#This Row],[Tarpaulin]],0)</f>
        <v>0</v>
      </c>
      <c r="AB457" s="112">
        <f>IF(NFI_Expiration=1,IF($A457&lt;VLOOKUP(N$5,NFI,5,0),1,0)*Data_NFI_t[[#This Row],[Blanket]],0)</f>
        <v>0</v>
      </c>
      <c r="AC457" s="112">
        <f>IF(NFI_Expiration=1,IF($A457&lt;VLOOKUP(O$5,NFI,5,0),1,0)*Data_NFI_t[[#This Row],[Kitchen Set]],0)</f>
        <v>0</v>
      </c>
      <c r="AD457" s="112">
        <f>IF(NFI_Expiration=1,IF($A457&lt;VLOOKUP(P$5,NFI,5,0),1,0)*Data_NFI_t[[#This Row],[Complementary Kit]],0)</f>
        <v>0</v>
      </c>
      <c r="AE457" s="112">
        <f>IF(NFI_Expiration=1,IF($A457&lt;VLOOKUP(Q$5,NFI,5,0),1,0)*Data_NFI_t[[#This Row],[Plastic Bucket]],0)</f>
        <v>0</v>
      </c>
      <c r="AF457" s="131">
        <f>IF(NFI_Expiration=1,IF($A457&lt;VLOOKUP(R$5,NFI,5,0),1,0)*Data_NFI_t[[#This Row],[Jerry Can]],0)</f>
        <v>0</v>
      </c>
      <c r="AG457" s="131">
        <f>IF(NFI_Expiration=1,IF($A457&lt;VLOOKUP(S$5,NFI,5,0),1,0)*Data_NFI_t[[#This Row],[Plastic Mat]],0)*IF(Data_NFI_t[[#This Row],[Distribution Date]]&gt;"01-06-2015",1,2.5)</f>
        <v>0</v>
      </c>
      <c r="AH457" s="915">
        <f>IF(NFI_Expiration=1,IF($A457&lt;VLOOKUP(T$5,NFI,5,0),1,0)*Data_NFI_t[[#This Row],[Adult Clothes]],0)</f>
        <v>0</v>
      </c>
      <c r="AI457" s="131">
        <f>IF(NFI_Expiration=1,IF($A457&lt;VLOOKUP(U$5,NFI,5,0),1,0)*Data_NFI_t[[#This Row],[Children Clothes]],0)</f>
        <v>0</v>
      </c>
      <c r="AJ457" s="131">
        <f>IF(NFI_Expiration=1,IF($A457&lt;VLOOKUP(V$5,NFI,5,0),1,0)*Data_NFI_t[[#This Row],[Sewing Kit]],0)</f>
        <v>0</v>
      </c>
      <c r="AK457" s="131" t="str">
        <f ca="1">IFERROR(OFFSET(Camp_List[P_Code],MATCH(Data_NFI_t[[#This Row],[Camp Name]],Camp_List[Camp Name],0)-1,0,1,1),"")</f>
        <v/>
      </c>
      <c r="AL457" s="513" t="str">
        <f ca="1">IFERROR(OFFSET(Camp_List[Status],MATCH(Data_NFI_t[[#This Row],[Camp Name]],Camp_List[Camp Name],0)-1,0,1,1),"")</f>
        <v/>
      </c>
      <c r="AM457" s="131"/>
    </row>
    <row r="458" spans="1:39" s="793" customFormat="1" ht="19.5" customHeight="1" x14ac:dyDescent="0.25">
      <c r="A458" s="242" t="str">
        <f>IF(ISBLANK(C458),"",(Report_Date-C458)/30)</f>
        <v/>
      </c>
      <c r="B458" s="522">
        <f>YEAR(Data_NFI_t[[#This Row],[Distribution Date]])</f>
        <v>1900</v>
      </c>
      <c r="C458" s="927"/>
      <c r="D458" s="489"/>
      <c r="E458" s="488"/>
      <c r="F458" s="489"/>
      <c r="G458" s="794"/>
      <c r="H458" s="794"/>
      <c r="I458" s="794"/>
      <c r="J458" s="51"/>
      <c r="K458" s="51"/>
      <c r="L458" s="119"/>
      <c r="M458" s="119"/>
      <c r="N458" s="119"/>
      <c r="O458" s="119"/>
      <c r="P458" s="119"/>
      <c r="Q458" s="119"/>
      <c r="R458" s="512"/>
      <c r="S458" s="119"/>
      <c r="T458" s="119"/>
      <c r="U458" s="119"/>
      <c r="V458" s="119"/>
      <c r="W458" s="131">
        <f>IF(NFI_Expiration=1,IF($A458&lt;VLOOKUP(I$5,NFI,5,0),1,0)*Data_NFI_t[[#This Row],[Hygiene Kit]],0)</f>
        <v>0</v>
      </c>
      <c r="X458" s="131">
        <f>IF(NFI_Expiration=1,IF($A458&lt;VLOOKUP(J$5,NFI,5,0),1,0)*Data_NFI_t[[#This Row],[NFI Core Kit]],0)</f>
        <v>0</v>
      </c>
      <c r="Y458" s="112">
        <f>IF(NFI_Expiration=1,IF($A458&lt;VLOOKUP(K$5,NFI,5,0),1,0)*Data_NFI_t[[#This Row],[Sanitary Kit]],0)</f>
        <v>0</v>
      </c>
      <c r="Z458" s="112">
        <f>IF(NFI_Expiration=1,IF($A458&lt;VLOOKUP(L$5,NFI,5,0),1,0)*Data_NFI_t[[#This Row],[Mosquito net]],0)</f>
        <v>0</v>
      </c>
      <c r="AA458" s="112">
        <f>IF(NFI_Expiration=1,IF($A458&lt;VLOOKUP(M$5,NFI,5,0),1,0)*Data_NFI_t[[#This Row],[Tarpaulin]],0)</f>
        <v>0</v>
      </c>
      <c r="AB458" s="112">
        <f>IF(NFI_Expiration=1,IF($A458&lt;VLOOKUP(N$5,NFI,5,0),1,0)*Data_NFI_t[[#This Row],[Blanket]],0)</f>
        <v>0</v>
      </c>
      <c r="AC458" s="112">
        <f>IF(NFI_Expiration=1,IF($A458&lt;VLOOKUP(O$5,NFI,5,0),1,0)*Data_NFI_t[[#This Row],[Kitchen Set]],0)</f>
        <v>0</v>
      </c>
      <c r="AD458" s="112">
        <f>IF(NFI_Expiration=1,IF($A458&lt;VLOOKUP(P$5,NFI,5,0),1,0)*Data_NFI_t[[#This Row],[Complementary Kit]],0)</f>
        <v>0</v>
      </c>
      <c r="AE458" s="112">
        <f>IF(NFI_Expiration=1,IF($A458&lt;VLOOKUP(Q$5,NFI,5,0),1,0)*Data_NFI_t[[#This Row],[Plastic Bucket]],0)</f>
        <v>0</v>
      </c>
      <c r="AF458" s="131">
        <f>IF(NFI_Expiration=1,IF($A458&lt;VLOOKUP(R$5,NFI,5,0),1,0)*Data_NFI_t[[#This Row],[Jerry Can]],0)</f>
        <v>0</v>
      </c>
      <c r="AG458" s="131">
        <f>IF(NFI_Expiration=1,IF($A458&lt;VLOOKUP(S$5,NFI,5,0),1,0)*Data_NFI_t[[#This Row],[Plastic Mat]],0)*IF(Data_NFI_t[[#This Row],[Distribution Date]]&gt;"01-06-2015",1,2.5)</f>
        <v>0</v>
      </c>
      <c r="AH458" s="915">
        <f>IF(NFI_Expiration=1,IF($A458&lt;VLOOKUP(T$5,NFI,5,0),1,0)*Data_NFI_t[[#This Row],[Adult Clothes]],0)</f>
        <v>0</v>
      </c>
      <c r="AI458" s="131">
        <f>IF(NFI_Expiration=1,IF($A458&lt;VLOOKUP(U$5,NFI,5,0),1,0)*Data_NFI_t[[#This Row],[Children Clothes]],0)</f>
        <v>0</v>
      </c>
      <c r="AJ458" s="131">
        <f>IF(NFI_Expiration=1,IF($A458&lt;VLOOKUP(V$5,NFI,5,0),1,0)*Data_NFI_t[[#This Row],[Sewing Kit]],0)</f>
        <v>0</v>
      </c>
      <c r="AK458" s="131" t="str">
        <f ca="1">IFERROR(OFFSET(Camp_List[P_Code],MATCH(Data_NFI_t[[#This Row],[Camp Name]],Camp_List[Camp Name],0)-1,0,1,1),"")</f>
        <v/>
      </c>
      <c r="AL458" s="513" t="str">
        <f ca="1">IFERROR(OFFSET(Camp_List[Status],MATCH(Data_NFI_t[[#This Row],[Camp Name]],Camp_List[Camp Name],0)-1,0,1,1),"")</f>
        <v/>
      </c>
      <c r="AM458" s="131"/>
    </row>
    <row r="459" spans="1:39" s="793" customFormat="1" ht="19.5" customHeight="1" x14ac:dyDescent="0.25">
      <c r="A459" s="242" t="str">
        <f>IF(ISBLANK(C459),"",(Report_Date-C459)/30)</f>
        <v/>
      </c>
      <c r="B459" s="522">
        <f>YEAR(Data_NFI_t[[#This Row],[Distribution Date]])</f>
        <v>1900</v>
      </c>
      <c r="C459" s="927"/>
      <c r="D459" s="489"/>
      <c r="E459" s="488"/>
      <c r="F459" s="489"/>
      <c r="G459" s="794"/>
      <c r="H459" s="794"/>
      <c r="I459" s="794"/>
      <c r="J459" s="51"/>
      <c r="K459" s="51"/>
      <c r="L459" s="119"/>
      <c r="M459" s="119"/>
      <c r="N459" s="119"/>
      <c r="O459" s="119"/>
      <c r="P459" s="119"/>
      <c r="Q459" s="119"/>
      <c r="R459" s="512"/>
      <c r="S459" s="119"/>
      <c r="T459" s="119"/>
      <c r="U459" s="119"/>
      <c r="V459" s="119"/>
      <c r="W459" s="131">
        <f>IF(NFI_Expiration=1,IF($A459&lt;VLOOKUP(I$5,NFI,5,0),1,0)*Data_NFI_t[[#This Row],[Hygiene Kit]],0)</f>
        <v>0</v>
      </c>
      <c r="X459" s="131">
        <f>IF(NFI_Expiration=1,IF($A459&lt;VLOOKUP(J$5,NFI,5,0),1,0)*Data_NFI_t[[#This Row],[NFI Core Kit]],0)</f>
        <v>0</v>
      </c>
      <c r="Y459" s="112">
        <f>IF(NFI_Expiration=1,IF($A459&lt;VLOOKUP(K$5,NFI,5,0),1,0)*Data_NFI_t[[#This Row],[Sanitary Kit]],0)</f>
        <v>0</v>
      </c>
      <c r="Z459" s="112">
        <f>IF(NFI_Expiration=1,IF($A459&lt;VLOOKUP(L$5,NFI,5,0),1,0)*Data_NFI_t[[#This Row],[Mosquito net]],0)</f>
        <v>0</v>
      </c>
      <c r="AA459" s="112">
        <f>IF(NFI_Expiration=1,IF($A459&lt;VLOOKUP(M$5,NFI,5,0),1,0)*Data_NFI_t[[#This Row],[Tarpaulin]],0)</f>
        <v>0</v>
      </c>
      <c r="AB459" s="112">
        <f>IF(NFI_Expiration=1,IF($A459&lt;VLOOKUP(N$5,NFI,5,0),1,0)*Data_NFI_t[[#This Row],[Blanket]],0)</f>
        <v>0</v>
      </c>
      <c r="AC459" s="112">
        <f>IF(NFI_Expiration=1,IF($A459&lt;VLOOKUP(O$5,NFI,5,0),1,0)*Data_NFI_t[[#This Row],[Kitchen Set]],0)</f>
        <v>0</v>
      </c>
      <c r="AD459" s="112">
        <f>IF(NFI_Expiration=1,IF($A459&lt;VLOOKUP(P$5,NFI,5,0),1,0)*Data_NFI_t[[#This Row],[Complementary Kit]],0)</f>
        <v>0</v>
      </c>
      <c r="AE459" s="112">
        <f>IF(NFI_Expiration=1,IF($A459&lt;VLOOKUP(Q$5,NFI,5,0),1,0)*Data_NFI_t[[#This Row],[Plastic Bucket]],0)</f>
        <v>0</v>
      </c>
      <c r="AF459" s="131">
        <f>IF(NFI_Expiration=1,IF($A459&lt;VLOOKUP(R$5,NFI,5,0),1,0)*Data_NFI_t[[#This Row],[Jerry Can]],0)</f>
        <v>0</v>
      </c>
      <c r="AG459" s="131">
        <f>IF(NFI_Expiration=1,IF($A459&lt;VLOOKUP(S$5,NFI,5,0),1,0)*Data_NFI_t[[#This Row],[Plastic Mat]],0)*IF(Data_NFI_t[[#This Row],[Distribution Date]]&gt;"01-06-2015",1,2.5)</f>
        <v>0</v>
      </c>
      <c r="AH459" s="915">
        <f>IF(NFI_Expiration=1,IF($A459&lt;VLOOKUP(T$5,NFI,5,0),1,0)*Data_NFI_t[[#This Row],[Adult Clothes]],0)</f>
        <v>0</v>
      </c>
      <c r="AI459" s="131">
        <f>IF(NFI_Expiration=1,IF($A459&lt;VLOOKUP(U$5,NFI,5,0),1,0)*Data_NFI_t[[#This Row],[Children Clothes]],0)</f>
        <v>0</v>
      </c>
      <c r="AJ459" s="131">
        <f>IF(NFI_Expiration=1,IF($A459&lt;VLOOKUP(V$5,NFI,5,0),1,0)*Data_NFI_t[[#This Row],[Sewing Kit]],0)</f>
        <v>0</v>
      </c>
      <c r="AK459" s="131" t="str">
        <f ca="1">IFERROR(OFFSET(Camp_List[P_Code],MATCH(Data_NFI_t[[#This Row],[Camp Name]],Camp_List[Camp Name],0)-1,0,1,1),"")</f>
        <v/>
      </c>
      <c r="AL459" s="513" t="str">
        <f ca="1">IFERROR(OFFSET(Camp_List[Status],MATCH(Data_NFI_t[[#This Row],[Camp Name]],Camp_List[Camp Name],0)-1,0,1,1),"")</f>
        <v/>
      </c>
      <c r="AM459" s="131"/>
    </row>
    <row r="460" spans="1:39" s="793" customFormat="1" ht="19.5" customHeight="1" x14ac:dyDescent="0.25">
      <c r="A460" s="242" t="str">
        <f>IF(ISBLANK(C460),"",(Report_Date-C460)/30)</f>
        <v/>
      </c>
      <c r="B460" s="522">
        <f>YEAR(Data_NFI_t[[#This Row],[Distribution Date]])</f>
        <v>1900</v>
      </c>
      <c r="C460" s="927"/>
      <c r="D460" s="489"/>
      <c r="E460" s="488"/>
      <c r="F460" s="489"/>
      <c r="G460" s="794"/>
      <c r="H460" s="794"/>
      <c r="I460" s="794"/>
      <c r="J460" s="51"/>
      <c r="K460" s="51"/>
      <c r="L460" s="119"/>
      <c r="M460" s="119"/>
      <c r="N460" s="119"/>
      <c r="O460" s="119"/>
      <c r="P460" s="119"/>
      <c r="Q460" s="119"/>
      <c r="R460" s="512"/>
      <c r="S460" s="119"/>
      <c r="T460" s="119"/>
      <c r="U460" s="119"/>
      <c r="V460" s="119"/>
      <c r="W460" s="131">
        <f>IF(NFI_Expiration=1,IF($A460&lt;VLOOKUP(I$5,NFI,5,0),1,0)*Data_NFI_t[[#This Row],[Hygiene Kit]],0)</f>
        <v>0</v>
      </c>
      <c r="X460" s="131">
        <f>IF(NFI_Expiration=1,IF($A460&lt;VLOOKUP(J$5,NFI,5,0),1,0)*Data_NFI_t[[#This Row],[NFI Core Kit]],0)</f>
        <v>0</v>
      </c>
      <c r="Y460" s="112">
        <f>IF(NFI_Expiration=1,IF($A460&lt;VLOOKUP(K$5,NFI,5,0),1,0)*Data_NFI_t[[#This Row],[Sanitary Kit]],0)</f>
        <v>0</v>
      </c>
      <c r="Z460" s="112">
        <f>IF(NFI_Expiration=1,IF($A460&lt;VLOOKUP(L$5,NFI,5,0),1,0)*Data_NFI_t[[#This Row],[Mosquito net]],0)</f>
        <v>0</v>
      </c>
      <c r="AA460" s="112">
        <f>IF(NFI_Expiration=1,IF($A460&lt;VLOOKUP(M$5,NFI,5,0),1,0)*Data_NFI_t[[#This Row],[Tarpaulin]],0)</f>
        <v>0</v>
      </c>
      <c r="AB460" s="112">
        <f>IF(NFI_Expiration=1,IF($A460&lt;VLOOKUP(N$5,NFI,5,0),1,0)*Data_NFI_t[[#This Row],[Blanket]],0)</f>
        <v>0</v>
      </c>
      <c r="AC460" s="112">
        <f>IF(NFI_Expiration=1,IF($A460&lt;VLOOKUP(O$5,NFI,5,0),1,0)*Data_NFI_t[[#This Row],[Kitchen Set]],0)</f>
        <v>0</v>
      </c>
      <c r="AD460" s="112">
        <f>IF(NFI_Expiration=1,IF($A460&lt;VLOOKUP(P$5,NFI,5,0),1,0)*Data_NFI_t[[#This Row],[Complementary Kit]],0)</f>
        <v>0</v>
      </c>
      <c r="AE460" s="112">
        <f>IF(NFI_Expiration=1,IF($A460&lt;VLOOKUP(Q$5,NFI,5,0),1,0)*Data_NFI_t[[#This Row],[Plastic Bucket]],0)</f>
        <v>0</v>
      </c>
      <c r="AF460" s="131">
        <f>IF(NFI_Expiration=1,IF($A460&lt;VLOOKUP(R$5,NFI,5,0),1,0)*Data_NFI_t[[#This Row],[Jerry Can]],0)</f>
        <v>0</v>
      </c>
      <c r="AG460" s="131">
        <f>IF(NFI_Expiration=1,IF($A460&lt;VLOOKUP(S$5,NFI,5,0),1,0)*Data_NFI_t[[#This Row],[Plastic Mat]],0)*IF(Data_NFI_t[[#This Row],[Distribution Date]]&gt;"01-06-2015",1,2.5)</f>
        <v>0</v>
      </c>
      <c r="AH460" s="915">
        <f>IF(NFI_Expiration=1,IF($A460&lt;VLOOKUP(T$5,NFI,5,0),1,0)*Data_NFI_t[[#This Row],[Adult Clothes]],0)</f>
        <v>0</v>
      </c>
      <c r="AI460" s="131">
        <f>IF(NFI_Expiration=1,IF($A460&lt;VLOOKUP(U$5,NFI,5,0),1,0)*Data_NFI_t[[#This Row],[Children Clothes]],0)</f>
        <v>0</v>
      </c>
      <c r="AJ460" s="131">
        <f>IF(NFI_Expiration=1,IF($A460&lt;VLOOKUP(V$5,NFI,5,0),1,0)*Data_NFI_t[[#This Row],[Sewing Kit]],0)</f>
        <v>0</v>
      </c>
      <c r="AK460" s="131" t="str">
        <f ca="1">IFERROR(OFFSET(Camp_List[P_Code],MATCH(Data_NFI_t[[#This Row],[Camp Name]],Camp_List[Camp Name],0)-1,0,1,1),"")</f>
        <v/>
      </c>
      <c r="AL460" s="513" t="str">
        <f ca="1">IFERROR(OFFSET(Camp_List[Status],MATCH(Data_NFI_t[[#This Row],[Camp Name]],Camp_List[Camp Name],0)-1,0,1,1),"")</f>
        <v/>
      </c>
      <c r="AM460" s="131"/>
    </row>
    <row r="461" spans="1:39" s="793" customFormat="1" ht="19.5" customHeight="1" x14ac:dyDescent="0.25">
      <c r="A461" s="242" t="str">
        <f>IF(ISBLANK(C461),"",(Report_Date-C461)/30)</f>
        <v/>
      </c>
      <c r="B461" s="522">
        <f>YEAR(Data_NFI_t[[#This Row],[Distribution Date]])</f>
        <v>1900</v>
      </c>
      <c r="C461" s="927"/>
      <c r="D461" s="489"/>
      <c r="E461" s="488"/>
      <c r="F461" s="489"/>
      <c r="G461" s="794"/>
      <c r="H461" s="794"/>
      <c r="I461" s="794"/>
      <c r="J461" s="51"/>
      <c r="K461" s="51"/>
      <c r="L461" s="119"/>
      <c r="M461" s="119"/>
      <c r="N461" s="119"/>
      <c r="O461" s="119"/>
      <c r="P461" s="119"/>
      <c r="Q461" s="119"/>
      <c r="R461" s="512"/>
      <c r="S461" s="119"/>
      <c r="T461" s="119"/>
      <c r="U461" s="119"/>
      <c r="V461" s="119"/>
      <c r="W461" s="131">
        <f>IF(NFI_Expiration=1,IF($A461&lt;VLOOKUP(I$5,NFI,5,0),1,0)*Data_NFI_t[[#This Row],[Hygiene Kit]],0)</f>
        <v>0</v>
      </c>
      <c r="X461" s="131">
        <f>IF(NFI_Expiration=1,IF($A461&lt;VLOOKUP(J$5,NFI,5,0),1,0)*Data_NFI_t[[#This Row],[NFI Core Kit]],0)</f>
        <v>0</v>
      </c>
      <c r="Y461" s="112">
        <f>IF(NFI_Expiration=1,IF($A461&lt;VLOOKUP(K$5,NFI,5,0),1,0)*Data_NFI_t[[#This Row],[Sanitary Kit]],0)</f>
        <v>0</v>
      </c>
      <c r="Z461" s="112">
        <f>IF(NFI_Expiration=1,IF($A461&lt;VLOOKUP(L$5,NFI,5,0),1,0)*Data_NFI_t[[#This Row],[Mosquito net]],0)</f>
        <v>0</v>
      </c>
      <c r="AA461" s="112">
        <f>IF(NFI_Expiration=1,IF($A461&lt;VLOOKUP(M$5,NFI,5,0),1,0)*Data_NFI_t[[#This Row],[Tarpaulin]],0)</f>
        <v>0</v>
      </c>
      <c r="AB461" s="112">
        <f>IF(NFI_Expiration=1,IF($A461&lt;VLOOKUP(N$5,NFI,5,0),1,0)*Data_NFI_t[[#This Row],[Blanket]],0)</f>
        <v>0</v>
      </c>
      <c r="AC461" s="112">
        <f>IF(NFI_Expiration=1,IF($A461&lt;VLOOKUP(O$5,NFI,5,0),1,0)*Data_NFI_t[[#This Row],[Kitchen Set]],0)</f>
        <v>0</v>
      </c>
      <c r="AD461" s="112">
        <f>IF(NFI_Expiration=1,IF($A461&lt;VLOOKUP(P$5,NFI,5,0),1,0)*Data_NFI_t[[#This Row],[Complementary Kit]],0)</f>
        <v>0</v>
      </c>
      <c r="AE461" s="112">
        <f>IF(NFI_Expiration=1,IF($A461&lt;VLOOKUP(Q$5,NFI,5,0),1,0)*Data_NFI_t[[#This Row],[Plastic Bucket]],0)</f>
        <v>0</v>
      </c>
      <c r="AF461" s="131">
        <f>IF(NFI_Expiration=1,IF($A461&lt;VLOOKUP(R$5,NFI,5,0),1,0)*Data_NFI_t[[#This Row],[Jerry Can]],0)</f>
        <v>0</v>
      </c>
      <c r="AG461" s="131">
        <f>IF(NFI_Expiration=1,IF($A461&lt;VLOOKUP(S$5,NFI,5,0),1,0)*Data_NFI_t[[#This Row],[Plastic Mat]],0)*IF(Data_NFI_t[[#This Row],[Distribution Date]]&gt;"01-06-2015",1,2.5)</f>
        <v>0</v>
      </c>
      <c r="AH461" s="915">
        <f>IF(NFI_Expiration=1,IF($A461&lt;VLOOKUP(T$5,NFI,5,0),1,0)*Data_NFI_t[[#This Row],[Adult Clothes]],0)</f>
        <v>0</v>
      </c>
      <c r="AI461" s="131">
        <f>IF(NFI_Expiration=1,IF($A461&lt;VLOOKUP(U$5,NFI,5,0),1,0)*Data_NFI_t[[#This Row],[Children Clothes]],0)</f>
        <v>0</v>
      </c>
      <c r="AJ461" s="131">
        <f>IF(NFI_Expiration=1,IF($A461&lt;VLOOKUP(V$5,NFI,5,0),1,0)*Data_NFI_t[[#This Row],[Sewing Kit]],0)</f>
        <v>0</v>
      </c>
      <c r="AK461" s="131" t="str">
        <f ca="1">IFERROR(OFFSET(Camp_List[P_Code],MATCH(Data_NFI_t[[#This Row],[Camp Name]],Camp_List[Camp Name],0)-1,0,1,1),"")</f>
        <v/>
      </c>
      <c r="AL461" s="513" t="str">
        <f ca="1">IFERROR(OFFSET(Camp_List[Status],MATCH(Data_NFI_t[[#This Row],[Camp Name]],Camp_List[Camp Name],0)-1,0,1,1),"")</f>
        <v/>
      </c>
      <c r="AM461" s="131"/>
    </row>
    <row r="462" spans="1:39" s="793" customFormat="1" ht="19.5" customHeight="1" x14ac:dyDescent="0.25">
      <c r="A462" s="242" t="str">
        <f>IF(ISBLANK(C462),"",(Report_Date-C462)/30)</f>
        <v/>
      </c>
      <c r="B462" s="522">
        <f>YEAR(Data_NFI_t[[#This Row],[Distribution Date]])</f>
        <v>1900</v>
      </c>
      <c r="C462" s="927"/>
      <c r="D462" s="489"/>
      <c r="E462" s="488"/>
      <c r="F462" s="489"/>
      <c r="G462" s="794"/>
      <c r="H462" s="794"/>
      <c r="I462" s="794"/>
      <c r="J462" s="51"/>
      <c r="K462" s="51"/>
      <c r="L462" s="119"/>
      <c r="M462" s="119"/>
      <c r="N462" s="119"/>
      <c r="O462" s="119"/>
      <c r="P462" s="119"/>
      <c r="Q462" s="119"/>
      <c r="R462" s="512"/>
      <c r="S462" s="119"/>
      <c r="T462" s="119"/>
      <c r="U462" s="119"/>
      <c r="V462" s="119"/>
      <c r="W462" s="131">
        <f>IF(NFI_Expiration=1,IF($A462&lt;VLOOKUP(I$5,NFI,5,0),1,0)*Data_NFI_t[[#This Row],[Hygiene Kit]],0)</f>
        <v>0</v>
      </c>
      <c r="X462" s="131">
        <f>IF(NFI_Expiration=1,IF($A462&lt;VLOOKUP(J$5,NFI,5,0),1,0)*Data_NFI_t[[#This Row],[NFI Core Kit]],0)</f>
        <v>0</v>
      </c>
      <c r="Y462" s="112">
        <f>IF(NFI_Expiration=1,IF($A462&lt;VLOOKUP(K$5,NFI,5,0),1,0)*Data_NFI_t[[#This Row],[Sanitary Kit]],0)</f>
        <v>0</v>
      </c>
      <c r="Z462" s="112">
        <f>IF(NFI_Expiration=1,IF($A462&lt;VLOOKUP(L$5,NFI,5,0),1,0)*Data_NFI_t[[#This Row],[Mosquito net]],0)</f>
        <v>0</v>
      </c>
      <c r="AA462" s="112">
        <f>IF(NFI_Expiration=1,IF($A462&lt;VLOOKUP(M$5,NFI,5,0),1,0)*Data_NFI_t[[#This Row],[Tarpaulin]],0)</f>
        <v>0</v>
      </c>
      <c r="AB462" s="112">
        <f>IF(NFI_Expiration=1,IF($A462&lt;VLOOKUP(N$5,NFI,5,0),1,0)*Data_NFI_t[[#This Row],[Blanket]],0)</f>
        <v>0</v>
      </c>
      <c r="AC462" s="112">
        <f>IF(NFI_Expiration=1,IF($A462&lt;VLOOKUP(O$5,NFI,5,0),1,0)*Data_NFI_t[[#This Row],[Kitchen Set]],0)</f>
        <v>0</v>
      </c>
      <c r="AD462" s="112">
        <f>IF(NFI_Expiration=1,IF($A462&lt;VLOOKUP(P$5,NFI,5,0),1,0)*Data_NFI_t[[#This Row],[Complementary Kit]],0)</f>
        <v>0</v>
      </c>
      <c r="AE462" s="112">
        <f>IF(NFI_Expiration=1,IF($A462&lt;VLOOKUP(Q$5,NFI,5,0),1,0)*Data_NFI_t[[#This Row],[Plastic Bucket]],0)</f>
        <v>0</v>
      </c>
      <c r="AF462" s="131">
        <f>IF(NFI_Expiration=1,IF($A462&lt;VLOOKUP(R$5,NFI,5,0),1,0)*Data_NFI_t[[#This Row],[Jerry Can]],0)</f>
        <v>0</v>
      </c>
      <c r="AG462" s="131">
        <f>IF(NFI_Expiration=1,IF($A462&lt;VLOOKUP(S$5,NFI,5,0),1,0)*Data_NFI_t[[#This Row],[Plastic Mat]],0)*IF(Data_NFI_t[[#This Row],[Distribution Date]]&gt;"01-06-2015",1,2.5)</f>
        <v>0</v>
      </c>
      <c r="AH462" s="915">
        <f>IF(NFI_Expiration=1,IF($A462&lt;VLOOKUP(T$5,NFI,5,0),1,0)*Data_NFI_t[[#This Row],[Adult Clothes]],0)</f>
        <v>0</v>
      </c>
      <c r="AI462" s="131">
        <f>IF(NFI_Expiration=1,IF($A462&lt;VLOOKUP(U$5,NFI,5,0),1,0)*Data_NFI_t[[#This Row],[Children Clothes]],0)</f>
        <v>0</v>
      </c>
      <c r="AJ462" s="131">
        <f>IF(NFI_Expiration=1,IF($A462&lt;VLOOKUP(V$5,NFI,5,0),1,0)*Data_NFI_t[[#This Row],[Sewing Kit]],0)</f>
        <v>0</v>
      </c>
      <c r="AK462" s="131" t="str">
        <f ca="1">IFERROR(OFFSET(Camp_List[P_Code],MATCH(Data_NFI_t[[#This Row],[Camp Name]],Camp_List[Camp Name],0)-1,0,1,1),"")</f>
        <v/>
      </c>
      <c r="AL462" s="513" t="str">
        <f ca="1">IFERROR(OFFSET(Camp_List[Status],MATCH(Data_NFI_t[[#This Row],[Camp Name]],Camp_List[Camp Name],0)-1,0,1,1),"")</f>
        <v/>
      </c>
      <c r="AM462" s="131"/>
    </row>
    <row r="463" spans="1:39" s="793" customFormat="1" ht="19.5" customHeight="1" x14ac:dyDescent="0.25">
      <c r="A463" s="242" t="str">
        <f>IF(ISBLANK(C463),"",(Report_Date-C463)/30)</f>
        <v/>
      </c>
      <c r="B463" s="522">
        <f>YEAR(Data_NFI_t[[#This Row],[Distribution Date]])</f>
        <v>1900</v>
      </c>
      <c r="C463" s="927"/>
      <c r="D463" s="489"/>
      <c r="E463" s="488"/>
      <c r="F463" s="489"/>
      <c r="G463" s="794"/>
      <c r="H463" s="794"/>
      <c r="I463" s="794"/>
      <c r="J463" s="51"/>
      <c r="K463" s="51"/>
      <c r="L463" s="119"/>
      <c r="M463" s="119"/>
      <c r="N463" s="119"/>
      <c r="O463" s="119"/>
      <c r="P463" s="119"/>
      <c r="Q463" s="119"/>
      <c r="R463" s="512"/>
      <c r="S463" s="119"/>
      <c r="T463" s="119"/>
      <c r="U463" s="119"/>
      <c r="V463" s="119"/>
      <c r="W463" s="131">
        <f>IF(NFI_Expiration=1,IF($A463&lt;VLOOKUP(I$5,NFI,5,0),1,0)*Data_NFI_t[[#This Row],[Hygiene Kit]],0)</f>
        <v>0</v>
      </c>
      <c r="X463" s="131">
        <f>IF(NFI_Expiration=1,IF($A463&lt;VLOOKUP(J$5,NFI,5,0),1,0)*Data_NFI_t[[#This Row],[NFI Core Kit]],0)</f>
        <v>0</v>
      </c>
      <c r="Y463" s="112">
        <f>IF(NFI_Expiration=1,IF($A463&lt;VLOOKUP(K$5,NFI,5,0),1,0)*Data_NFI_t[[#This Row],[Sanitary Kit]],0)</f>
        <v>0</v>
      </c>
      <c r="Z463" s="112">
        <f>IF(NFI_Expiration=1,IF($A463&lt;VLOOKUP(L$5,NFI,5,0),1,0)*Data_NFI_t[[#This Row],[Mosquito net]],0)</f>
        <v>0</v>
      </c>
      <c r="AA463" s="112">
        <f>IF(NFI_Expiration=1,IF($A463&lt;VLOOKUP(M$5,NFI,5,0),1,0)*Data_NFI_t[[#This Row],[Tarpaulin]],0)</f>
        <v>0</v>
      </c>
      <c r="AB463" s="112">
        <f>IF(NFI_Expiration=1,IF($A463&lt;VLOOKUP(N$5,NFI,5,0),1,0)*Data_NFI_t[[#This Row],[Blanket]],0)</f>
        <v>0</v>
      </c>
      <c r="AC463" s="112">
        <f>IF(NFI_Expiration=1,IF($A463&lt;VLOOKUP(O$5,NFI,5,0),1,0)*Data_NFI_t[[#This Row],[Kitchen Set]],0)</f>
        <v>0</v>
      </c>
      <c r="AD463" s="112">
        <f>IF(NFI_Expiration=1,IF($A463&lt;VLOOKUP(P$5,NFI,5,0),1,0)*Data_NFI_t[[#This Row],[Complementary Kit]],0)</f>
        <v>0</v>
      </c>
      <c r="AE463" s="112">
        <f>IF(NFI_Expiration=1,IF($A463&lt;VLOOKUP(Q$5,NFI,5,0),1,0)*Data_NFI_t[[#This Row],[Plastic Bucket]],0)</f>
        <v>0</v>
      </c>
      <c r="AF463" s="131">
        <f>IF(NFI_Expiration=1,IF($A463&lt;VLOOKUP(R$5,NFI,5,0),1,0)*Data_NFI_t[[#This Row],[Jerry Can]],0)</f>
        <v>0</v>
      </c>
      <c r="AG463" s="131">
        <f>IF(NFI_Expiration=1,IF($A463&lt;VLOOKUP(S$5,NFI,5,0),1,0)*Data_NFI_t[[#This Row],[Plastic Mat]],0)*IF(Data_NFI_t[[#This Row],[Distribution Date]]&gt;"01-06-2015",1,2.5)</f>
        <v>0</v>
      </c>
      <c r="AH463" s="915">
        <f>IF(NFI_Expiration=1,IF($A463&lt;VLOOKUP(T$5,NFI,5,0),1,0)*Data_NFI_t[[#This Row],[Adult Clothes]],0)</f>
        <v>0</v>
      </c>
      <c r="AI463" s="131">
        <f>IF(NFI_Expiration=1,IF($A463&lt;VLOOKUP(U$5,NFI,5,0),1,0)*Data_NFI_t[[#This Row],[Children Clothes]],0)</f>
        <v>0</v>
      </c>
      <c r="AJ463" s="131">
        <f>IF(NFI_Expiration=1,IF($A463&lt;VLOOKUP(V$5,NFI,5,0),1,0)*Data_NFI_t[[#This Row],[Sewing Kit]],0)</f>
        <v>0</v>
      </c>
      <c r="AK463" s="131" t="str">
        <f ca="1">IFERROR(OFFSET(Camp_List[P_Code],MATCH(Data_NFI_t[[#This Row],[Camp Name]],Camp_List[Camp Name],0)-1,0,1,1),"")</f>
        <v/>
      </c>
      <c r="AL463" s="513" t="str">
        <f ca="1">IFERROR(OFFSET(Camp_List[Status],MATCH(Data_NFI_t[[#This Row],[Camp Name]],Camp_List[Camp Name],0)-1,0,1,1),"")</f>
        <v/>
      </c>
      <c r="AM463" s="131"/>
    </row>
    <row r="464" spans="1:39" s="793" customFormat="1" ht="19.5" customHeight="1" x14ac:dyDescent="0.25">
      <c r="A464" s="242" t="str">
        <f>IF(ISBLANK(C464),"",(Report_Date-C464)/30)</f>
        <v/>
      </c>
      <c r="B464" s="522">
        <f>YEAR(Data_NFI_t[[#This Row],[Distribution Date]])</f>
        <v>1900</v>
      </c>
      <c r="C464" s="927"/>
      <c r="D464" s="489"/>
      <c r="E464" s="488"/>
      <c r="F464" s="489"/>
      <c r="G464" s="794"/>
      <c r="H464" s="794"/>
      <c r="I464" s="794"/>
      <c r="J464" s="51"/>
      <c r="K464" s="51"/>
      <c r="L464" s="119"/>
      <c r="M464" s="119"/>
      <c r="N464" s="119"/>
      <c r="O464" s="119"/>
      <c r="P464" s="119"/>
      <c r="Q464" s="119"/>
      <c r="R464" s="512"/>
      <c r="S464" s="119"/>
      <c r="T464" s="119"/>
      <c r="U464" s="119"/>
      <c r="V464" s="119"/>
      <c r="W464" s="131">
        <f>IF(NFI_Expiration=1,IF($A464&lt;VLOOKUP(I$5,NFI,5,0),1,0)*Data_NFI_t[[#This Row],[Hygiene Kit]],0)</f>
        <v>0</v>
      </c>
      <c r="X464" s="131">
        <f>IF(NFI_Expiration=1,IF($A464&lt;VLOOKUP(J$5,NFI,5,0),1,0)*Data_NFI_t[[#This Row],[NFI Core Kit]],0)</f>
        <v>0</v>
      </c>
      <c r="Y464" s="112">
        <f>IF(NFI_Expiration=1,IF($A464&lt;VLOOKUP(K$5,NFI,5,0),1,0)*Data_NFI_t[[#This Row],[Sanitary Kit]],0)</f>
        <v>0</v>
      </c>
      <c r="Z464" s="112">
        <f>IF(NFI_Expiration=1,IF($A464&lt;VLOOKUP(L$5,NFI,5,0),1,0)*Data_NFI_t[[#This Row],[Mosquito net]],0)</f>
        <v>0</v>
      </c>
      <c r="AA464" s="112">
        <f>IF(NFI_Expiration=1,IF($A464&lt;VLOOKUP(M$5,NFI,5,0),1,0)*Data_NFI_t[[#This Row],[Tarpaulin]],0)</f>
        <v>0</v>
      </c>
      <c r="AB464" s="112">
        <f>IF(NFI_Expiration=1,IF($A464&lt;VLOOKUP(N$5,NFI,5,0),1,0)*Data_NFI_t[[#This Row],[Blanket]],0)</f>
        <v>0</v>
      </c>
      <c r="AC464" s="112">
        <f>IF(NFI_Expiration=1,IF($A464&lt;VLOOKUP(O$5,NFI,5,0),1,0)*Data_NFI_t[[#This Row],[Kitchen Set]],0)</f>
        <v>0</v>
      </c>
      <c r="AD464" s="112">
        <f>IF(NFI_Expiration=1,IF($A464&lt;VLOOKUP(P$5,NFI,5,0),1,0)*Data_NFI_t[[#This Row],[Complementary Kit]],0)</f>
        <v>0</v>
      </c>
      <c r="AE464" s="112">
        <f>IF(NFI_Expiration=1,IF($A464&lt;VLOOKUP(Q$5,NFI,5,0),1,0)*Data_NFI_t[[#This Row],[Plastic Bucket]],0)</f>
        <v>0</v>
      </c>
      <c r="AF464" s="131">
        <f>IF(NFI_Expiration=1,IF($A464&lt;VLOOKUP(R$5,NFI,5,0),1,0)*Data_NFI_t[[#This Row],[Jerry Can]],0)</f>
        <v>0</v>
      </c>
      <c r="AG464" s="131">
        <f>IF(NFI_Expiration=1,IF($A464&lt;VLOOKUP(S$5,NFI,5,0),1,0)*Data_NFI_t[[#This Row],[Plastic Mat]],0)*IF(Data_NFI_t[[#This Row],[Distribution Date]]&gt;"01-06-2015",1,2.5)</f>
        <v>0</v>
      </c>
      <c r="AH464" s="915">
        <f>IF(NFI_Expiration=1,IF($A464&lt;VLOOKUP(T$5,NFI,5,0),1,0)*Data_NFI_t[[#This Row],[Adult Clothes]],0)</f>
        <v>0</v>
      </c>
      <c r="AI464" s="131">
        <f>IF(NFI_Expiration=1,IF($A464&lt;VLOOKUP(U$5,NFI,5,0),1,0)*Data_NFI_t[[#This Row],[Children Clothes]],0)</f>
        <v>0</v>
      </c>
      <c r="AJ464" s="131">
        <f>IF(NFI_Expiration=1,IF($A464&lt;VLOOKUP(V$5,NFI,5,0),1,0)*Data_NFI_t[[#This Row],[Sewing Kit]],0)</f>
        <v>0</v>
      </c>
      <c r="AK464" s="131" t="str">
        <f ca="1">IFERROR(OFFSET(Camp_List[P_Code],MATCH(Data_NFI_t[[#This Row],[Camp Name]],Camp_List[Camp Name],0)-1,0,1,1),"")</f>
        <v/>
      </c>
      <c r="AL464" s="513" t="str">
        <f ca="1">IFERROR(OFFSET(Camp_List[Status],MATCH(Data_NFI_t[[#This Row],[Camp Name]],Camp_List[Camp Name],0)-1,0,1,1),"")</f>
        <v/>
      </c>
      <c r="AM464" s="131"/>
    </row>
    <row r="465" spans="1:39" s="793" customFormat="1" ht="19.5" customHeight="1" x14ac:dyDescent="0.25">
      <c r="A465" s="242" t="str">
        <f>IF(ISBLANK(C465),"",(Report_Date-C465)/30)</f>
        <v/>
      </c>
      <c r="B465" s="522">
        <f>YEAR(Data_NFI_t[[#This Row],[Distribution Date]])</f>
        <v>1900</v>
      </c>
      <c r="C465" s="927"/>
      <c r="D465" s="489"/>
      <c r="E465" s="488"/>
      <c r="F465" s="489"/>
      <c r="G465" s="794"/>
      <c r="H465" s="794"/>
      <c r="I465" s="794"/>
      <c r="J465" s="51"/>
      <c r="K465" s="51"/>
      <c r="L465" s="119"/>
      <c r="M465" s="119"/>
      <c r="N465" s="119"/>
      <c r="O465" s="119"/>
      <c r="P465" s="119"/>
      <c r="Q465" s="119"/>
      <c r="R465" s="512"/>
      <c r="S465" s="119"/>
      <c r="T465" s="119"/>
      <c r="U465" s="119"/>
      <c r="V465" s="119"/>
      <c r="W465" s="131">
        <f>IF(NFI_Expiration=1,IF($A465&lt;VLOOKUP(I$5,NFI,5,0),1,0)*Data_NFI_t[[#This Row],[Hygiene Kit]],0)</f>
        <v>0</v>
      </c>
      <c r="X465" s="131">
        <f>IF(NFI_Expiration=1,IF($A465&lt;VLOOKUP(J$5,NFI,5,0),1,0)*Data_NFI_t[[#This Row],[NFI Core Kit]],0)</f>
        <v>0</v>
      </c>
      <c r="Y465" s="112">
        <f>IF(NFI_Expiration=1,IF($A465&lt;VLOOKUP(K$5,NFI,5,0),1,0)*Data_NFI_t[[#This Row],[Sanitary Kit]],0)</f>
        <v>0</v>
      </c>
      <c r="Z465" s="112">
        <f>IF(NFI_Expiration=1,IF($A465&lt;VLOOKUP(L$5,NFI,5,0),1,0)*Data_NFI_t[[#This Row],[Mosquito net]],0)</f>
        <v>0</v>
      </c>
      <c r="AA465" s="112">
        <f>IF(NFI_Expiration=1,IF($A465&lt;VLOOKUP(M$5,NFI,5,0),1,0)*Data_NFI_t[[#This Row],[Tarpaulin]],0)</f>
        <v>0</v>
      </c>
      <c r="AB465" s="112">
        <f>IF(NFI_Expiration=1,IF($A465&lt;VLOOKUP(N$5,NFI,5,0),1,0)*Data_NFI_t[[#This Row],[Blanket]],0)</f>
        <v>0</v>
      </c>
      <c r="AC465" s="112">
        <f>IF(NFI_Expiration=1,IF($A465&lt;VLOOKUP(O$5,NFI,5,0),1,0)*Data_NFI_t[[#This Row],[Kitchen Set]],0)</f>
        <v>0</v>
      </c>
      <c r="AD465" s="112">
        <f>IF(NFI_Expiration=1,IF($A465&lt;VLOOKUP(P$5,NFI,5,0),1,0)*Data_NFI_t[[#This Row],[Complementary Kit]],0)</f>
        <v>0</v>
      </c>
      <c r="AE465" s="112">
        <f>IF(NFI_Expiration=1,IF($A465&lt;VLOOKUP(Q$5,NFI,5,0),1,0)*Data_NFI_t[[#This Row],[Plastic Bucket]],0)</f>
        <v>0</v>
      </c>
      <c r="AF465" s="131">
        <f>IF(NFI_Expiration=1,IF($A465&lt;VLOOKUP(R$5,NFI,5,0),1,0)*Data_NFI_t[[#This Row],[Jerry Can]],0)</f>
        <v>0</v>
      </c>
      <c r="AG465" s="131">
        <f>IF(NFI_Expiration=1,IF($A465&lt;VLOOKUP(S$5,NFI,5,0),1,0)*Data_NFI_t[[#This Row],[Plastic Mat]],0)*IF(Data_NFI_t[[#This Row],[Distribution Date]]&gt;"01-06-2015",1,2.5)</f>
        <v>0</v>
      </c>
      <c r="AH465" s="915">
        <f>IF(NFI_Expiration=1,IF($A465&lt;VLOOKUP(T$5,NFI,5,0),1,0)*Data_NFI_t[[#This Row],[Adult Clothes]],0)</f>
        <v>0</v>
      </c>
      <c r="AI465" s="131">
        <f>IF(NFI_Expiration=1,IF($A465&lt;VLOOKUP(U$5,NFI,5,0),1,0)*Data_NFI_t[[#This Row],[Children Clothes]],0)</f>
        <v>0</v>
      </c>
      <c r="AJ465" s="131">
        <f>IF(NFI_Expiration=1,IF($A465&lt;VLOOKUP(V$5,NFI,5,0),1,0)*Data_NFI_t[[#This Row],[Sewing Kit]],0)</f>
        <v>0</v>
      </c>
      <c r="AK465" s="131" t="str">
        <f ca="1">IFERROR(OFFSET(Camp_List[P_Code],MATCH(Data_NFI_t[[#This Row],[Camp Name]],Camp_List[Camp Name],0)-1,0,1,1),"")</f>
        <v/>
      </c>
      <c r="AL465" s="513" t="str">
        <f ca="1">IFERROR(OFFSET(Camp_List[Status],MATCH(Data_NFI_t[[#This Row],[Camp Name]],Camp_List[Camp Name],0)-1,0,1,1),"")</f>
        <v/>
      </c>
      <c r="AM465" s="131"/>
    </row>
    <row r="466" spans="1:39" s="793" customFormat="1" ht="19.5" customHeight="1" x14ac:dyDescent="0.25">
      <c r="A466" s="242" t="str">
        <f>IF(ISBLANK(C466),"",(Report_Date-C466)/30)</f>
        <v/>
      </c>
      <c r="B466" s="522">
        <f>YEAR(Data_NFI_t[[#This Row],[Distribution Date]])</f>
        <v>1900</v>
      </c>
      <c r="C466" s="927"/>
      <c r="D466" s="489"/>
      <c r="E466" s="488"/>
      <c r="F466" s="489"/>
      <c r="G466" s="794"/>
      <c r="H466" s="794"/>
      <c r="I466" s="794"/>
      <c r="J466" s="51"/>
      <c r="K466" s="51"/>
      <c r="L466" s="119"/>
      <c r="M466" s="119"/>
      <c r="N466" s="119"/>
      <c r="O466" s="119"/>
      <c r="P466" s="119"/>
      <c r="Q466" s="119"/>
      <c r="R466" s="512"/>
      <c r="S466" s="119"/>
      <c r="T466" s="119"/>
      <c r="U466" s="119"/>
      <c r="V466" s="119"/>
      <c r="W466" s="131">
        <f>IF(NFI_Expiration=1,IF($A466&lt;VLOOKUP(I$5,NFI,5,0),1,0)*Data_NFI_t[[#This Row],[Hygiene Kit]],0)</f>
        <v>0</v>
      </c>
      <c r="X466" s="131">
        <f>IF(NFI_Expiration=1,IF($A466&lt;VLOOKUP(J$5,NFI,5,0),1,0)*Data_NFI_t[[#This Row],[NFI Core Kit]],0)</f>
        <v>0</v>
      </c>
      <c r="Y466" s="112">
        <f>IF(NFI_Expiration=1,IF($A466&lt;VLOOKUP(K$5,NFI,5,0),1,0)*Data_NFI_t[[#This Row],[Sanitary Kit]],0)</f>
        <v>0</v>
      </c>
      <c r="Z466" s="112">
        <f>IF(NFI_Expiration=1,IF($A466&lt;VLOOKUP(L$5,NFI,5,0),1,0)*Data_NFI_t[[#This Row],[Mosquito net]],0)</f>
        <v>0</v>
      </c>
      <c r="AA466" s="112">
        <f>IF(NFI_Expiration=1,IF($A466&lt;VLOOKUP(M$5,NFI,5,0),1,0)*Data_NFI_t[[#This Row],[Tarpaulin]],0)</f>
        <v>0</v>
      </c>
      <c r="AB466" s="112">
        <f>IF(NFI_Expiration=1,IF($A466&lt;VLOOKUP(N$5,NFI,5,0),1,0)*Data_NFI_t[[#This Row],[Blanket]],0)</f>
        <v>0</v>
      </c>
      <c r="AC466" s="112">
        <f>IF(NFI_Expiration=1,IF($A466&lt;VLOOKUP(O$5,NFI,5,0),1,0)*Data_NFI_t[[#This Row],[Kitchen Set]],0)</f>
        <v>0</v>
      </c>
      <c r="AD466" s="112">
        <f>IF(NFI_Expiration=1,IF($A466&lt;VLOOKUP(P$5,NFI,5,0),1,0)*Data_NFI_t[[#This Row],[Complementary Kit]],0)</f>
        <v>0</v>
      </c>
      <c r="AE466" s="112">
        <f>IF(NFI_Expiration=1,IF($A466&lt;VLOOKUP(Q$5,NFI,5,0),1,0)*Data_NFI_t[[#This Row],[Plastic Bucket]],0)</f>
        <v>0</v>
      </c>
      <c r="AF466" s="131">
        <f>IF(NFI_Expiration=1,IF($A466&lt;VLOOKUP(R$5,NFI,5,0),1,0)*Data_NFI_t[[#This Row],[Jerry Can]],0)</f>
        <v>0</v>
      </c>
      <c r="AG466" s="131">
        <f>IF(NFI_Expiration=1,IF($A466&lt;VLOOKUP(S$5,NFI,5,0),1,0)*Data_NFI_t[[#This Row],[Plastic Mat]],0)*IF(Data_NFI_t[[#This Row],[Distribution Date]]&gt;"01-06-2015",1,2.5)</f>
        <v>0</v>
      </c>
      <c r="AH466" s="915">
        <f>IF(NFI_Expiration=1,IF($A466&lt;VLOOKUP(T$5,NFI,5,0),1,0)*Data_NFI_t[[#This Row],[Adult Clothes]],0)</f>
        <v>0</v>
      </c>
      <c r="AI466" s="131">
        <f>IF(NFI_Expiration=1,IF($A466&lt;VLOOKUP(U$5,NFI,5,0),1,0)*Data_NFI_t[[#This Row],[Children Clothes]],0)</f>
        <v>0</v>
      </c>
      <c r="AJ466" s="131">
        <f>IF(NFI_Expiration=1,IF($A466&lt;VLOOKUP(V$5,NFI,5,0),1,0)*Data_NFI_t[[#This Row],[Sewing Kit]],0)</f>
        <v>0</v>
      </c>
      <c r="AK466" s="131" t="str">
        <f ca="1">IFERROR(OFFSET(Camp_List[P_Code],MATCH(Data_NFI_t[[#This Row],[Camp Name]],Camp_List[Camp Name],0)-1,0,1,1),"")</f>
        <v/>
      </c>
      <c r="AL466" s="513" t="str">
        <f ca="1">IFERROR(OFFSET(Camp_List[Status],MATCH(Data_NFI_t[[#This Row],[Camp Name]],Camp_List[Camp Name],0)-1,0,1,1),"")</f>
        <v/>
      </c>
      <c r="AM466" s="131"/>
    </row>
    <row r="467" spans="1:39" s="793" customFormat="1" ht="19.5" customHeight="1" x14ac:dyDescent="0.25">
      <c r="A467" s="242" t="str">
        <f>IF(ISBLANK(C467),"",(Report_Date-C467)/30)</f>
        <v/>
      </c>
      <c r="B467" s="522">
        <f>YEAR(Data_NFI_t[[#This Row],[Distribution Date]])</f>
        <v>1900</v>
      </c>
      <c r="C467" s="927"/>
      <c r="D467" s="489"/>
      <c r="E467" s="488"/>
      <c r="F467" s="489"/>
      <c r="G467" s="794"/>
      <c r="H467" s="794"/>
      <c r="I467" s="794"/>
      <c r="J467" s="51"/>
      <c r="K467" s="51"/>
      <c r="L467" s="119"/>
      <c r="M467" s="119"/>
      <c r="N467" s="119"/>
      <c r="O467" s="119"/>
      <c r="P467" s="119"/>
      <c r="Q467" s="119"/>
      <c r="R467" s="512"/>
      <c r="S467" s="119"/>
      <c r="T467" s="119"/>
      <c r="U467" s="119"/>
      <c r="V467" s="119"/>
      <c r="W467" s="131">
        <f>IF(NFI_Expiration=1,IF($A467&lt;VLOOKUP(I$5,NFI,5,0),1,0)*Data_NFI_t[[#This Row],[Hygiene Kit]],0)</f>
        <v>0</v>
      </c>
      <c r="X467" s="131">
        <f>IF(NFI_Expiration=1,IF($A467&lt;VLOOKUP(J$5,NFI,5,0),1,0)*Data_NFI_t[[#This Row],[NFI Core Kit]],0)</f>
        <v>0</v>
      </c>
      <c r="Y467" s="112">
        <f>IF(NFI_Expiration=1,IF($A467&lt;VLOOKUP(K$5,NFI,5,0),1,0)*Data_NFI_t[[#This Row],[Sanitary Kit]],0)</f>
        <v>0</v>
      </c>
      <c r="Z467" s="112">
        <f>IF(NFI_Expiration=1,IF($A467&lt;VLOOKUP(L$5,NFI,5,0),1,0)*Data_NFI_t[[#This Row],[Mosquito net]],0)</f>
        <v>0</v>
      </c>
      <c r="AA467" s="112">
        <f>IF(NFI_Expiration=1,IF($A467&lt;VLOOKUP(M$5,NFI,5,0),1,0)*Data_NFI_t[[#This Row],[Tarpaulin]],0)</f>
        <v>0</v>
      </c>
      <c r="AB467" s="112">
        <f>IF(NFI_Expiration=1,IF($A467&lt;VLOOKUP(N$5,NFI,5,0),1,0)*Data_NFI_t[[#This Row],[Blanket]],0)</f>
        <v>0</v>
      </c>
      <c r="AC467" s="112">
        <f>IF(NFI_Expiration=1,IF($A467&lt;VLOOKUP(O$5,NFI,5,0),1,0)*Data_NFI_t[[#This Row],[Kitchen Set]],0)</f>
        <v>0</v>
      </c>
      <c r="AD467" s="112">
        <f>IF(NFI_Expiration=1,IF($A467&lt;VLOOKUP(P$5,NFI,5,0),1,0)*Data_NFI_t[[#This Row],[Complementary Kit]],0)</f>
        <v>0</v>
      </c>
      <c r="AE467" s="112">
        <f>IF(NFI_Expiration=1,IF($A467&lt;VLOOKUP(Q$5,NFI,5,0),1,0)*Data_NFI_t[[#This Row],[Plastic Bucket]],0)</f>
        <v>0</v>
      </c>
      <c r="AF467" s="131">
        <f>IF(NFI_Expiration=1,IF($A467&lt;VLOOKUP(R$5,NFI,5,0),1,0)*Data_NFI_t[[#This Row],[Jerry Can]],0)</f>
        <v>0</v>
      </c>
      <c r="AG467" s="131">
        <f>IF(NFI_Expiration=1,IF($A467&lt;VLOOKUP(S$5,NFI,5,0),1,0)*Data_NFI_t[[#This Row],[Plastic Mat]],0)*IF(Data_NFI_t[[#This Row],[Distribution Date]]&gt;"01-06-2015",1,2.5)</f>
        <v>0</v>
      </c>
      <c r="AH467" s="915">
        <f>IF(NFI_Expiration=1,IF($A467&lt;VLOOKUP(T$5,NFI,5,0),1,0)*Data_NFI_t[[#This Row],[Adult Clothes]],0)</f>
        <v>0</v>
      </c>
      <c r="AI467" s="131">
        <f>IF(NFI_Expiration=1,IF($A467&lt;VLOOKUP(U$5,NFI,5,0),1,0)*Data_NFI_t[[#This Row],[Children Clothes]],0)</f>
        <v>0</v>
      </c>
      <c r="AJ467" s="131">
        <f>IF(NFI_Expiration=1,IF($A467&lt;VLOOKUP(V$5,NFI,5,0),1,0)*Data_NFI_t[[#This Row],[Sewing Kit]],0)</f>
        <v>0</v>
      </c>
      <c r="AK467" s="131" t="str">
        <f ca="1">IFERROR(OFFSET(Camp_List[P_Code],MATCH(Data_NFI_t[[#This Row],[Camp Name]],Camp_List[Camp Name],0)-1,0,1,1),"")</f>
        <v/>
      </c>
      <c r="AL467" s="513" t="str">
        <f ca="1">IFERROR(OFFSET(Camp_List[Status],MATCH(Data_NFI_t[[#This Row],[Camp Name]],Camp_List[Camp Name],0)-1,0,1,1),"")</f>
        <v/>
      </c>
      <c r="AM467" s="131"/>
    </row>
    <row r="468" spans="1:39" s="793" customFormat="1" ht="19.5" customHeight="1" x14ac:dyDescent="0.25">
      <c r="A468" s="242" t="str">
        <f>IF(ISBLANK(C468),"",(Report_Date-C468)/30)</f>
        <v/>
      </c>
      <c r="B468" s="522">
        <f>YEAR(Data_NFI_t[[#This Row],[Distribution Date]])</f>
        <v>1900</v>
      </c>
      <c r="C468" s="927"/>
      <c r="D468" s="489"/>
      <c r="E468" s="488"/>
      <c r="F468" s="489"/>
      <c r="G468" s="794"/>
      <c r="H468" s="794"/>
      <c r="I468" s="794"/>
      <c r="J468" s="51"/>
      <c r="K468" s="51"/>
      <c r="L468" s="119"/>
      <c r="M468" s="119"/>
      <c r="N468" s="119"/>
      <c r="O468" s="119"/>
      <c r="P468" s="119"/>
      <c r="Q468" s="119"/>
      <c r="R468" s="512"/>
      <c r="S468" s="119"/>
      <c r="T468" s="119"/>
      <c r="U468" s="119"/>
      <c r="V468" s="119"/>
      <c r="W468" s="131">
        <f>IF(NFI_Expiration=1,IF($A468&lt;VLOOKUP(I$5,NFI,5,0),1,0)*Data_NFI_t[[#This Row],[Hygiene Kit]],0)</f>
        <v>0</v>
      </c>
      <c r="X468" s="131">
        <f>IF(NFI_Expiration=1,IF($A468&lt;VLOOKUP(J$5,NFI,5,0),1,0)*Data_NFI_t[[#This Row],[NFI Core Kit]],0)</f>
        <v>0</v>
      </c>
      <c r="Y468" s="112">
        <f>IF(NFI_Expiration=1,IF($A468&lt;VLOOKUP(K$5,NFI,5,0),1,0)*Data_NFI_t[[#This Row],[Sanitary Kit]],0)</f>
        <v>0</v>
      </c>
      <c r="Z468" s="112">
        <f>IF(NFI_Expiration=1,IF($A468&lt;VLOOKUP(L$5,NFI,5,0),1,0)*Data_NFI_t[[#This Row],[Mosquito net]],0)</f>
        <v>0</v>
      </c>
      <c r="AA468" s="112">
        <f>IF(NFI_Expiration=1,IF($A468&lt;VLOOKUP(M$5,NFI,5,0),1,0)*Data_NFI_t[[#This Row],[Tarpaulin]],0)</f>
        <v>0</v>
      </c>
      <c r="AB468" s="112">
        <f>IF(NFI_Expiration=1,IF($A468&lt;VLOOKUP(N$5,NFI,5,0),1,0)*Data_NFI_t[[#This Row],[Blanket]],0)</f>
        <v>0</v>
      </c>
      <c r="AC468" s="112">
        <f>IF(NFI_Expiration=1,IF($A468&lt;VLOOKUP(O$5,NFI,5,0),1,0)*Data_NFI_t[[#This Row],[Kitchen Set]],0)</f>
        <v>0</v>
      </c>
      <c r="AD468" s="112">
        <f>IF(NFI_Expiration=1,IF($A468&lt;VLOOKUP(P$5,NFI,5,0),1,0)*Data_NFI_t[[#This Row],[Complementary Kit]],0)</f>
        <v>0</v>
      </c>
      <c r="AE468" s="112">
        <f>IF(NFI_Expiration=1,IF($A468&lt;VLOOKUP(Q$5,NFI,5,0),1,0)*Data_NFI_t[[#This Row],[Plastic Bucket]],0)</f>
        <v>0</v>
      </c>
      <c r="AF468" s="131">
        <f>IF(NFI_Expiration=1,IF($A468&lt;VLOOKUP(R$5,NFI,5,0),1,0)*Data_NFI_t[[#This Row],[Jerry Can]],0)</f>
        <v>0</v>
      </c>
      <c r="AG468" s="131">
        <f>IF(NFI_Expiration=1,IF($A468&lt;VLOOKUP(S$5,NFI,5,0),1,0)*Data_NFI_t[[#This Row],[Plastic Mat]],0)*IF(Data_NFI_t[[#This Row],[Distribution Date]]&gt;"01-06-2015",1,2.5)</f>
        <v>0</v>
      </c>
      <c r="AH468" s="915">
        <f>IF(NFI_Expiration=1,IF($A468&lt;VLOOKUP(T$5,NFI,5,0),1,0)*Data_NFI_t[[#This Row],[Adult Clothes]],0)</f>
        <v>0</v>
      </c>
      <c r="AI468" s="131">
        <f>IF(NFI_Expiration=1,IF($A468&lt;VLOOKUP(U$5,NFI,5,0),1,0)*Data_NFI_t[[#This Row],[Children Clothes]],0)</f>
        <v>0</v>
      </c>
      <c r="AJ468" s="131">
        <f>IF(NFI_Expiration=1,IF($A468&lt;VLOOKUP(V$5,NFI,5,0),1,0)*Data_NFI_t[[#This Row],[Sewing Kit]],0)</f>
        <v>0</v>
      </c>
      <c r="AK468" s="131" t="str">
        <f ca="1">IFERROR(OFFSET(Camp_List[P_Code],MATCH(Data_NFI_t[[#This Row],[Camp Name]],Camp_List[Camp Name],0)-1,0,1,1),"")</f>
        <v/>
      </c>
      <c r="AL468" s="513" t="str">
        <f ca="1">IFERROR(OFFSET(Camp_List[Status],MATCH(Data_NFI_t[[#This Row],[Camp Name]],Camp_List[Camp Name],0)-1,0,1,1),"")</f>
        <v/>
      </c>
      <c r="AM468" s="131"/>
    </row>
    <row r="469" spans="1:39" s="793" customFormat="1" ht="19.5" customHeight="1" x14ac:dyDescent="0.25">
      <c r="A469" s="242" t="str">
        <f>IF(ISBLANK(C469),"",(Report_Date-C469)/30)</f>
        <v/>
      </c>
      <c r="B469" s="522">
        <f>YEAR(Data_NFI_t[[#This Row],[Distribution Date]])</f>
        <v>1900</v>
      </c>
      <c r="C469" s="927"/>
      <c r="D469" s="489"/>
      <c r="E469" s="488"/>
      <c r="F469" s="489"/>
      <c r="G469" s="794"/>
      <c r="H469" s="794"/>
      <c r="I469" s="794"/>
      <c r="J469" s="51"/>
      <c r="K469" s="51"/>
      <c r="L469" s="119"/>
      <c r="M469" s="119"/>
      <c r="N469" s="119"/>
      <c r="O469" s="119"/>
      <c r="P469" s="119"/>
      <c r="Q469" s="119"/>
      <c r="R469" s="512"/>
      <c r="S469" s="119"/>
      <c r="T469" s="119"/>
      <c r="U469" s="119"/>
      <c r="V469" s="119"/>
      <c r="W469" s="131">
        <f>IF(NFI_Expiration=1,IF($A469&lt;VLOOKUP(I$5,NFI,5,0),1,0)*Data_NFI_t[[#This Row],[Hygiene Kit]],0)</f>
        <v>0</v>
      </c>
      <c r="X469" s="131">
        <f>IF(NFI_Expiration=1,IF($A469&lt;VLOOKUP(J$5,NFI,5,0),1,0)*Data_NFI_t[[#This Row],[NFI Core Kit]],0)</f>
        <v>0</v>
      </c>
      <c r="Y469" s="112">
        <f>IF(NFI_Expiration=1,IF($A469&lt;VLOOKUP(K$5,NFI,5,0),1,0)*Data_NFI_t[[#This Row],[Sanitary Kit]],0)</f>
        <v>0</v>
      </c>
      <c r="Z469" s="112">
        <f>IF(NFI_Expiration=1,IF($A469&lt;VLOOKUP(L$5,NFI,5,0),1,0)*Data_NFI_t[[#This Row],[Mosquito net]],0)</f>
        <v>0</v>
      </c>
      <c r="AA469" s="112">
        <f>IF(NFI_Expiration=1,IF($A469&lt;VLOOKUP(M$5,NFI,5,0),1,0)*Data_NFI_t[[#This Row],[Tarpaulin]],0)</f>
        <v>0</v>
      </c>
      <c r="AB469" s="112">
        <f>IF(NFI_Expiration=1,IF($A469&lt;VLOOKUP(N$5,NFI,5,0),1,0)*Data_NFI_t[[#This Row],[Blanket]],0)</f>
        <v>0</v>
      </c>
      <c r="AC469" s="112">
        <f>IF(NFI_Expiration=1,IF($A469&lt;VLOOKUP(O$5,NFI,5,0),1,0)*Data_NFI_t[[#This Row],[Kitchen Set]],0)</f>
        <v>0</v>
      </c>
      <c r="AD469" s="112">
        <f>IF(NFI_Expiration=1,IF($A469&lt;VLOOKUP(P$5,NFI,5,0),1,0)*Data_NFI_t[[#This Row],[Complementary Kit]],0)</f>
        <v>0</v>
      </c>
      <c r="AE469" s="112">
        <f>IF(NFI_Expiration=1,IF($A469&lt;VLOOKUP(Q$5,NFI,5,0),1,0)*Data_NFI_t[[#This Row],[Plastic Bucket]],0)</f>
        <v>0</v>
      </c>
      <c r="AF469" s="131">
        <f>IF(NFI_Expiration=1,IF($A469&lt;VLOOKUP(R$5,NFI,5,0),1,0)*Data_NFI_t[[#This Row],[Jerry Can]],0)</f>
        <v>0</v>
      </c>
      <c r="AG469" s="131">
        <f>IF(NFI_Expiration=1,IF($A469&lt;VLOOKUP(S$5,NFI,5,0),1,0)*Data_NFI_t[[#This Row],[Plastic Mat]],0)*IF(Data_NFI_t[[#This Row],[Distribution Date]]&gt;"01-06-2015",1,2.5)</f>
        <v>0</v>
      </c>
      <c r="AH469" s="915">
        <f>IF(NFI_Expiration=1,IF($A469&lt;VLOOKUP(T$5,NFI,5,0),1,0)*Data_NFI_t[[#This Row],[Adult Clothes]],0)</f>
        <v>0</v>
      </c>
      <c r="AI469" s="131">
        <f>IF(NFI_Expiration=1,IF($A469&lt;VLOOKUP(U$5,NFI,5,0),1,0)*Data_NFI_t[[#This Row],[Children Clothes]],0)</f>
        <v>0</v>
      </c>
      <c r="AJ469" s="131">
        <f>IF(NFI_Expiration=1,IF($A469&lt;VLOOKUP(V$5,NFI,5,0),1,0)*Data_NFI_t[[#This Row],[Sewing Kit]],0)</f>
        <v>0</v>
      </c>
      <c r="AK469" s="131" t="str">
        <f ca="1">IFERROR(OFFSET(Camp_List[P_Code],MATCH(Data_NFI_t[[#This Row],[Camp Name]],Camp_List[Camp Name],0)-1,0,1,1),"")</f>
        <v/>
      </c>
      <c r="AL469" s="513" t="str">
        <f ca="1">IFERROR(OFFSET(Camp_List[Status],MATCH(Data_NFI_t[[#This Row],[Camp Name]],Camp_List[Camp Name],0)-1,0,1,1),"")</f>
        <v/>
      </c>
      <c r="AM469" s="131"/>
    </row>
    <row r="470" spans="1:39" s="793" customFormat="1" ht="19.5" customHeight="1" x14ac:dyDescent="0.25">
      <c r="A470" s="242" t="str">
        <f>IF(ISBLANK(C470),"",(Report_Date-C470)/30)</f>
        <v/>
      </c>
      <c r="B470" s="522">
        <f>YEAR(Data_NFI_t[[#This Row],[Distribution Date]])</f>
        <v>1900</v>
      </c>
      <c r="C470" s="927"/>
      <c r="D470" s="489"/>
      <c r="E470" s="488"/>
      <c r="F470" s="489"/>
      <c r="G470" s="794"/>
      <c r="H470" s="794"/>
      <c r="I470" s="794"/>
      <c r="J470" s="51"/>
      <c r="K470" s="51"/>
      <c r="L470" s="119"/>
      <c r="M470" s="119"/>
      <c r="N470" s="119"/>
      <c r="O470" s="119"/>
      <c r="P470" s="119"/>
      <c r="Q470" s="119"/>
      <c r="R470" s="512"/>
      <c r="S470" s="119"/>
      <c r="T470" s="119"/>
      <c r="U470" s="119"/>
      <c r="V470" s="119"/>
      <c r="W470" s="131">
        <f>IF(NFI_Expiration=1,IF($A470&lt;VLOOKUP(I$5,NFI,5,0),1,0)*Data_NFI_t[[#This Row],[Hygiene Kit]],0)</f>
        <v>0</v>
      </c>
      <c r="X470" s="131">
        <f>IF(NFI_Expiration=1,IF($A470&lt;VLOOKUP(J$5,NFI,5,0),1,0)*Data_NFI_t[[#This Row],[NFI Core Kit]],0)</f>
        <v>0</v>
      </c>
      <c r="Y470" s="112">
        <f>IF(NFI_Expiration=1,IF($A470&lt;VLOOKUP(K$5,NFI,5,0),1,0)*Data_NFI_t[[#This Row],[Sanitary Kit]],0)</f>
        <v>0</v>
      </c>
      <c r="Z470" s="112">
        <f>IF(NFI_Expiration=1,IF($A470&lt;VLOOKUP(L$5,NFI,5,0),1,0)*Data_NFI_t[[#This Row],[Mosquito net]],0)</f>
        <v>0</v>
      </c>
      <c r="AA470" s="112">
        <f>IF(NFI_Expiration=1,IF($A470&lt;VLOOKUP(M$5,NFI,5,0),1,0)*Data_NFI_t[[#This Row],[Tarpaulin]],0)</f>
        <v>0</v>
      </c>
      <c r="AB470" s="112">
        <f>IF(NFI_Expiration=1,IF($A470&lt;VLOOKUP(N$5,NFI,5,0),1,0)*Data_NFI_t[[#This Row],[Blanket]],0)</f>
        <v>0</v>
      </c>
      <c r="AC470" s="112">
        <f>IF(NFI_Expiration=1,IF($A470&lt;VLOOKUP(O$5,NFI,5,0),1,0)*Data_NFI_t[[#This Row],[Kitchen Set]],0)</f>
        <v>0</v>
      </c>
      <c r="AD470" s="112">
        <f>IF(NFI_Expiration=1,IF($A470&lt;VLOOKUP(P$5,NFI,5,0),1,0)*Data_NFI_t[[#This Row],[Complementary Kit]],0)</f>
        <v>0</v>
      </c>
      <c r="AE470" s="112">
        <f>IF(NFI_Expiration=1,IF($A470&lt;VLOOKUP(Q$5,NFI,5,0),1,0)*Data_NFI_t[[#This Row],[Plastic Bucket]],0)</f>
        <v>0</v>
      </c>
      <c r="AF470" s="131">
        <f>IF(NFI_Expiration=1,IF($A470&lt;VLOOKUP(R$5,NFI,5,0),1,0)*Data_NFI_t[[#This Row],[Jerry Can]],0)</f>
        <v>0</v>
      </c>
      <c r="AG470" s="131">
        <f>IF(NFI_Expiration=1,IF($A470&lt;VLOOKUP(S$5,NFI,5,0),1,0)*Data_NFI_t[[#This Row],[Plastic Mat]],0)*IF(Data_NFI_t[[#This Row],[Distribution Date]]&gt;"01-06-2015",1,2.5)</f>
        <v>0</v>
      </c>
      <c r="AH470" s="915">
        <f>IF(NFI_Expiration=1,IF($A470&lt;VLOOKUP(T$5,NFI,5,0),1,0)*Data_NFI_t[[#This Row],[Adult Clothes]],0)</f>
        <v>0</v>
      </c>
      <c r="AI470" s="131">
        <f>IF(NFI_Expiration=1,IF($A470&lt;VLOOKUP(U$5,NFI,5,0),1,0)*Data_NFI_t[[#This Row],[Children Clothes]],0)</f>
        <v>0</v>
      </c>
      <c r="AJ470" s="131">
        <f>IF(NFI_Expiration=1,IF($A470&lt;VLOOKUP(V$5,NFI,5,0),1,0)*Data_NFI_t[[#This Row],[Sewing Kit]],0)</f>
        <v>0</v>
      </c>
      <c r="AK470" s="131" t="str">
        <f ca="1">IFERROR(OFFSET(Camp_List[P_Code],MATCH(Data_NFI_t[[#This Row],[Camp Name]],Camp_List[Camp Name],0)-1,0,1,1),"")</f>
        <v/>
      </c>
      <c r="AL470" s="513" t="str">
        <f ca="1">IFERROR(OFFSET(Camp_List[Status],MATCH(Data_NFI_t[[#This Row],[Camp Name]],Camp_List[Camp Name],0)-1,0,1,1),"")</f>
        <v/>
      </c>
      <c r="AM470" s="131"/>
    </row>
    <row r="471" spans="1:39" s="793" customFormat="1" ht="19.5" customHeight="1" x14ac:dyDescent="0.25">
      <c r="A471" s="242" t="str">
        <f>IF(ISBLANK(C471),"",(Report_Date-C471)/30)</f>
        <v/>
      </c>
      <c r="B471" s="522">
        <f>YEAR(Data_NFI_t[[#This Row],[Distribution Date]])</f>
        <v>1900</v>
      </c>
      <c r="C471" s="927"/>
      <c r="D471" s="489"/>
      <c r="E471" s="488"/>
      <c r="F471" s="489"/>
      <c r="G471" s="794"/>
      <c r="H471" s="794"/>
      <c r="I471" s="794"/>
      <c r="J471" s="51"/>
      <c r="K471" s="51"/>
      <c r="L471" s="119"/>
      <c r="M471" s="119"/>
      <c r="N471" s="119"/>
      <c r="O471" s="119"/>
      <c r="P471" s="119"/>
      <c r="Q471" s="119"/>
      <c r="R471" s="512"/>
      <c r="S471" s="119"/>
      <c r="T471" s="119"/>
      <c r="U471" s="119"/>
      <c r="V471" s="119"/>
      <c r="W471" s="131">
        <f>IF(NFI_Expiration=1,IF($A471&lt;VLOOKUP(I$5,NFI,5,0),1,0)*Data_NFI_t[[#This Row],[Hygiene Kit]],0)</f>
        <v>0</v>
      </c>
      <c r="X471" s="131">
        <f>IF(NFI_Expiration=1,IF($A471&lt;VLOOKUP(J$5,NFI,5,0),1,0)*Data_NFI_t[[#This Row],[NFI Core Kit]],0)</f>
        <v>0</v>
      </c>
      <c r="Y471" s="112">
        <f>IF(NFI_Expiration=1,IF($A471&lt;VLOOKUP(K$5,NFI,5,0),1,0)*Data_NFI_t[[#This Row],[Sanitary Kit]],0)</f>
        <v>0</v>
      </c>
      <c r="Z471" s="112">
        <f>IF(NFI_Expiration=1,IF($A471&lt;VLOOKUP(L$5,NFI,5,0),1,0)*Data_NFI_t[[#This Row],[Mosquito net]],0)</f>
        <v>0</v>
      </c>
      <c r="AA471" s="112">
        <f>IF(NFI_Expiration=1,IF($A471&lt;VLOOKUP(M$5,NFI,5,0),1,0)*Data_NFI_t[[#This Row],[Tarpaulin]],0)</f>
        <v>0</v>
      </c>
      <c r="AB471" s="112">
        <f>IF(NFI_Expiration=1,IF($A471&lt;VLOOKUP(N$5,NFI,5,0),1,0)*Data_NFI_t[[#This Row],[Blanket]],0)</f>
        <v>0</v>
      </c>
      <c r="AC471" s="112">
        <f>IF(NFI_Expiration=1,IF($A471&lt;VLOOKUP(O$5,NFI,5,0),1,0)*Data_NFI_t[[#This Row],[Kitchen Set]],0)</f>
        <v>0</v>
      </c>
      <c r="AD471" s="112">
        <f>IF(NFI_Expiration=1,IF($A471&lt;VLOOKUP(P$5,NFI,5,0),1,0)*Data_NFI_t[[#This Row],[Complementary Kit]],0)</f>
        <v>0</v>
      </c>
      <c r="AE471" s="112">
        <f>IF(NFI_Expiration=1,IF($A471&lt;VLOOKUP(Q$5,NFI,5,0),1,0)*Data_NFI_t[[#This Row],[Plastic Bucket]],0)</f>
        <v>0</v>
      </c>
      <c r="AF471" s="131">
        <f>IF(NFI_Expiration=1,IF($A471&lt;VLOOKUP(R$5,NFI,5,0),1,0)*Data_NFI_t[[#This Row],[Jerry Can]],0)</f>
        <v>0</v>
      </c>
      <c r="AG471" s="131">
        <f>IF(NFI_Expiration=1,IF($A471&lt;VLOOKUP(S$5,NFI,5,0),1,0)*Data_NFI_t[[#This Row],[Plastic Mat]],0)*IF(Data_NFI_t[[#This Row],[Distribution Date]]&gt;"01-06-2015",1,2.5)</f>
        <v>0</v>
      </c>
      <c r="AH471" s="915">
        <f>IF(NFI_Expiration=1,IF($A471&lt;VLOOKUP(T$5,NFI,5,0),1,0)*Data_NFI_t[[#This Row],[Adult Clothes]],0)</f>
        <v>0</v>
      </c>
      <c r="AI471" s="131">
        <f>IF(NFI_Expiration=1,IF($A471&lt;VLOOKUP(U$5,NFI,5,0),1,0)*Data_NFI_t[[#This Row],[Children Clothes]],0)</f>
        <v>0</v>
      </c>
      <c r="AJ471" s="131">
        <f>IF(NFI_Expiration=1,IF($A471&lt;VLOOKUP(V$5,NFI,5,0),1,0)*Data_NFI_t[[#This Row],[Sewing Kit]],0)</f>
        <v>0</v>
      </c>
      <c r="AK471" s="131" t="str">
        <f ca="1">IFERROR(OFFSET(Camp_List[P_Code],MATCH(Data_NFI_t[[#This Row],[Camp Name]],Camp_List[Camp Name],0)-1,0,1,1),"")</f>
        <v/>
      </c>
      <c r="AL471" s="513" t="str">
        <f ca="1">IFERROR(OFFSET(Camp_List[Status],MATCH(Data_NFI_t[[#This Row],[Camp Name]],Camp_List[Camp Name],0)-1,0,1,1),"")</f>
        <v/>
      </c>
      <c r="AM471" s="131"/>
    </row>
    <row r="472" spans="1:39" s="793" customFormat="1" ht="19.5" customHeight="1" x14ac:dyDescent="0.25">
      <c r="A472" s="242" t="str">
        <f>IF(ISBLANK(C472),"",(Report_Date-C472)/30)</f>
        <v/>
      </c>
      <c r="B472" s="522">
        <f>YEAR(Data_NFI_t[[#This Row],[Distribution Date]])</f>
        <v>1900</v>
      </c>
      <c r="C472" s="927"/>
      <c r="D472" s="489"/>
      <c r="E472" s="488"/>
      <c r="F472" s="489"/>
      <c r="G472" s="794"/>
      <c r="H472" s="794"/>
      <c r="I472" s="794"/>
      <c r="J472" s="51"/>
      <c r="K472" s="51"/>
      <c r="L472" s="119"/>
      <c r="M472" s="119"/>
      <c r="N472" s="119"/>
      <c r="O472" s="119"/>
      <c r="P472" s="119"/>
      <c r="Q472" s="119"/>
      <c r="R472" s="512"/>
      <c r="S472" s="119"/>
      <c r="T472" s="119"/>
      <c r="U472" s="119"/>
      <c r="V472" s="119"/>
      <c r="W472" s="131">
        <f>IF(NFI_Expiration=1,IF($A472&lt;VLOOKUP(I$5,NFI,5,0),1,0)*Data_NFI_t[[#This Row],[Hygiene Kit]],0)</f>
        <v>0</v>
      </c>
      <c r="X472" s="131">
        <f>IF(NFI_Expiration=1,IF($A472&lt;VLOOKUP(J$5,NFI,5,0),1,0)*Data_NFI_t[[#This Row],[NFI Core Kit]],0)</f>
        <v>0</v>
      </c>
      <c r="Y472" s="112">
        <f>IF(NFI_Expiration=1,IF($A472&lt;VLOOKUP(K$5,NFI,5,0),1,0)*Data_NFI_t[[#This Row],[Sanitary Kit]],0)</f>
        <v>0</v>
      </c>
      <c r="Z472" s="112">
        <f>IF(NFI_Expiration=1,IF($A472&lt;VLOOKUP(L$5,NFI,5,0),1,0)*Data_NFI_t[[#This Row],[Mosquito net]],0)</f>
        <v>0</v>
      </c>
      <c r="AA472" s="112">
        <f>IF(NFI_Expiration=1,IF($A472&lt;VLOOKUP(M$5,NFI,5,0),1,0)*Data_NFI_t[[#This Row],[Tarpaulin]],0)</f>
        <v>0</v>
      </c>
      <c r="AB472" s="112">
        <f>IF(NFI_Expiration=1,IF($A472&lt;VLOOKUP(N$5,NFI,5,0),1,0)*Data_NFI_t[[#This Row],[Blanket]],0)</f>
        <v>0</v>
      </c>
      <c r="AC472" s="112">
        <f>IF(NFI_Expiration=1,IF($A472&lt;VLOOKUP(O$5,NFI,5,0),1,0)*Data_NFI_t[[#This Row],[Kitchen Set]],0)</f>
        <v>0</v>
      </c>
      <c r="AD472" s="112">
        <f>IF(NFI_Expiration=1,IF($A472&lt;VLOOKUP(P$5,NFI,5,0),1,0)*Data_NFI_t[[#This Row],[Complementary Kit]],0)</f>
        <v>0</v>
      </c>
      <c r="AE472" s="112">
        <f>IF(NFI_Expiration=1,IF($A472&lt;VLOOKUP(Q$5,NFI,5,0),1,0)*Data_NFI_t[[#This Row],[Plastic Bucket]],0)</f>
        <v>0</v>
      </c>
      <c r="AF472" s="131">
        <f>IF(NFI_Expiration=1,IF($A472&lt;VLOOKUP(R$5,NFI,5,0),1,0)*Data_NFI_t[[#This Row],[Jerry Can]],0)</f>
        <v>0</v>
      </c>
      <c r="AG472" s="131">
        <f>IF(NFI_Expiration=1,IF($A472&lt;VLOOKUP(S$5,NFI,5,0),1,0)*Data_NFI_t[[#This Row],[Plastic Mat]],0)*IF(Data_NFI_t[[#This Row],[Distribution Date]]&gt;"01-06-2015",1,2.5)</f>
        <v>0</v>
      </c>
      <c r="AH472" s="915">
        <f>IF(NFI_Expiration=1,IF($A472&lt;VLOOKUP(T$5,NFI,5,0),1,0)*Data_NFI_t[[#This Row],[Adult Clothes]],0)</f>
        <v>0</v>
      </c>
      <c r="AI472" s="131">
        <f>IF(NFI_Expiration=1,IF($A472&lt;VLOOKUP(U$5,NFI,5,0),1,0)*Data_NFI_t[[#This Row],[Children Clothes]],0)</f>
        <v>0</v>
      </c>
      <c r="AJ472" s="131">
        <f>IF(NFI_Expiration=1,IF($A472&lt;VLOOKUP(V$5,NFI,5,0),1,0)*Data_NFI_t[[#This Row],[Sewing Kit]],0)</f>
        <v>0</v>
      </c>
      <c r="AK472" s="131" t="str">
        <f ca="1">IFERROR(OFFSET(Camp_List[P_Code],MATCH(Data_NFI_t[[#This Row],[Camp Name]],Camp_List[Camp Name],0)-1,0,1,1),"")</f>
        <v/>
      </c>
      <c r="AL472" s="513" t="str">
        <f ca="1">IFERROR(OFFSET(Camp_List[Status],MATCH(Data_NFI_t[[#This Row],[Camp Name]],Camp_List[Camp Name],0)-1,0,1,1),"")</f>
        <v/>
      </c>
      <c r="AM472" s="131"/>
    </row>
    <row r="473" spans="1:39" s="793" customFormat="1" ht="19.5" customHeight="1" x14ac:dyDescent="0.25">
      <c r="A473" s="242" t="str">
        <f>IF(ISBLANK(C473),"",(Report_Date-C473)/30)</f>
        <v/>
      </c>
      <c r="B473" s="522">
        <f>YEAR(Data_NFI_t[[#This Row],[Distribution Date]])</f>
        <v>1900</v>
      </c>
      <c r="C473" s="927"/>
      <c r="D473" s="489"/>
      <c r="E473" s="488"/>
      <c r="F473" s="489"/>
      <c r="G473" s="794"/>
      <c r="H473" s="794"/>
      <c r="I473" s="794"/>
      <c r="J473" s="51"/>
      <c r="K473" s="51"/>
      <c r="L473" s="119"/>
      <c r="M473" s="119"/>
      <c r="N473" s="119"/>
      <c r="O473" s="119"/>
      <c r="P473" s="119"/>
      <c r="Q473" s="119"/>
      <c r="R473" s="512"/>
      <c r="S473" s="119"/>
      <c r="T473" s="119"/>
      <c r="U473" s="119"/>
      <c r="V473" s="119"/>
      <c r="W473" s="131">
        <f>IF(NFI_Expiration=1,IF($A473&lt;VLOOKUP(I$5,NFI,5,0),1,0)*Data_NFI_t[[#This Row],[Hygiene Kit]],0)</f>
        <v>0</v>
      </c>
      <c r="X473" s="131">
        <f>IF(NFI_Expiration=1,IF($A473&lt;VLOOKUP(J$5,NFI,5,0),1,0)*Data_NFI_t[[#This Row],[NFI Core Kit]],0)</f>
        <v>0</v>
      </c>
      <c r="Y473" s="112">
        <f>IF(NFI_Expiration=1,IF($A473&lt;VLOOKUP(K$5,NFI,5,0),1,0)*Data_NFI_t[[#This Row],[Sanitary Kit]],0)</f>
        <v>0</v>
      </c>
      <c r="Z473" s="112">
        <f>IF(NFI_Expiration=1,IF($A473&lt;VLOOKUP(L$5,NFI,5,0),1,0)*Data_NFI_t[[#This Row],[Mosquito net]],0)</f>
        <v>0</v>
      </c>
      <c r="AA473" s="112">
        <f>IF(NFI_Expiration=1,IF($A473&lt;VLOOKUP(M$5,NFI,5,0),1,0)*Data_NFI_t[[#This Row],[Tarpaulin]],0)</f>
        <v>0</v>
      </c>
      <c r="AB473" s="112">
        <f>IF(NFI_Expiration=1,IF($A473&lt;VLOOKUP(N$5,NFI,5,0),1,0)*Data_NFI_t[[#This Row],[Blanket]],0)</f>
        <v>0</v>
      </c>
      <c r="AC473" s="112">
        <f>IF(NFI_Expiration=1,IF($A473&lt;VLOOKUP(O$5,NFI,5,0),1,0)*Data_NFI_t[[#This Row],[Kitchen Set]],0)</f>
        <v>0</v>
      </c>
      <c r="AD473" s="112">
        <f>IF(NFI_Expiration=1,IF($A473&lt;VLOOKUP(P$5,NFI,5,0),1,0)*Data_NFI_t[[#This Row],[Complementary Kit]],0)</f>
        <v>0</v>
      </c>
      <c r="AE473" s="112">
        <f>IF(NFI_Expiration=1,IF($A473&lt;VLOOKUP(Q$5,NFI,5,0),1,0)*Data_NFI_t[[#This Row],[Plastic Bucket]],0)</f>
        <v>0</v>
      </c>
      <c r="AF473" s="131">
        <f>IF(NFI_Expiration=1,IF($A473&lt;VLOOKUP(R$5,NFI,5,0),1,0)*Data_NFI_t[[#This Row],[Jerry Can]],0)</f>
        <v>0</v>
      </c>
      <c r="AG473" s="131">
        <f>IF(NFI_Expiration=1,IF($A473&lt;VLOOKUP(S$5,NFI,5,0),1,0)*Data_NFI_t[[#This Row],[Plastic Mat]],0)*IF(Data_NFI_t[[#This Row],[Distribution Date]]&gt;"01-06-2015",1,2.5)</f>
        <v>0</v>
      </c>
      <c r="AH473" s="915">
        <f>IF(NFI_Expiration=1,IF($A473&lt;VLOOKUP(T$5,NFI,5,0),1,0)*Data_NFI_t[[#This Row],[Adult Clothes]],0)</f>
        <v>0</v>
      </c>
      <c r="AI473" s="131">
        <f>IF(NFI_Expiration=1,IF($A473&lt;VLOOKUP(U$5,NFI,5,0),1,0)*Data_NFI_t[[#This Row],[Children Clothes]],0)</f>
        <v>0</v>
      </c>
      <c r="AJ473" s="131">
        <f>IF(NFI_Expiration=1,IF($A473&lt;VLOOKUP(V$5,NFI,5,0),1,0)*Data_NFI_t[[#This Row],[Sewing Kit]],0)</f>
        <v>0</v>
      </c>
      <c r="AK473" s="131" t="str">
        <f ca="1">IFERROR(OFFSET(Camp_List[P_Code],MATCH(Data_NFI_t[[#This Row],[Camp Name]],Camp_List[Camp Name],0)-1,0,1,1),"")</f>
        <v/>
      </c>
      <c r="AL473" s="513" t="str">
        <f ca="1">IFERROR(OFFSET(Camp_List[Status],MATCH(Data_NFI_t[[#This Row],[Camp Name]],Camp_List[Camp Name],0)-1,0,1,1),"")</f>
        <v/>
      </c>
      <c r="AM473" s="131"/>
    </row>
    <row r="474" spans="1:39" s="793" customFormat="1" ht="19.5" customHeight="1" x14ac:dyDescent="0.25">
      <c r="A474" s="242" t="str">
        <f>IF(ISBLANK(C474),"",(Report_Date-C474)/30)</f>
        <v/>
      </c>
      <c r="B474" s="522">
        <f>YEAR(Data_NFI_t[[#This Row],[Distribution Date]])</f>
        <v>1900</v>
      </c>
      <c r="C474" s="927"/>
      <c r="D474" s="489"/>
      <c r="E474" s="488"/>
      <c r="F474" s="489"/>
      <c r="G474" s="794"/>
      <c r="H474" s="794"/>
      <c r="I474" s="794"/>
      <c r="J474" s="51"/>
      <c r="K474" s="51"/>
      <c r="L474" s="119"/>
      <c r="M474" s="119"/>
      <c r="N474" s="119"/>
      <c r="O474" s="119"/>
      <c r="P474" s="119"/>
      <c r="Q474" s="119"/>
      <c r="R474" s="512"/>
      <c r="S474" s="119"/>
      <c r="T474" s="119"/>
      <c r="U474" s="119"/>
      <c r="V474" s="119"/>
      <c r="W474" s="131">
        <f>IF(NFI_Expiration=1,IF($A474&lt;VLOOKUP(I$5,NFI,5,0),1,0)*Data_NFI_t[[#This Row],[Hygiene Kit]],0)</f>
        <v>0</v>
      </c>
      <c r="X474" s="131">
        <f>IF(NFI_Expiration=1,IF($A474&lt;VLOOKUP(J$5,NFI,5,0),1,0)*Data_NFI_t[[#This Row],[NFI Core Kit]],0)</f>
        <v>0</v>
      </c>
      <c r="Y474" s="112">
        <f>IF(NFI_Expiration=1,IF($A474&lt;VLOOKUP(K$5,NFI,5,0),1,0)*Data_NFI_t[[#This Row],[Sanitary Kit]],0)</f>
        <v>0</v>
      </c>
      <c r="Z474" s="112">
        <f>IF(NFI_Expiration=1,IF($A474&lt;VLOOKUP(L$5,NFI,5,0),1,0)*Data_NFI_t[[#This Row],[Mosquito net]],0)</f>
        <v>0</v>
      </c>
      <c r="AA474" s="112">
        <f>IF(NFI_Expiration=1,IF($A474&lt;VLOOKUP(M$5,NFI,5,0),1,0)*Data_NFI_t[[#This Row],[Tarpaulin]],0)</f>
        <v>0</v>
      </c>
      <c r="AB474" s="112">
        <f>IF(NFI_Expiration=1,IF($A474&lt;VLOOKUP(N$5,NFI,5,0),1,0)*Data_NFI_t[[#This Row],[Blanket]],0)</f>
        <v>0</v>
      </c>
      <c r="AC474" s="112">
        <f>IF(NFI_Expiration=1,IF($A474&lt;VLOOKUP(O$5,NFI,5,0),1,0)*Data_NFI_t[[#This Row],[Kitchen Set]],0)</f>
        <v>0</v>
      </c>
      <c r="AD474" s="112">
        <f>IF(NFI_Expiration=1,IF($A474&lt;VLOOKUP(P$5,NFI,5,0),1,0)*Data_NFI_t[[#This Row],[Complementary Kit]],0)</f>
        <v>0</v>
      </c>
      <c r="AE474" s="112">
        <f>IF(NFI_Expiration=1,IF($A474&lt;VLOOKUP(Q$5,NFI,5,0),1,0)*Data_NFI_t[[#This Row],[Plastic Bucket]],0)</f>
        <v>0</v>
      </c>
      <c r="AF474" s="131">
        <f>IF(NFI_Expiration=1,IF($A474&lt;VLOOKUP(R$5,NFI,5,0),1,0)*Data_NFI_t[[#This Row],[Jerry Can]],0)</f>
        <v>0</v>
      </c>
      <c r="AG474" s="131">
        <f>IF(NFI_Expiration=1,IF($A474&lt;VLOOKUP(S$5,NFI,5,0),1,0)*Data_NFI_t[[#This Row],[Plastic Mat]],0)*IF(Data_NFI_t[[#This Row],[Distribution Date]]&gt;"01-06-2015",1,2.5)</f>
        <v>0</v>
      </c>
      <c r="AH474" s="915">
        <f>IF(NFI_Expiration=1,IF($A474&lt;VLOOKUP(T$5,NFI,5,0),1,0)*Data_NFI_t[[#This Row],[Adult Clothes]],0)</f>
        <v>0</v>
      </c>
      <c r="AI474" s="131">
        <f>IF(NFI_Expiration=1,IF($A474&lt;VLOOKUP(U$5,NFI,5,0),1,0)*Data_NFI_t[[#This Row],[Children Clothes]],0)</f>
        <v>0</v>
      </c>
      <c r="AJ474" s="131">
        <f>IF(NFI_Expiration=1,IF($A474&lt;VLOOKUP(V$5,NFI,5,0),1,0)*Data_NFI_t[[#This Row],[Sewing Kit]],0)</f>
        <v>0</v>
      </c>
      <c r="AK474" s="131" t="str">
        <f ca="1">IFERROR(OFFSET(Camp_List[P_Code],MATCH(Data_NFI_t[[#This Row],[Camp Name]],Camp_List[Camp Name],0)-1,0,1,1),"")</f>
        <v/>
      </c>
      <c r="AL474" s="513" t="str">
        <f ca="1">IFERROR(OFFSET(Camp_List[Status],MATCH(Data_NFI_t[[#This Row],[Camp Name]],Camp_List[Camp Name],0)-1,0,1,1),"")</f>
        <v/>
      </c>
      <c r="AM474" s="131"/>
    </row>
    <row r="475" spans="1:39" s="793" customFormat="1" ht="19.5" customHeight="1" x14ac:dyDescent="0.25">
      <c r="A475" s="242" t="str">
        <f>IF(ISBLANK(C475),"",(Report_Date-C475)/30)</f>
        <v/>
      </c>
      <c r="B475" s="522">
        <f>YEAR(Data_NFI_t[[#This Row],[Distribution Date]])</f>
        <v>1900</v>
      </c>
      <c r="C475" s="927"/>
      <c r="D475" s="489"/>
      <c r="E475" s="488"/>
      <c r="F475" s="489"/>
      <c r="G475" s="794"/>
      <c r="H475" s="794"/>
      <c r="I475" s="794"/>
      <c r="J475" s="51"/>
      <c r="K475" s="51"/>
      <c r="L475" s="119"/>
      <c r="M475" s="119"/>
      <c r="N475" s="119"/>
      <c r="O475" s="119"/>
      <c r="P475" s="119"/>
      <c r="Q475" s="119"/>
      <c r="R475" s="512"/>
      <c r="S475" s="119"/>
      <c r="T475" s="119"/>
      <c r="U475" s="119"/>
      <c r="V475" s="119"/>
      <c r="W475" s="131">
        <f>IF(NFI_Expiration=1,IF($A475&lt;VLOOKUP(I$5,NFI,5,0),1,0)*Data_NFI_t[[#This Row],[Hygiene Kit]],0)</f>
        <v>0</v>
      </c>
      <c r="X475" s="131">
        <f>IF(NFI_Expiration=1,IF($A475&lt;VLOOKUP(J$5,NFI,5,0),1,0)*Data_NFI_t[[#This Row],[NFI Core Kit]],0)</f>
        <v>0</v>
      </c>
      <c r="Y475" s="112">
        <f>IF(NFI_Expiration=1,IF($A475&lt;VLOOKUP(K$5,NFI,5,0),1,0)*Data_NFI_t[[#This Row],[Sanitary Kit]],0)</f>
        <v>0</v>
      </c>
      <c r="Z475" s="112">
        <f>IF(NFI_Expiration=1,IF($A475&lt;VLOOKUP(L$5,NFI,5,0),1,0)*Data_NFI_t[[#This Row],[Mosquito net]],0)</f>
        <v>0</v>
      </c>
      <c r="AA475" s="112">
        <f>IF(NFI_Expiration=1,IF($A475&lt;VLOOKUP(M$5,NFI,5,0),1,0)*Data_NFI_t[[#This Row],[Tarpaulin]],0)</f>
        <v>0</v>
      </c>
      <c r="AB475" s="112">
        <f>IF(NFI_Expiration=1,IF($A475&lt;VLOOKUP(N$5,NFI,5,0),1,0)*Data_NFI_t[[#This Row],[Blanket]],0)</f>
        <v>0</v>
      </c>
      <c r="AC475" s="112">
        <f>IF(NFI_Expiration=1,IF($A475&lt;VLOOKUP(O$5,NFI,5,0),1,0)*Data_NFI_t[[#This Row],[Kitchen Set]],0)</f>
        <v>0</v>
      </c>
      <c r="AD475" s="112">
        <f>IF(NFI_Expiration=1,IF($A475&lt;VLOOKUP(P$5,NFI,5,0),1,0)*Data_NFI_t[[#This Row],[Complementary Kit]],0)</f>
        <v>0</v>
      </c>
      <c r="AE475" s="112">
        <f>IF(NFI_Expiration=1,IF($A475&lt;VLOOKUP(Q$5,NFI,5,0),1,0)*Data_NFI_t[[#This Row],[Plastic Bucket]],0)</f>
        <v>0</v>
      </c>
      <c r="AF475" s="131">
        <f>IF(NFI_Expiration=1,IF($A475&lt;VLOOKUP(R$5,NFI,5,0),1,0)*Data_NFI_t[[#This Row],[Jerry Can]],0)</f>
        <v>0</v>
      </c>
      <c r="AG475" s="131">
        <f>IF(NFI_Expiration=1,IF($A475&lt;VLOOKUP(S$5,NFI,5,0),1,0)*Data_NFI_t[[#This Row],[Plastic Mat]],0)*IF(Data_NFI_t[[#This Row],[Distribution Date]]&gt;"01-06-2015",1,2.5)</f>
        <v>0</v>
      </c>
      <c r="AH475" s="915">
        <f>IF(NFI_Expiration=1,IF($A475&lt;VLOOKUP(T$5,NFI,5,0),1,0)*Data_NFI_t[[#This Row],[Adult Clothes]],0)</f>
        <v>0</v>
      </c>
      <c r="AI475" s="131">
        <f>IF(NFI_Expiration=1,IF($A475&lt;VLOOKUP(U$5,NFI,5,0),1,0)*Data_NFI_t[[#This Row],[Children Clothes]],0)</f>
        <v>0</v>
      </c>
      <c r="AJ475" s="131">
        <f>IF(NFI_Expiration=1,IF($A475&lt;VLOOKUP(V$5,NFI,5,0),1,0)*Data_NFI_t[[#This Row],[Sewing Kit]],0)</f>
        <v>0</v>
      </c>
      <c r="AK475" s="131" t="str">
        <f ca="1">IFERROR(OFFSET(Camp_List[P_Code],MATCH(Data_NFI_t[[#This Row],[Camp Name]],Camp_List[Camp Name],0)-1,0,1,1),"")</f>
        <v/>
      </c>
      <c r="AL475" s="513" t="str">
        <f ca="1">IFERROR(OFFSET(Camp_List[Status],MATCH(Data_NFI_t[[#This Row],[Camp Name]],Camp_List[Camp Name],0)-1,0,1,1),"")</f>
        <v/>
      </c>
      <c r="AM475" s="131"/>
    </row>
    <row r="476" spans="1:39" s="793" customFormat="1" ht="19.5" customHeight="1" x14ac:dyDescent="0.25">
      <c r="A476" s="242" t="str">
        <f>IF(ISBLANK(C476),"",(Report_Date-C476)/30)</f>
        <v/>
      </c>
      <c r="B476" s="522">
        <f>YEAR(Data_NFI_t[[#This Row],[Distribution Date]])</f>
        <v>1900</v>
      </c>
      <c r="C476" s="927"/>
      <c r="D476" s="489"/>
      <c r="E476" s="488"/>
      <c r="F476" s="489"/>
      <c r="G476" s="794"/>
      <c r="H476" s="794"/>
      <c r="I476" s="794"/>
      <c r="J476" s="51"/>
      <c r="K476" s="51"/>
      <c r="L476" s="119"/>
      <c r="M476" s="119"/>
      <c r="N476" s="119"/>
      <c r="O476" s="119"/>
      <c r="P476" s="119"/>
      <c r="Q476" s="119"/>
      <c r="R476" s="512"/>
      <c r="S476" s="119"/>
      <c r="T476" s="119"/>
      <c r="U476" s="119"/>
      <c r="V476" s="119"/>
      <c r="W476" s="131">
        <f>IF(NFI_Expiration=1,IF($A476&lt;VLOOKUP(I$5,NFI,5,0),1,0)*Data_NFI_t[[#This Row],[Hygiene Kit]],0)</f>
        <v>0</v>
      </c>
      <c r="X476" s="131">
        <f>IF(NFI_Expiration=1,IF($A476&lt;VLOOKUP(J$5,NFI,5,0),1,0)*Data_NFI_t[[#This Row],[NFI Core Kit]],0)</f>
        <v>0</v>
      </c>
      <c r="Y476" s="112">
        <f>IF(NFI_Expiration=1,IF($A476&lt;VLOOKUP(K$5,NFI,5,0),1,0)*Data_NFI_t[[#This Row],[Sanitary Kit]],0)</f>
        <v>0</v>
      </c>
      <c r="Z476" s="112">
        <f>IF(NFI_Expiration=1,IF($A476&lt;VLOOKUP(L$5,NFI,5,0),1,0)*Data_NFI_t[[#This Row],[Mosquito net]],0)</f>
        <v>0</v>
      </c>
      <c r="AA476" s="112">
        <f>IF(NFI_Expiration=1,IF($A476&lt;VLOOKUP(M$5,NFI,5,0),1,0)*Data_NFI_t[[#This Row],[Tarpaulin]],0)</f>
        <v>0</v>
      </c>
      <c r="AB476" s="112">
        <f>IF(NFI_Expiration=1,IF($A476&lt;VLOOKUP(N$5,NFI,5,0),1,0)*Data_NFI_t[[#This Row],[Blanket]],0)</f>
        <v>0</v>
      </c>
      <c r="AC476" s="112">
        <f>IF(NFI_Expiration=1,IF($A476&lt;VLOOKUP(O$5,NFI,5,0),1,0)*Data_NFI_t[[#This Row],[Kitchen Set]],0)</f>
        <v>0</v>
      </c>
      <c r="AD476" s="112">
        <f>IF(NFI_Expiration=1,IF($A476&lt;VLOOKUP(P$5,NFI,5,0),1,0)*Data_NFI_t[[#This Row],[Complementary Kit]],0)</f>
        <v>0</v>
      </c>
      <c r="AE476" s="112">
        <f>IF(NFI_Expiration=1,IF($A476&lt;VLOOKUP(Q$5,NFI,5,0),1,0)*Data_NFI_t[[#This Row],[Plastic Bucket]],0)</f>
        <v>0</v>
      </c>
      <c r="AF476" s="131">
        <f>IF(NFI_Expiration=1,IF($A476&lt;VLOOKUP(R$5,NFI,5,0),1,0)*Data_NFI_t[[#This Row],[Jerry Can]],0)</f>
        <v>0</v>
      </c>
      <c r="AG476" s="131">
        <f>IF(NFI_Expiration=1,IF($A476&lt;VLOOKUP(S$5,NFI,5,0),1,0)*Data_NFI_t[[#This Row],[Plastic Mat]],0)*IF(Data_NFI_t[[#This Row],[Distribution Date]]&gt;"01-06-2015",1,2.5)</f>
        <v>0</v>
      </c>
      <c r="AH476" s="915">
        <f>IF(NFI_Expiration=1,IF($A476&lt;VLOOKUP(T$5,NFI,5,0),1,0)*Data_NFI_t[[#This Row],[Adult Clothes]],0)</f>
        <v>0</v>
      </c>
      <c r="AI476" s="131">
        <f>IF(NFI_Expiration=1,IF($A476&lt;VLOOKUP(U$5,NFI,5,0),1,0)*Data_NFI_t[[#This Row],[Children Clothes]],0)</f>
        <v>0</v>
      </c>
      <c r="AJ476" s="131">
        <f>IF(NFI_Expiration=1,IF($A476&lt;VLOOKUP(V$5,NFI,5,0),1,0)*Data_NFI_t[[#This Row],[Sewing Kit]],0)</f>
        <v>0</v>
      </c>
      <c r="AK476" s="131" t="str">
        <f ca="1">IFERROR(OFFSET(Camp_List[P_Code],MATCH(Data_NFI_t[[#This Row],[Camp Name]],Camp_List[Camp Name],0)-1,0,1,1),"")</f>
        <v/>
      </c>
      <c r="AL476" s="513" t="str">
        <f ca="1">IFERROR(OFFSET(Camp_List[Status],MATCH(Data_NFI_t[[#This Row],[Camp Name]],Camp_List[Camp Name],0)-1,0,1,1),"")</f>
        <v/>
      </c>
      <c r="AM476" s="131"/>
    </row>
    <row r="477" spans="1:39" s="793" customFormat="1" ht="19.5" customHeight="1" x14ac:dyDescent="0.25">
      <c r="A477" s="242" t="str">
        <f>IF(ISBLANK(C477),"",(Report_Date-C477)/30)</f>
        <v/>
      </c>
      <c r="B477" s="522">
        <f>YEAR(Data_NFI_t[[#This Row],[Distribution Date]])</f>
        <v>1900</v>
      </c>
      <c r="C477" s="927"/>
      <c r="D477" s="489"/>
      <c r="E477" s="488"/>
      <c r="F477" s="489"/>
      <c r="G477" s="794"/>
      <c r="H477" s="794"/>
      <c r="I477" s="794"/>
      <c r="J477" s="51"/>
      <c r="K477" s="51"/>
      <c r="L477" s="119"/>
      <c r="M477" s="119"/>
      <c r="N477" s="119"/>
      <c r="O477" s="119"/>
      <c r="P477" s="119"/>
      <c r="Q477" s="119"/>
      <c r="R477" s="512"/>
      <c r="S477" s="119"/>
      <c r="T477" s="119"/>
      <c r="U477" s="119"/>
      <c r="V477" s="119"/>
      <c r="W477" s="131">
        <f>IF(NFI_Expiration=1,IF($A477&lt;VLOOKUP(I$5,NFI,5,0),1,0)*Data_NFI_t[[#This Row],[Hygiene Kit]],0)</f>
        <v>0</v>
      </c>
      <c r="X477" s="131">
        <f>IF(NFI_Expiration=1,IF($A477&lt;VLOOKUP(J$5,NFI,5,0),1,0)*Data_NFI_t[[#This Row],[NFI Core Kit]],0)</f>
        <v>0</v>
      </c>
      <c r="Y477" s="112">
        <f>IF(NFI_Expiration=1,IF($A477&lt;VLOOKUP(K$5,NFI,5,0),1,0)*Data_NFI_t[[#This Row],[Sanitary Kit]],0)</f>
        <v>0</v>
      </c>
      <c r="Z477" s="112">
        <f>IF(NFI_Expiration=1,IF($A477&lt;VLOOKUP(L$5,NFI,5,0),1,0)*Data_NFI_t[[#This Row],[Mosquito net]],0)</f>
        <v>0</v>
      </c>
      <c r="AA477" s="112">
        <f>IF(NFI_Expiration=1,IF($A477&lt;VLOOKUP(M$5,NFI,5,0),1,0)*Data_NFI_t[[#This Row],[Tarpaulin]],0)</f>
        <v>0</v>
      </c>
      <c r="AB477" s="112">
        <f>IF(NFI_Expiration=1,IF($A477&lt;VLOOKUP(N$5,NFI,5,0),1,0)*Data_NFI_t[[#This Row],[Blanket]],0)</f>
        <v>0</v>
      </c>
      <c r="AC477" s="112">
        <f>IF(NFI_Expiration=1,IF($A477&lt;VLOOKUP(O$5,NFI,5,0),1,0)*Data_NFI_t[[#This Row],[Kitchen Set]],0)</f>
        <v>0</v>
      </c>
      <c r="AD477" s="112">
        <f>IF(NFI_Expiration=1,IF($A477&lt;VLOOKUP(P$5,NFI,5,0),1,0)*Data_NFI_t[[#This Row],[Complementary Kit]],0)</f>
        <v>0</v>
      </c>
      <c r="AE477" s="112">
        <f>IF(NFI_Expiration=1,IF($A477&lt;VLOOKUP(Q$5,NFI,5,0),1,0)*Data_NFI_t[[#This Row],[Plastic Bucket]],0)</f>
        <v>0</v>
      </c>
      <c r="AF477" s="131">
        <f>IF(NFI_Expiration=1,IF($A477&lt;VLOOKUP(R$5,NFI,5,0),1,0)*Data_NFI_t[[#This Row],[Jerry Can]],0)</f>
        <v>0</v>
      </c>
      <c r="AG477" s="131">
        <f>IF(NFI_Expiration=1,IF($A477&lt;VLOOKUP(S$5,NFI,5,0),1,0)*Data_NFI_t[[#This Row],[Plastic Mat]],0)*IF(Data_NFI_t[[#This Row],[Distribution Date]]&gt;"01-06-2015",1,2.5)</f>
        <v>0</v>
      </c>
      <c r="AH477" s="915">
        <f>IF(NFI_Expiration=1,IF($A477&lt;VLOOKUP(T$5,NFI,5,0),1,0)*Data_NFI_t[[#This Row],[Adult Clothes]],0)</f>
        <v>0</v>
      </c>
      <c r="AI477" s="131">
        <f>IF(NFI_Expiration=1,IF($A477&lt;VLOOKUP(U$5,NFI,5,0),1,0)*Data_NFI_t[[#This Row],[Children Clothes]],0)</f>
        <v>0</v>
      </c>
      <c r="AJ477" s="131">
        <f>IF(NFI_Expiration=1,IF($A477&lt;VLOOKUP(V$5,NFI,5,0),1,0)*Data_NFI_t[[#This Row],[Sewing Kit]],0)</f>
        <v>0</v>
      </c>
      <c r="AK477" s="131" t="str">
        <f ca="1">IFERROR(OFFSET(Camp_List[P_Code],MATCH(Data_NFI_t[[#This Row],[Camp Name]],Camp_List[Camp Name],0)-1,0,1,1),"")</f>
        <v/>
      </c>
      <c r="AL477" s="513" t="str">
        <f ca="1">IFERROR(OFFSET(Camp_List[Status],MATCH(Data_NFI_t[[#This Row],[Camp Name]],Camp_List[Camp Name],0)-1,0,1,1),"")</f>
        <v/>
      </c>
      <c r="AM477" s="131"/>
    </row>
    <row r="478" spans="1:39" s="793" customFormat="1" ht="19.5" customHeight="1" x14ac:dyDescent="0.25">
      <c r="A478" s="242" t="str">
        <f>IF(ISBLANK(C478),"",(Report_Date-C478)/30)</f>
        <v/>
      </c>
      <c r="B478" s="522">
        <f>YEAR(Data_NFI_t[[#This Row],[Distribution Date]])</f>
        <v>1900</v>
      </c>
      <c r="C478" s="927"/>
      <c r="D478" s="489"/>
      <c r="E478" s="488"/>
      <c r="F478" s="489"/>
      <c r="G478" s="794"/>
      <c r="H478" s="794"/>
      <c r="I478" s="794"/>
      <c r="J478" s="51"/>
      <c r="K478" s="51"/>
      <c r="L478" s="119"/>
      <c r="M478" s="119"/>
      <c r="N478" s="119"/>
      <c r="O478" s="119"/>
      <c r="P478" s="119"/>
      <c r="Q478" s="119"/>
      <c r="R478" s="512"/>
      <c r="S478" s="119"/>
      <c r="T478" s="119"/>
      <c r="U478" s="119"/>
      <c r="V478" s="119"/>
      <c r="W478" s="131">
        <f>IF(NFI_Expiration=1,IF($A478&lt;VLOOKUP(I$5,NFI,5,0),1,0)*Data_NFI_t[[#This Row],[Hygiene Kit]],0)</f>
        <v>0</v>
      </c>
      <c r="X478" s="131">
        <f>IF(NFI_Expiration=1,IF($A478&lt;VLOOKUP(J$5,NFI,5,0),1,0)*Data_NFI_t[[#This Row],[NFI Core Kit]],0)</f>
        <v>0</v>
      </c>
      <c r="Y478" s="112">
        <f>IF(NFI_Expiration=1,IF($A478&lt;VLOOKUP(K$5,NFI,5,0),1,0)*Data_NFI_t[[#This Row],[Sanitary Kit]],0)</f>
        <v>0</v>
      </c>
      <c r="Z478" s="112">
        <f>IF(NFI_Expiration=1,IF($A478&lt;VLOOKUP(L$5,NFI,5,0),1,0)*Data_NFI_t[[#This Row],[Mosquito net]],0)</f>
        <v>0</v>
      </c>
      <c r="AA478" s="112">
        <f>IF(NFI_Expiration=1,IF($A478&lt;VLOOKUP(M$5,NFI,5,0),1,0)*Data_NFI_t[[#This Row],[Tarpaulin]],0)</f>
        <v>0</v>
      </c>
      <c r="AB478" s="112">
        <f>IF(NFI_Expiration=1,IF($A478&lt;VLOOKUP(N$5,NFI,5,0),1,0)*Data_NFI_t[[#This Row],[Blanket]],0)</f>
        <v>0</v>
      </c>
      <c r="AC478" s="112">
        <f>IF(NFI_Expiration=1,IF($A478&lt;VLOOKUP(O$5,NFI,5,0),1,0)*Data_NFI_t[[#This Row],[Kitchen Set]],0)</f>
        <v>0</v>
      </c>
      <c r="AD478" s="112">
        <f>IF(NFI_Expiration=1,IF($A478&lt;VLOOKUP(P$5,NFI,5,0),1,0)*Data_NFI_t[[#This Row],[Complementary Kit]],0)</f>
        <v>0</v>
      </c>
      <c r="AE478" s="112">
        <f>IF(NFI_Expiration=1,IF($A478&lt;VLOOKUP(Q$5,NFI,5,0),1,0)*Data_NFI_t[[#This Row],[Plastic Bucket]],0)</f>
        <v>0</v>
      </c>
      <c r="AF478" s="131">
        <f>IF(NFI_Expiration=1,IF($A478&lt;VLOOKUP(R$5,NFI,5,0),1,0)*Data_NFI_t[[#This Row],[Jerry Can]],0)</f>
        <v>0</v>
      </c>
      <c r="AG478" s="131">
        <f>IF(NFI_Expiration=1,IF($A478&lt;VLOOKUP(S$5,NFI,5,0),1,0)*Data_NFI_t[[#This Row],[Plastic Mat]],0)*IF(Data_NFI_t[[#This Row],[Distribution Date]]&gt;"01-06-2015",1,2.5)</f>
        <v>0</v>
      </c>
      <c r="AH478" s="915">
        <f>IF(NFI_Expiration=1,IF($A478&lt;VLOOKUP(T$5,NFI,5,0),1,0)*Data_NFI_t[[#This Row],[Adult Clothes]],0)</f>
        <v>0</v>
      </c>
      <c r="AI478" s="131">
        <f>IF(NFI_Expiration=1,IF($A478&lt;VLOOKUP(U$5,NFI,5,0),1,0)*Data_NFI_t[[#This Row],[Children Clothes]],0)</f>
        <v>0</v>
      </c>
      <c r="AJ478" s="131">
        <f>IF(NFI_Expiration=1,IF($A478&lt;VLOOKUP(V$5,NFI,5,0),1,0)*Data_NFI_t[[#This Row],[Sewing Kit]],0)</f>
        <v>0</v>
      </c>
      <c r="AK478" s="131" t="str">
        <f ca="1">IFERROR(OFFSET(Camp_List[P_Code],MATCH(Data_NFI_t[[#This Row],[Camp Name]],Camp_List[Camp Name],0)-1,0,1,1),"")</f>
        <v/>
      </c>
      <c r="AL478" s="513" t="str">
        <f ca="1">IFERROR(OFFSET(Camp_List[Status],MATCH(Data_NFI_t[[#This Row],[Camp Name]],Camp_List[Camp Name],0)-1,0,1,1),"")</f>
        <v/>
      </c>
      <c r="AM478" s="131"/>
    </row>
    <row r="479" spans="1:39" s="793" customFormat="1" ht="19.5" customHeight="1" x14ac:dyDescent="0.25">
      <c r="A479" s="242" t="str">
        <f>IF(ISBLANK(C479),"",(Report_Date-C479)/30)</f>
        <v/>
      </c>
      <c r="B479" s="522">
        <f>YEAR(Data_NFI_t[[#This Row],[Distribution Date]])</f>
        <v>1900</v>
      </c>
      <c r="C479" s="927"/>
      <c r="D479" s="489"/>
      <c r="E479" s="488"/>
      <c r="F479" s="489"/>
      <c r="G479" s="794"/>
      <c r="H479" s="794"/>
      <c r="I479" s="794"/>
      <c r="J479" s="51"/>
      <c r="K479" s="51"/>
      <c r="L479" s="119"/>
      <c r="M479" s="119"/>
      <c r="N479" s="119"/>
      <c r="O479" s="119"/>
      <c r="P479" s="119"/>
      <c r="Q479" s="119"/>
      <c r="R479" s="512"/>
      <c r="S479" s="119"/>
      <c r="T479" s="119"/>
      <c r="U479" s="119"/>
      <c r="V479" s="119"/>
      <c r="W479" s="131">
        <f>IF(NFI_Expiration=1,IF($A479&lt;VLOOKUP(I$5,NFI,5,0),1,0)*Data_NFI_t[[#This Row],[Hygiene Kit]],0)</f>
        <v>0</v>
      </c>
      <c r="X479" s="131">
        <f>IF(NFI_Expiration=1,IF($A479&lt;VLOOKUP(J$5,NFI,5,0),1,0)*Data_NFI_t[[#This Row],[NFI Core Kit]],0)</f>
        <v>0</v>
      </c>
      <c r="Y479" s="112">
        <f>IF(NFI_Expiration=1,IF($A479&lt;VLOOKUP(K$5,NFI,5,0),1,0)*Data_NFI_t[[#This Row],[Sanitary Kit]],0)</f>
        <v>0</v>
      </c>
      <c r="Z479" s="112">
        <f>IF(NFI_Expiration=1,IF($A479&lt;VLOOKUP(L$5,NFI,5,0),1,0)*Data_NFI_t[[#This Row],[Mosquito net]],0)</f>
        <v>0</v>
      </c>
      <c r="AA479" s="112">
        <f>IF(NFI_Expiration=1,IF($A479&lt;VLOOKUP(M$5,NFI,5,0),1,0)*Data_NFI_t[[#This Row],[Tarpaulin]],0)</f>
        <v>0</v>
      </c>
      <c r="AB479" s="112">
        <f>IF(NFI_Expiration=1,IF($A479&lt;VLOOKUP(N$5,NFI,5,0),1,0)*Data_NFI_t[[#This Row],[Blanket]],0)</f>
        <v>0</v>
      </c>
      <c r="AC479" s="112">
        <f>IF(NFI_Expiration=1,IF($A479&lt;VLOOKUP(O$5,NFI,5,0),1,0)*Data_NFI_t[[#This Row],[Kitchen Set]],0)</f>
        <v>0</v>
      </c>
      <c r="AD479" s="112">
        <f>IF(NFI_Expiration=1,IF($A479&lt;VLOOKUP(P$5,NFI,5,0),1,0)*Data_NFI_t[[#This Row],[Complementary Kit]],0)</f>
        <v>0</v>
      </c>
      <c r="AE479" s="112">
        <f>IF(NFI_Expiration=1,IF($A479&lt;VLOOKUP(Q$5,NFI,5,0),1,0)*Data_NFI_t[[#This Row],[Plastic Bucket]],0)</f>
        <v>0</v>
      </c>
      <c r="AF479" s="131">
        <f>IF(NFI_Expiration=1,IF($A479&lt;VLOOKUP(R$5,NFI,5,0),1,0)*Data_NFI_t[[#This Row],[Jerry Can]],0)</f>
        <v>0</v>
      </c>
      <c r="AG479" s="131">
        <f>IF(NFI_Expiration=1,IF($A479&lt;VLOOKUP(S$5,NFI,5,0),1,0)*Data_NFI_t[[#This Row],[Plastic Mat]],0)*IF(Data_NFI_t[[#This Row],[Distribution Date]]&gt;"01-06-2015",1,2.5)</f>
        <v>0</v>
      </c>
      <c r="AH479" s="915">
        <f>IF(NFI_Expiration=1,IF($A479&lt;VLOOKUP(T$5,NFI,5,0),1,0)*Data_NFI_t[[#This Row],[Adult Clothes]],0)</f>
        <v>0</v>
      </c>
      <c r="AI479" s="131">
        <f>IF(NFI_Expiration=1,IF($A479&lt;VLOOKUP(U$5,NFI,5,0),1,0)*Data_NFI_t[[#This Row],[Children Clothes]],0)</f>
        <v>0</v>
      </c>
      <c r="AJ479" s="131">
        <f>IF(NFI_Expiration=1,IF($A479&lt;VLOOKUP(V$5,NFI,5,0),1,0)*Data_NFI_t[[#This Row],[Sewing Kit]],0)</f>
        <v>0</v>
      </c>
      <c r="AK479" s="131" t="str">
        <f ca="1">IFERROR(OFFSET(Camp_List[P_Code],MATCH(Data_NFI_t[[#This Row],[Camp Name]],Camp_List[Camp Name],0)-1,0,1,1),"")</f>
        <v/>
      </c>
      <c r="AL479" s="513" t="str">
        <f ca="1">IFERROR(OFFSET(Camp_List[Status],MATCH(Data_NFI_t[[#This Row],[Camp Name]],Camp_List[Camp Name],0)-1,0,1,1),"")</f>
        <v/>
      </c>
      <c r="AM479" s="131"/>
    </row>
    <row r="480" spans="1:39" s="793" customFormat="1" ht="19.5" customHeight="1" x14ac:dyDescent="0.25">
      <c r="A480" s="242" t="str">
        <f>IF(ISBLANK(C480),"",(Report_Date-C480)/30)</f>
        <v/>
      </c>
      <c r="B480" s="522">
        <f>YEAR(Data_NFI_t[[#This Row],[Distribution Date]])</f>
        <v>1900</v>
      </c>
      <c r="C480" s="927"/>
      <c r="D480" s="489"/>
      <c r="E480" s="488"/>
      <c r="F480" s="489"/>
      <c r="G480" s="794"/>
      <c r="H480" s="794"/>
      <c r="I480" s="794"/>
      <c r="J480" s="51"/>
      <c r="K480" s="51"/>
      <c r="L480" s="119"/>
      <c r="M480" s="119"/>
      <c r="N480" s="119"/>
      <c r="O480" s="119"/>
      <c r="P480" s="119"/>
      <c r="Q480" s="119"/>
      <c r="R480" s="512"/>
      <c r="S480" s="119"/>
      <c r="T480" s="119"/>
      <c r="U480" s="119"/>
      <c r="V480" s="119"/>
      <c r="W480" s="131">
        <f>IF(NFI_Expiration=1,IF($A480&lt;VLOOKUP(I$5,NFI,5,0),1,0)*Data_NFI_t[[#This Row],[Hygiene Kit]],0)</f>
        <v>0</v>
      </c>
      <c r="X480" s="131">
        <f>IF(NFI_Expiration=1,IF($A480&lt;VLOOKUP(J$5,NFI,5,0),1,0)*Data_NFI_t[[#This Row],[NFI Core Kit]],0)</f>
        <v>0</v>
      </c>
      <c r="Y480" s="112">
        <f>IF(NFI_Expiration=1,IF($A480&lt;VLOOKUP(K$5,NFI,5,0),1,0)*Data_NFI_t[[#This Row],[Sanitary Kit]],0)</f>
        <v>0</v>
      </c>
      <c r="Z480" s="112">
        <f>IF(NFI_Expiration=1,IF($A480&lt;VLOOKUP(L$5,NFI,5,0),1,0)*Data_NFI_t[[#This Row],[Mosquito net]],0)</f>
        <v>0</v>
      </c>
      <c r="AA480" s="112">
        <f>IF(NFI_Expiration=1,IF($A480&lt;VLOOKUP(M$5,NFI,5,0),1,0)*Data_NFI_t[[#This Row],[Tarpaulin]],0)</f>
        <v>0</v>
      </c>
      <c r="AB480" s="112">
        <f>IF(NFI_Expiration=1,IF($A480&lt;VLOOKUP(N$5,NFI,5,0),1,0)*Data_NFI_t[[#This Row],[Blanket]],0)</f>
        <v>0</v>
      </c>
      <c r="AC480" s="112">
        <f>IF(NFI_Expiration=1,IF($A480&lt;VLOOKUP(O$5,NFI,5,0),1,0)*Data_NFI_t[[#This Row],[Kitchen Set]],0)</f>
        <v>0</v>
      </c>
      <c r="AD480" s="112">
        <f>IF(NFI_Expiration=1,IF($A480&lt;VLOOKUP(P$5,NFI,5,0),1,0)*Data_NFI_t[[#This Row],[Complementary Kit]],0)</f>
        <v>0</v>
      </c>
      <c r="AE480" s="112">
        <f>IF(NFI_Expiration=1,IF($A480&lt;VLOOKUP(Q$5,NFI,5,0),1,0)*Data_NFI_t[[#This Row],[Plastic Bucket]],0)</f>
        <v>0</v>
      </c>
      <c r="AF480" s="131">
        <f>IF(NFI_Expiration=1,IF($A480&lt;VLOOKUP(R$5,NFI,5,0),1,0)*Data_NFI_t[[#This Row],[Jerry Can]],0)</f>
        <v>0</v>
      </c>
      <c r="AG480" s="131">
        <f>IF(NFI_Expiration=1,IF($A480&lt;VLOOKUP(S$5,NFI,5,0),1,0)*Data_NFI_t[[#This Row],[Plastic Mat]],0)*IF(Data_NFI_t[[#This Row],[Distribution Date]]&gt;"01-06-2015",1,2.5)</f>
        <v>0</v>
      </c>
      <c r="AH480" s="915">
        <f>IF(NFI_Expiration=1,IF($A480&lt;VLOOKUP(T$5,NFI,5,0),1,0)*Data_NFI_t[[#This Row],[Adult Clothes]],0)</f>
        <v>0</v>
      </c>
      <c r="AI480" s="131">
        <f>IF(NFI_Expiration=1,IF($A480&lt;VLOOKUP(U$5,NFI,5,0),1,0)*Data_NFI_t[[#This Row],[Children Clothes]],0)</f>
        <v>0</v>
      </c>
      <c r="AJ480" s="131">
        <f>IF(NFI_Expiration=1,IF($A480&lt;VLOOKUP(V$5,NFI,5,0),1,0)*Data_NFI_t[[#This Row],[Sewing Kit]],0)</f>
        <v>0</v>
      </c>
      <c r="AK480" s="131" t="str">
        <f ca="1">IFERROR(OFFSET(Camp_List[P_Code],MATCH(Data_NFI_t[[#This Row],[Camp Name]],Camp_List[Camp Name],0)-1,0,1,1),"")</f>
        <v/>
      </c>
      <c r="AL480" s="513" t="str">
        <f ca="1">IFERROR(OFFSET(Camp_List[Status],MATCH(Data_NFI_t[[#This Row],[Camp Name]],Camp_List[Camp Name],0)-1,0,1,1),"")</f>
        <v/>
      </c>
      <c r="AM480" s="131"/>
    </row>
    <row r="481" spans="1:39" s="793" customFormat="1" ht="19.5" customHeight="1" x14ac:dyDescent="0.25">
      <c r="A481" s="242" t="str">
        <f>IF(ISBLANK(C481),"",(Report_Date-C481)/30)</f>
        <v/>
      </c>
      <c r="B481" s="522">
        <f>YEAR(Data_NFI_t[[#This Row],[Distribution Date]])</f>
        <v>1900</v>
      </c>
      <c r="C481" s="927"/>
      <c r="D481" s="489"/>
      <c r="E481" s="488"/>
      <c r="F481" s="489"/>
      <c r="G481" s="794"/>
      <c r="H481" s="794"/>
      <c r="I481" s="794"/>
      <c r="J481" s="51"/>
      <c r="K481" s="51"/>
      <c r="L481" s="119"/>
      <c r="M481" s="119"/>
      <c r="N481" s="119"/>
      <c r="O481" s="119"/>
      <c r="P481" s="119"/>
      <c r="Q481" s="119"/>
      <c r="R481" s="512"/>
      <c r="S481" s="119"/>
      <c r="T481" s="119"/>
      <c r="U481" s="119"/>
      <c r="V481" s="119"/>
      <c r="W481" s="131">
        <f>IF(NFI_Expiration=1,IF($A481&lt;VLOOKUP(I$5,NFI,5,0),1,0)*Data_NFI_t[[#This Row],[Hygiene Kit]],0)</f>
        <v>0</v>
      </c>
      <c r="X481" s="131">
        <f>IF(NFI_Expiration=1,IF($A481&lt;VLOOKUP(J$5,NFI,5,0),1,0)*Data_NFI_t[[#This Row],[NFI Core Kit]],0)</f>
        <v>0</v>
      </c>
      <c r="Y481" s="112">
        <f>IF(NFI_Expiration=1,IF($A481&lt;VLOOKUP(K$5,NFI,5,0),1,0)*Data_NFI_t[[#This Row],[Sanitary Kit]],0)</f>
        <v>0</v>
      </c>
      <c r="Z481" s="112">
        <f>IF(NFI_Expiration=1,IF($A481&lt;VLOOKUP(L$5,NFI,5,0),1,0)*Data_NFI_t[[#This Row],[Mosquito net]],0)</f>
        <v>0</v>
      </c>
      <c r="AA481" s="112">
        <f>IF(NFI_Expiration=1,IF($A481&lt;VLOOKUP(M$5,NFI,5,0),1,0)*Data_NFI_t[[#This Row],[Tarpaulin]],0)</f>
        <v>0</v>
      </c>
      <c r="AB481" s="112">
        <f>IF(NFI_Expiration=1,IF($A481&lt;VLOOKUP(N$5,NFI,5,0),1,0)*Data_NFI_t[[#This Row],[Blanket]],0)</f>
        <v>0</v>
      </c>
      <c r="AC481" s="112">
        <f>IF(NFI_Expiration=1,IF($A481&lt;VLOOKUP(O$5,NFI,5,0),1,0)*Data_NFI_t[[#This Row],[Kitchen Set]],0)</f>
        <v>0</v>
      </c>
      <c r="AD481" s="112">
        <f>IF(NFI_Expiration=1,IF($A481&lt;VLOOKUP(P$5,NFI,5,0),1,0)*Data_NFI_t[[#This Row],[Complementary Kit]],0)</f>
        <v>0</v>
      </c>
      <c r="AE481" s="112">
        <f>IF(NFI_Expiration=1,IF($A481&lt;VLOOKUP(Q$5,NFI,5,0),1,0)*Data_NFI_t[[#This Row],[Plastic Bucket]],0)</f>
        <v>0</v>
      </c>
      <c r="AF481" s="131">
        <f>IF(NFI_Expiration=1,IF($A481&lt;VLOOKUP(R$5,NFI,5,0),1,0)*Data_NFI_t[[#This Row],[Jerry Can]],0)</f>
        <v>0</v>
      </c>
      <c r="AG481" s="131">
        <f>IF(NFI_Expiration=1,IF($A481&lt;VLOOKUP(S$5,NFI,5,0),1,0)*Data_NFI_t[[#This Row],[Plastic Mat]],0)*IF(Data_NFI_t[[#This Row],[Distribution Date]]&gt;"01-06-2015",1,2.5)</f>
        <v>0</v>
      </c>
      <c r="AH481" s="915">
        <f>IF(NFI_Expiration=1,IF($A481&lt;VLOOKUP(T$5,NFI,5,0),1,0)*Data_NFI_t[[#This Row],[Adult Clothes]],0)</f>
        <v>0</v>
      </c>
      <c r="AI481" s="131">
        <f>IF(NFI_Expiration=1,IF($A481&lt;VLOOKUP(U$5,NFI,5,0),1,0)*Data_NFI_t[[#This Row],[Children Clothes]],0)</f>
        <v>0</v>
      </c>
      <c r="AJ481" s="131">
        <f>IF(NFI_Expiration=1,IF($A481&lt;VLOOKUP(V$5,NFI,5,0),1,0)*Data_NFI_t[[#This Row],[Sewing Kit]],0)</f>
        <v>0</v>
      </c>
      <c r="AK481" s="131" t="str">
        <f ca="1">IFERROR(OFFSET(Camp_List[P_Code],MATCH(Data_NFI_t[[#This Row],[Camp Name]],Camp_List[Camp Name],0)-1,0,1,1),"")</f>
        <v/>
      </c>
      <c r="AL481" s="513" t="str">
        <f ca="1">IFERROR(OFFSET(Camp_List[Status],MATCH(Data_NFI_t[[#This Row],[Camp Name]],Camp_List[Camp Name],0)-1,0,1,1),"")</f>
        <v/>
      </c>
      <c r="AM481" s="131"/>
    </row>
    <row r="482" spans="1:39" s="793" customFormat="1" ht="19.5" customHeight="1" x14ac:dyDescent="0.25">
      <c r="A482" s="242" t="str">
        <f>IF(ISBLANK(C482),"",(Report_Date-C482)/30)</f>
        <v/>
      </c>
      <c r="B482" s="522">
        <f>YEAR(Data_NFI_t[[#This Row],[Distribution Date]])</f>
        <v>1900</v>
      </c>
      <c r="C482" s="927"/>
      <c r="D482" s="489"/>
      <c r="E482" s="488"/>
      <c r="F482" s="489"/>
      <c r="G482" s="794"/>
      <c r="H482" s="794"/>
      <c r="I482" s="794"/>
      <c r="J482" s="51"/>
      <c r="K482" s="51"/>
      <c r="L482" s="119"/>
      <c r="M482" s="119"/>
      <c r="N482" s="119"/>
      <c r="O482" s="119"/>
      <c r="P482" s="119"/>
      <c r="Q482" s="119"/>
      <c r="R482" s="512"/>
      <c r="S482" s="119"/>
      <c r="T482" s="119"/>
      <c r="U482" s="119"/>
      <c r="V482" s="119"/>
      <c r="W482" s="131">
        <f>IF(NFI_Expiration=1,IF($A482&lt;VLOOKUP(I$5,NFI,5,0),1,0)*Data_NFI_t[[#This Row],[Hygiene Kit]],0)</f>
        <v>0</v>
      </c>
      <c r="X482" s="131">
        <f>IF(NFI_Expiration=1,IF($A482&lt;VLOOKUP(J$5,NFI,5,0),1,0)*Data_NFI_t[[#This Row],[NFI Core Kit]],0)</f>
        <v>0</v>
      </c>
      <c r="Y482" s="112">
        <f>IF(NFI_Expiration=1,IF($A482&lt;VLOOKUP(K$5,NFI,5,0),1,0)*Data_NFI_t[[#This Row],[Sanitary Kit]],0)</f>
        <v>0</v>
      </c>
      <c r="Z482" s="112">
        <f>IF(NFI_Expiration=1,IF($A482&lt;VLOOKUP(L$5,NFI,5,0),1,0)*Data_NFI_t[[#This Row],[Mosquito net]],0)</f>
        <v>0</v>
      </c>
      <c r="AA482" s="112">
        <f>IF(NFI_Expiration=1,IF($A482&lt;VLOOKUP(M$5,NFI,5,0),1,0)*Data_NFI_t[[#This Row],[Tarpaulin]],0)</f>
        <v>0</v>
      </c>
      <c r="AB482" s="112">
        <f>IF(NFI_Expiration=1,IF($A482&lt;VLOOKUP(N$5,NFI,5,0),1,0)*Data_NFI_t[[#This Row],[Blanket]],0)</f>
        <v>0</v>
      </c>
      <c r="AC482" s="112">
        <f>IF(NFI_Expiration=1,IF($A482&lt;VLOOKUP(O$5,NFI,5,0),1,0)*Data_NFI_t[[#This Row],[Kitchen Set]],0)</f>
        <v>0</v>
      </c>
      <c r="AD482" s="112">
        <f>IF(NFI_Expiration=1,IF($A482&lt;VLOOKUP(P$5,NFI,5,0),1,0)*Data_NFI_t[[#This Row],[Complementary Kit]],0)</f>
        <v>0</v>
      </c>
      <c r="AE482" s="112">
        <f>IF(NFI_Expiration=1,IF($A482&lt;VLOOKUP(Q$5,NFI,5,0),1,0)*Data_NFI_t[[#This Row],[Plastic Bucket]],0)</f>
        <v>0</v>
      </c>
      <c r="AF482" s="131">
        <f>IF(NFI_Expiration=1,IF($A482&lt;VLOOKUP(R$5,NFI,5,0),1,0)*Data_NFI_t[[#This Row],[Jerry Can]],0)</f>
        <v>0</v>
      </c>
      <c r="AG482" s="131">
        <f>IF(NFI_Expiration=1,IF($A482&lt;VLOOKUP(S$5,NFI,5,0),1,0)*Data_NFI_t[[#This Row],[Plastic Mat]],0)*IF(Data_NFI_t[[#This Row],[Distribution Date]]&gt;"01-06-2015",1,2.5)</f>
        <v>0</v>
      </c>
      <c r="AH482" s="915">
        <f>IF(NFI_Expiration=1,IF($A482&lt;VLOOKUP(T$5,NFI,5,0),1,0)*Data_NFI_t[[#This Row],[Adult Clothes]],0)</f>
        <v>0</v>
      </c>
      <c r="AI482" s="131">
        <f>IF(NFI_Expiration=1,IF($A482&lt;VLOOKUP(U$5,NFI,5,0),1,0)*Data_NFI_t[[#This Row],[Children Clothes]],0)</f>
        <v>0</v>
      </c>
      <c r="AJ482" s="131">
        <f>IF(NFI_Expiration=1,IF($A482&lt;VLOOKUP(V$5,NFI,5,0),1,0)*Data_NFI_t[[#This Row],[Sewing Kit]],0)</f>
        <v>0</v>
      </c>
      <c r="AK482" s="131" t="str">
        <f ca="1">IFERROR(OFFSET(Camp_List[P_Code],MATCH(Data_NFI_t[[#This Row],[Camp Name]],Camp_List[Camp Name],0)-1,0,1,1),"")</f>
        <v/>
      </c>
      <c r="AL482" s="513" t="str">
        <f ca="1">IFERROR(OFFSET(Camp_List[Status],MATCH(Data_NFI_t[[#This Row],[Camp Name]],Camp_List[Camp Name],0)-1,0,1,1),"")</f>
        <v/>
      </c>
      <c r="AM482" s="131"/>
    </row>
    <row r="483" spans="1:39" s="793" customFormat="1" ht="19.5" customHeight="1" x14ac:dyDescent="0.25">
      <c r="A483" s="242" t="str">
        <f>IF(ISBLANK(C483),"",(Report_Date-C483)/30)</f>
        <v/>
      </c>
      <c r="B483" s="522">
        <f>YEAR(Data_NFI_t[[#This Row],[Distribution Date]])</f>
        <v>1900</v>
      </c>
      <c r="C483" s="927"/>
      <c r="D483" s="489"/>
      <c r="E483" s="488"/>
      <c r="F483" s="489"/>
      <c r="G483" s="794"/>
      <c r="H483" s="794"/>
      <c r="I483" s="794"/>
      <c r="J483" s="51"/>
      <c r="K483" s="51"/>
      <c r="L483" s="119"/>
      <c r="M483" s="119"/>
      <c r="N483" s="119"/>
      <c r="O483" s="119"/>
      <c r="P483" s="119"/>
      <c r="Q483" s="119"/>
      <c r="R483" s="512"/>
      <c r="S483" s="119"/>
      <c r="T483" s="119"/>
      <c r="U483" s="119"/>
      <c r="V483" s="119"/>
      <c r="W483" s="131">
        <f>IF(NFI_Expiration=1,IF($A483&lt;VLOOKUP(I$5,NFI,5,0),1,0)*Data_NFI_t[[#This Row],[Hygiene Kit]],0)</f>
        <v>0</v>
      </c>
      <c r="X483" s="131">
        <f>IF(NFI_Expiration=1,IF($A483&lt;VLOOKUP(J$5,NFI,5,0),1,0)*Data_NFI_t[[#This Row],[NFI Core Kit]],0)</f>
        <v>0</v>
      </c>
      <c r="Y483" s="112">
        <f>IF(NFI_Expiration=1,IF($A483&lt;VLOOKUP(K$5,NFI,5,0),1,0)*Data_NFI_t[[#This Row],[Sanitary Kit]],0)</f>
        <v>0</v>
      </c>
      <c r="Z483" s="112">
        <f>IF(NFI_Expiration=1,IF($A483&lt;VLOOKUP(L$5,NFI,5,0),1,0)*Data_NFI_t[[#This Row],[Mosquito net]],0)</f>
        <v>0</v>
      </c>
      <c r="AA483" s="112">
        <f>IF(NFI_Expiration=1,IF($A483&lt;VLOOKUP(M$5,NFI,5,0),1,0)*Data_NFI_t[[#This Row],[Tarpaulin]],0)</f>
        <v>0</v>
      </c>
      <c r="AB483" s="112">
        <f>IF(NFI_Expiration=1,IF($A483&lt;VLOOKUP(N$5,NFI,5,0),1,0)*Data_NFI_t[[#This Row],[Blanket]],0)</f>
        <v>0</v>
      </c>
      <c r="AC483" s="112">
        <f>IF(NFI_Expiration=1,IF($A483&lt;VLOOKUP(O$5,NFI,5,0),1,0)*Data_NFI_t[[#This Row],[Kitchen Set]],0)</f>
        <v>0</v>
      </c>
      <c r="AD483" s="112">
        <f>IF(NFI_Expiration=1,IF($A483&lt;VLOOKUP(P$5,NFI,5,0),1,0)*Data_NFI_t[[#This Row],[Complementary Kit]],0)</f>
        <v>0</v>
      </c>
      <c r="AE483" s="112">
        <f>IF(NFI_Expiration=1,IF($A483&lt;VLOOKUP(Q$5,NFI,5,0),1,0)*Data_NFI_t[[#This Row],[Plastic Bucket]],0)</f>
        <v>0</v>
      </c>
      <c r="AF483" s="131">
        <f>IF(NFI_Expiration=1,IF($A483&lt;VLOOKUP(R$5,NFI,5,0),1,0)*Data_NFI_t[[#This Row],[Jerry Can]],0)</f>
        <v>0</v>
      </c>
      <c r="AG483" s="131">
        <f>IF(NFI_Expiration=1,IF($A483&lt;VLOOKUP(S$5,NFI,5,0),1,0)*Data_NFI_t[[#This Row],[Plastic Mat]],0)*IF(Data_NFI_t[[#This Row],[Distribution Date]]&gt;"01-06-2015",1,2.5)</f>
        <v>0</v>
      </c>
      <c r="AH483" s="915">
        <f>IF(NFI_Expiration=1,IF($A483&lt;VLOOKUP(T$5,NFI,5,0),1,0)*Data_NFI_t[[#This Row],[Adult Clothes]],0)</f>
        <v>0</v>
      </c>
      <c r="AI483" s="131">
        <f>IF(NFI_Expiration=1,IF($A483&lt;VLOOKUP(U$5,NFI,5,0),1,0)*Data_NFI_t[[#This Row],[Children Clothes]],0)</f>
        <v>0</v>
      </c>
      <c r="AJ483" s="131">
        <f>IF(NFI_Expiration=1,IF($A483&lt;VLOOKUP(V$5,NFI,5,0),1,0)*Data_NFI_t[[#This Row],[Sewing Kit]],0)</f>
        <v>0</v>
      </c>
      <c r="AK483" s="131" t="str">
        <f ca="1">IFERROR(OFFSET(Camp_List[P_Code],MATCH(Data_NFI_t[[#This Row],[Camp Name]],Camp_List[Camp Name],0)-1,0,1,1),"")</f>
        <v/>
      </c>
      <c r="AL483" s="513" t="str">
        <f ca="1">IFERROR(OFFSET(Camp_List[Status],MATCH(Data_NFI_t[[#This Row],[Camp Name]],Camp_List[Camp Name],0)-1,0,1,1),"")</f>
        <v/>
      </c>
      <c r="AM483" s="131"/>
    </row>
    <row r="484" spans="1:39" s="793" customFormat="1" ht="19.5" customHeight="1" x14ac:dyDescent="0.25">
      <c r="A484" s="242" t="str">
        <f>IF(ISBLANK(C484),"",(Report_Date-C484)/30)</f>
        <v/>
      </c>
      <c r="B484" s="522">
        <f>YEAR(Data_NFI_t[[#This Row],[Distribution Date]])</f>
        <v>1900</v>
      </c>
      <c r="C484" s="927"/>
      <c r="D484" s="489"/>
      <c r="E484" s="488"/>
      <c r="F484" s="489"/>
      <c r="G484" s="794"/>
      <c r="H484" s="794"/>
      <c r="I484" s="794"/>
      <c r="J484" s="51"/>
      <c r="K484" s="51"/>
      <c r="L484" s="119"/>
      <c r="M484" s="119"/>
      <c r="N484" s="119"/>
      <c r="O484" s="119"/>
      <c r="P484" s="119"/>
      <c r="Q484" s="119"/>
      <c r="R484" s="512"/>
      <c r="S484" s="119"/>
      <c r="T484" s="119"/>
      <c r="U484" s="119"/>
      <c r="V484" s="119"/>
      <c r="W484" s="131">
        <f>IF(NFI_Expiration=1,IF($A484&lt;VLOOKUP(I$5,NFI,5,0),1,0)*Data_NFI_t[[#This Row],[Hygiene Kit]],0)</f>
        <v>0</v>
      </c>
      <c r="X484" s="131">
        <f>IF(NFI_Expiration=1,IF($A484&lt;VLOOKUP(J$5,NFI,5,0),1,0)*Data_NFI_t[[#This Row],[NFI Core Kit]],0)</f>
        <v>0</v>
      </c>
      <c r="Y484" s="112">
        <f>IF(NFI_Expiration=1,IF($A484&lt;VLOOKUP(K$5,NFI,5,0),1,0)*Data_NFI_t[[#This Row],[Sanitary Kit]],0)</f>
        <v>0</v>
      </c>
      <c r="Z484" s="112">
        <f>IF(NFI_Expiration=1,IF($A484&lt;VLOOKUP(L$5,NFI,5,0),1,0)*Data_NFI_t[[#This Row],[Mosquito net]],0)</f>
        <v>0</v>
      </c>
      <c r="AA484" s="112">
        <f>IF(NFI_Expiration=1,IF($A484&lt;VLOOKUP(M$5,NFI,5,0),1,0)*Data_NFI_t[[#This Row],[Tarpaulin]],0)</f>
        <v>0</v>
      </c>
      <c r="AB484" s="112">
        <f>IF(NFI_Expiration=1,IF($A484&lt;VLOOKUP(N$5,NFI,5,0),1,0)*Data_NFI_t[[#This Row],[Blanket]],0)</f>
        <v>0</v>
      </c>
      <c r="AC484" s="112">
        <f>IF(NFI_Expiration=1,IF($A484&lt;VLOOKUP(O$5,NFI,5,0),1,0)*Data_NFI_t[[#This Row],[Kitchen Set]],0)</f>
        <v>0</v>
      </c>
      <c r="AD484" s="112">
        <f>IF(NFI_Expiration=1,IF($A484&lt;VLOOKUP(P$5,NFI,5,0),1,0)*Data_NFI_t[[#This Row],[Complementary Kit]],0)</f>
        <v>0</v>
      </c>
      <c r="AE484" s="112">
        <f>IF(NFI_Expiration=1,IF($A484&lt;VLOOKUP(Q$5,NFI,5,0),1,0)*Data_NFI_t[[#This Row],[Plastic Bucket]],0)</f>
        <v>0</v>
      </c>
      <c r="AF484" s="131">
        <f>IF(NFI_Expiration=1,IF($A484&lt;VLOOKUP(R$5,NFI,5,0),1,0)*Data_NFI_t[[#This Row],[Jerry Can]],0)</f>
        <v>0</v>
      </c>
      <c r="AG484" s="131">
        <f>IF(NFI_Expiration=1,IF($A484&lt;VLOOKUP(S$5,NFI,5,0),1,0)*Data_NFI_t[[#This Row],[Plastic Mat]],0)*IF(Data_NFI_t[[#This Row],[Distribution Date]]&gt;"01-06-2015",1,2.5)</f>
        <v>0</v>
      </c>
      <c r="AH484" s="915">
        <f>IF(NFI_Expiration=1,IF($A484&lt;VLOOKUP(T$5,NFI,5,0),1,0)*Data_NFI_t[[#This Row],[Adult Clothes]],0)</f>
        <v>0</v>
      </c>
      <c r="AI484" s="131">
        <f>IF(NFI_Expiration=1,IF($A484&lt;VLOOKUP(U$5,NFI,5,0),1,0)*Data_NFI_t[[#This Row],[Children Clothes]],0)</f>
        <v>0</v>
      </c>
      <c r="AJ484" s="131">
        <f>IF(NFI_Expiration=1,IF($A484&lt;VLOOKUP(V$5,NFI,5,0),1,0)*Data_NFI_t[[#This Row],[Sewing Kit]],0)</f>
        <v>0</v>
      </c>
      <c r="AK484" s="131" t="str">
        <f ca="1">IFERROR(OFFSET(Camp_List[P_Code],MATCH(Data_NFI_t[[#This Row],[Camp Name]],Camp_List[Camp Name],0)-1,0,1,1),"")</f>
        <v/>
      </c>
      <c r="AL484" s="513" t="str">
        <f ca="1">IFERROR(OFFSET(Camp_List[Status],MATCH(Data_NFI_t[[#This Row],[Camp Name]],Camp_List[Camp Name],0)-1,0,1,1),"")</f>
        <v/>
      </c>
      <c r="AM484" s="131"/>
    </row>
    <row r="485" spans="1:39" s="793" customFormat="1" ht="19.5" customHeight="1" x14ac:dyDescent="0.25">
      <c r="A485" s="242" t="str">
        <f>IF(ISBLANK(C485),"",(Report_Date-C485)/30)</f>
        <v/>
      </c>
      <c r="B485" s="522">
        <f>YEAR(Data_NFI_t[[#This Row],[Distribution Date]])</f>
        <v>1900</v>
      </c>
      <c r="C485" s="927"/>
      <c r="D485" s="489"/>
      <c r="E485" s="488"/>
      <c r="F485" s="489"/>
      <c r="G485" s="794"/>
      <c r="H485" s="794"/>
      <c r="I485" s="794"/>
      <c r="J485" s="51"/>
      <c r="K485" s="51"/>
      <c r="L485" s="119"/>
      <c r="M485" s="119"/>
      <c r="N485" s="119"/>
      <c r="O485" s="119"/>
      <c r="P485" s="119"/>
      <c r="Q485" s="119"/>
      <c r="R485" s="512"/>
      <c r="S485" s="119"/>
      <c r="T485" s="119"/>
      <c r="U485" s="119"/>
      <c r="V485" s="119"/>
      <c r="W485" s="131">
        <f>IF(NFI_Expiration=1,IF($A485&lt;VLOOKUP(I$5,NFI,5,0),1,0)*Data_NFI_t[[#This Row],[Hygiene Kit]],0)</f>
        <v>0</v>
      </c>
      <c r="X485" s="131">
        <f>IF(NFI_Expiration=1,IF($A485&lt;VLOOKUP(J$5,NFI,5,0),1,0)*Data_NFI_t[[#This Row],[NFI Core Kit]],0)</f>
        <v>0</v>
      </c>
      <c r="Y485" s="112">
        <f>IF(NFI_Expiration=1,IF($A485&lt;VLOOKUP(K$5,NFI,5,0),1,0)*Data_NFI_t[[#This Row],[Sanitary Kit]],0)</f>
        <v>0</v>
      </c>
      <c r="Z485" s="112">
        <f>IF(NFI_Expiration=1,IF($A485&lt;VLOOKUP(L$5,NFI,5,0),1,0)*Data_NFI_t[[#This Row],[Mosquito net]],0)</f>
        <v>0</v>
      </c>
      <c r="AA485" s="112">
        <f>IF(NFI_Expiration=1,IF($A485&lt;VLOOKUP(M$5,NFI,5,0),1,0)*Data_NFI_t[[#This Row],[Tarpaulin]],0)</f>
        <v>0</v>
      </c>
      <c r="AB485" s="112">
        <f>IF(NFI_Expiration=1,IF($A485&lt;VLOOKUP(N$5,NFI,5,0),1,0)*Data_NFI_t[[#This Row],[Blanket]],0)</f>
        <v>0</v>
      </c>
      <c r="AC485" s="112">
        <f>IF(NFI_Expiration=1,IF($A485&lt;VLOOKUP(O$5,NFI,5,0),1,0)*Data_NFI_t[[#This Row],[Kitchen Set]],0)</f>
        <v>0</v>
      </c>
      <c r="AD485" s="112">
        <f>IF(NFI_Expiration=1,IF($A485&lt;VLOOKUP(P$5,NFI,5,0),1,0)*Data_NFI_t[[#This Row],[Complementary Kit]],0)</f>
        <v>0</v>
      </c>
      <c r="AE485" s="112">
        <f>IF(NFI_Expiration=1,IF($A485&lt;VLOOKUP(Q$5,NFI,5,0),1,0)*Data_NFI_t[[#This Row],[Plastic Bucket]],0)</f>
        <v>0</v>
      </c>
      <c r="AF485" s="131">
        <f>IF(NFI_Expiration=1,IF($A485&lt;VLOOKUP(R$5,NFI,5,0),1,0)*Data_NFI_t[[#This Row],[Jerry Can]],0)</f>
        <v>0</v>
      </c>
      <c r="AG485" s="131">
        <f>IF(NFI_Expiration=1,IF($A485&lt;VLOOKUP(S$5,NFI,5,0),1,0)*Data_NFI_t[[#This Row],[Plastic Mat]],0)*IF(Data_NFI_t[[#This Row],[Distribution Date]]&gt;"01-06-2015",1,2.5)</f>
        <v>0</v>
      </c>
      <c r="AH485" s="915">
        <f>IF(NFI_Expiration=1,IF($A485&lt;VLOOKUP(T$5,NFI,5,0),1,0)*Data_NFI_t[[#This Row],[Adult Clothes]],0)</f>
        <v>0</v>
      </c>
      <c r="AI485" s="131">
        <f>IF(NFI_Expiration=1,IF($A485&lt;VLOOKUP(U$5,NFI,5,0),1,0)*Data_NFI_t[[#This Row],[Children Clothes]],0)</f>
        <v>0</v>
      </c>
      <c r="AJ485" s="131">
        <f>IF(NFI_Expiration=1,IF($A485&lt;VLOOKUP(V$5,NFI,5,0),1,0)*Data_NFI_t[[#This Row],[Sewing Kit]],0)</f>
        <v>0</v>
      </c>
      <c r="AK485" s="131" t="str">
        <f ca="1">IFERROR(OFFSET(Camp_List[P_Code],MATCH(Data_NFI_t[[#This Row],[Camp Name]],Camp_List[Camp Name],0)-1,0,1,1),"")</f>
        <v/>
      </c>
      <c r="AL485" s="513" t="str">
        <f ca="1">IFERROR(OFFSET(Camp_List[Status],MATCH(Data_NFI_t[[#This Row],[Camp Name]],Camp_List[Camp Name],0)-1,0,1,1),"")</f>
        <v/>
      </c>
      <c r="AM485" s="131"/>
    </row>
    <row r="486" spans="1:39" s="793" customFormat="1" ht="19.5" customHeight="1" x14ac:dyDescent="0.25">
      <c r="A486" s="242" t="str">
        <f>IF(ISBLANK(C486),"",(Report_Date-C486)/30)</f>
        <v/>
      </c>
      <c r="B486" s="522">
        <f>YEAR(Data_NFI_t[[#This Row],[Distribution Date]])</f>
        <v>1900</v>
      </c>
      <c r="C486" s="927"/>
      <c r="D486" s="489"/>
      <c r="E486" s="488"/>
      <c r="F486" s="489"/>
      <c r="G486" s="794"/>
      <c r="H486" s="794"/>
      <c r="I486" s="794"/>
      <c r="J486" s="51"/>
      <c r="K486" s="51"/>
      <c r="L486" s="119"/>
      <c r="M486" s="119"/>
      <c r="N486" s="119"/>
      <c r="O486" s="119"/>
      <c r="P486" s="119"/>
      <c r="Q486" s="119"/>
      <c r="R486" s="512"/>
      <c r="S486" s="119"/>
      <c r="T486" s="119"/>
      <c r="U486" s="119"/>
      <c r="V486" s="119"/>
      <c r="W486" s="131">
        <f>IF(NFI_Expiration=1,IF($A486&lt;VLOOKUP(I$5,NFI,5,0),1,0)*Data_NFI_t[[#This Row],[Hygiene Kit]],0)</f>
        <v>0</v>
      </c>
      <c r="X486" s="131">
        <f>IF(NFI_Expiration=1,IF($A486&lt;VLOOKUP(J$5,NFI,5,0),1,0)*Data_NFI_t[[#This Row],[NFI Core Kit]],0)</f>
        <v>0</v>
      </c>
      <c r="Y486" s="112">
        <f>IF(NFI_Expiration=1,IF($A486&lt;VLOOKUP(K$5,NFI,5,0),1,0)*Data_NFI_t[[#This Row],[Sanitary Kit]],0)</f>
        <v>0</v>
      </c>
      <c r="Z486" s="112">
        <f>IF(NFI_Expiration=1,IF($A486&lt;VLOOKUP(L$5,NFI,5,0),1,0)*Data_NFI_t[[#This Row],[Mosquito net]],0)</f>
        <v>0</v>
      </c>
      <c r="AA486" s="112">
        <f>IF(NFI_Expiration=1,IF($A486&lt;VLOOKUP(M$5,NFI,5,0),1,0)*Data_NFI_t[[#This Row],[Tarpaulin]],0)</f>
        <v>0</v>
      </c>
      <c r="AB486" s="112">
        <f>IF(NFI_Expiration=1,IF($A486&lt;VLOOKUP(N$5,NFI,5,0),1,0)*Data_NFI_t[[#This Row],[Blanket]],0)</f>
        <v>0</v>
      </c>
      <c r="AC486" s="112">
        <f>IF(NFI_Expiration=1,IF($A486&lt;VLOOKUP(O$5,NFI,5,0),1,0)*Data_NFI_t[[#This Row],[Kitchen Set]],0)</f>
        <v>0</v>
      </c>
      <c r="AD486" s="112">
        <f>IF(NFI_Expiration=1,IF($A486&lt;VLOOKUP(P$5,NFI,5,0),1,0)*Data_NFI_t[[#This Row],[Complementary Kit]],0)</f>
        <v>0</v>
      </c>
      <c r="AE486" s="112">
        <f>IF(NFI_Expiration=1,IF($A486&lt;VLOOKUP(Q$5,NFI,5,0),1,0)*Data_NFI_t[[#This Row],[Plastic Bucket]],0)</f>
        <v>0</v>
      </c>
      <c r="AF486" s="131">
        <f>IF(NFI_Expiration=1,IF($A486&lt;VLOOKUP(R$5,NFI,5,0),1,0)*Data_NFI_t[[#This Row],[Jerry Can]],0)</f>
        <v>0</v>
      </c>
      <c r="AG486" s="131">
        <f>IF(NFI_Expiration=1,IF($A486&lt;VLOOKUP(S$5,NFI,5,0),1,0)*Data_NFI_t[[#This Row],[Plastic Mat]],0)*IF(Data_NFI_t[[#This Row],[Distribution Date]]&gt;"01-06-2015",1,2.5)</f>
        <v>0</v>
      </c>
      <c r="AH486" s="915">
        <f>IF(NFI_Expiration=1,IF($A486&lt;VLOOKUP(T$5,NFI,5,0),1,0)*Data_NFI_t[[#This Row],[Adult Clothes]],0)</f>
        <v>0</v>
      </c>
      <c r="AI486" s="131">
        <f>IF(NFI_Expiration=1,IF($A486&lt;VLOOKUP(U$5,NFI,5,0),1,0)*Data_NFI_t[[#This Row],[Children Clothes]],0)</f>
        <v>0</v>
      </c>
      <c r="AJ486" s="131">
        <f>IF(NFI_Expiration=1,IF($A486&lt;VLOOKUP(V$5,NFI,5,0),1,0)*Data_NFI_t[[#This Row],[Sewing Kit]],0)</f>
        <v>0</v>
      </c>
      <c r="AK486" s="131" t="str">
        <f ca="1">IFERROR(OFFSET(Camp_List[P_Code],MATCH(Data_NFI_t[[#This Row],[Camp Name]],Camp_List[Camp Name],0)-1,0,1,1),"")</f>
        <v/>
      </c>
      <c r="AL486" s="513" t="str">
        <f ca="1">IFERROR(OFFSET(Camp_List[Status],MATCH(Data_NFI_t[[#This Row],[Camp Name]],Camp_List[Camp Name],0)-1,0,1,1),"")</f>
        <v/>
      </c>
      <c r="AM486" s="131"/>
    </row>
    <row r="487" spans="1:39" s="793" customFormat="1" ht="19.5" customHeight="1" x14ac:dyDescent="0.25">
      <c r="A487" s="242" t="str">
        <f>IF(ISBLANK(C487),"",(Report_Date-C487)/30)</f>
        <v/>
      </c>
      <c r="B487" s="522">
        <f>YEAR(Data_NFI_t[[#This Row],[Distribution Date]])</f>
        <v>1900</v>
      </c>
      <c r="C487" s="927"/>
      <c r="D487" s="489"/>
      <c r="E487" s="488"/>
      <c r="F487" s="489"/>
      <c r="G487" s="794"/>
      <c r="H487" s="794"/>
      <c r="I487" s="794"/>
      <c r="J487" s="51"/>
      <c r="K487" s="51"/>
      <c r="L487" s="119"/>
      <c r="M487" s="119"/>
      <c r="N487" s="119"/>
      <c r="O487" s="119"/>
      <c r="P487" s="119"/>
      <c r="Q487" s="119"/>
      <c r="R487" s="512"/>
      <c r="S487" s="119"/>
      <c r="T487" s="119"/>
      <c r="U487" s="119"/>
      <c r="V487" s="119"/>
      <c r="W487" s="131">
        <f>IF(NFI_Expiration=1,IF($A487&lt;VLOOKUP(I$5,NFI,5,0),1,0)*Data_NFI_t[[#This Row],[Hygiene Kit]],0)</f>
        <v>0</v>
      </c>
      <c r="X487" s="131">
        <f>IF(NFI_Expiration=1,IF($A487&lt;VLOOKUP(J$5,NFI,5,0),1,0)*Data_NFI_t[[#This Row],[NFI Core Kit]],0)</f>
        <v>0</v>
      </c>
      <c r="Y487" s="112">
        <f>IF(NFI_Expiration=1,IF($A487&lt;VLOOKUP(K$5,NFI,5,0),1,0)*Data_NFI_t[[#This Row],[Sanitary Kit]],0)</f>
        <v>0</v>
      </c>
      <c r="Z487" s="112">
        <f>IF(NFI_Expiration=1,IF($A487&lt;VLOOKUP(L$5,NFI,5,0),1,0)*Data_NFI_t[[#This Row],[Mosquito net]],0)</f>
        <v>0</v>
      </c>
      <c r="AA487" s="112">
        <f>IF(NFI_Expiration=1,IF($A487&lt;VLOOKUP(M$5,NFI,5,0),1,0)*Data_NFI_t[[#This Row],[Tarpaulin]],0)</f>
        <v>0</v>
      </c>
      <c r="AB487" s="112">
        <f>IF(NFI_Expiration=1,IF($A487&lt;VLOOKUP(N$5,NFI,5,0),1,0)*Data_NFI_t[[#This Row],[Blanket]],0)</f>
        <v>0</v>
      </c>
      <c r="AC487" s="112">
        <f>IF(NFI_Expiration=1,IF($A487&lt;VLOOKUP(O$5,NFI,5,0),1,0)*Data_NFI_t[[#This Row],[Kitchen Set]],0)</f>
        <v>0</v>
      </c>
      <c r="AD487" s="112">
        <f>IF(NFI_Expiration=1,IF($A487&lt;VLOOKUP(P$5,NFI,5,0),1,0)*Data_NFI_t[[#This Row],[Complementary Kit]],0)</f>
        <v>0</v>
      </c>
      <c r="AE487" s="112">
        <f>IF(NFI_Expiration=1,IF($A487&lt;VLOOKUP(Q$5,NFI,5,0),1,0)*Data_NFI_t[[#This Row],[Plastic Bucket]],0)</f>
        <v>0</v>
      </c>
      <c r="AF487" s="131">
        <f>IF(NFI_Expiration=1,IF($A487&lt;VLOOKUP(R$5,NFI,5,0),1,0)*Data_NFI_t[[#This Row],[Jerry Can]],0)</f>
        <v>0</v>
      </c>
      <c r="AG487" s="131">
        <f>IF(NFI_Expiration=1,IF($A487&lt;VLOOKUP(S$5,NFI,5,0),1,0)*Data_NFI_t[[#This Row],[Plastic Mat]],0)*IF(Data_NFI_t[[#This Row],[Distribution Date]]&gt;"01-06-2015",1,2.5)</f>
        <v>0</v>
      </c>
      <c r="AH487" s="915">
        <f>IF(NFI_Expiration=1,IF($A487&lt;VLOOKUP(T$5,NFI,5,0),1,0)*Data_NFI_t[[#This Row],[Adult Clothes]],0)</f>
        <v>0</v>
      </c>
      <c r="AI487" s="131">
        <f>IF(NFI_Expiration=1,IF($A487&lt;VLOOKUP(U$5,NFI,5,0),1,0)*Data_NFI_t[[#This Row],[Children Clothes]],0)</f>
        <v>0</v>
      </c>
      <c r="AJ487" s="131">
        <f>IF(NFI_Expiration=1,IF($A487&lt;VLOOKUP(V$5,NFI,5,0),1,0)*Data_NFI_t[[#This Row],[Sewing Kit]],0)</f>
        <v>0</v>
      </c>
      <c r="AK487" s="131" t="str">
        <f ca="1">IFERROR(OFFSET(Camp_List[P_Code],MATCH(Data_NFI_t[[#This Row],[Camp Name]],Camp_List[Camp Name],0)-1,0,1,1),"")</f>
        <v/>
      </c>
      <c r="AL487" s="513" t="str">
        <f ca="1">IFERROR(OFFSET(Camp_List[Status],MATCH(Data_NFI_t[[#This Row],[Camp Name]],Camp_List[Camp Name],0)-1,0,1,1),"")</f>
        <v/>
      </c>
      <c r="AM487" s="131"/>
    </row>
    <row r="488" spans="1:39" s="793" customFormat="1" ht="19.5" customHeight="1" x14ac:dyDescent="0.25">
      <c r="A488" s="242" t="str">
        <f>IF(ISBLANK(C488),"",(Report_Date-C488)/30)</f>
        <v/>
      </c>
      <c r="B488" s="522">
        <f>YEAR(Data_NFI_t[[#This Row],[Distribution Date]])</f>
        <v>1900</v>
      </c>
      <c r="C488" s="927"/>
      <c r="D488" s="489"/>
      <c r="E488" s="488"/>
      <c r="F488" s="489"/>
      <c r="G488" s="794"/>
      <c r="H488" s="794"/>
      <c r="I488" s="794"/>
      <c r="J488" s="51"/>
      <c r="K488" s="51"/>
      <c r="L488" s="119"/>
      <c r="M488" s="119"/>
      <c r="N488" s="119"/>
      <c r="O488" s="119"/>
      <c r="P488" s="119"/>
      <c r="Q488" s="119"/>
      <c r="R488" s="512"/>
      <c r="S488" s="119"/>
      <c r="T488" s="119"/>
      <c r="U488" s="119"/>
      <c r="V488" s="119"/>
      <c r="W488" s="131">
        <f>IF(NFI_Expiration=1,IF($A488&lt;VLOOKUP(I$5,NFI,5,0),1,0)*Data_NFI_t[[#This Row],[Hygiene Kit]],0)</f>
        <v>0</v>
      </c>
      <c r="X488" s="131">
        <f>IF(NFI_Expiration=1,IF($A488&lt;VLOOKUP(J$5,NFI,5,0),1,0)*Data_NFI_t[[#This Row],[NFI Core Kit]],0)</f>
        <v>0</v>
      </c>
      <c r="Y488" s="112">
        <f>IF(NFI_Expiration=1,IF($A488&lt;VLOOKUP(K$5,NFI,5,0),1,0)*Data_NFI_t[[#This Row],[Sanitary Kit]],0)</f>
        <v>0</v>
      </c>
      <c r="Z488" s="112">
        <f>IF(NFI_Expiration=1,IF($A488&lt;VLOOKUP(L$5,NFI,5,0),1,0)*Data_NFI_t[[#This Row],[Mosquito net]],0)</f>
        <v>0</v>
      </c>
      <c r="AA488" s="112">
        <f>IF(NFI_Expiration=1,IF($A488&lt;VLOOKUP(M$5,NFI,5,0),1,0)*Data_NFI_t[[#This Row],[Tarpaulin]],0)</f>
        <v>0</v>
      </c>
      <c r="AB488" s="112">
        <f>IF(NFI_Expiration=1,IF($A488&lt;VLOOKUP(N$5,NFI,5,0),1,0)*Data_NFI_t[[#This Row],[Blanket]],0)</f>
        <v>0</v>
      </c>
      <c r="AC488" s="112">
        <f>IF(NFI_Expiration=1,IF($A488&lt;VLOOKUP(O$5,NFI,5,0),1,0)*Data_NFI_t[[#This Row],[Kitchen Set]],0)</f>
        <v>0</v>
      </c>
      <c r="AD488" s="112">
        <f>IF(NFI_Expiration=1,IF($A488&lt;VLOOKUP(P$5,NFI,5,0),1,0)*Data_NFI_t[[#This Row],[Complementary Kit]],0)</f>
        <v>0</v>
      </c>
      <c r="AE488" s="112">
        <f>IF(NFI_Expiration=1,IF($A488&lt;VLOOKUP(Q$5,NFI,5,0),1,0)*Data_NFI_t[[#This Row],[Plastic Bucket]],0)</f>
        <v>0</v>
      </c>
      <c r="AF488" s="131">
        <f>IF(NFI_Expiration=1,IF($A488&lt;VLOOKUP(R$5,NFI,5,0),1,0)*Data_NFI_t[[#This Row],[Jerry Can]],0)</f>
        <v>0</v>
      </c>
      <c r="AG488" s="131">
        <f>IF(NFI_Expiration=1,IF($A488&lt;VLOOKUP(S$5,NFI,5,0),1,0)*Data_NFI_t[[#This Row],[Plastic Mat]],0)*IF(Data_NFI_t[[#This Row],[Distribution Date]]&gt;"01-06-2015",1,2.5)</f>
        <v>0</v>
      </c>
      <c r="AH488" s="915">
        <f>IF(NFI_Expiration=1,IF($A488&lt;VLOOKUP(T$5,NFI,5,0),1,0)*Data_NFI_t[[#This Row],[Adult Clothes]],0)</f>
        <v>0</v>
      </c>
      <c r="AI488" s="131">
        <f>IF(NFI_Expiration=1,IF($A488&lt;VLOOKUP(U$5,NFI,5,0),1,0)*Data_NFI_t[[#This Row],[Children Clothes]],0)</f>
        <v>0</v>
      </c>
      <c r="AJ488" s="131">
        <f>IF(NFI_Expiration=1,IF($A488&lt;VLOOKUP(V$5,NFI,5,0),1,0)*Data_NFI_t[[#This Row],[Sewing Kit]],0)</f>
        <v>0</v>
      </c>
      <c r="AK488" s="131" t="str">
        <f ca="1">IFERROR(OFFSET(Camp_List[P_Code],MATCH(Data_NFI_t[[#This Row],[Camp Name]],Camp_List[Camp Name],0)-1,0,1,1),"")</f>
        <v/>
      </c>
      <c r="AL488" s="513" t="str">
        <f ca="1">IFERROR(OFFSET(Camp_List[Status],MATCH(Data_NFI_t[[#This Row],[Camp Name]],Camp_List[Camp Name],0)-1,0,1,1),"")</f>
        <v/>
      </c>
      <c r="AM488" s="131"/>
    </row>
    <row r="489" spans="1:39" s="793" customFormat="1" ht="19.5" customHeight="1" x14ac:dyDescent="0.25">
      <c r="A489" s="242" t="str">
        <f>IF(ISBLANK(C489),"",(Report_Date-C489)/30)</f>
        <v/>
      </c>
      <c r="B489" s="522">
        <f>YEAR(Data_NFI_t[[#This Row],[Distribution Date]])</f>
        <v>1900</v>
      </c>
      <c r="C489" s="927"/>
      <c r="D489" s="489"/>
      <c r="E489" s="488"/>
      <c r="F489" s="489"/>
      <c r="G489" s="794"/>
      <c r="H489" s="794"/>
      <c r="I489" s="794"/>
      <c r="J489" s="51"/>
      <c r="K489" s="51"/>
      <c r="L489" s="119"/>
      <c r="M489" s="119"/>
      <c r="N489" s="119"/>
      <c r="O489" s="119"/>
      <c r="P489" s="119"/>
      <c r="Q489" s="119"/>
      <c r="R489" s="512"/>
      <c r="S489" s="119"/>
      <c r="T489" s="119"/>
      <c r="U489" s="119"/>
      <c r="V489" s="119"/>
      <c r="W489" s="131">
        <f>IF(NFI_Expiration=1,IF($A489&lt;VLOOKUP(I$5,NFI,5,0),1,0)*Data_NFI_t[[#This Row],[Hygiene Kit]],0)</f>
        <v>0</v>
      </c>
      <c r="X489" s="131">
        <f>IF(NFI_Expiration=1,IF($A489&lt;VLOOKUP(J$5,NFI,5,0),1,0)*Data_NFI_t[[#This Row],[NFI Core Kit]],0)</f>
        <v>0</v>
      </c>
      <c r="Y489" s="112">
        <f>IF(NFI_Expiration=1,IF($A489&lt;VLOOKUP(K$5,NFI,5,0),1,0)*Data_NFI_t[[#This Row],[Sanitary Kit]],0)</f>
        <v>0</v>
      </c>
      <c r="Z489" s="112">
        <f>IF(NFI_Expiration=1,IF($A489&lt;VLOOKUP(L$5,NFI,5,0),1,0)*Data_NFI_t[[#This Row],[Mosquito net]],0)</f>
        <v>0</v>
      </c>
      <c r="AA489" s="112">
        <f>IF(NFI_Expiration=1,IF($A489&lt;VLOOKUP(M$5,NFI,5,0),1,0)*Data_NFI_t[[#This Row],[Tarpaulin]],0)</f>
        <v>0</v>
      </c>
      <c r="AB489" s="112">
        <f>IF(NFI_Expiration=1,IF($A489&lt;VLOOKUP(N$5,NFI,5,0),1,0)*Data_NFI_t[[#This Row],[Blanket]],0)</f>
        <v>0</v>
      </c>
      <c r="AC489" s="112">
        <f>IF(NFI_Expiration=1,IF($A489&lt;VLOOKUP(O$5,NFI,5,0),1,0)*Data_NFI_t[[#This Row],[Kitchen Set]],0)</f>
        <v>0</v>
      </c>
      <c r="AD489" s="112">
        <f>IF(NFI_Expiration=1,IF($A489&lt;VLOOKUP(P$5,NFI,5,0),1,0)*Data_NFI_t[[#This Row],[Complementary Kit]],0)</f>
        <v>0</v>
      </c>
      <c r="AE489" s="112">
        <f>IF(NFI_Expiration=1,IF($A489&lt;VLOOKUP(Q$5,NFI,5,0),1,0)*Data_NFI_t[[#This Row],[Plastic Bucket]],0)</f>
        <v>0</v>
      </c>
      <c r="AF489" s="131">
        <f>IF(NFI_Expiration=1,IF($A489&lt;VLOOKUP(R$5,NFI,5,0),1,0)*Data_NFI_t[[#This Row],[Jerry Can]],0)</f>
        <v>0</v>
      </c>
      <c r="AG489" s="131">
        <f>IF(NFI_Expiration=1,IF($A489&lt;VLOOKUP(S$5,NFI,5,0),1,0)*Data_NFI_t[[#This Row],[Plastic Mat]],0)*IF(Data_NFI_t[[#This Row],[Distribution Date]]&gt;"01-06-2015",1,2.5)</f>
        <v>0</v>
      </c>
      <c r="AH489" s="915">
        <f>IF(NFI_Expiration=1,IF($A489&lt;VLOOKUP(T$5,NFI,5,0),1,0)*Data_NFI_t[[#This Row],[Adult Clothes]],0)</f>
        <v>0</v>
      </c>
      <c r="AI489" s="131">
        <f>IF(NFI_Expiration=1,IF($A489&lt;VLOOKUP(U$5,NFI,5,0),1,0)*Data_NFI_t[[#This Row],[Children Clothes]],0)</f>
        <v>0</v>
      </c>
      <c r="AJ489" s="131">
        <f>IF(NFI_Expiration=1,IF($A489&lt;VLOOKUP(V$5,NFI,5,0),1,0)*Data_NFI_t[[#This Row],[Sewing Kit]],0)</f>
        <v>0</v>
      </c>
      <c r="AK489" s="131" t="str">
        <f ca="1">IFERROR(OFFSET(Camp_List[P_Code],MATCH(Data_NFI_t[[#This Row],[Camp Name]],Camp_List[Camp Name],0)-1,0,1,1),"")</f>
        <v/>
      </c>
      <c r="AL489" s="513" t="str">
        <f ca="1">IFERROR(OFFSET(Camp_List[Status],MATCH(Data_NFI_t[[#This Row],[Camp Name]],Camp_List[Camp Name],0)-1,0,1,1),"")</f>
        <v/>
      </c>
      <c r="AM489" s="131"/>
    </row>
    <row r="490" spans="1:39" s="793" customFormat="1" ht="19.5" customHeight="1" x14ac:dyDescent="0.25">
      <c r="A490" s="242" t="str">
        <f>IF(ISBLANK(C490),"",(Report_Date-C490)/30)</f>
        <v/>
      </c>
      <c r="B490" s="522">
        <f>YEAR(Data_NFI_t[[#This Row],[Distribution Date]])</f>
        <v>1900</v>
      </c>
      <c r="C490" s="927"/>
      <c r="D490" s="489"/>
      <c r="E490" s="488"/>
      <c r="F490" s="489"/>
      <c r="G490" s="794"/>
      <c r="H490" s="794"/>
      <c r="I490" s="794"/>
      <c r="J490" s="51"/>
      <c r="K490" s="51"/>
      <c r="L490" s="119"/>
      <c r="M490" s="119"/>
      <c r="N490" s="119"/>
      <c r="O490" s="119"/>
      <c r="P490" s="119"/>
      <c r="Q490" s="119"/>
      <c r="R490" s="512"/>
      <c r="S490" s="119"/>
      <c r="T490" s="119"/>
      <c r="U490" s="119"/>
      <c r="V490" s="119"/>
      <c r="W490" s="131">
        <f>IF(NFI_Expiration=1,IF($A490&lt;VLOOKUP(I$5,NFI,5,0),1,0)*Data_NFI_t[[#This Row],[Hygiene Kit]],0)</f>
        <v>0</v>
      </c>
      <c r="X490" s="131">
        <f>IF(NFI_Expiration=1,IF($A490&lt;VLOOKUP(J$5,NFI,5,0),1,0)*Data_NFI_t[[#This Row],[NFI Core Kit]],0)</f>
        <v>0</v>
      </c>
      <c r="Y490" s="112">
        <f>IF(NFI_Expiration=1,IF($A490&lt;VLOOKUP(K$5,NFI,5,0),1,0)*Data_NFI_t[[#This Row],[Sanitary Kit]],0)</f>
        <v>0</v>
      </c>
      <c r="Z490" s="112">
        <f>IF(NFI_Expiration=1,IF($A490&lt;VLOOKUP(L$5,NFI,5,0),1,0)*Data_NFI_t[[#This Row],[Mosquito net]],0)</f>
        <v>0</v>
      </c>
      <c r="AA490" s="112">
        <f>IF(NFI_Expiration=1,IF($A490&lt;VLOOKUP(M$5,NFI,5,0),1,0)*Data_NFI_t[[#This Row],[Tarpaulin]],0)</f>
        <v>0</v>
      </c>
      <c r="AB490" s="112">
        <f>IF(NFI_Expiration=1,IF($A490&lt;VLOOKUP(N$5,NFI,5,0),1,0)*Data_NFI_t[[#This Row],[Blanket]],0)</f>
        <v>0</v>
      </c>
      <c r="AC490" s="112">
        <f>IF(NFI_Expiration=1,IF($A490&lt;VLOOKUP(O$5,NFI,5,0),1,0)*Data_NFI_t[[#This Row],[Kitchen Set]],0)</f>
        <v>0</v>
      </c>
      <c r="AD490" s="112">
        <f>IF(NFI_Expiration=1,IF($A490&lt;VLOOKUP(P$5,NFI,5,0),1,0)*Data_NFI_t[[#This Row],[Complementary Kit]],0)</f>
        <v>0</v>
      </c>
      <c r="AE490" s="112">
        <f>IF(NFI_Expiration=1,IF($A490&lt;VLOOKUP(Q$5,NFI,5,0),1,0)*Data_NFI_t[[#This Row],[Plastic Bucket]],0)</f>
        <v>0</v>
      </c>
      <c r="AF490" s="131">
        <f>IF(NFI_Expiration=1,IF($A490&lt;VLOOKUP(R$5,NFI,5,0),1,0)*Data_NFI_t[[#This Row],[Jerry Can]],0)</f>
        <v>0</v>
      </c>
      <c r="AG490" s="131">
        <f>IF(NFI_Expiration=1,IF($A490&lt;VLOOKUP(S$5,NFI,5,0),1,0)*Data_NFI_t[[#This Row],[Plastic Mat]],0)*IF(Data_NFI_t[[#This Row],[Distribution Date]]&gt;"01-06-2015",1,2.5)</f>
        <v>0</v>
      </c>
      <c r="AH490" s="915">
        <f>IF(NFI_Expiration=1,IF($A490&lt;VLOOKUP(T$5,NFI,5,0),1,0)*Data_NFI_t[[#This Row],[Adult Clothes]],0)</f>
        <v>0</v>
      </c>
      <c r="AI490" s="131">
        <f>IF(NFI_Expiration=1,IF($A490&lt;VLOOKUP(U$5,NFI,5,0),1,0)*Data_NFI_t[[#This Row],[Children Clothes]],0)</f>
        <v>0</v>
      </c>
      <c r="AJ490" s="131">
        <f>IF(NFI_Expiration=1,IF($A490&lt;VLOOKUP(V$5,NFI,5,0),1,0)*Data_NFI_t[[#This Row],[Sewing Kit]],0)</f>
        <v>0</v>
      </c>
      <c r="AK490" s="131" t="str">
        <f ca="1">IFERROR(OFFSET(Camp_List[P_Code],MATCH(Data_NFI_t[[#This Row],[Camp Name]],Camp_List[Camp Name],0)-1,0,1,1),"")</f>
        <v/>
      </c>
      <c r="AL490" s="513" t="str">
        <f ca="1">IFERROR(OFFSET(Camp_List[Status],MATCH(Data_NFI_t[[#This Row],[Camp Name]],Camp_List[Camp Name],0)-1,0,1,1),"")</f>
        <v/>
      </c>
      <c r="AM490" s="131"/>
    </row>
    <row r="491" spans="1:39" s="793" customFormat="1" ht="19.5" customHeight="1" x14ac:dyDescent="0.25">
      <c r="A491" s="242" t="str">
        <f>IF(ISBLANK(C491),"",(Report_Date-C491)/30)</f>
        <v/>
      </c>
      <c r="B491" s="522">
        <f>YEAR(Data_NFI_t[[#This Row],[Distribution Date]])</f>
        <v>1900</v>
      </c>
      <c r="C491" s="927"/>
      <c r="D491" s="489"/>
      <c r="E491" s="488"/>
      <c r="F491" s="489"/>
      <c r="G491" s="794"/>
      <c r="H491" s="794"/>
      <c r="I491" s="794"/>
      <c r="J491" s="51"/>
      <c r="K491" s="51"/>
      <c r="L491" s="119"/>
      <c r="M491" s="119"/>
      <c r="N491" s="119"/>
      <c r="O491" s="119"/>
      <c r="P491" s="119"/>
      <c r="Q491" s="119"/>
      <c r="R491" s="512"/>
      <c r="S491" s="119"/>
      <c r="T491" s="119"/>
      <c r="U491" s="119"/>
      <c r="V491" s="119"/>
      <c r="W491" s="131">
        <f>IF(NFI_Expiration=1,IF($A491&lt;VLOOKUP(I$5,NFI,5,0),1,0)*Data_NFI_t[[#This Row],[Hygiene Kit]],0)</f>
        <v>0</v>
      </c>
      <c r="X491" s="131">
        <f>IF(NFI_Expiration=1,IF($A491&lt;VLOOKUP(J$5,NFI,5,0),1,0)*Data_NFI_t[[#This Row],[NFI Core Kit]],0)</f>
        <v>0</v>
      </c>
      <c r="Y491" s="112">
        <f>IF(NFI_Expiration=1,IF($A491&lt;VLOOKUP(K$5,NFI,5,0),1,0)*Data_NFI_t[[#This Row],[Sanitary Kit]],0)</f>
        <v>0</v>
      </c>
      <c r="Z491" s="112">
        <f>IF(NFI_Expiration=1,IF($A491&lt;VLOOKUP(L$5,NFI,5,0),1,0)*Data_NFI_t[[#This Row],[Mosquito net]],0)</f>
        <v>0</v>
      </c>
      <c r="AA491" s="112">
        <f>IF(NFI_Expiration=1,IF($A491&lt;VLOOKUP(M$5,NFI,5,0),1,0)*Data_NFI_t[[#This Row],[Tarpaulin]],0)</f>
        <v>0</v>
      </c>
      <c r="AB491" s="112">
        <f>IF(NFI_Expiration=1,IF($A491&lt;VLOOKUP(N$5,NFI,5,0),1,0)*Data_NFI_t[[#This Row],[Blanket]],0)</f>
        <v>0</v>
      </c>
      <c r="AC491" s="112">
        <f>IF(NFI_Expiration=1,IF($A491&lt;VLOOKUP(O$5,NFI,5,0),1,0)*Data_NFI_t[[#This Row],[Kitchen Set]],0)</f>
        <v>0</v>
      </c>
      <c r="AD491" s="112">
        <f>IF(NFI_Expiration=1,IF($A491&lt;VLOOKUP(P$5,NFI,5,0),1,0)*Data_NFI_t[[#This Row],[Complementary Kit]],0)</f>
        <v>0</v>
      </c>
      <c r="AE491" s="112">
        <f>IF(NFI_Expiration=1,IF($A491&lt;VLOOKUP(Q$5,NFI,5,0),1,0)*Data_NFI_t[[#This Row],[Plastic Bucket]],0)</f>
        <v>0</v>
      </c>
      <c r="AF491" s="131">
        <f>IF(NFI_Expiration=1,IF($A491&lt;VLOOKUP(R$5,NFI,5,0),1,0)*Data_NFI_t[[#This Row],[Jerry Can]],0)</f>
        <v>0</v>
      </c>
      <c r="AG491" s="131">
        <f>IF(NFI_Expiration=1,IF($A491&lt;VLOOKUP(S$5,NFI,5,0),1,0)*Data_NFI_t[[#This Row],[Plastic Mat]],0)*IF(Data_NFI_t[[#This Row],[Distribution Date]]&gt;"01-06-2015",1,2.5)</f>
        <v>0</v>
      </c>
      <c r="AH491" s="915">
        <f>IF(NFI_Expiration=1,IF($A491&lt;VLOOKUP(T$5,NFI,5,0),1,0)*Data_NFI_t[[#This Row],[Adult Clothes]],0)</f>
        <v>0</v>
      </c>
      <c r="AI491" s="131">
        <f>IF(NFI_Expiration=1,IF($A491&lt;VLOOKUP(U$5,NFI,5,0),1,0)*Data_NFI_t[[#This Row],[Children Clothes]],0)</f>
        <v>0</v>
      </c>
      <c r="AJ491" s="131">
        <f>IF(NFI_Expiration=1,IF($A491&lt;VLOOKUP(V$5,NFI,5,0),1,0)*Data_NFI_t[[#This Row],[Sewing Kit]],0)</f>
        <v>0</v>
      </c>
      <c r="AK491" s="131" t="str">
        <f ca="1">IFERROR(OFFSET(Camp_List[P_Code],MATCH(Data_NFI_t[[#This Row],[Camp Name]],Camp_List[Camp Name],0)-1,0,1,1),"")</f>
        <v/>
      </c>
      <c r="AL491" s="513" t="str">
        <f ca="1">IFERROR(OFFSET(Camp_List[Status],MATCH(Data_NFI_t[[#This Row],[Camp Name]],Camp_List[Camp Name],0)-1,0,1,1),"")</f>
        <v/>
      </c>
      <c r="AM491" s="131"/>
    </row>
    <row r="492" spans="1:39" s="793" customFormat="1" ht="19.5" customHeight="1" x14ac:dyDescent="0.25">
      <c r="A492" s="242" t="str">
        <f>IF(ISBLANK(C492),"",(Report_Date-C492)/30)</f>
        <v/>
      </c>
      <c r="B492" s="522">
        <f>YEAR(Data_NFI_t[[#This Row],[Distribution Date]])</f>
        <v>1900</v>
      </c>
      <c r="C492" s="927"/>
      <c r="D492" s="489"/>
      <c r="E492" s="488"/>
      <c r="F492" s="489"/>
      <c r="G492" s="794"/>
      <c r="H492" s="794"/>
      <c r="I492" s="794"/>
      <c r="J492" s="51"/>
      <c r="K492" s="51"/>
      <c r="L492" s="119"/>
      <c r="M492" s="119"/>
      <c r="N492" s="119"/>
      <c r="O492" s="119"/>
      <c r="P492" s="119"/>
      <c r="Q492" s="119"/>
      <c r="R492" s="512"/>
      <c r="S492" s="119"/>
      <c r="T492" s="119"/>
      <c r="U492" s="119"/>
      <c r="V492" s="119"/>
      <c r="W492" s="131">
        <f>IF(NFI_Expiration=1,IF($A492&lt;VLOOKUP(I$5,NFI,5,0),1,0)*Data_NFI_t[[#This Row],[Hygiene Kit]],0)</f>
        <v>0</v>
      </c>
      <c r="X492" s="131">
        <f>IF(NFI_Expiration=1,IF($A492&lt;VLOOKUP(J$5,NFI,5,0),1,0)*Data_NFI_t[[#This Row],[NFI Core Kit]],0)</f>
        <v>0</v>
      </c>
      <c r="Y492" s="112">
        <f>IF(NFI_Expiration=1,IF($A492&lt;VLOOKUP(K$5,NFI,5,0),1,0)*Data_NFI_t[[#This Row],[Sanitary Kit]],0)</f>
        <v>0</v>
      </c>
      <c r="Z492" s="112">
        <f>IF(NFI_Expiration=1,IF($A492&lt;VLOOKUP(L$5,NFI,5,0),1,0)*Data_NFI_t[[#This Row],[Mosquito net]],0)</f>
        <v>0</v>
      </c>
      <c r="AA492" s="112">
        <f>IF(NFI_Expiration=1,IF($A492&lt;VLOOKUP(M$5,NFI,5,0),1,0)*Data_NFI_t[[#This Row],[Tarpaulin]],0)</f>
        <v>0</v>
      </c>
      <c r="AB492" s="112">
        <f>IF(NFI_Expiration=1,IF($A492&lt;VLOOKUP(N$5,NFI,5,0),1,0)*Data_NFI_t[[#This Row],[Blanket]],0)</f>
        <v>0</v>
      </c>
      <c r="AC492" s="112">
        <f>IF(NFI_Expiration=1,IF($A492&lt;VLOOKUP(O$5,NFI,5,0),1,0)*Data_NFI_t[[#This Row],[Kitchen Set]],0)</f>
        <v>0</v>
      </c>
      <c r="AD492" s="112">
        <f>IF(NFI_Expiration=1,IF($A492&lt;VLOOKUP(P$5,NFI,5,0),1,0)*Data_NFI_t[[#This Row],[Complementary Kit]],0)</f>
        <v>0</v>
      </c>
      <c r="AE492" s="112">
        <f>IF(NFI_Expiration=1,IF($A492&lt;VLOOKUP(Q$5,NFI,5,0),1,0)*Data_NFI_t[[#This Row],[Plastic Bucket]],0)</f>
        <v>0</v>
      </c>
      <c r="AF492" s="131">
        <f>IF(NFI_Expiration=1,IF($A492&lt;VLOOKUP(R$5,NFI,5,0),1,0)*Data_NFI_t[[#This Row],[Jerry Can]],0)</f>
        <v>0</v>
      </c>
      <c r="AG492" s="131">
        <f>IF(NFI_Expiration=1,IF($A492&lt;VLOOKUP(S$5,NFI,5,0),1,0)*Data_NFI_t[[#This Row],[Plastic Mat]],0)*IF(Data_NFI_t[[#This Row],[Distribution Date]]&gt;"01-06-2015",1,2.5)</f>
        <v>0</v>
      </c>
      <c r="AH492" s="915">
        <f>IF(NFI_Expiration=1,IF($A492&lt;VLOOKUP(T$5,NFI,5,0),1,0)*Data_NFI_t[[#This Row],[Adult Clothes]],0)</f>
        <v>0</v>
      </c>
      <c r="AI492" s="131">
        <f>IF(NFI_Expiration=1,IF($A492&lt;VLOOKUP(U$5,NFI,5,0),1,0)*Data_NFI_t[[#This Row],[Children Clothes]],0)</f>
        <v>0</v>
      </c>
      <c r="AJ492" s="131">
        <f>IF(NFI_Expiration=1,IF($A492&lt;VLOOKUP(V$5,NFI,5,0),1,0)*Data_NFI_t[[#This Row],[Sewing Kit]],0)</f>
        <v>0</v>
      </c>
      <c r="AK492" s="131" t="str">
        <f ca="1">IFERROR(OFFSET(Camp_List[P_Code],MATCH(Data_NFI_t[[#This Row],[Camp Name]],Camp_List[Camp Name],0)-1,0,1,1),"")</f>
        <v/>
      </c>
      <c r="AL492" s="513" t="str">
        <f ca="1">IFERROR(OFFSET(Camp_List[Status],MATCH(Data_NFI_t[[#This Row],[Camp Name]],Camp_List[Camp Name],0)-1,0,1,1),"")</f>
        <v/>
      </c>
      <c r="AM492" s="131"/>
    </row>
    <row r="493" spans="1:39" s="793" customFormat="1" ht="19.5" customHeight="1" x14ac:dyDescent="0.25">
      <c r="A493" s="242" t="str">
        <f>IF(ISBLANK(C493),"",(Report_Date-C493)/30)</f>
        <v/>
      </c>
      <c r="B493" s="522">
        <f>YEAR(Data_NFI_t[[#This Row],[Distribution Date]])</f>
        <v>1900</v>
      </c>
      <c r="C493" s="927"/>
      <c r="D493" s="489"/>
      <c r="E493" s="488"/>
      <c r="F493" s="489"/>
      <c r="G493" s="794"/>
      <c r="H493" s="794"/>
      <c r="I493" s="794"/>
      <c r="J493" s="51"/>
      <c r="K493" s="51"/>
      <c r="L493" s="119"/>
      <c r="M493" s="119"/>
      <c r="N493" s="119"/>
      <c r="O493" s="119"/>
      <c r="P493" s="119"/>
      <c r="Q493" s="119"/>
      <c r="R493" s="512"/>
      <c r="S493" s="119"/>
      <c r="T493" s="119"/>
      <c r="U493" s="119"/>
      <c r="V493" s="119"/>
      <c r="W493" s="131">
        <f>IF(NFI_Expiration=1,IF($A493&lt;VLOOKUP(I$5,NFI,5,0),1,0)*Data_NFI_t[[#This Row],[Hygiene Kit]],0)</f>
        <v>0</v>
      </c>
      <c r="X493" s="131">
        <f>IF(NFI_Expiration=1,IF($A493&lt;VLOOKUP(J$5,NFI,5,0),1,0)*Data_NFI_t[[#This Row],[NFI Core Kit]],0)</f>
        <v>0</v>
      </c>
      <c r="Y493" s="112">
        <f>IF(NFI_Expiration=1,IF($A493&lt;VLOOKUP(K$5,NFI,5,0),1,0)*Data_NFI_t[[#This Row],[Sanitary Kit]],0)</f>
        <v>0</v>
      </c>
      <c r="Z493" s="112">
        <f>IF(NFI_Expiration=1,IF($A493&lt;VLOOKUP(L$5,NFI,5,0),1,0)*Data_NFI_t[[#This Row],[Mosquito net]],0)</f>
        <v>0</v>
      </c>
      <c r="AA493" s="112">
        <f>IF(NFI_Expiration=1,IF($A493&lt;VLOOKUP(M$5,NFI,5,0),1,0)*Data_NFI_t[[#This Row],[Tarpaulin]],0)</f>
        <v>0</v>
      </c>
      <c r="AB493" s="112">
        <f>IF(NFI_Expiration=1,IF($A493&lt;VLOOKUP(N$5,NFI,5,0),1,0)*Data_NFI_t[[#This Row],[Blanket]],0)</f>
        <v>0</v>
      </c>
      <c r="AC493" s="112">
        <f>IF(NFI_Expiration=1,IF($A493&lt;VLOOKUP(O$5,NFI,5,0),1,0)*Data_NFI_t[[#This Row],[Kitchen Set]],0)</f>
        <v>0</v>
      </c>
      <c r="AD493" s="112">
        <f>IF(NFI_Expiration=1,IF($A493&lt;VLOOKUP(P$5,NFI,5,0),1,0)*Data_NFI_t[[#This Row],[Complementary Kit]],0)</f>
        <v>0</v>
      </c>
      <c r="AE493" s="112">
        <f>IF(NFI_Expiration=1,IF($A493&lt;VLOOKUP(Q$5,NFI,5,0),1,0)*Data_NFI_t[[#This Row],[Plastic Bucket]],0)</f>
        <v>0</v>
      </c>
      <c r="AF493" s="131">
        <f>IF(NFI_Expiration=1,IF($A493&lt;VLOOKUP(R$5,NFI,5,0),1,0)*Data_NFI_t[[#This Row],[Jerry Can]],0)</f>
        <v>0</v>
      </c>
      <c r="AG493" s="131">
        <f>IF(NFI_Expiration=1,IF($A493&lt;VLOOKUP(S$5,NFI,5,0),1,0)*Data_NFI_t[[#This Row],[Plastic Mat]],0)*IF(Data_NFI_t[[#This Row],[Distribution Date]]&gt;"01-06-2015",1,2.5)</f>
        <v>0</v>
      </c>
      <c r="AH493" s="915">
        <f>IF(NFI_Expiration=1,IF($A493&lt;VLOOKUP(T$5,NFI,5,0),1,0)*Data_NFI_t[[#This Row],[Adult Clothes]],0)</f>
        <v>0</v>
      </c>
      <c r="AI493" s="131">
        <f>IF(NFI_Expiration=1,IF($A493&lt;VLOOKUP(U$5,NFI,5,0),1,0)*Data_NFI_t[[#This Row],[Children Clothes]],0)</f>
        <v>0</v>
      </c>
      <c r="AJ493" s="131">
        <f>IF(NFI_Expiration=1,IF($A493&lt;VLOOKUP(V$5,NFI,5,0),1,0)*Data_NFI_t[[#This Row],[Sewing Kit]],0)</f>
        <v>0</v>
      </c>
      <c r="AK493" s="131" t="str">
        <f ca="1">IFERROR(OFFSET(Camp_List[P_Code],MATCH(Data_NFI_t[[#This Row],[Camp Name]],Camp_List[Camp Name],0)-1,0,1,1),"")</f>
        <v/>
      </c>
      <c r="AL493" s="513" t="str">
        <f ca="1">IFERROR(OFFSET(Camp_List[Status],MATCH(Data_NFI_t[[#This Row],[Camp Name]],Camp_List[Camp Name],0)-1,0,1,1),"")</f>
        <v/>
      </c>
      <c r="AM493" s="131"/>
    </row>
    <row r="494" spans="1:39" s="793" customFormat="1" ht="19.5" customHeight="1" x14ac:dyDescent="0.25">
      <c r="A494" s="242" t="str">
        <f>IF(ISBLANK(C494),"",(Report_Date-C494)/30)</f>
        <v/>
      </c>
      <c r="B494" s="522">
        <f>YEAR(Data_NFI_t[[#This Row],[Distribution Date]])</f>
        <v>1900</v>
      </c>
      <c r="C494" s="927"/>
      <c r="D494" s="489"/>
      <c r="E494" s="488"/>
      <c r="F494" s="489"/>
      <c r="G494" s="794"/>
      <c r="H494" s="794"/>
      <c r="I494" s="794"/>
      <c r="J494" s="51"/>
      <c r="K494" s="51"/>
      <c r="L494" s="119"/>
      <c r="M494" s="119"/>
      <c r="N494" s="119"/>
      <c r="O494" s="119"/>
      <c r="P494" s="119"/>
      <c r="Q494" s="119"/>
      <c r="R494" s="512"/>
      <c r="S494" s="119"/>
      <c r="T494" s="119"/>
      <c r="U494" s="119"/>
      <c r="V494" s="119"/>
      <c r="W494" s="131">
        <f>IF(NFI_Expiration=1,IF($A494&lt;VLOOKUP(I$5,NFI,5,0),1,0)*Data_NFI_t[[#This Row],[Hygiene Kit]],0)</f>
        <v>0</v>
      </c>
      <c r="X494" s="131">
        <f>IF(NFI_Expiration=1,IF($A494&lt;VLOOKUP(J$5,NFI,5,0),1,0)*Data_NFI_t[[#This Row],[NFI Core Kit]],0)</f>
        <v>0</v>
      </c>
      <c r="Y494" s="112">
        <f>IF(NFI_Expiration=1,IF($A494&lt;VLOOKUP(K$5,NFI,5,0),1,0)*Data_NFI_t[[#This Row],[Sanitary Kit]],0)</f>
        <v>0</v>
      </c>
      <c r="Z494" s="112">
        <f>IF(NFI_Expiration=1,IF($A494&lt;VLOOKUP(L$5,NFI,5,0),1,0)*Data_NFI_t[[#This Row],[Mosquito net]],0)</f>
        <v>0</v>
      </c>
      <c r="AA494" s="112">
        <f>IF(NFI_Expiration=1,IF($A494&lt;VLOOKUP(M$5,NFI,5,0),1,0)*Data_NFI_t[[#This Row],[Tarpaulin]],0)</f>
        <v>0</v>
      </c>
      <c r="AB494" s="112">
        <f>IF(NFI_Expiration=1,IF($A494&lt;VLOOKUP(N$5,NFI,5,0),1,0)*Data_NFI_t[[#This Row],[Blanket]],0)</f>
        <v>0</v>
      </c>
      <c r="AC494" s="112">
        <f>IF(NFI_Expiration=1,IF($A494&lt;VLOOKUP(O$5,NFI,5,0),1,0)*Data_NFI_t[[#This Row],[Kitchen Set]],0)</f>
        <v>0</v>
      </c>
      <c r="AD494" s="112">
        <f>IF(NFI_Expiration=1,IF($A494&lt;VLOOKUP(P$5,NFI,5,0),1,0)*Data_NFI_t[[#This Row],[Complementary Kit]],0)</f>
        <v>0</v>
      </c>
      <c r="AE494" s="112">
        <f>IF(NFI_Expiration=1,IF($A494&lt;VLOOKUP(Q$5,NFI,5,0),1,0)*Data_NFI_t[[#This Row],[Plastic Bucket]],0)</f>
        <v>0</v>
      </c>
      <c r="AF494" s="131">
        <f>IF(NFI_Expiration=1,IF($A494&lt;VLOOKUP(R$5,NFI,5,0),1,0)*Data_NFI_t[[#This Row],[Jerry Can]],0)</f>
        <v>0</v>
      </c>
      <c r="AG494" s="131">
        <f>IF(NFI_Expiration=1,IF($A494&lt;VLOOKUP(S$5,NFI,5,0),1,0)*Data_NFI_t[[#This Row],[Plastic Mat]],0)*IF(Data_NFI_t[[#This Row],[Distribution Date]]&gt;"01-06-2015",1,2.5)</f>
        <v>0</v>
      </c>
      <c r="AH494" s="915">
        <f>IF(NFI_Expiration=1,IF($A494&lt;VLOOKUP(T$5,NFI,5,0),1,0)*Data_NFI_t[[#This Row],[Adult Clothes]],0)</f>
        <v>0</v>
      </c>
      <c r="AI494" s="131">
        <f>IF(NFI_Expiration=1,IF($A494&lt;VLOOKUP(U$5,NFI,5,0),1,0)*Data_NFI_t[[#This Row],[Children Clothes]],0)</f>
        <v>0</v>
      </c>
      <c r="AJ494" s="131">
        <f>IF(NFI_Expiration=1,IF($A494&lt;VLOOKUP(V$5,NFI,5,0),1,0)*Data_NFI_t[[#This Row],[Sewing Kit]],0)</f>
        <v>0</v>
      </c>
      <c r="AK494" s="131" t="str">
        <f ca="1">IFERROR(OFFSET(Camp_List[P_Code],MATCH(Data_NFI_t[[#This Row],[Camp Name]],Camp_List[Camp Name],0)-1,0,1,1),"")</f>
        <v/>
      </c>
      <c r="AL494" s="513" t="str">
        <f ca="1">IFERROR(OFFSET(Camp_List[Status],MATCH(Data_NFI_t[[#This Row],[Camp Name]],Camp_List[Camp Name],0)-1,0,1,1),"")</f>
        <v/>
      </c>
      <c r="AM494" s="131"/>
    </row>
    <row r="495" spans="1:39" s="793" customFormat="1" ht="19.5" customHeight="1" x14ac:dyDescent="0.25">
      <c r="A495" s="242" t="str">
        <f>IF(ISBLANK(C495),"",(Report_Date-C495)/30)</f>
        <v/>
      </c>
      <c r="B495" s="522">
        <f>YEAR(Data_NFI_t[[#This Row],[Distribution Date]])</f>
        <v>1900</v>
      </c>
      <c r="C495" s="927"/>
      <c r="D495" s="489"/>
      <c r="E495" s="488"/>
      <c r="F495" s="489"/>
      <c r="G495" s="794"/>
      <c r="H495" s="794"/>
      <c r="I495" s="794"/>
      <c r="J495" s="51"/>
      <c r="K495" s="51"/>
      <c r="L495" s="119"/>
      <c r="M495" s="119"/>
      <c r="N495" s="119"/>
      <c r="O495" s="119"/>
      <c r="P495" s="119"/>
      <c r="Q495" s="119"/>
      <c r="R495" s="512"/>
      <c r="S495" s="119"/>
      <c r="T495" s="119"/>
      <c r="U495" s="119"/>
      <c r="V495" s="119"/>
      <c r="W495" s="131">
        <f>IF(NFI_Expiration=1,IF($A495&lt;VLOOKUP(I$5,NFI,5,0),1,0)*Data_NFI_t[[#This Row],[Hygiene Kit]],0)</f>
        <v>0</v>
      </c>
      <c r="X495" s="131">
        <f>IF(NFI_Expiration=1,IF($A495&lt;VLOOKUP(J$5,NFI,5,0),1,0)*Data_NFI_t[[#This Row],[NFI Core Kit]],0)</f>
        <v>0</v>
      </c>
      <c r="Y495" s="112">
        <f>IF(NFI_Expiration=1,IF($A495&lt;VLOOKUP(K$5,NFI,5,0),1,0)*Data_NFI_t[[#This Row],[Sanitary Kit]],0)</f>
        <v>0</v>
      </c>
      <c r="Z495" s="112">
        <f>IF(NFI_Expiration=1,IF($A495&lt;VLOOKUP(L$5,NFI,5,0),1,0)*Data_NFI_t[[#This Row],[Mosquito net]],0)</f>
        <v>0</v>
      </c>
      <c r="AA495" s="112">
        <f>IF(NFI_Expiration=1,IF($A495&lt;VLOOKUP(M$5,NFI,5,0),1,0)*Data_NFI_t[[#This Row],[Tarpaulin]],0)</f>
        <v>0</v>
      </c>
      <c r="AB495" s="112">
        <f>IF(NFI_Expiration=1,IF($A495&lt;VLOOKUP(N$5,NFI,5,0),1,0)*Data_NFI_t[[#This Row],[Blanket]],0)</f>
        <v>0</v>
      </c>
      <c r="AC495" s="112">
        <f>IF(NFI_Expiration=1,IF($A495&lt;VLOOKUP(O$5,NFI,5,0),1,0)*Data_NFI_t[[#This Row],[Kitchen Set]],0)</f>
        <v>0</v>
      </c>
      <c r="AD495" s="112">
        <f>IF(NFI_Expiration=1,IF($A495&lt;VLOOKUP(P$5,NFI,5,0),1,0)*Data_NFI_t[[#This Row],[Complementary Kit]],0)</f>
        <v>0</v>
      </c>
      <c r="AE495" s="112">
        <f>IF(NFI_Expiration=1,IF($A495&lt;VLOOKUP(Q$5,NFI,5,0),1,0)*Data_NFI_t[[#This Row],[Plastic Bucket]],0)</f>
        <v>0</v>
      </c>
      <c r="AF495" s="131">
        <f>IF(NFI_Expiration=1,IF($A495&lt;VLOOKUP(R$5,NFI,5,0),1,0)*Data_NFI_t[[#This Row],[Jerry Can]],0)</f>
        <v>0</v>
      </c>
      <c r="AG495" s="131">
        <f>IF(NFI_Expiration=1,IF($A495&lt;VLOOKUP(S$5,NFI,5,0),1,0)*Data_NFI_t[[#This Row],[Plastic Mat]],0)*IF(Data_NFI_t[[#This Row],[Distribution Date]]&gt;"01-06-2015",1,2.5)</f>
        <v>0</v>
      </c>
      <c r="AH495" s="915">
        <f>IF(NFI_Expiration=1,IF($A495&lt;VLOOKUP(T$5,NFI,5,0),1,0)*Data_NFI_t[[#This Row],[Adult Clothes]],0)</f>
        <v>0</v>
      </c>
      <c r="AI495" s="131">
        <f>IF(NFI_Expiration=1,IF($A495&lt;VLOOKUP(U$5,NFI,5,0),1,0)*Data_NFI_t[[#This Row],[Children Clothes]],0)</f>
        <v>0</v>
      </c>
      <c r="AJ495" s="131">
        <f>IF(NFI_Expiration=1,IF($A495&lt;VLOOKUP(V$5,NFI,5,0),1,0)*Data_NFI_t[[#This Row],[Sewing Kit]],0)</f>
        <v>0</v>
      </c>
      <c r="AK495" s="131" t="str">
        <f ca="1">IFERROR(OFFSET(Camp_List[P_Code],MATCH(Data_NFI_t[[#This Row],[Camp Name]],Camp_List[Camp Name],0)-1,0,1,1),"")</f>
        <v/>
      </c>
      <c r="AL495" s="513" t="str">
        <f ca="1">IFERROR(OFFSET(Camp_List[Status],MATCH(Data_NFI_t[[#This Row],[Camp Name]],Camp_List[Camp Name],0)-1,0,1,1),"")</f>
        <v/>
      </c>
      <c r="AM495" s="131"/>
    </row>
    <row r="496" spans="1:39" s="793" customFormat="1" ht="19.5" customHeight="1" x14ac:dyDescent="0.25">
      <c r="A496" s="242" t="str">
        <f>IF(ISBLANK(C496),"",(Report_Date-C496)/30)</f>
        <v/>
      </c>
      <c r="B496" s="522">
        <f>YEAR(Data_NFI_t[[#This Row],[Distribution Date]])</f>
        <v>1900</v>
      </c>
      <c r="C496" s="927"/>
      <c r="D496" s="489"/>
      <c r="E496" s="488"/>
      <c r="F496" s="489"/>
      <c r="G496" s="794"/>
      <c r="H496" s="794"/>
      <c r="I496" s="794"/>
      <c r="J496" s="51"/>
      <c r="K496" s="51"/>
      <c r="L496" s="119"/>
      <c r="M496" s="119"/>
      <c r="N496" s="119"/>
      <c r="O496" s="119"/>
      <c r="P496" s="119"/>
      <c r="Q496" s="119"/>
      <c r="R496" s="512"/>
      <c r="S496" s="119"/>
      <c r="T496" s="119"/>
      <c r="U496" s="119"/>
      <c r="V496" s="119"/>
      <c r="W496" s="131">
        <f>IF(NFI_Expiration=1,IF($A496&lt;VLOOKUP(I$5,NFI,5,0),1,0)*Data_NFI_t[[#This Row],[Hygiene Kit]],0)</f>
        <v>0</v>
      </c>
      <c r="X496" s="131">
        <f>IF(NFI_Expiration=1,IF($A496&lt;VLOOKUP(J$5,NFI,5,0),1,0)*Data_NFI_t[[#This Row],[NFI Core Kit]],0)</f>
        <v>0</v>
      </c>
      <c r="Y496" s="112">
        <f>IF(NFI_Expiration=1,IF($A496&lt;VLOOKUP(K$5,NFI,5,0),1,0)*Data_NFI_t[[#This Row],[Sanitary Kit]],0)</f>
        <v>0</v>
      </c>
      <c r="Z496" s="112">
        <f>IF(NFI_Expiration=1,IF($A496&lt;VLOOKUP(L$5,NFI,5,0),1,0)*Data_NFI_t[[#This Row],[Mosquito net]],0)</f>
        <v>0</v>
      </c>
      <c r="AA496" s="112">
        <f>IF(NFI_Expiration=1,IF($A496&lt;VLOOKUP(M$5,NFI,5,0),1,0)*Data_NFI_t[[#This Row],[Tarpaulin]],0)</f>
        <v>0</v>
      </c>
      <c r="AB496" s="112">
        <f>IF(NFI_Expiration=1,IF($A496&lt;VLOOKUP(N$5,NFI,5,0),1,0)*Data_NFI_t[[#This Row],[Blanket]],0)</f>
        <v>0</v>
      </c>
      <c r="AC496" s="112">
        <f>IF(NFI_Expiration=1,IF($A496&lt;VLOOKUP(O$5,NFI,5,0),1,0)*Data_NFI_t[[#This Row],[Kitchen Set]],0)</f>
        <v>0</v>
      </c>
      <c r="AD496" s="112">
        <f>IF(NFI_Expiration=1,IF($A496&lt;VLOOKUP(P$5,NFI,5,0),1,0)*Data_NFI_t[[#This Row],[Complementary Kit]],0)</f>
        <v>0</v>
      </c>
      <c r="AE496" s="112">
        <f>IF(NFI_Expiration=1,IF($A496&lt;VLOOKUP(Q$5,NFI,5,0),1,0)*Data_NFI_t[[#This Row],[Plastic Bucket]],0)</f>
        <v>0</v>
      </c>
      <c r="AF496" s="131">
        <f>IF(NFI_Expiration=1,IF($A496&lt;VLOOKUP(R$5,NFI,5,0),1,0)*Data_NFI_t[[#This Row],[Jerry Can]],0)</f>
        <v>0</v>
      </c>
      <c r="AG496" s="131">
        <f>IF(NFI_Expiration=1,IF($A496&lt;VLOOKUP(S$5,NFI,5,0),1,0)*Data_NFI_t[[#This Row],[Plastic Mat]],0)*IF(Data_NFI_t[[#This Row],[Distribution Date]]&gt;"01-06-2015",1,2.5)</f>
        <v>0</v>
      </c>
      <c r="AH496" s="915">
        <f>IF(NFI_Expiration=1,IF($A496&lt;VLOOKUP(T$5,NFI,5,0),1,0)*Data_NFI_t[[#This Row],[Adult Clothes]],0)</f>
        <v>0</v>
      </c>
      <c r="AI496" s="131">
        <f>IF(NFI_Expiration=1,IF($A496&lt;VLOOKUP(U$5,NFI,5,0),1,0)*Data_NFI_t[[#This Row],[Children Clothes]],0)</f>
        <v>0</v>
      </c>
      <c r="AJ496" s="131">
        <f>IF(NFI_Expiration=1,IF($A496&lt;VLOOKUP(V$5,NFI,5,0),1,0)*Data_NFI_t[[#This Row],[Sewing Kit]],0)</f>
        <v>0</v>
      </c>
      <c r="AK496" s="131" t="str">
        <f ca="1">IFERROR(OFFSET(Camp_List[P_Code],MATCH(Data_NFI_t[[#This Row],[Camp Name]],Camp_List[Camp Name],0)-1,0,1,1),"")</f>
        <v/>
      </c>
      <c r="AL496" s="513" t="str">
        <f ca="1">IFERROR(OFFSET(Camp_List[Status],MATCH(Data_NFI_t[[#This Row],[Camp Name]],Camp_List[Camp Name],0)-1,0,1,1),"")</f>
        <v/>
      </c>
      <c r="AM496" s="131"/>
    </row>
    <row r="497" spans="1:39" s="793" customFormat="1" ht="19.5" customHeight="1" x14ac:dyDescent="0.25">
      <c r="A497" s="242" t="str">
        <f>IF(ISBLANK(C497),"",(Report_Date-C497)/30)</f>
        <v/>
      </c>
      <c r="B497" s="522">
        <f>YEAR(Data_NFI_t[[#This Row],[Distribution Date]])</f>
        <v>1900</v>
      </c>
      <c r="C497" s="927"/>
      <c r="D497" s="489"/>
      <c r="E497" s="488"/>
      <c r="F497" s="489"/>
      <c r="G497" s="794"/>
      <c r="H497" s="794"/>
      <c r="I497" s="794"/>
      <c r="J497" s="51"/>
      <c r="K497" s="51"/>
      <c r="L497" s="119"/>
      <c r="M497" s="119"/>
      <c r="N497" s="119"/>
      <c r="O497" s="119"/>
      <c r="P497" s="119"/>
      <c r="Q497" s="119"/>
      <c r="R497" s="512"/>
      <c r="S497" s="119"/>
      <c r="T497" s="119"/>
      <c r="U497" s="119"/>
      <c r="V497" s="119"/>
      <c r="W497" s="131">
        <f>IF(NFI_Expiration=1,IF($A497&lt;VLOOKUP(I$5,NFI,5,0),1,0)*Data_NFI_t[[#This Row],[Hygiene Kit]],0)</f>
        <v>0</v>
      </c>
      <c r="X497" s="131">
        <f>IF(NFI_Expiration=1,IF($A497&lt;VLOOKUP(J$5,NFI,5,0),1,0)*Data_NFI_t[[#This Row],[NFI Core Kit]],0)</f>
        <v>0</v>
      </c>
      <c r="Y497" s="112">
        <f>IF(NFI_Expiration=1,IF($A497&lt;VLOOKUP(K$5,NFI,5,0),1,0)*Data_NFI_t[[#This Row],[Sanitary Kit]],0)</f>
        <v>0</v>
      </c>
      <c r="Z497" s="112">
        <f>IF(NFI_Expiration=1,IF($A497&lt;VLOOKUP(L$5,NFI,5,0),1,0)*Data_NFI_t[[#This Row],[Mosquito net]],0)</f>
        <v>0</v>
      </c>
      <c r="AA497" s="112">
        <f>IF(NFI_Expiration=1,IF($A497&lt;VLOOKUP(M$5,NFI,5,0),1,0)*Data_NFI_t[[#This Row],[Tarpaulin]],0)</f>
        <v>0</v>
      </c>
      <c r="AB497" s="112">
        <f>IF(NFI_Expiration=1,IF($A497&lt;VLOOKUP(N$5,NFI,5,0),1,0)*Data_NFI_t[[#This Row],[Blanket]],0)</f>
        <v>0</v>
      </c>
      <c r="AC497" s="112">
        <f>IF(NFI_Expiration=1,IF($A497&lt;VLOOKUP(O$5,NFI,5,0),1,0)*Data_NFI_t[[#This Row],[Kitchen Set]],0)</f>
        <v>0</v>
      </c>
      <c r="AD497" s="112">
        <f>IF(NFI_Expiration=1,IF($A497&lt;VLOOKUP(P$5,NFI,5,0),1,0)*Data_NFI_t[[#This Row],[Complementary Kit]],0)</f>
        <v>0</v>
      </c>
      <c r="AE497" s="112">
        <f>IF(NFI_Expiration=1,IF($A497&lt;VLOOKUP(Q$5,NFI,5,0),1,0)*Data_NFI_t[[#This Row],[Plastic Bucket]],0)</f>
        <v>0</v>
      </c>
      <c r="AF497" s="131">
        <f>IF(NFI_Expiration=1,IF($A497&lt;VLOOKUP(R$5,NFI,5,0),1,0)*Data_NFI_t[[#This Row],[Jerry Can]],0)</f>
        <v>0</v>
      </c>
      <c r="AG497" s="131">
        <f>IF(NFI_Expiration=1,IF($A497&lt;VLOOKUP(S$5,NFI,5,0),1,0)*Data_NFI_t[[#This Row],[Plastic Mat]],0)*IF(Data_NFI_t[[#This Row],[Distribution Date]]&gt;"01-06-2015",1,2.5)</f>
        <v>0</v>
      </c>
      <c r="AH497" s="915">
        <f>IF(NFI_Expiration=1,IF($A497&lt;VLOOKUP(T$5,NFI,5,0),1,0)*Data_NFI_t[[#This Row],[Adult Clothes]],0)</f>
        <v>0</v>
      </c>
      <c r="AI497" s="131">
        <f>IF(NFI_Expiration=1,IF($A497&lt;VLOOKUP(U$5,NFI,5,0),1,0)*Data_NFI_t[[#This Row],[Children Clothes]],0)</f>
        <v>0</v>
      </c>
      <c r="AJ497" s="131">
        <f>IF(NFI_Expiration=1,IF($A497&lt;VLOOKUP(V$5,NFI,5,0),1,0)*Data_NFI_t[[#This Row],[Sewing Kit]],0)</f>
        <v>0</v>
      </c>
      <c r="AK497" s="131" t="str">
        <f ca="1">IFERROR(OFFSET(Camp_List[P_Code],MATCH(Data_NFI_t[[#This Row],[Camp Name]],Camp_List[Camp Name],0)-1,0,1,1),"")</f>
        <v/>
      </c>
      <c r="AL497" s="513" t="str">
        <f ca="1">IFERROR(OFFSET(Camp_List[Status],MATCH(Data_NFI_t[[#This Row],[Camp Name]],Camp_List[Camp Name],0)-1,0,1,1),"")</f>
        <v/>
      </c>
      <c r="AM497" s="131"/>
    </row>
    <row r="498" spans="1:39" s="793" customFormat="1" ht="19.5" customHeight="1" x14ac:dyDescent="0.25">
      <c r="A498" s="242" t="str">
        <f>IF(ISBLANK(C498),"",(Report_Date-C498)/30)</f>
        <v/>
      </c>
      <c r="B498" s="522">
        <f>YEAR(Data_NFI_t[[#This Row],[Distribution Date]])</f>
        <v>1900</v>
      </c>
      <c r="C498" s="927"/>
      <c r="D498" s="489"/>
      <c r="E498" s="488"/>
      <c r="F498" s="489"/>
      <c r="G498" s="794"/>
      <c r="H498" s="794"/>
      <c r="I498" s="794"/>
      <c r="J498" s="51"/>
      <c r="K498" s="51"/>
      <c r="L498" s="119"/>
      <c r="M498" s="119"/>
      <c r="N498" s="119"/>
      <c r="O498" s="119"/>
      <c r="P498" s="119"/>
      <c r="Q498" s="119"/>
      <c r="R498" s="512"/>
      <c r="S498" s="119"/>
      <c r="T498" s="119"/>
      <c r="U498" s="119"/>
      <c r="V498" s="119"/>
      <c r="W498" s="131">
        <f>IF(NFI_Expiration=1,IF($A498&lt;VLOOKUP(I$5,NFI,5,0),1,0)*Data_NFI_t[[#This Row],[Hygiene Kit]],0)</f>
        <v>0</v>
      </c>
      <c r="X498" s="131">
        <f>IF(NFI_Expiration=1,IF($A498&lt;VLOOKUP(J$5,NFI,5,0),1,0)*Data_NFI_t[[#This Row],[NFI Core Kit]],0)</f>
        <v>0</v>
      </c>
      <c r="Y498" s="112">
        <f>IF(NFI_Expiration=1,IF($A498&lt;VLOOKUP(K$5,NFI,5,0),1,0)*Data_NFI_t[[#This Row],[Sanitary Kit]],0)</f>
        <v>0</v>
      </c>
      <c r="Z498" s="112">
        <f>IF(NFI_Expiration=1,IF($A498&lt;VLOOKUP(L$5,NFI,5,0),1,0)*Data_NFI_t[[#This Row],[Mosquito net]],0)</f>
        <v>0</v>
      </c>
      <c r="AA498" s="112">
        <f>IF(NFI_Expiration=1,IF($A498&lt;VLOOKUP(M$5,NFI,5,0),1,0)*Data_NFI_t[[#This Row],[Tarpaulin]],0)</f>
        <v>0</v>
      </c>
      <c r="AB498" s="112">
        <f>IF(NFI_Expiration=1,IF($A498&lt;VLOOKUP(N$5,NFI,5,0),1,0)*Data_NFI_t[[#This Row],[Blanket]],0)</f>
        <v>0</v>
      </c>
      <c r="AC498" s="112">
        <f>IF(NFI_Expiration=1,IF($A498&lt;VLOOKUP(O$5,NFI,5,0),1,0)*Data_NFI_t[[#This Row],[Kitchen Set]],0)</f>
        <v>0</v>
      </c>
      <c r="AD498" s="112">
        <f>IF(NFI_Expiration=1,IF($A498&lt;VLOOKUP(P$5,NFI,5,0),1,0)*Data_NFI_t[[#This Row],[Complementary Kit]],0)</f>
        <v>0</v>
      </c>
      <c r="AE498" s="112">
        <f>IF(NFI_Expiration=1,IF($A498&lt;VLOOKUP(Q$5,NFI,5,0),1,0)*Data_NFI_t[[#This Row],[Plastic Bucket]],0)</f>
        <v>0</v>
      </c>
      <c r="AF498" s="131">
        <f>IF(NFI_Expiration=1,IF($A498&lt;VLOOKUP(R$5,NFI,5,0),1,0)*Data_NFI_t[[#This Row],[Jerry Can]],0)</f>
        <v>0</v>
      </c>
      <c r="AG498" s="131">
        <f>IF(NFI_Expiration=1,IF($A498&lt;VLOOKUP(S$5,NFI,5,0),1,0)*Data_NFI_t[[#This Row],[Plastic Mat]],0)*IF(Data_NFI_t[[#This Row],[Distribution Date]]&gt;"01-06-2015",1,2.5)</f>
        <v>0</v>
      </c>
      <c r="AH498" s="915">
        <f>IF(NFI_Expiration=1,IF($A498&lt;VLOOKUP(T$5,NFI,5,0),1,0)*Data_NFI_t[[#This Row],[Adult Clothes]],0)</f>
        <v>0</v>
      </c>
      <c r="AI498" s="131">
        <f>IF(NFI_Expiration=1,IF($A498&lt;VLOOKUP(U$5,NFI,5,0),1,0)*Data_NFI_t[[#This Row],[Children Clothes]],0)</f>
        <v>0</v>
      </c>
      <c r="AJ498" s="131">
        <f>IF(NFI_Expiration=1,IF($A498&lt;VLOOKUP(V$5,NFI,5,0),1,0)*Data_NFI_t[[#This Row],[Sewing Kit]],0)</f>
        <v>0</v>
      </c>
      <c r="AK498" s="131" t="str">
        <f ca="1">IFERROR(OFFSET(Camp_List[P_Code],MATCH(Data_NFI_t[[#This Row],[Camp Name]],Camp_List[Camp Name],0)-1,0,1,1),"")</f>
        <v/>
      </c>
      <c r="AL498" s="513" t="str">
        <f ca="1">IFERROR(OFFSET(Camp_List[Status],MATCH(Data_NFI_t[[#This Row],[Camp Name]],Camp_List[Camp Name],0)-1,0,1,1),"")</f>
        <v/>
      </c>
      <c r="AM498" s="131"/>
    </row>
    <row r="499" spans="1:39" s="793" customFormat="1" ht="19.5" customHeight="1" x14ac:dyDescent="0.25">
      <c r="A499" s="242" t="str">
        <f>IF(ISBLANK(C499),"",(Report_Date-C499)/30)</f>
        <v/>
      </c>
      <c r="B499" s="522">
        <f>YEAR(Data_NFI_t[[#This Row],[Distribution Date]])</f>
        <v>1900</v>
      </c>
      <c r="C499" s="927"/>
      <c r="D499" s="489"/>
      <c r="E499" s="488"/>
      <c r="F499" s="489"/>
      <c r="G499" s="794"/>
      <c r="H499" s="794"/>
      <c r="I499" s="794"/>
      <c r="J499" s="51"/>
      <c r="K499" s="51"/>
      <c r="L499" s="119"/>
      <c r="M499" s="119"/>
      <c r="N499" s="119"/>
      <c r="O499" s="119"/>
      <c r="P499" s="119"/>
      <c r="Q499" s="119"/>
      <c r="R499" s="512"/>
      <c r="S499" s="119"/>
      <c r="T499" s="119"/>
      <c r="U499" s="119"/>
      <c r="V499" s="119"/>
      <c r="W499" s="131">
        <f>IF(NFI_Expiration=1,IF($A499&lt;VLOOKUP(I$5,NFI,5,0),1,0)*Data_NFI_t[[#This Row],[Hygiene Kit]],0)</f>
        <v>0</v>
      </c>
      <c r="X499" s="131">
        <f>IF(NFI_Expiration=1,IF($A499&lt;VLOOKUP(J$5,NFI,5,0),1,0)*Data_NFI_t[[#This Row],[NFI Core Kit]],0)</f>
        <v>0</v>
      </c>
      <c r="Y499" s="112">
        <f>IF(NFI_Expiration=1,IF($A499&lt;VLOOKUP(K$5,NFI,5,0),1,0)*Data_NFI_t[[#This Row],[Sanitary Kit]],0)</f>
        <v>0</v>
      </c>
      <c r="Z499" s="112">
        <f>IF(NFI_Expiration=1,IF($A499&lt;VLOOKUP(L$5,NFI,5,0),1,0)*Data_NFI_t[[#This Row],[Mosquito net]],0)</f>
        <v>0</v>
      </c>
      <c r="AA499" s="112">
        <f>IF(NFI_Expiration=1,IF($A499&lt;VLOOKUP(M$5,NFI,5,0),1,0)*Data_NFI_t[[#This Row],[Tarpaulin]],0)</f>
        <v>0</v>
      </c>
      <c r="AB499" s="112">
        <f>IF(NFI_Expiration=1,IF($A499&lt;VLOOKUP(N$5,NFI,5,0),1,0)*Data_NFI_t[[#This Row],[Blanket]],0)</f>
        <v>0</v>
      </c>
      <c r="AC499" s="112">
        <f>IF(NFI_Expiration=1,IF($A499&lt;VLOOKUP(O$5,NFI,5,0),1,0)*Data_NFI_t[[#This Row],[Kitchen Set]],0)</f>
        <v>0</v>
      </c>
      <c r="AD499" s="112">
        <f>IF(NFI_Expiration=1,IF($A499&lt;VLOOKUP(P$5,NFI,5,0),1,0)*Data_NFI_t[[#This Row],[Complementary Kit]],0)</f>
        <v>0</v>
      </c>
      <c r="AE499" s="112">
        <f>IF(NFI_Expiration=1,IF($A499&lt;VLOOKUP(Q$5,NFI,5,0),1,0)*Data_NFI_t[[#This Row],[Plastic Bucket]],0)</f>
        <v>0</v>
      </c>
      <c r="AF499" s="131">
        <f>IF(NFI_Expiration=1,IF($A499&lt;VLOOKUP(R$5,NFI,5,0),1,0)*Data_NFI_t[[#This Row],[Jerry Can]],0)</f>
        <v>0</v>
      </c>
      <c r="AG499" s="131">
        <f>IF(NFI_Expiration=1,IF($A499&lt;VLOOKUP(S$5,NFI,5,0),1,0)*Data_NFI_t[[#This Row],[Plastic Mat]],0)*IF(Data_NFI_t[[#This Row],[Distribution Date]]&gt;"01-06-2015",1,2.5)</f>
        <v>0</v>
      </c>
      <c r="AH499" s="915">
        <f>IF(NFI_Expiration=1,IF($A499&lt;VLOOKUP(T$5,NFI,5,0),1,0)*Data_NFI_t[[#This Row],[Adult Clothes]],0)</f>
        <v>0</v>
      </c>
      <c r="AI499" s="131">
        <f>IF(NFI_Expiration=1,IF($A499&lt;VLOOKUP(U$5,NFI,5,0),1,0)*Data_NFI_t[[#This Row],[Children Clothes]],0)</f>
        <v>0</v>
      </c>
      <c r="AJ499" s="131">
        <f>IF(NFI_Expiration=1,IF($A499&lt;VLOOKUP(V$5,NFI,5,0),1,0)*Data_NFI_t[[#This Row],[Sewing Kit]],0)</f>
        <v>0</v>
      </c>
      <c r="AK499" s="131" t="str">
        <f ca="1">IFERROR(OFFSET(Camp_List[P_Code],MATCH(Data_NFI_t[[#This Row],[Camp Name]],Camp_List[Camp Name],0)-1,0,1,1),"")</f>
        <v/>
      </c>
      <c r="AL499" s="513" t="str">
        <f ca="1">IFERROR(OFFSET(Camp_List[Status],MATCH(Data_NFI_t[[#This Row],[Camp Name]],Camp_List[Camp Name],0)-1,0,1,1),"")</f>
        <v/>
      </c>
      <c r="AM499" s="131"/>
    </row>
    <row r="500" spans="1:39" s="793" customFormat="1" ht="19.5" customHeight="1" x14ac:dyDescent="0.25">
      <c r="A500" s="242" t="str">
        <f>IF(ISBLANK(C500),"",(Report_Date-C500)/30)</f>
        <v/>
      </c>
      <c r="B500" s="522">
        <f>YEAR(Data_NFI_t[[#This Row],[Distribution Date]])</f>
        <v>1900</v>
      </c>
      <c r="C500" s="927"/>
      <c r="D500" s="489"/>
      <c r="E500" s="488"/>
      <c r="F500" s="489"/>
      <c r="G500" s="794"/>
      <c r="H500" s="794"/>
      <c r="I500" s="794"/>
      <c r="J500" s="51"/>
      <c r="K500" s="51"/>
      <c r="L500" s="119"/>
      <c r="M500" s="119"/>
      <c r="N500" s="119"/>
      <c r="O500" s="119"/>
      <c r="P500" s="119"/>
      <c r="Q500" s="119"/>
      <c r="R500" s="512"/>
      <c r="S500" s="119"/>
      <c r="T500" s="119"/>
      <c r="U500" s="119"/>
      <c r="V500" s="119"/>
      <c r="W500" s="131">
        <f>IF(NFI_Expiration=1,IF($A500&lt;VLOOKUP(I$5,NFI,5,0),1,0)*Data_NFI_t[[#This Row],[Hygiene Kit]],0)</f>
        <v>0</v>
      </c>
      <c r="X500" s="131">
        <f>IF(NFI_Expiration=1,IF($A500&lt;VLOOKUP(J$5,NFI,5,0),1,0)*Data_NFI_t[[#This Row],[NFI Core Kit]],0)</f>
        <v>0</v>
      </c>
      <c r="Y500" s="112">
        <f>IF(NFI_Expiration=1,IF($A500&lt;VLOOKUP(K$5,NFI,5,0),1,0)*Data_NFI_t[[#This Row],[Sanitary Kit]],0)</f>
        <v>0</v>
      </c>
      <c r="Z500" s="112">
        <f>IF(NFI_Expiration=1,IF($A500&lt;VLOOKUP(L$5,NFI,5,0),1,0)*Data_NFI_t[[#This Row],[Mosquito net]],0)</f>
        <v>0</v>
      </c>
      <c r="AA500" s="112">
        <f>IF(NFI_Expiration=1,IF($A500&lt;VLOOKUP(M$5,NFI,5,0),1,0)*Data_NFI_t[[#This Row],[Tarpaulin]],0)</f>
        <v>0</v>
      </c>
      <c r="AB500" s="112">
        <f>IF(NFI_Expiration=1,IF($A500&lt;VLOOKUP(N$5,NFI,5,0),1,0)*Data_NFI_t[[#This Row],[Blanket]],0)</f>
        <v>0</v>
      </c>
      <c r="AC500" s="112">
        <f>IF(NFI_Expiration=1,IF($A500&lt;VLOOKUP(O$5,NFI,5,0),1,0)*Data_NFI_t[[#This Row],[Kitchen Set]],0)</f>
        <v>0</v>
      </c>
      <c r="AD500" s="112">
        <f>IF(NFI_Expiration=1,IF($A500&lt;VLOOKUP(P$5,NFI,5,0),1,0)*Data_NFI_t[[#This Row],[Complementary Kit]],0)</f>
        <v>0</v>
      </c>
      <c r="AE500" s="112">
        <f>IF(NFI_Expiration=1,IF($A500&lt;VLOOKUP(Q$5,NFI,5,0),1,0)*Data_NFI_t[[#This Row],[Plastic Bucket]],0)</f>
        <v>0</v>
      </c>
      <c r="AF500" s="131">
        <f>IF(NFI_Expiration=1,IF($A500&lt;VLOOKUP(R$5,NFI,5,0),1,0)*Data_NFI_t[[#This Row],[Jerry Can]],0)</f>
        <v>0</v>
      </c>
      <c r="AG500" s="131">
        <f>IF(NFI_Expiration=1,IF($A500&lt;VLOOKUP(S$5,NFI,5,0),1,0)*Data_NFI_t[[#This Row],[Plastic Mat]],0)*IF(Data_NFI_t[[#This Row],[Distribution Date]]&gt;"01-06-2015",1,2.5)</f>
        <v>0</v>
      </c>
      <c r="AH500" s="915">
        <f>IF(NFI_Expiration=1,IF($A500&lt;VLOOKUP(T$5,NFI,5,0),1,0)*Data_NFI_t[[#This Row],[Adult Clothes]],0)</f>
        <v>0</v>
      </c>
      <c r="AI500" s="131">
        <f>IF(NFI_Expiration=1,IF($A500&lt;VLOOKUP(U$5,NFI,5,0),1,0)*Data_NFI_t[[#This Row],[Children Clothes]],0)</f>
        <v>0</v>
      </c>
      <c r="AJ500" s="131">
        <f>IF(NFI_Expiration=1,IF($A500&lt;VLOOKUP(V$5,NFI,5,0),1,0)*Data_NFI_t[[#This Row],[Sewing Kit]],0)</f>
        <v>0</v>
      </c>
      <c r="AK500" s="131" t="str">
        <f ca="1">IFERROR(OFFSET(Camp_List[P_Code],MATCH(Data_NFI_t[[#This Row],[Camp Name]],Camp_List[Camp Name],0)-1,0,1,1),"")</f>
        <v/>
      </c>
      <c r="AL500" s="513" t="str">
        <f ca="1">IFERROR(OFFSET(Camp_List[Status],MATCH(Data_NFI_t[[#This Row],[Camp Name]],Camp_List[Camp Name],0)-1,0,1,1),"")</f>
        <v/>
      </c>
      <c r="AM500" s="131"/>
    </row>
    <row r="501" spans="1:39" s="793" customFormat="1" ht="19.5" customHeight="1" x14ac:dyDescent="0.25">
      <c r="A501" s="242" t="str">
        <f>IF(ISBLANK(C501),"",(Report_Date-C501)/30)</f>
        <v/>
      </c>
      <c r="B501" s="522">
        <f>YEAR(Data_NFI_t[[#This Row],[Distribution Date]])</f>
        <v>1900</v>
      </c>
      <c r="C501" s="927"/>
      <c r="D501" s="489"/>
      <c r="E501" s="488"/>
      <c r="F501" s="489"/>
      <c r="G501" s="794"/>
      <c r="H501" s="794"/>
      <c r="I501" s="794"/>
      <c r="J501" s="51"/>
      <c r="K501" s="51"/>
      <c r="L501" s="119"/>
      <c r="M501" s="119"/>
      <c r="N501" s="119"/>
      <c r="O501" s="119"/>
      <c r="P501" s="119"/>
      <c r="Q501" s="119"/>
      <c r="R501" s="512"/>
      <c r="S501" s="119"/>
      <c r="T501" s="119"/>
      <c r="U501" s="119"/>
      <c r="V501" s="119"/>
      <c r="W501" s="131">
        <f>IF(NFI_Expiration=1,IF($A501&lt;VLOOKUP(I$5,NFI,5,0),1,0)*Data_NFI_t[[#This Row],[Hygiene Kit]],0)</f>
        <v>0</v>
      </c>
      <c r="X501" s="131">
        <f>IF(NFI_Expiration=1,IF($A501&lt;VLOOKUP(J$5,NFI,5,0),1,0)*Data_NFI_t[[#This Row],[NFI Core Kit]],0)</f>
        <v>0</v>
      </c>
      <c r="Y501" s="112">
        <f>IF(NFI_Expiration=1,IF($A501&lt;VLOOKUP(K$5,NFI,5,0),1,0)*Data_NFI_t[[#This Row],[Sanitary Kit]],0)</f>
        <v>0</v>
      </c>
      <c r="Z501" s="112">
        <f>IF(NFI_Expiration=1,IF($A501&lt;VLOOKUP(L$5,NFI,5,0),1,0)*Data_NFI_t[[#This Row],[Mosquito net]],0)</f>
        <v>0</v>
      </c>
      <c r="AA501" s="112">
        <f>IF(NFI_Expiration=1,IF($A501&lt;VLOOKUP(M$5,NFI,5,0),1,0)*Data_NFI_t[[#This Row],[Tarpaulin]],0)</f>
        <v>0</v>
      </c>
      <c r="AB501" s="112">
        <f>IF(NFI_Expiration=1,IF($A501&lt;VLOOKUP(N$5,NFI,5,0),1,0)*Data_NFI_t[[#This Row],[Blanket]],0)</f>
        <v>0</v>
      </c>
      <c r="AC501" s="112">
        <f>IF(NFI_Expiration=1,IF($A501&lt;VLOOKUP(O$5,NFI,5,0),1,0)*Data_NFI_t[[#This Row],[Kitchen Set]],0)</f>
        <v>0</v>
      </c>
      <c r="AD501" s="112">
        <f>IF(NFI_Expiration=1,IF($A501&lt;VLOOKUP(P$5,NFI,5,0),1,0)*Data_NFI_t[[#This Row],[Complementary Kit]],0)</f>
        <v>0</v>
      </c>
      <c r="AE501" s="112">
        <f>IF(NFI_Expiration=1,IF($A501&lt;VLOOKUP(Q$5,NFI,5,0),1,0)*Data_NFI_t[[#This Row],[Plastic Bucket]],0)</f>
        <v>0</v>
      </c>
      <c r="AF501" s="131">
        <f>IF(NFI_Expiration=1,IF($A501&lt;VLOOKUP(R$5,NFI,5,0),1,0)*Data_NFI_t[[#This Row],[Jerry Can]],0)</f>
        <v>0</v>
      </c>
      <c r="AG501" s="131">
        <f>IF(NFI_Expiration=1,IF($A501&lt;VLOOKUP(S$5,NFI,5,0),1,0)*Data_NFI_t[[#This Row],[Plastic Mat]],0)*IF(Data_NFI_t[[#This Row],[Distribution Date]]&gt;"01-06-2015",1,2.5)</f>
        <v>0</v>
      </c>
      <c r="AH501" s="915">
        <f>IF(NFI_Expiration=1,IF($A501&lt;VLOOKUP(T$5,NFI,5,0),1,0)*Data_NFI_t[[#This Row],[Adult Clothes]],0)</f>
        <v>0</v>
      </c>
      <c r="AI501" s="131">
        <f>IF(NFI_Expiration=1,IF($A501&lt;VLOOKUP(U$5,NFI,5,0),1,0)*Data_NFI_t[[#This Row],[Children Clothes]],0)</f>
        <v>0</v>
      </c>
      <c r="AJ501" s="131">
        <f>IF(NFI_Expiration=1,IF($A501&lt;VLOOKUP(V$5,NFI,5,0),1,0)*Data_NFI_t[[#This Row],[Sewing Kit]],0)</f>
        <v>0</v>
      </c>
      <c r="AK501" s="131" t="str">
        <f ca="1">IFERROR(OFFSET(Camp_List[P_Code],MATCH(Data_NFI_t[[#This Row],[Camp Name]],Camp_List[Camp Name],0)-1,0,1,1),"")</f>
        <v/>
      </c>
      <c r="AL501" s="513" t="str">
        <f ca="1">IFERROR(OFFSET(Camp_List[Status],MATCH(Data_NFI_t[[#This Row],[Camp Name]],Camp_List[Camp Name],0)-1,0,1,1),"")</f>
        <v/>
      </c>
      <c r="AM501" s="131"/>
    </row>
    <row r="502" spans="1:39" s="793" customFormat="1" ht="19.5" customHeight="1" x14ac:dyDescent="0.25">
      <c r="A502" s="242" t="str">
        <f>IF(ISBLANK(C502),"",(Report_Date-C502)/30)</f>
        <v/>
      </c>
      <c r="B502" s="522">
        <f>YEAR(Data_NFI_t[[#This Row],[Distribution Date]])</f>
        <v>1900</v>
      </c>
      <c r="C502" s="927"/>
      <c r="D502" s="489"/>
      <c r="E502" s="488"/>
      <c r="F502" s="489"/>
      <c r="G502" s="794"/>
      <c r="H502" s="794"/>
      <c r="I502" s="794"/>
      <c r="J502" s="51"/>
      <c r="K502" s="51"/>
      <c r="L502" s="119"/>
      <c r="M502" s="119"/>
      <c r="N502" s="119"/>
      <c r="O502" s="119"/>
      <c r="P502" s="119"/>
      <c r="Q502" s="119"/>
      <c r="R502" s="512"/>
      <c r="S502" s="119"/>
      <c r="T502" s="119"/>
      <c r="U502" s="119"/>
      <c r="V502" s="119"/>
      <c r="W502" s="131">
        <f>IF(NFI_Expiration=1,IF($A502&lt;VLOOKUP(I$5,NFI,5,0),1,0)*Data_NFI_t[[#This Row],[Hygiene Kit]],0)</f>
        <v>0</v>
      </c>
      <c r="X502" s="131">
        <f>IF(NFI_Expiration=1,IF($A502&lt;VLOOKUP(J$5,NFI,5,0),1,0)*Data_NFI_t[[#This Row],[NFI Core Kit]],0)</f>
        <v>0</v>
      </c>
      <c r="Y502" s="112">
        <f>IF(NFI_Expiration=1,IF($A502&lt;VLOOKUP(K$5,NFI,5,0),1,0)*Data_NFI_t[[#This Row],[Sanitary Kit]],0)</f>
        <v>0</v>
      </c>
      <c r="Z502" s="112">
        <f>IF(NFI_Expiration=1,IF($A502&lt;VLOOKUP(L$5,NFI,5,0),1,0)*Data_NFI_t[[#This Row],[Mosquito net]],0)</f>
        <v>0</v>
      </c>
      <c r="AA502" s="112">
        <f>IF(NFI_Expiration=1,IF($A502&lt;VLOOKUP(M$5,NFI,5,0),1,0)*Data_NFI_t[[#This Row],[Tarpaulin]],0)</f>
        <v>0</v>
      </c>
      <c r="AB502" s="112">
        <f>IF(NFI_Expiration=1,IF($A502&lt;VLOOKUP(N$5,NFI,5,0),1,0)*Data_NFI_t[[#This Row],[Blanket]],0)</f>
        <v>0</v>
      </c>
      <c r="AC502" s="112">
        <f>IF(NFI_Expiration=1,IF($A502&lt;VLOOKUP(O$5,NFI,5,0),1,0)*Data_NFI_t[[#This Row],[Kitchen Set]],0)</f>
        <v>0</v>
      </c>
      <c r="AD502" s="112">
        <f>IF(NFI_Expiration=1,IF($A502&lt;VLOOKUP(P$5,NFI,5,0),1,0)*Data_NFI_t[[#This Row],[Complementary Kit]],0)</f>
        <v>0</v>
      </c>
      <c r="AE502" s="112">
        <f>IF(NFI_Expiration=1,IF($A502&lt;VLOOKUP(Q$5,NFI,5,0),1,0)*Data_NFI_t[[#This Row],[Plastic Bucket]],0)</f>
        <v>0</v>
      </c>
      <c r="AF502" s="131">
        <f>IF(NFI_Expiration=1,IF($A502&lt;VLOOKUP(R$5,NFI,5,0),1,0)*Data_NFI_t[[#This Row],[Jerry Can]],0)</f>
        <v>0</v>
      </c>
      <c r="AG502" s="131">
        <f>IF(NFI_Expiration=1,IF($A502&lt;VLOOKUP(S$5,NFI,5,0),1,0)*Data_NFI_t[[#This Row],[Plastic Mat]],0)*IF(Data_NFI_t[[#This Row],[Distribution Date]]&gt;"01-06-2015",1,2.5)</f>
        <v>0</v>
      </c>
      <c r="AH502" s="915">
        <f>IF(NFI_Expiration=1,IF($A502&lt;VLOOKUP(T$5,NFI,5,0),1,0)*Data_NFI_t[[#This Row],[Adult Clothes]],0)</f>
        <v>0</v>
      </c>
      <c r="AI502" s="131">
        <f>IF(NFI_Expiration=1,IF($A502&lt;VLOOKUP(U$5,NFI,5,0),1,0)*Data_NFI_t[[#This Row],[Children Clothes]],0)</f>
        <v>0</v>
      </c>
      <c r="AJ502" s="131">
        <f>IF(NFI_Expiration=1,IF($A502&lt;VLOOKUP(V$5,NFI,5,0),1,0)*Data_NFI_t[[#This Row],[Sewing Kit]],0)</f>
        <v>0</v>
      </c>
      <c r="AK502" s="131" t="str">
        <f ca="1">IFERROR(OFFSET(Camp_List[P_Code],MATCH(Data_NFI_t[[#This Row],[Camp Name]],Camp_List[Camp Name],0)-1,0,1,1),"")</f>
        <v/>
      </c>
      <c r="AL502" s="513" t="str">
        <f ca="1">IFERROR(OFFSET(Camp_List[Status],MATCH(Data_NFI_t[[#This Row],[Camp Name]],Camp_List[Camp Name],0)-1,0,1,1),"")</f>
        <v/>
      </c>
      <c r="AM502" s="131"/>
    </row>
    <row r="503" spans="1:39" s="793" customFormat="1" ht="19.5" customHeight="1" x14ac:dyDescent="0.25">
      <c r="A503" s="242" t="str">
        <f>IF(ISBLANK(C503),"",(Report_Date-C503)/30)</f>
        <v/>
      </c>
      <c r="B503" s="522">
        <f>YEAR(Data_NFI_t[[#This Row],[Distribution Date]])</f>
        <v>1900</v>
      </c>
      <c r="C503" s="927"/>
      <c r="D503" s="489"/>
      <c r="E503" s="488"/>
      <c r="F503" s="489"/>
      <c r="G503" s="794"/>
      <c r="H503" s="794"/>
      <c r="I503" s="794"/>
      <c r="J503" s="51"/>
      <c r="K503" s="51"/>
      <c r="L503" s="119"/>
      <c r="M503" s="119"/>
      <c r="N503" s="119"/>
      <c r="O503" s="119"/>
      <c r="P503" s="119"/>
      <c r="Q503" s="119"/>
      <c r="R503" s="512"/>
      <c r="S503" s="119"/>
      <c r="T503" s="119"/>
      <c r="U503" s="119"/>
      <c r="V503" s="119"/>
      <c r="W503" s="131">
        <f>IF(NFI_Expiration=1,IF($A503&lt;VLOOKUP(I$5,NFI,5,0),1,0)*Data_NFI_t[[#This Row],[Hygiene Kit]],0)</f>
        <v>0</v>
      </c>
      <c r="X503" s="131">
        <f>IF(NFI_Expiration=1,IF($A503&lt;VLOOKUP(J$5,NFI,5,0),1,0)*Data_NFI_t[[#This Row],[NFI Core Kit]],0)</f>
        <v>0</v>
      </c>
      <c r="Y503" s="112">
        <f>IF(NFI_Expiration=1,IF($A503&lt;VLOOKUP(K$5,NFI,5,0),1,0)*Data_NFI_t[[#This Row],[Sanitary Kit]],0)</f>
        <v>0</v>
      </c>
      <c r="Z503" s="112">
        <f>IF(NFI_Expiration=1,IF($A503&lt;VLOOKUP(L$5,NFI,5,0),1,0)*Data_NFI_t[[#This Row],[Mosquito net]],0)</f>
        <v>0</v>
      </c>
      <c r="AA503" s="112">
        <f>IF(NFI_Expiration=1,IF($A503&lt;VLOOKUP(M$5,NFI,5,0),1,0)*Data_NFI_t[[#This Row],[Tarpaulin]],0)</f>
        <v>0</v>
      </c>
      <c r="AB503" s="112">
        <f>IF(NFI_Expiration=1,IF($A503&lt;VLOOKUP(N$5,NFI,5,0),1,0)*Data_NFI_t[[#This Row],[Blanket]],0)</f>
        <v>0</v>
      </c>
      <c r="AC503" s="112">
        <f>IF(NFI_Expiration=1,IF($A503&lt;VLOOKUP(O$5,NFI,5,0),1,0)*Data_NFI_t[[#This Row],[Kitchen Set]],0)</f>
        <v>0</v>
      </c>
      <c r="AD503" s="112">
        <f>IF(NFI_Expiration=1,IF($A503&lt;VLOOKUP(P$5,NFI,5,0),1,0)*Data_NFI_t[[#This Row],[Complementary Kit]],0)</f>
        <v>0</v>
      </c>
      <c r="AE503" s="112">
        <f>IF(NFI_Expiration=1,IF($A503&lt;VLOOKUP(Q$5,NFI,5,0),1,0)*Data_NFI_t[[#This Row],[Plastic Bucket]],0)</f>
        <v>0</v>
      </c>
      <c r="AF503" s="131">
        <f>IF(NFI_Expiration=1,IF($A503&lt;VLOOKUP(R$5,NFI,5,0),1,0)*Data_NFI_t[[#This Row],[Jerry Can]],0)</f>
        <v>0</v>
      </c>
      <c r="AG503" s="131">
        <f>IF(NFI_Expiration=1,IF($A503&lt;VLOOKUP(S$5,NFI,5,0),1,0)*Data_NFI_t[[#This Row],[Plastic Mat]],0)*IF(Data_NFI_t[[#This Row],[Distribution Date]]&gt;"01-06-2015",1,2.5)</f>
        <v>0</v>
      </c>
      <c r="AH503" s="915">
        <f>IF(NFI_Expiration=1,IF($A503&lt;VLOOKUP(T$5,NFI,5,0),1,0)*Data_NFI_t[[#This Row],[Adult Clothes]],0)</f>
        <v>0</v>
      </c>
      <c r="AI503" s="131">
        <f>IF(NFI_Expiration=1,IF($A503&lt;VLOOKUP(U$5,NFI,5,0),1,0)*Data_NFI_t[[#This Row],[Children Clothes]],0)</f>
        <v>0</v>
      </c>
      <c r="AJ503" s="131">
        <f>IF(NFI_Expiration=1,IF($A503&lt;VLOOKUP(V$5,NFI,5,0),1,0)*Data_NFI_t[[#This Row],[Sewing Kit]],0)</f>
        <v>0</v>
      </c>
      <c r="AK503" s="131" t="str">
        <f ca="1">IFERROR(OFFSET(Camp_List[P_Code],MATCH(Data_NFI_t[[#This Row],[Camp Name]],Camp_List[Camp Name],0)-1,0,1,1),"")</f>
        <v/>
      </c>
      <c r="AL503" s="513" t="str">
        <f ca="1">IFERROR(OFFSET(Camp_List[Status],MATCH(Data_NFI_t[[#This Row],[Camp Name]],Camp_List[Camp Name],0)-1,0,1,1),"")</f>
        <v/>
      </c>
      <c r="AM503" s="131"/>
    </row>
    <row r="504" spans="1:39" s="793" customFormat="1" ht="19.5" customHeight="1" x14ac:dyDescent="0.25">
      <c r="A504" s="242" t="str">
        <f>IF(ISBLANK(C504),"",(Report_Date-C504)/30)</f>
        <v/>
      </c>
      <c r="B504" s="522">
        <f>YEAR(Data_NFI_t[[#This Row],[Distribution Date]])</f>
        <v>1900</v>
      </c>
      <c r="C504" s="927"/>
      <c r="D504" s="489"/>
      <c r="E504" s="488"/>
      <c r="F504" s="489"/>
      <c r="G504" s="794"/>
      <c r="H504" s="794"/>
      <c r="I504" s="794"/>
      <c r="J504" s="51"/>
      <c r="K504" s="51"/>
      <c r="L504" s="119"/>
      <c r="M504" s="119"/>
      <c r="N504" s="119"/>
      <c r="O504" s="119"/>
      <c r="P504" s="119"/>
      <c r="Q504" s="119"/>
      <c r="R504" s="512"/>
      <c r="S504" s="119"/>
      <c r="T504" s="119"/>
      <c r="U504" s="119"/>
      <c r="V504" s="119"/>
      <c r="W504" s="131">
        <f>IF(NFI_Expiration=1,IF($A504&lt;VLOOKUP(I$5,NFI,5,0),1,0)*Data_NFI_t[[#This Row],[Hygiene Kit]],0)</f>
        <v>0</v>
      </c>
      <c r="X504" s="131">
        <f>IF(NFI_Expiration=1,IF($A504&lt;VLOOKUP(J$5,NFI,5,0),1,0)*Data_NFI_t[[#This Row],[NFI Core Kit]],0)</f>
        <v>0</v>
      </c>
      <c r="Y504" s="112">
        <f>IF(NFI_Expiration=1,IF($A504&lt;VLOOKUP(K$5,NFI,5,0),1,0)*Data_NFI_t[[#This Row],[Sanitary Kit]],0)</f>
        <v>0</v>
      </c>
      <c r="Z504" s="112">
        <f>IF(NFI_Expiration=1,IF($A504&lt;VLOOKUP(L$5,NFI,5,0),1,0)*Data_NFI_t[[#This Row],[Mosquito net]],0)</f>
        <v>0</v>
      </c>
      <c r="AA504" s="112">
        <f>IF(NFI_Expiration=1,IF($A504&lt;VLOOKUP(M$5,NFI,5,0),1,0)*Data_NFI_t[[#This Row],[Tarpaulin]],0)</f>
        <v>0</v>
      </c>
      <c r="AB504" s="112">
        <f>IF(NFI_Expiration=1,IF($A504&lt;VLOOKUP(N$5,NFI,5,0),1,0)*Data_NFI_t[[#This Row],[Blanket]],0)</f>
        <v>0</v>
      </c>
      <c r="AC504" s="112">
        <f>IF(NFI_Expiration=1,IF($A504&lt;VLOOKUP(O$5,NFI,5,0),1,0)*Data_NFI_t[[#This Row],[Kitchen Set]],0)</f>
        <v>0</v>
      </c>
      <c r="AD504" s="112">
        <f>IF(NFI_Expiration=1,IF($A504&lt;VLOOKUP(P$5,NFI,5,0),1,0)*Data_NFI_t[[#This Row],[Complementary Kit]],0)</f>
        <v>0</v>
      </c>
      <c r="AE504" s="112">
        <f>IF(NFI_Expiration=1,IF($A504&lt;VLOOKUP(Q$5,NFI,5,0),1,0)*Data_NFI_t[[#This Row],[Plastic Bucket]],0)</f>
        <v>0</v>
      </c>
      <c r="AF504" s="131">
        <f>IF(NFI_Expiration=1,IF($A504&lt;VLOOKUP(R$5,NFI,5,0),1,0)*Data_NFI_t[[#This Row],[Jerry Can]],0)</f>
        <v>0</v>
      </c>
      <c r="AG504" s="131">
        <f>IF(NFI_Expiration=1,IF($A504&lt;VLOOKUP(S$5,NFI,5,0),1,0)*Data_NFI_t[[#This Row],[Plastic Mat]],0)*IF(Data_NFI_t[[#This Row],[Distribution Date]]&gt;"01-06-2015",1,2.5)</f>
        <v>0</v>
      </c>
      <c r="AH504" s="915">
        <f>IF(NFI_Expiration=1,IF($A504&lt;VLOOKUP(T$5,NFI,5,0),1,0)*Data_NFI_t[[#This Row],[Adult Clothes]],0)</f>
        <v>0</v>
      </c>
      <c r="AI504" s="131">
        <f>IF(NFI_Expiration=1,IF($A504&lt;VLOOKUP(U$5,NFI,5,0),1,0)*Data_NFI_t[[#This Row],[Children Clothes]],0)</f>
        <v>0</v>
      </c>
      <c r="AJ504" s="131">
        <f>IF(NFI_Expiration=1,IF($A504&lt;VLOOKUP(V$5,NFI,5,0),1,0)*Data_NFI_t[[#This Row],[Sewing Kit]],0)</f>
        <v>0</v>
      </c>
      <c r="AK504" s="131" t="str">
        <f ca="1">IFERROR(OFFSET(Camp_List[P_Code],MATCH(Data_NFI_t[[#This Row],[Camp Name]],Camp_List[Camp Name],0)-1,0,1,1),"")</f>
        <v/>
      </c>
      <c r="AL504" s="513" t="str">
        <f ca="1">IFERROR(OFFSET(Camp_List[Status],MATCH(Data_NFI_t[[#This Row],[Camp Name]],Camp_List[Camp Name],0)-1,0,1,1),"")</f>
        <v/>
      </c>
      <c r="AM504" s="131"/>
    </row>
    <row r="505" spans="1:39" s="793" customFormat="1" ht="19.5" customHeight="1" x14ac:dyDescent="0.25">
      <c r="A505" s="242" t="str">
        <f>IF(ISBLANK(C505),"",(Report_Date-C505)/30)</f>
        <v/>
      </c>
      <c r="B505" s="522">
        <f>YEAR(Data_NFI_t[[#This Row],[Distribution Date]])</f>
        <v>1900</v>
      </c>
      <c r="C505" s="927"/>
      <c r="D505" s="489"/>
      <c r="E505" s="488"/>
      <c r="F505" s="489"/>
      <c r="G505" s="794"/>
      <c r="H505" s="794"/>
      <c r="I505" s="794"/>
      <c r="J505" s="51"/>
      <c r="K505" s="51"/>
      <c r="L505" s="119"/>
      <c r="M505" s="119"/>
      <c r="N505" s="119"/>
      <c r="O505" s="119"/>
      <c r="P505" s="119"/>
      <c r="Q505" s="119"/>
      <c r="R505" s="512"/>
      <c r="S505" s="119"/>
      <c r="T505" s="119"/>
      <c r="U505" s="119"/>
      <c r="V505" s="119"/>
      <c r="W505" s="131">
        <f>IF(NFI_Expiration=1,IF($A505&lt;VLOOKUP(I$5,NFI,5,0),1,0)*Data_NFI_t[[#This Row],[Hygiene Kit]],0)</f>
        <v>0</v>
      </c>
      <c r="X505" s="131">
        <f>IF(NFI_Expiration=1,IF($A505&lt;VLOOKUP(J$5,NFI,5,0),1,0)*Data_NFI_t[[#This Row],[NFI Core Kit]],0)</f>
        <v>0</v>
      </c>
      <c r="Y505" s="112">
        <f>IF(NFI_Expiration=1,IF($A505&lt;VLOOKUP(K$5,NFI,5,0),1,0)*Data_NFI_t[[#This Row],[Sanitary Kit]],0)</f>
        <v>0</v>
      </c>
      <c r="Z505" s="112">
        <f>IF(NFI_Expiration=1,IF($A505&lt;VLOOKUP(L$5,NFI,5,0),1,0)*Data_NFI_t[[#This Row],[Mosquito net]],0)</f>
        <v>0</v>
      </c>
      <c r="AA505" s="112">
        <f>IF(NFI_Expiration=1,IF($A505&lt;VLOOKUP(M$5,NFI,5,0),1,0)*Data_NFI_t[[#This Row],[Tarpaulin]],0)</f>
        <v>0</v>
      </c>
      <c r="AB505" s="112">
        <f>IF(NFI_Expiration=1,IF($A505&lt;VLOOKUP(N$5,NFI,5,0),1,0)*Data_NFI_t[[#This Row],[Blanket]],0)</f>
        <v>0</v>
      </c>
      <c r="AC505" s="112">
        <f>IF(NFI_Expiration=1,IF($A505&lt;VLOOKUP(O$5,NFI,5,0),1,0)*Data_NFI_t[[#This Row],[Kitchen Set]],0)</f>
        <v>0</v>
      </c>
      <c r="AD505" s="112">
        <f>IF(NFI_Expiration=1,IF($A505&lt;VLOOKUP(P$5,NFI,5,0),1,0)*Data_NFI_t[[#This Row],[Complementary Kit]],0)</f>
        <v>0</v>
      </c>
      <c r="AE505" s="112">
        <f>IF(NFI_Expiration=1,IF($A505&lt;VLOOKUP(Q$5,NFI,5,0),1,0)*Data_NFI_t[[#This Row],[Plastic Bucket]],0)</f>
        <v>0</v>
      </c>
      <c r="AF505" s="131">
        <f>IF(NFI_Expiration=1,IF($A505&lt;VLOOKUP(R$5,NFI,5,0),1,0)*Data_NFI_t[[#This Row],[Jerry Can]],0)</f>
        <v>0</v>
      </c>
      <c r="AG505" s="131">
        <f>IF(NFI_Expiration=1,IF($A505&lt;VLOOKUP(S$5,NFI,5,0),1,0)*Data_NFI_t[[#This Row],[Plastic Mat]],0)*IF(Data_NFI_t[[#This Row],[Distribution Date]]&gt;"01-06-2015",1,2.5)</f>
        <v>0</v>
      </c>
      <c r="AH505" s="915">
        <f>IF(NFI_Expiration=1,IF($A505&lt;VLOOKUP(T$5,NFI,5,0),1,0)*Data_NFI_t[[#This Row],[Adult Clothes]],0)</f>
        <v>0</v>
      </c>
      <c r="AI505" s="131">
        <f>IF(NFI_Expiration=1,IF($A505&lt;VLOOKUP(U$5,NFI,5,0),1,0)*Data_NFI_t[[#This Row],[Children Clothes]],0)</f>
        <v>0</v>
      </c>
      <c r="AJ505" s="131">
        <f>IF(NFI_Expiration=1,IF($A505&lt;VLOOKUP(V$5,NFI,5,0),1,0)*Data_NFI_t[[#This Row],[Sewing Kit]],0)</f>
        <v>0</v>
      </c>
      <c r="AK505" s="131" t="str">
        <f ca="1">IFERROR(OFFSET(Camp_List[P_Code],MATCH(Data_NFI_t[[#This Row],[Camp Name]],Camp_List[Camp Name],0)-1,0,1,1),"")</f>
        <v/>
      </c>
      <c r="AL505" s="513" t="str">
        <f ca="1">IFERROR(OFFSET(Camp_List[Status],MATCH(Data_NFI_t[[#This Row],[Camp Name]],Camp_List[Camp Name],0)-1,0,1,1),"")</f>
        <v/>
      </c>
      <c r="AM505" s="131"/>
    </row>
    <row r="506" spans="1:39" s="793" customFormat="1" ht="19.5" customHeight="1" x14ac:dyDescent="0.25">
      <c r="A506" s="242" t="str">
        <f>IF(ISBLANK(C506),"",(Report_Date-C506)/30)</f>
        <v/>
      </c>
      <c r="B506" s="522">
        <f>YEAR(Data_NFI_t[[#This Row],[Distribution Date]])</f>
        <v>1900</v>
      </c>
      <c r="C506" s="927"/>
      <c r="D506" s="489"/>
      <c r="E506" s="488"/>
      <c r="F506" s="489"/>
      <c r="G506" s="794"/>
      <c r="H506" s="794"/>
      <c r="I506" s="794"/>
      <c r="J506" s="51"/>
      <c r="K506" s="51"/>
      <c r="L506" s="119"/>
      <c r="M506" s="119"/>
      <c r="N506" s="119"/>
      <c r="O506" s="119"/>
      <c r="P506" s="119"/>
      <c r="Q506" s="119"/>
      <c r="R506" s="512"/>
      <c r="S506" s="119"/>
      <c r="T506" s="119"/>
      <c r="U506" s="119"/>
      <c r="V506" s="119"/>
      <c r="W506" s="131">
        <f>IF(NFI_Expiration=1,IF($A506&lt;VLOOKUP(I$5,NFI,5,0),1,0)*Data_NFI_t[[#This Row],[Hygiene Kit]],0)</f>
        <v>0</v>
      </c>
      <c r="X506" s="131">
        <f>IF(NFI_Expiration=1,IF($A506&lt;VLOOKUP(J$5,NFI,5,0),1,0)*Data_NFI_t[[#This Row],[NFI Core Kit]],0)</f>
        <v>0</v>
      </c>
      <c r="Y506" s="112">
        <f>IF(NFI_Expiration=1,IF($A506&lt;VLOOKUP(K$5,NFI,5,0),1,0)*Data_NFI_t[[#This Row],[Sanitary Kit]],0)</f>
        <v>0</v>
      </c>
      <c r="Z506" s="112">
        <f>IF(NFI_Expiration=1,IF($A506&lt;VLOOKUP(L$5,NFI,5,0),1,0)*Data_NFI_t[[#This Row],[Mosquito net]],0)</f>
        <v>0</v>
      </c>
      <c r="AA506" s="112">
        <f>IF(NFI_Expiration=1,IF($A506&lt;VLOOKUP(M$5,NFI,5,0),1,0)*Data_NFI_t[[#This Row],[Tarpaulin]],0)</f>
        <v>0</v>
      </c>
      <c r="AB506" s="112">
        <f>IF(NFI_Expiration=1,IF($A506&lt;VLOOKUP(N$5,NFI,5,0),1,0)*Data_NFI_t[[#This Row],[Blanket]],0)</f>
        <v>0</v>
      </c>
      <c r="AC506" s="112">
        <f>IF(NFI_Expiration=1,IF($A506&lt;VLOOKUP(O$5,NFI,5,0),1,0)*Data_NFI_t[[#This Row],[Kitchen Set]],0)</f>
        <v>0</v>
      </c>
      <c r="AD506" s="112">
        <f>IF(NFI_Expiration=1,IF($A506&lt;VLOOKUP(P$5,NFI,5,0),1,0)*Data_NFI_t[[#This Row],[Complementary Kit]],0)</f>
        <v>0</v>
      </c>
      <c r="AE506" s="112">
        <f>IF(NFI_Expiration=1,IF($A506&lt;VLOOKUP(Q$5,NFI,5,0),1,0)*Data_NFI_t[[#This Row],[Plastic Bucket]],0)</f>
        <v>0</v>
      </c>
      <c r="AF506" s="131">
        <f>IF(NFI_Expiration=1,IF($A506&lt;VLOOKUP(R$5,NFI,5,0),1,0)*Data_NFI_t[[#This Row],[Jerry Can]],0)</f>
        <v>0</v>
      </c>
      <c r="AG506" s="131">
        <f>IF(NFI_Expiration=1,IF($A506&lt;VLOOKUP(S$5,NFI,5,0),1,0)*Data_NFI_t[[#This Row],[Plastic Mat]],0)*IF(Data_NFI_t[[#This Row],[Distribution Date]]&gt;"01-06-2015",1,2.5)</f>
        <v>0</v>
      </c>
      <c r="AH506" s="915">
        <f>IF(NFI_Expiration=1,IF($A506&lt;VLOOKUP(T$5,NFI,5,0),1,0)*Data_NFI_t[[#This Row],[Adult Clothes]],0)</f>
        <v>0</v>
      </c>
      <c r="AI506" s="131">
        <f>IF(NFI_Expiration=1,IF($A506&lt;VLOOKUP(U$5,NFI,5,0),1,0)*Data_NFI_t[[#This Row],[Children Clothes]],0)</f>
        <v>0</v>
      </c>
      <c r="AJ506" s="131">
        <f>IF(NFI_Expiration=1,IF($A506&lt;VLOOKUP(V$5,NFI,5,0),1,0)*Data_NFI_t[[#This Row],[Sewing Kit]],0)</f>
        <v>0</v>
      </c>
      <c r="AK506" s="131" t="str">
        <f ca="1">IFERROR(OFFSET(Camp_List[P_Code],MATCH(Data_NFI_t[[#This Row],[Camp Name]],Camp_List[Camp Name],0)-1,0,1,1),"")</f>
        <v/>
      </c>
      <c r="AL506" s="513" t="str">
        <f ca="1">IFERROR(OFFSET(Camp_List[Status],MATCH(Data_NFI_t[[#This Row],[Camp Name]],Camp_List[Camp Name],0)-1,0,1,1),"")</f>
        <v/>
      </c>
      <c r="AM506" s="131"/>
    </row>
    <row r="507" spans="1:39" s="793" customFormat="1" ht="19.5" customHeight="1" x14ac:dyDescent="0.25">
      <c r="A507" s="242" t="str">
        <f>IF(ISBLANK(C507),"",(Report_Date-C507)/30)</f>
        <v/>
      </c>
      <c r="B507" s="522">
        <f>YEAR(Data_NFI_t[[#This Row],[Distribution Date]])</f>
        <v>1900</v>
      </c>
      <c r="C507" s="927"/>
      <c r="D507" s="489"/>
      <c r="E507" s="488"/>
      <c r="F507" s="489"/>
      <c r="G507" s="794"/>
      <c r="H507" s="794"/>
      <c r="I507" s="794"/>
      <c r="J507" s="51"/>
      <c r="K507" s="51"/>
      <c r="L507" s="119"/>
      <c r="M507" s="119"/>
      <c r="N507" s="119"/>
      <c r="O507" s="119"/>
      <c r="P507" s="119"/>
      <c r="Q507" s="119"/>
      <c r="R507" s="512"/>
      <c r="S507" s="119"/>
      <c r="T507" s="119"/>
      <c r="U507" s="119"/>
      <c r="V507" s="119"/>
      <c r="W507" s="131">
        <f>IF(NFI_Expiration=1,IF($A507&lt;VLOOKUP(I$5,NFI,5,0),1,0)*Data_NFI_t[[#This Row],[Hygiene Kit]],0)</f>
        <v>0</v>
      </c>
      <c r="X507" s="131">
        <f>IF(NFI_Expiration=1,IF($A507&lt;VLOOKUP(J$5,NFI,5,0),1,0)*Data_NFI_t[[#This Row],[NFI Core Kit]],0)</f>
        <v>0</v>
      </c>
      <c r="Y507" s="112">
        <f>IF(NFI_Expiration=1,IF($A507&lt;VLOOKUP(K$5,NFI,5,0),1,0)*Data_NFI_t[[#This Row],[Sanitary Kit]],0)</f>
        <v>0</v>
      </c>
      <c r="Z507" s="112">
        <f>IF(NFI_Expiration=1,IF($A507&lt;VLOOKUP(L$5,NFI,5,0),1,0)*Data_NFI_t[[#This Row],[Mosquito net]],0)</f>
        <v>0</v>
      </c>
      <c r="AA507" s="112">
        <f>IF(NFI_Expiration=1,IF($A507&lt;VLOOKUP(M$5,NFI,5,0),1,0)*Data_NFI_t[[#This Row],[Tarpaulin]],0)</f>
        <v>0</v>
      </c>
      <c r="AB507" s="112">
        <f>IF(NFI_Expiration=1,IF($A507&lt;VLOOKUP(N$5,NFI,5,0),1,0)*Data_NFI_t[[#This Row],[Blanket]],0)</f>
        <v>0</v>
      </c>
      <c r="AC507" s="112">
        <f>IF(NFI_Expiration=1,IF($A507&lt;VLOOKUP(O$5,NFI,5,0),1,0)*Data_NFI_t[[#This Row],[Kitchen Set]],0)</f>
        <v>0</v>
      </c>
      <c r="AD507" s="112">
        <f>IF(NFI_Expiration=1,IF($A507&lt;VLOOKUP(P$5,NFI,5,0),1,0)*Data_NFI_t[[#This Row],[Complementary Kit]],0)</f>
        <v>0</v>
      </c>
      <c r="AE507" s="112">
        <f>IF(NFI_Expiration=1,IF($A507&lt;VLOOKUP(Q$5,NFI,5,0),1,0)*Data_NFI_t[[#This Row],[Plastic Bucket]],0)</f>
        <v>0</v>
      </c>
      <c r="AF507" s="131">
        <f>IF(NFI_Expiration=1,IF($A507&lt;VLOOKUP(R$5,NFI,5,0),1,0)*Data_NFI_t[[#This Row],[Jerry Can]],0)</f>
        <v>0</v>
      </c>
      <c r="AG507" s="131">
        <f>IF(NFI_Expiration=1,IF($A507&lt;VLOOKUP(S$5,NFI,5,0),1,0)*Data_NFI_t[[#This Row],[Plastic Mat]],0)*IF(Data_NFI_t[[#This Row],[Distribution Date]]&gt;"01-06-2015",1,2.5)</f>
        <v>0</v>
      </c>
      <c r="AH507" s="915">
        <f>IF(NFI_Expiration=1,IF($A507&lt;VLOOKUP(T$5,NFI,5,0),1,0)*Data_NFI_t[[#This Row],[Adult Clothes]],0)</f>
        <v>0</v>
      </c>
      <c r="AI507" s="131">
        <f>IF(NFI_Expiration=1,IF($A507&lt;VLOOKUP(U$5,NFI,5,0),1,0)*Data_NFI_t[[#This Row],[Children Clothes]],0)</f>
        <v>0</v>
      </c>
      <c r="AJ507" s="131">
        <f>IF(NFI_Expiration=1,IF($A507&lt;VLOOKUP(V$5,NFI,5,0),1,0)*Data_NFI_t[[#This Row],[Sewing Kit]],0)</f>
        <v>0</v>
      </c>
      <c r="AK507" s="131" t="str">
        <f ca="1">IFERROR(OFFSET(Camp_List[P_Code],MATCH(Data_NFI_t[[#This Row],[Camp Name]],Camp_List[Camp Name],0)-1,0,1,1),"")</f>
        <v/>
      </c>
      <c r="AL507" s="513" t="str">
        <f ca="1">IFERROR(OFFSET(Camp_List[Status],MATCH(Data_NFI_t[[#This Row],[Camp Name]],Camp_List[Camp Name],0)-1,0,1,1),"")</f>
        <v/>
      </c>
      <c r="AM507" s="131"/>
    </row>
    <row r="508" spans="1:39" s="793" customFormat="1" ht="19.5" customHeight="1" x14ac:dyDescent="0.25">
      <c r="A508" s="242" t="str">
        <f>IF(ISBLANK(C508),"",(Report_Date-C508)/30)</f>
        <v/>
      </c>
      <c r="B508" s="522">
        <f>YEAR(Data_NFI_t[[#This Row],[Distribution Date]])</f>
        <v>1900</v>
      </c>
      <c r="C508" s="927"/>
      <c r="D508" s="489"/>
      <c r="E508" s="488"/>
      <c r="F508" s="489"/>
      <c r="G508" s="794"/>
      <c r="H508" s="794"/>
      <c r="I508" s="794"/>
      <c r="J508" s="51"/>
      <c r="K508" s="51"/>
      <c r="L508" s="119"/>
      <c r="M508" s="119"/>
      <c r="N508" s="119"/>
      <c r="O508" s="119"/>
      <c r="P508" s="119"/>
      <c r="Q508" s="119"/>
      <c r="R508" s="512"/>
      <c r="S508" s="119"/>
      <c r="T508" s="119"/>
      <c r="U508" s="119"/>
      <c r="V508" s="119"/>
      <c r="W508" s="131">
        <f>IF(NFI_Expiration=1,IF($A508&lt;VLOOKUP(I$5,NFI,5,0),1,0)*Data_NFI_t[[#This Row],[Hygiene Kit]],0)</f>
        <v>0</v>
      </c>
      <c r="X508" s="131">
        <f>IF(NFI_Expiration=1,IF($A508&lt;VLOOKUP(J$5,NFI,5,0),1,0)*Data_NFI_t[[#This Row],[NFI Core Kit]],0)</f>
        <v>0</v>
      </c>
      <c r="Y508" s="112">
        <f>IF(NFI_Expiration=1,IF($A508&lt;VLOOKUP(K$5,NFI,5,0),1,0)*Data_NFI_t[[#This Row],[Sanitary Kit]],0)</f>
        <v>0</v>
      </c>
      <c r="Z508" s="112">
        <f>IF(NFI_Expiration=1,IF($A508&lt;VLOOKUP(L$5,NFI,5,0),1,0)*Data_NFI_t[[#This Row],[Mosquito net]],0)</f>
        <v>0</v>
      </c>
      <c r="AA508" s="112">
        <f>IF(NFI_Expiration=1,IF($A508&lt;VLOOKUP(M$5,NFI,5,0),1,0)*Data_NFI_t[[#This Row],[Tarpaulin]],0)</f>
        <v>0</v>
      </c>
      <c r="AB508" s="112">
        <f>IF(NFI_Expiration=1,IF($A508&lt;VLOOKUP(N$5,NFI,5,0),1,0)*Data_NFI_t[[#This Row],[Blanket]],0)</f>
        <v>0</v>
      </c>
      <c r="AC508" s="112">
        <f>IF(NFI_Expiration=1,IF($A508&lt;VLOOKUP(O$5,NFI,5,0),1,0)*Data_NFI_t[[#This Row],[Kitchen Set]],0)</f>
        <v>0</v>
      </c>
      <c r="AD508" s="112">
        <f>IF(NFI_Expiration=1,IF($A508&lt;VLOOKUP(P$5,NFI,5,0),1,0)*Data_NFI_t[[#This Row],[Complementary Kit]],0)</f>
        <v>0</v>
      </c>
      <c r="AE508" s="112">
        <f>IF(NFI_Expiration=1,IF($A508&lt;VLOOKUP(Q$5,NFI,5,0),1,0)*Data_NFI_t[[#This Row],[Plastic Bucket]],0)</f>
        <v>0</v>
      </c>
      <c r="AF508" s="131">
        <f>IF(NFI_Expiration=1,IF($A508&lt;VLOOKUP(R$5,NFI,5,0),1,0)*Data_NFI_t[[#This Row],[Jerry Can]],0)</f>
        <v>0</v>
      </c>
      <c r="AG508" s="131">
        <f>IF(NFI_Expiration=1,IF($A508&lt;VLOOKUP(S$5,NFI,5,0),1,0)*Data_NFI_t[[#This Row],[Plastic Mat]],0)*IF(Data_NFI_t[[#This Row],[Distribution Date]]&gt;"01-06-2015",1,2.5)</f>
        <v>0</v>
      </c>
      <c r="AH508" s="915">
        <f>IF(NFI_Expiration=1,IF($A508&lt;VLOOKUP(T$5,NFI,5,0),1,0)*Data_NFI_t[[#This Row],[Adult Clothes]],0)</f>
        <v>0</v>
      </c>
      <c r="AI508" s="131">
        <f>IF(NFI_Expiration=1,IF($A508&lt;VLOOKUP(U$5,NFI,5,0),1,0)*Data_NFI_t[[#This Row],[Children Clothes]],0)</f>
        <v>0</v>
      </c>
      <c r="AJ508" s="131">
        <f>IF(NFI_Expiration=1,IF($A508&lt;VLOOKUP(V$5,NFI,5,0),1,0)*Data_NFI_t[[#This Row],[Sewing Kit]],0)</f>
        <v>0</v>
      </c>
      <c r="AK508" s="131" t="str">
        <f ca="1">IFERROR(OFFSET(Camp_List[P_Code],MATCH(Data_NFI_t[[#This Row],[Camp Name]],Camp_List[Camp Name],0)-1,0,1,1),"")</f>
        <v/>
      </c>
      <c r="AL508" s="513" t="str">
        <f ca="1">IFERROR(OFFSET(Camp_List[Status],MATCH(Data_NFI_t[[#This Row],[Camp Name]],Camp_List[Camp Name],0)-1,0,1,1),"")</f>
        <v/>
      </c>
      <c r="AM508" s="131"/>
    </row>
    <row r="509" spans="1:39" s="793" customFormat="1" ht="19.5" customHeight="1" x14ac:dyDescent="0.25">
      <c r="A509" s="242" t="str">
        <f>IF(ISBLANK(C509),"",(Report_Date-C509)/30)</f>
        <v/>
      </c>
      <c r="B509" s="522">
        <f>YEAR(Data_NFI_t[[#This Row],[Distribution Date]])</f>
        <v>1900</v>
      </c>
      <c r="C509" s="927"/>
      <c r="D509" s="489"/>
      <c r="E509" s="488"/>
      <c r="F509" s="489"/>
      <c r="G509" s="794"/>
      <c r="H509" s="794"/>
      <c r="I509" s="794"/>
      <c r="J509" s="51"/>
      <c r="K509" s="51"/>
      <c r="L509" s="119"/>
      <c r="M509" s="119"/>
      <c r="N509" s="119"/>
      <c r="O509" s="119"/>
      <c r="P509" s="119"/>
      <c r="Q509" s="119"/>
      <c r="R509" s="512"/>
      <c r="S509" s="119"/>
      <c r="T509" s="119"/>
      <c r="U509" s="119"/>
      <c r="V509" s="119"/>
      <c r="W509" s="131">
        <f>IF(NFI_Expiration=1,IF($A509&lt;VLOOKUP(I$5,NFI,5,0),1,0)*Data_NFI_t[[#This Row],[Hygiene Kit]],0)</f>
        <v>0</v>
      </c>
      <c r="X509" s="131">
        <f>IF(NFI_Expiration=1,IF($A509&lt;VLOOKUP(J$5,NFI,5,0),1,0)*Data_NFI_t[[#This Row],[NFI Core Kit]],0)</f>
        <v>0</v>
      </c>
      <c r="Y509" s="112">
        <f>IF(NFI_Expiration=1,IF($A509&lt;VLOOKUP(K$5,NFI,5,0),1,0)*Data_NFI_t[[#This Row],[Sanitary Kit]],0)</f>
        <v>0</v>
      </c>
      <c r="Z509" s="112">
        <f>IF(NFI_Expiration=1,IF($A509&lt;VLOOKUP(L$5,NFI,5,0),1,0)*Data_NFI_t[[#This Row],[Mosquito net]],0)</f>
        <v>0</v>
      </c>
      <c r="AA509" s="112">
        <f>IF(NFI_Expiration=1,IF($A509&lt;VLOOKUP(M$5,NFI,5,0),1,0)*Data_NFI_t[[#This Row],[Tarpaulin]],0)</f>
        <v>0</v>
      </c>
      <c r="AB509" s="112">
        <f>IF(NFI_Expiration=1,IF($A509&lt;VLOOKUP(N$5,NFI,5,0),1,0)*Data_NFI_t[[#This Row],[Blanket]],0)</f>
        <v>0</v>
      </c>
      <c r="AC509" s="112">
        <f>IF(NFI_Expiration=1,IF($A509&lt;VLOOKUP(O$5,NFI,5,0),1,0)*Data_NFI_t[[#This Row],[Kitchen Set]],0)</f>
        <v>0</v>
      </c>
      <c r="AD509" s="112">
        <f>IF(NFI_Expiration=1,IF($A509&lt;VLOOKUP(P$5,NFI,5,0),1,0)*Data_NFI_t[[#This Row],[Complementary Kit]],0)</f>
        <v>0</v>
      </c>
      <c r="AE509" s="112">
        <f>IF(NFI_Expiration=1,IF($A509&lt;VLOOKUP(Q$5,NFI,5,0),1,0)*Data_NFI_t[[#This Row],[Plastic Bucket]],0)</f>
        <v>0</v>
      </c>
      <c r="AF509" s="131">
        <f>IF(NFI_Expiration=1,IF($A509&lt;VLOOKUP(R$5,NFI,5,0),1,0)*Data_NFI_t[[#This Row],[Jerry Can]],0)</f>
        <v>0</v>
      </c>
      <c r="AG509" s="131">
        <f>IF(NFI_Expiration=1,IF($A509&lt;VLOOKUP(S$5,NFI,5,0),1,0)*Data_NFI_t[[#This Row],[Plastic Mat]],0)*IF(Data_NFI_t[[#This Row],[Distribution Date]]&gt;"01-06-2015",1,2.5)</f>
        <v>0</v>
      </c>
      <c r="AH509" s="915">
        <f>IF(NFI_Expiration=1,IF($A509&lt;VLOOKUP(T$5,NFI,5,0),1,0)*Data_NFI_t[[#This Row],[Adult Clothes]],0)</f>
        <v>0</v>
      </c>
      <c r="AI509" s="131">
        <f>IF(NFI_Expiration=1,IF($A509&lt;VLOOKUP(U$5,NFI,5,0),1,0)*Data_NFI_t[[#This Row],[Children Clothes]],0)</f>
        <v>0</v>
      </c>
      <c r="AJ509" s="131">
        <f>IF(NFI_Expiration=1,IF($A509&lt;VLOOKUP(V$5,NFI,5,0),1,0)*Data_NFI_t[[#This Row],[Sewing Kit]],0)</f>
        <v>0</v>
      </c>
      <c r="AK509" s="131" t="str">
        <f ca="1">IFERROR(OFFSET(Camp_List[P_Code],MATCH(Data_NFI_t[[#This Row],[Camp Name]],Camp_List[Camp Name],0)-1,0,1,1),"")</f>
        <v/>
      </c>
      <c r="AL509" s="513" t="str">
        <f ca="1">IFERROR(OFFSET(Camp_List[Status],MATCH(Data_NFI_t[[#This Row],[Camp Name]],Camp_List[Camp Name],0)-1,0,1,1),"")</f>
        <v/>
      </c>
      <c r="AM509" s="131"/>
    </row>
    <row r="510" spans="1:39" s="793" customFormat="1" ht="19.5" customHeight="1" x14ac:dyDescent="0.25">
      <c r="A510" s="242" t="str">
        <f>IF(ISBLANK(C510),"",(Report_Date-C510)/30)</f>
        <v/>
      </c>
      <c r="B510" s="522">
        <f>YEAR(Data_NFI_t[[#This Row],[Distribution Date]])</f>
        <v>1900</v>
      </c>
      <c r="C510" s="927"/>
      <c r="D510" s="489"/>
      <c r="E510" s="488"/>
      <c r="F510" s="489"/>
      <c r="G510" s="794"/>
      <c r="H510" s="794"/>
      <c r="I510" s="794"/>
      <c r="J510" s="51"/>
      <c r="K510" s="51"/>
      <c r="L510" s="119"/>
      <c r="M510" s="119"/>
      <c r="N510" s="119"/>
      <c r="O510" s="119"/>
      <c r="P510" s="119"/>
      <c r="Q510" s="119"/>
      <c r="R510" s="512"/>
      <c r="S510" s="119"/>
      <c r="T510" s="119"/>
      <c r="U510" s="119"/>
      <c r="V510" s="119"/>
      <c r="W510" s="131">
        <f>IF(NFI_Expiration=1,IF($A510&lt;VLOOKUP(I$5,NFI,5,0),1,0)*Data_NFI_t[[#This Row],[Hygiene Kit]],0)</f>
        <v>0</v>
      </c>
      <c r="X510" s="131">
        <f>IF(NFI_Expiration=1,IF($A510&lt;VLOOKUP(J$5,NFI,5,0),1,0)*Data_NFI_t[[#This Row],[NFI Core Kit]],0)</f>
        <v>0</v>
      </c>
      <c r="Y510" s="112">
        <f>IF(NFI_Expiration=1,IF($A510&lt;VLOOKUP(K$5,NFI,5,0),1,0)*Data_NFI_t[[#This Row],[Sanitary Kit]],0)</f>
        <v>0</v>
      </c>
      <c r="Z510" s="112">
        <f>IF(NFI_Expiration=1,IF($A510&lt;VLOOKUP(L$5,NFI,5,0),1,0)*Data_NFI_t[[#This Row],[Mosquito net]],0)</f>
        <v>0</v>
      </c>
      <c r="AA510" s="112">
        <f>IF(NFI_Expiration=1,IF($A510&lt;VLOOKUP(M$5,NFI,5,0),1,0)*Data_NFI_t[[#This Row],[Tarpaulin]],0)</f>
        <v>0</v>
      </c>
      <c r="AB510" s="112">
        <f>IF(NFI_Expiration=1,IF($A510&lt;VLOOKUP(N$5,NFI,5,0),1,0)*Data_NFI_t[[#This Row],[Blanket]],0)</f>
        <v>0</v>
      </c>
      <c r="AC510" s="112">
        <f>IF(NFI_Expiration=1,IF($A510&lt;VLOOKUP(O$5,NFI,5,0),1,0)*Data_NFI_t[[#This Row],[Kitchen Set]],0)</f>
        <v>0</v>
      </c>
      <c r="AD510" s="112">
        <f>IF(NFI_Expiration=1,IF($A510&lt;VLOOKUP(P$5,NFI,5,0),1,0)*Data_NFI_t[[#This Row],[Complementary Kit]],0)</f>
        <v>0</v>
      </c>
      <c r="AE510" s="112">
        <f>IF(NFI_Expiration=1,IF($A510&lt;VLOOKUP(Q$5,NFI,5,0),1,0)*Data_NFI_t[[#This Row],[Plastic Bucket]],0)</f>
        <v>0</v>
      </c>
      <c r="AF510" s="131">
        <f>IF(NFI_Expiration=1,IF($A510&lt;VLOOKUP(R$5,NFI,5,0),1,0)*Data_NFI_t[[#This Row],[Jerry Can]],0)</f>
        <v>0</v>
      </c>
      <c r="AG510" s="131">
        <f>IF(NFI_Expiration=1,IF($A510&lt;VLOOKUP(S$5,NFI,5,0),1,0)*Data_NFI_t[[#This Row],[Plastic Mat]],0)*IF(Data_NFI_t[[#This Row],[Distribution Date]]&gt;"01-06-2015",1,2.5)</f>
        <v>0</v>
      </c>
      <c r="AH510" s="915">
        <f>IF(NFI_Expiration=1,IF($A510&lt;VLOOKUP(T$5,NFI,5,0),1,0)*Data_NFI_t[[#This Row],[Adult Clothes]],0)</f>
        <v>0</v>
      </c>
      <c r="AI510" s="131">
        <f>IF(NFI_Expiration=1,IF($A510&lt;VLOOKUP(U$5,NFI,5,0),1,0)*Data_NFI_t[[#This Row],[Children Clothes]],0)</f>
        <v>0</v>
      </c>
      <c r="AJ510" s="131">
        <f>IF(NFI_Expiration=1,IF($A510&lt;VLOOKUP(V$5,NFI,5,0),1,0)*Data_NFI_t[[#This Row],[Sewing Kit]],0)</f>
        <v>0</v>
      </c>
      <c r="AK510" s="131" t="str">
        <f ca="1">IFERROR(OFFSET(Camp_List[P_Code],MATCH(Data_NFI_t[[#This Row],[Camp Name]],Camp_List[Camp Name],0)-1,0,1,1),"")</f>
        <v/>
      </c>
      <c r="AL510" s="513" t="str">
        <f ca="1">IFERROR(OFFSET(Camp_List[Status],MATCH(Data_NFI_t[[#This Row],[Camp Name]],Camp_List[Camp Name],0)-1,0,1,1),"")</f>
        <v/>
      </c>
      <c r="AM510" s="131"/>
    </row>
    <row r="511" spans="1:39" s="793" customFormat="1" ht="19.5" customHeight="1" x14ac:dyDescent="0.25">
      <c r="A511" s="242" t="str">
        <f>IF(ISBLANK(C511),"",(Report_Date-C511)/30)</f>
        <v/>
      </c>
      <c r="B511" s="522">
        <f>YEAR(Data_NFI_t[[#This Row],[Distribution Date]])</f>
        <v>1900</v>
      </c>
      <c r="C511" s="927"/>
      <c r="D511" s="489"/>
      <c r="E511" s="488"/>
      <c r="F511" s="489"/>
      <c r="G511" s="794"/>
      <c r="H511" s="794"/>
      <c r="I511" s="794"/>
      <c r="J511" s="51"/>
      <c r="K511" s="51"/>
      <c r="L511" s="119"/>
      <c r="M511" s="119"/>
      <c r="N511" s="119"/>
      <c r="O511" s="119"/>
      <c r="P511" s="119"/>
      <c r="Q511" s="119"/>
      <c r="R511" s="512"/>
      <c r="S511" s="119"/>
      <c r="T511" s="119"/>
      <c r="U511" s="119"/>
      <c r="V511" s="119"/>
      <c r="W511" s="131">
        <f>IF(NFI_Expiration=1,IF($A511&lt;VLOOKUP(I$5,NFI,5,0),1,0)*Data_NFI_t[[#This Row],[Hygiene Kit]],0)</f>
        <v>0</v>
      </c>
      <c r="X511" s="131">
        <f>IF(NFI_Expiration=1,IF($A511&lt;VLOOKUP(J$5,NFI,5,0),1,0)*Data_NFI_t[[#This Row],[NFI Core Kit]],0)</f>
        <v>0</v>
      </c>
      <c r="Y511" s="112">
        <f>IF(NFI_Expiration=1,IF($A511&lt;VLOOKUP(K$5,NFI,5,0),1,0)*Data_NFI_t[[#This Row],[Sanitary Kit]],0)</f>
        <v>0</v>
      </c>
      <c r="Z511" s="112">
        <f>IF(NFI_Expiration=1,IF($A511&lt;VLOOKUP(L$5,NFI,5,0),1,0)*Data_NFI_t[[#This Row],[Mosquito net]],0)</f>
        <v>0</v>
      </c>
      <c r="AA511" s="112">
        <f>IF(NFI_Expiration=1,IF($A511&lt;VLOOKUP(M$5,NFI,5,0),1,0)*Data_NFI_t[[#This Row],[Tarpaulin]],0)</f>
        <v>0</v>
      </c>
      <c r="AB511" s="112">
        <f>IF(NFI_Expiration=1,IF($A511&lt;VLOOKUP(N$5,NFI,5,0),1,0)*Data_NFI_t[[#This Row],[Blanket]],0)</f>
        <v>0</v>
      </c>
      <c r="AC511" s="112">
        <f>IF(NFI_Expiration=1,IF($A511&lt;VLOOKUP(O$5,NFI,5,0),1,0)*Data_NFI_t[[#This Row],[Kitchen Set]],0)</f>
        <v>0</v>
      </c>
      <c r="AD511" s="112">
        <f>IF(NFI_Expiration=1,IF($A511&lt;VLOOKUP(P$5,NFI,5,0),1,0)*Data_NFI_t[[#This Row],[Complementary Kit]],0)</f>
        <v>0</v>
      </c>
      <c r="AE511" s="112">
        <f>IF(NFI_Expiration=1,IF($A511&lt;VLOOKUP(Q$5,NFI,5,0),1,0)*Data_NFI_t[[#This Row],[Plastic Bucket]],0)</f>
        <v>0</v>
      </c>
      <c r="AF511" s="131">
        <f>IF(NFI_Expiration=1,IF($A511&lt;VLOOKUP(R$5,NFI,5,0),1,0)*Data_NFI_t[[#This Row],[Jerry Can]],0)</f>
        <v>0</v>
      </c>
      <c r="AG511" s="131">
        <f>IF(NFI_Expiration=1,IF($A511&lt;VLOOKUP(S$5,NFI,5,0),1,0)*Data_NFI_t[[#This Row],[Plastic Mat]],0)*IF(Data_NFI_t[[#This Row],[Distribution Date]]&gt;"01-06-2015",1,2.5)</f>
        <v>0</v>
      </c>
      <c r="AH511" s="915">
        <f>IF(NFI_Expiration=1,IF($A511&lt;VLOOKUP(T$5,NFI,5,0),1,0)*Data_NFI_t[[#This Row],[Adult Clothes]],0)</f>
        <v>0</v>
      </c>
      <c r="AI511" s="131">
        <f>IF(NFI_Expiration=1,IF($A511&lt;VLOOKUP(U$5,NFI,5,0),1,0)*Data_NFI_t[[#This Row],[Children Clothes]],0)</f>
        <v>0</v>
      </c>
      <c r="AJ511" s="131">
        <f>IF(NFI_Expiration=1,IF($A511&lt;VLOOKUP(V$5,NFI,5,0),1,0)*Data_NFI_t[[#This Row],[Sewing Kit]],0)</f>
        <v>0</v>
      </c>
      <c r="AK511" s="131" t="str">
        <f ca="1">IFERROR(OFFSET(Camp_List[P_Code],MATCH(Data_NFI_t[[#This Row],[Camp Name]],Camp_List[Camp Name],0)-1,0,1,1),"")</f>
        <v/>
      </c>
      <c r="AL511" s="513" t="str">
        <f ca="1">IFERROR(OFFSET(Camp_List[Status],MATCH(Data_NFI_t[[#This Row],[Camp Name]],Camp_List[Camp Name],0)-1,0,1,1),"")</f>
        <v/>
      </c>
      <c r="AM511" s="131"/>
    </row>
    <row r="512" spans="1:39" s="793" customFormat="1" ht="19.5" customHeight="1" x14ac:dyDescent="0.25">
      <c r="A512" s="242" t="str">
        <f>IF(ISBLANK(C512),"",(Report_Date-C512)/30)</f>
        <v/>
      </c>
      <c r="B512" s="522">
        <f>YEAR(Data_NFI_t[[#This Row],[Distribution Date]])</f>
        <v>1900</v>
      </c>
      <c r="C512" s="927"/>
      <c r="D512" s="489"/>
      <c r="E512" s="488"/>
      <c r="F512" s="489"/>
      <c r="G512" s="794"/>
      <c r="H512" s="794"/>
      <c r="I512" s="794"/>
      <c r="J512" s="51"/>
      <c r="K512" s="51"/>
      <c r="L512" s="119"/>
      <c r="M512" s="119"/>
      <c r="N512" s="119"/>
      <c r="O512" s="119"/>
      <c r="P512" s="119"/>
      <c r="Q512" s="119"/>
      <c r="R512" s="512"/>
      <c r="S512" s="119"/>
      <c r="T512" s="119"/>
      <c r="U512" s="119"/>
      <c r="V512" s="119"/>
      <c r="W512" s="131">
        <f>IF(NFI_Expiration=1,IF($A512&lt;VLOOKUP(I$5,NFI,5,0),1,0)*Data_NFI_t[[#This Row],[Hygiene Kit]],0)</f>
        <v>0</v>
      </c>
      <c r="X512" s="131">
        <f>IF(NFI_Expiration=1,IF($A512&lt;VLOOKUP(J$5,NFI,5,0),1,0)*Data_NFI_t[[#This Row],[NFI Core Kit]],0)</f>
        <v>0</v>
      </c>
      <c r="Y512" s="112">
        <f>IF(NFI_Expiration=1,IF($A512&lt;VLOOKUP(K$5,NFI,5,0),1,0)*Data_NFI_t[[#This Row],[Sanitary Kit]],0)</f>
        <v>0</v>
      </c>
      <c r="Z512" s="112">
        <f>IF(NFI_Expiration=1,IF($A512&lt;VLOOKUP(L$5,NFI,5,0),1,0)*Data_NFI_t[[#This Row],[Mosquito net]],0)</f>
        <v>0</v>
      </c>
      <c r="AA512" s="112">
        <f>IF(NFI_Expiration=1,IF($A512&lt;VLOOKUP(M$5,NFI,5,0),1,0)*Data_NFI_t[[#This Row],[Tarpaulin]],0)</f>
        <v>0</v>
      </c>
      <c r="AB512" s="112">
        <f>IF(NFI_Expiration=1,IF($A512&lt;VLOOKUP(N$5,NFI,5,0),1,0)*Data_NFI_t[[#This Row],[Blanket]],0)</f>
        <v>0</v>
      </c>
      <c r="AC512" s="112">
        <f>IF(NFI_Expiration=1,IF($A512&lt;VLOOKUP(O$5,NFI,5,0),1,0)*Data_NFI_t[[#This Row],[Kitchen Set]],0)</f>
        <v>0</v>
      </c>
      <c r="AD512" s="112">
        <f>IF(NFI_Expiration=1,IF($A512&lt;VLOOKUP(P$5,NFI,5,0),1,0)*Data_NFI_t[[#This Row],[Complementary Kit]],0)</f>
        <v>0</v>
      </c>
      <c r="AE512" s="112">
        <f>IF(NFI_Expiration=1,IF($A512&lt;VLOOKUP(Q$5,NFI,5,0),1,0)*Data_NFI_t[[#This Row],[Plastic Bucket]],0)</f>
        <v>0</v>
      </c>
      <c r="AF512" s="131">
        <f>IF(NFI_Expiration=1,IF($A512&lt;VLOOKUP(R$5,NFI,5,0),1,0)*Data_NFI_t[[#This Row],[Jerry Can]],0)</f>
        <v>0</v>
      </c>
      <c r="AG512" s="131">
        <f>IF(NFI_Expiration=1,IF($A512&lt;VLOOKUP(S$5,NFI,5,0),1,0)*Data_NFI_t[[#This Row],[Plastic Mat]],0)*IF(Data_NFI_t[[#This Row],[Distribution Date]]&gt;"01-06-2015",1,2.5)</f>
        <v>0</v>
      </c>
      <c r="AH512" s="915">
        <f>IF(NFI_Expiration=1,IF($A512&lt;VLOOKUP(T$5,NFI,5,0),1,0)*Data_NFI_t[[#This Row],[Adult Clothes]],0)</f>
        <v>0</v>
      </c>
      <c r="AI512" s="131">
        <f>IF(NFI_Expiration=1,IF($A512&lt;VLOOKUP(U$5,NFI,5,0),1,0)*Data_NFI_t[[#This Row],[Children Clothes]],0)</f>
        <v>0</v>
      </c>
      <c r="AJ512" s="131">
        <f>IF(NFI_Expiration=1,IF($A512&lt;VLOOKUP(V$5,NFI,5,0),1,0)*Data_NFI_t[[#This Row],[Sewing Kit]],0)</f>
        <v>0</v>
      </c>
      <c r="AK512" s="131" t="str">
        <f ca="1">IFERROR(OFFSET(Camp_List[P_Code],MATCH(Data_NFI_t[[#This Row],[Camp Name]],Camp_List[Camp Name],0)-1,0,1,1),"")</f>
        <v/>
      </c>
      <c r="AL512" s="513" t="str">
        <f ca="1">IFERROR(OFFSET(Camp_List[Status],MATCH(Data_NFI_t[[#This Row],[Camp Name]],Camp_List[Camp Name],0)-1,0,1,1),"")</f>
        <v/>
      </c>
      <c r="AM512" s="131"/>
    </row>
    <row r="513" spans="1:39" s="793" customFormat="1" ht="19.5" customHeight="1" x14ac:dyDescent="0.25">
      <c r="A513" s="242" t="str">
        <f>IF(ISBLANK(C513),"",(Report_Date-C513)/30)</f>
        <v/>
      </c>
      <c r="B513" s="522">
        <f>YEAR(Data_NFI_t[[#This Row],[Distribution Date]])</f>
        <v>1900</v>
      </c>
      <c r="C513" s="927"/>
      <c r="D513" s="489"/>
      <c r="E513" s="488"/>
      <c r="F513" s="489"/>
      <c r="G513" s="794"/>
      <c r="H513" s="794"/>
      <c r="I513" s="794"/>
      <c r="J513" s="51"/>
      <c r="K513" s="51"/>
      <c r="L513" s="119"/>
      <c r="M513" s="119"/>
      <c r="N513" s="119"/>
      <c r="O513" s="119"/>
      <c r="P513" s="119"/>
      <c r="Q513" s="119"/>
      <c r="R513" s="512"/>
      <c r="S513" s="119"/>
      <c r="T513" s="119"/>
      <c r="U513" s="119"/>
      <c r="V513" s="119"/>
      <c r="W513" s="131">
        <f>IF(NFI_Expiration=1,IF($A513&lt;VLOOKUP(I$5,NFI,5,0),1,0)*Data_NFI_t[[#This Row],[Hygiene Kit]],0)</f>
        <v>0</v>
      </c>
      <c r="X513" s="131">
        <f>IF(NFI_Expiration=1,IF($A513&lt;VLOOKUP(J$5,NFI,5,0),1,0)*Data_NFI_t[[#This Row],[NFI Core Kit]],0)</f>
        <v>0</v>
      </c>
      <c r="Y513" s="112">
        <f>IF(NFI_Expiration=1,IF($A513&lt;VLOOKUP(K$5,NFI,5,0),1,0)*Data_NFI_t[[#This Row],[Sanitary Kit]],0)</f>
        <v>0</v>
      </c>
      <c r="Z513" s="112">
        <f>IF(NFI_Expiration=1,IF($A513&lt;VLOOKUP(L$5,NFI,5,0),1,0)*Data_NFI_t[[#This Row],[Mosquito net]],0)</f>
        <v>0</v>
      </c>
      <c r="AA513" s="112">
        <f>IF(NFI_Expiration=1,IF($A513&lt;VLOOKUP(M$5,NFI,5,0),1,0)*Data_NFI_t[[#This Row],[Tarpaulin]],0)</f>
        <v>0</v>
      </c>
      <c r="AB513" s="112">
        <f>IF(NFI_Expiration=1,IF($A513&lt;VLOOKUP(N$5,NFI,5,0),1,0)*Data_NFI_t[[#This Row],[Blanket]],0)</f>
        <v>0</v>
      </c>
      <c r="AC513" s="112">
        <f>IF(NFI_Expiration=1,IF($A513&lt;VLOOKUP(O$5,NFI,5,0),1,0)*Data_NFI_t[[#This Row],[Kitchen Set]],0)</f>
        <v>0</v>
      </c>
      <c r="AD513" s="112">
        <f>IF(NFI_Expiration=1,IF($A513&lt;VLOOKUP(P$5,NFI,5,0),1,0)*Data_NFI_t[[#This Row],[Complementary Kit]],0)</f>
        <v>0</v>
      </c>
      <c r="AE513" s="112">
        <f>IF(NFI_Expiration=1,IF($A513&lt;VLOOKUP(Q$5,NFI,5,0),1,0)*Data_NFI_t[[#This Row],[Plastic Bucket]],0)</f>
        <v>0</v>
      </c>
      <c r="AF513" s="131">
        <f>IF(NFI_Expiration=1,IF($A513&lt;VLOOKUP(R$5,NFI,5,0),1,0)*Data_NFI_t[[#This Row],[Jerry Can]],0)</f>
        <v>0</v>
      </c>
      <c r="AG513" s="131">
        <f>IF(NFI_Expiration=1,IF($A513&lt;VLOOKUP(S$5,NFI,5,0),1,0)*Data_NFI_t[[#This Row],[Plastic Mat]],0)*IF(Data_NFI_t[[#This Row],[Distribution Date]]&gt;"01-06-2015",1,2.5)</f>
        <v>0</v>
      </c>
      <c r="AH513" s="915">
        <f>IF(NFI_Expiration=1,IF($A513&lt;VLOOKUP(T$5,NFI,5,0),1,0)*Data_NFI_t[[#This Row],[Adult Clothes]],0)</f>
        <v>0</v>
      </c>
      <c r="AI513" s="131">
        <f>IF(NFI_Expiration=1,IF($A513&lt;VLOOKUP(U$5,NFI,5,0),1,0)*Data_NFI_t[[#This Row],[Children Clothes]],0)</f>
        <v>0</v>
      </c>
      <c r="AJ513" s="131">
        <f>IF(NFI_Expiration=1,IF($A513&lt;VLOOKUP(V$5,NFI,5,0),1,0)*Data_NFI_t[[#This Row],[Sewing Kit]],0)</f>
        <v>0</v>
      </c>
      <c r="AK513" s="131" t="str">
        <f ca="1">IFERROR(OFFSET(Camp_List[P_Code],MATCH(Data_NFI_t[[#This Row],[Camp Name]],Camp_List[Camp Name],0)-1,0,1,1),"")</f>
        <v/>
      </c>
      <c r="AL513" s="513" t="str">
        <f ca="1">IFERROR(OFFSET(Camp_List[Status],MATCH(Data_NFI_t[[#This Row],[Camp Name]],Camp_List[Camp Name],0)-1,0,1,1),"")</f>
        <v/>
      </c>
      <c r="AM513" s="131"/>
    </row>
    <row r="514" spans="1:39" s="793" customFormat="1" ht="19.5" customHeight="1" x14ac:dyDescent="0.25">
      <c r="A514" s="242" t="str">
        <f>IF(ISBLANK(C514),"",(Report_Date-C514)/30)</f>
        <v/>
      </c>
      <c r="B514" s="522">
        <f>YEAR(Data_NFI_t[[#This Row],[Distribution Date]])</f>
        <v>1900</v>
      </c>
      <c r="C514" s="927"/>
      <c r="D514" s="489"/>
      <c r="E514" s="488"/>
      <c r="F514" s="489"/>
      <c r="G514" s="794"/>
      <c r="H514" s="794"/>
      <c r="I514" s="794"/>
      <c r="J514" s="51"/>
      <c r="K514" s="51"/>
      <c r="L514" s="119"/>
      <c r="M514" s="119"/>
      <c r="N514" s="119"/>
      <c r="O514" s="119"/>
      <c r="P514" s="119"/>
      <c r="Q514" s="119"/>
      <c r="R514" s="512"/>
      <c r="S514" s="119"/>
      <c r="T514" s="119"/>
      <c r="U514" s="119"/>
      <c r="V514" s="119"/>
      <c r="W514" s="131">
        <f>IF(NFI_Expiration=1,IF($A514&lt;VLOOKUP(I$5,NFI,5,0),1,0)*Data_NFI_t[[#This Row],[Hygiene Kit]],0)</f>
        <v>0</v>
      </c>
      <c r="X514" s="131">
        <f>IF(NFI_Expiration=1,IF($A514&lt;VLOOKUP(J$5,NFI,5,0),1,0)*Data_NFI_t[[#This Row],[NFI Core Kit]],0)</f>
        <v>0</v>
      </c>
      <c r="Y514" s="112">
        <f>IF(NFI_Expiration=1,IF($A514&lt;VLOOKUP(K$5,NFI,5,0),1,0)*Data_NFI_t[[#This Row],[Sanitary Kit]],0)</f>
        <v>0</v>
      </c>
      <c r="Z514" s="112">
        <f>IF(NFI_Expiration=1,IF($A514&lt;VLOOKUP(L$5,NFI,5,0),1,0)*Data_NFI_t[[#This Row],[Mosquito net]],0)</f>
        <v>0</v>
      </c>
      <c r="AA514" s="112">
        <f>IF(NFI_Expiration=1,IF($A514&lt;VLOOKUP(M$5,NFI,5,0),1,0)*Data_NFI_t[[#This Row],[Tarpaulin]],0)</f>
        <v>0</v>
      </c>
      <c r="AB514" s="112">
        <f>IF(NFI_Expiration=1,IF($A514&lt;VLOOKUP(N$5,NFI,5,0),1,0)*Data_NFI_t[[#This Row],[Blanket]],0)</f>
        <v>0</v>
      </c>
      <c r="AC514" s="112">
        <f>IF(NFI_Expiration=1,IF($A514&lt;VLOOKUP(O$5,NFI,5,0),1,0)*Data_NFI_t[[#This Row],[Kitchen Set]],0)</f>
        <v>0</v>
      </c>
      <c r="AD514" s="112">
        <f>IF(NFI_Expiration=1,IF($A514&lt;VLOOKUP(P$5,NFI,5,0),1,0)*Data_NFI_t[[#This Row],[Complementary Kit]],0)</f>
        <v>0</v>
      </c>
      <c r="AE514" s="112">
        <f>IF(NFI_Expiration=1,IF($A514&lt;VLOOKUP(Q$5,NFI,5,0),1,0)*Data_NFI_t[[#This Row],[Plastic Bucket]],0)</f>
        <v>0</v>
      </c>
      <c r="AF514" s="131">
        <f>IF(NFI_Expiration=1,IF($A514&lt;VLOOKUP(R$5,NFI,5,0),1,0)*Data_NFI_t[[#This Row],[Jerry Can]],0)</f>
        <v>0</v>
      </c>
      <c r="AG514" s="131">
        <f>IF(NFI_Expiration=1,IF($A514&lt;VLOOKUP(S$5,NFI,5,0),1,0)*Data_NFI_t[[#This Row],[Plastic Mat]],0)*IF(Data_NFI_t[[#This Row],[Distribution Date]]&gt;"01-06-2015",1,2.5)</f>
        <v>0</v>
      </c>
      <c r="AH514" s="915">
        <f>IF(NFI_Expiration=1,IF($A514&lt;VLOOKUP(T$5,NFI,5,0),1,0)*Data_NFI_t[[#This Row],[Adult Clothes]],0)</f>
        <v>0</v>
      </c>
      <c r="AI514" s="131">
        <f>IF(NFI_Expiration=1,IF($A514&lt;VLOOKUP(U$5,NFI,5,0),1,0)*Data_NFI_t[[#This Row],[Children Clothes]],0)</f>
        <v>0</v>
      </c>
      <c r="AJ514" s="131">
        <f>IF(NFI_Expiration=1,IF($A514&lt;VLOOKUP(V$5,NFI,5,0),1,0)*Data_NFI_t[[#This Row],[Sewing Kit]],0)</f>
        <v>0</v>
      </c>
      <c r="AK514" s="131" t="str">
        <f ca="1">IFERROR(OFFSET(Camp_List[P_Code],MATCH(Data_NFI_t[[#This Row],[Camp Name]],Camp_List[Camp Name],0)-1,0,1,1),"")</f>
        <v/>
      </c>
      <c r="AL514" s="513" t="str">
        <f ca="1">IFERROR(OFFSET(Camp_List[Status],MATCH(Data_NFI_t[[#This Row],[Camp Name]],Camp_List[Camp Name],0)-1,0,1,1),"")</f>
        <v/>
      </c>
      <c r="AM514" s="131"/>
    </row>
    <row r="515" spans="1:39" s="793" customFormat="1" ht="19.5" customHeight="1" x14ac:dyDescent="0.25">
      <c r="A515" s="242" t="str">
        <f>IF(ISBLANK(C515),"",(Report_Date-C515)/30)</f>
        <v/>
      </c>
      <c r="B515" s="522">
        <f>YEAR(Data_NFI_t[[#This Row],[Distribution Date]])</f>
        <v>1900</v>
      </c>
      <c r="C515" s="927"/>
      <c r="D515" s="489"/>
      <c r="E515" s="488"/>
      <c r="F515" s="489"/>
      <c r="G515" s="794"/>
      <c r="H515" s="794"/>
      <c r="I515" s="794"/>
      <c r="J515" s="51"/>
      <c r="K515" s="51"/>
      <c r="L515" s="119"/>
      <c r="M515" s="119"/>
      <c r="N515" s="119"/>
      <c r="O515" s="119"/>
      <c r="P515" s="119"/>
      <c r="Q515" s="119"/>
      <c r="R515" s="512"/>
      <c r="S515" s="119"/>
      <c r="T515" s="119"/>
      <c r="U515" s="119"/>
      <c r="V515" s="119"/>
      <c r="W515" s="131">
        <f>IF(NFI_Expiration=1,IF($A515&lt;VLOOKUP(I$5,NFI,5,0),1,0)*Data_NFI_t[[#This Row],[Hygiene Kit]],0)</f>
        <v>0</v>
      </c>
      <c r="X515" s="131">
        <f>IF(NFI_Expiration=1,IF($A515&lt;VLOOKUP(J$5,NFI,5,0),1,0)*Data_NFI_t[[#This Row],[NFI Core Kit]],0)</f>
        <v>0</v>
      </c>
      <c r="Y515" s="112">
        <f>IF(NFI_Expiration=1,IF($A515&lt;VLOOKUP(K$5,NFI,5,0),1,0)*Data_NFI_t[[#This Row],[Sanitary Kit]],0)</f>
        <v>0</v>
      </c>
      <c r="Z515" s="112">
        <f>IF(NFI_Expiration=1,IF($A515&lt;VLOOKUP(L$5,NFI,5,0),1,0)*Data_NFI_t[[#This Row],[Mosquito net]],0)</f>
        <v>0</v>
      </c>
      <c r="AA515" s="112">
        <f>IF(NFI_Expiration=1,IF($A515&lt;VLOOKUP(M$5,NFI,5,0),1,0)*Data_NFI_t[[#This Row],[Tarpaulin]],0)</f>
        <v>0</v>
      </c>
      <c r="AB515" s="112">
        <f>IF(NFI_Expiration=1,IF($A515&lt;VLOOKUP(N$5,NFI,5,0),1,0)*Data_NFI_t[[#This Row],[Blanket]],0)</f>
        <v>0</v>
      </c>
      <c r="AC515" s="112">
        <f>IF(NFI_Expiration=1,IF($A515&lt;VLOOKUP(O$5,NFI,5,0),1,0)*Data_NFI_t[[#This Row],[Kitchen Set]],0)</f>
        <v>0</v>
      </c>
      <c r="AD515" s="112">
        <f>IF(NFI_Expiration=1,IF($A515&lt;VLOOKUP(P$5,NFI,5,0),1,0)*Data_NFI_t[[#This Row],[Complementary Kit]],0)</f>
        <v>0</v>
      </c>
      <c r="AE515" s="112">
        <f>IF(NFI_Expiration=1,IF($A515&lt;VLOOKUP(Q$5,NFI,5,0),1,0)*Data_NFI_t[[#This Row],[Plastic Bucket]],0)</f>
        <v>0</v>
      </c>
      <c r="AF515" s="131">
        <f>IF(NFI_Expiration=1,IF($A515&lt;VLOOKUP(R$5,NFI,5,0),1,0)*Data_NFI_t[[#This Row],[Jerry Can]],0)</f>
        <v>0</v>
      </c>
      <c r="AG515" s="131">
        <f>IF(NFI_Expiration=1,IF($A515&lt;VLOOKUP(S$5,NFI,5,0),1,0)*Data_NFI_t[[#This Row],[Plastic Mat]],0)*IF(Data_NFI_t[[#This Row],[Distribution Date]]&gt;"01-06-2015",1,2.5)</f>
        <v>0</v>
      </c>
      <c r="AH515" s="915">
        <f>IF(NFI_Expiration=1,IF($A515&lt;VLOOKUP(T$5,NFI,5,0),1,0)*Data_NFI_t[[#This Row],[Adult Clothes]],0)</f>
        <v>0</v>
      </c>
      <c r="AI515" s="131">
        <f>IF(NFI_Expiration=1,IF($A515&lt;VLOOKUP(U$5,NFI,5,0),1,0)*Data_NFI_t[[#This Row],[Children Clothes]],0)</f>
        <v>0</v>
      </c>
      <c r="AJ515" s="131">
        <f>IF(NFI_Expiration=1,IF($A515&lt;VLOOKUP(V$5,NFI,5,0),1,0)*Data_NFI_t[[#This Row],[Sewing Kit]],0)</f>
        <v>0</v>
      </c>
      <c r="AK515" s="131" t="str">
        <f ca="1">IFERROR(OFFSET(Camp_List[P_Code],MATCH(Data_NFI_t[[#This Row],[Camp Name]],Camp_List[Camp Name],0)-1,0,1,1),"")</f>
        <v/>
      </c>
      <c r="AL515" s="513" t="str">
        <f ca="1">IFERROR(OFFSET(Camp_List[Status],MATCH(Data_NFI_t[[#This Row],[Camp Name]],Camp_List[Camp Name],0)-1,0,1,1),"")</f>
        <v/>
      </c>
      <c r="AM515" s="131"/>
    </row>
    <row r="516" spans="1:39" s="793" customFormat="1" ht="19.5" customHeight="1" x14ac:dyDescent="0.25">
      <c r="A516" s="242" t="str">
        <f>IF(ISBLANK(C516),"",(Report_Date-C516)/30)</f>
        <v/>
      </c>
      <c r="B516" s="522">
        <f>YEAR(Data_NFI_t[[#This Row],[Distribution Date]])</f>
        <v>1900</v>
      </c>
      <c r="C516" s="927"/>
      <c r="D516" s="489"/>
      <c r="E516" s="488"/>
      <c r="F516" s="489"/>
      <c r="G516" s="794"/>
      <c r="H516" s="794"/>
      <c r="I516" s="794"/>
      <c r="J516" s="51"/>
      <c r="K516" s="51"/>
      <c r="L516" s="119"/>
      <c r="M516" s="119"/>
      <c r="N516" s="119"/>
      <c r="O516" s="119"/>
      <c r="P516" s="119"/>
      <c r="Q516" s="119"/>
      <c r="R516" s="512"/>
      <c r="S516" s="119"/>
      <c r="T516" s="119"/>
      <c r="U516" s="119"/>
      <c r="V516" s="119"/>
      <c r="W516" s="131">
        <f>IF(NFI_Expiration=1,IF($A516&lt;VLOOKUP(I$5,NFI,5,0),1,0)*Data_NFI_t[[#This Row],[Hygiene Kit]],0)</f>
        <v>0</v>
      </c>
      <c r="X516" s="131">
        <f>IF(NFI_Expiration=1,IF($A516&lt;VLOOKUP(J$5,NFI,5,0),1,0)*Data_NFI_t[[#This Row],[NFI Core Kit]],0)</f>
        <v>0</v>
      </c>
      <c r="Y516" s="112">
        <f>IF(NFI_Expiration=1,IF($A516&lt;VLOOKUP(K$5,NFI,5,0),1,0)*Data_NFI_t[[#This Row],[Sanitary Kit]],0)</f>
        <v>0</v>
      </c>
      <c r="Z516" s="112">
        <f>IF(NFI_Expiration=1,IF($A516&lt;VLOOKUP(L$5,NFI,5,0),1,0)*Data_NFI_t[[#This Row],[Mosquito net]],0)</f>
        <v>0</v>
      </c>
      <c r="AA516" s="112">
        <f>IF(NFI_Expiration=1,IF($A516&lt;VLOOKUP(M$5,NFI,5,0),1,0)*Data_NFI_t[[#This Row],[Tarpaulin]],0)</f>
        <v>0</v>
      </c>
      <c r="AB516" s="112">
        <f>IF(NFI_Expiration=1,IF($A516&lt;VLOOKUP(N$5,NFI,5,0),1,0)*Data_NFI_t[[#This Row],[Blanket]],0)</f>
        <v>0</v>
      </c>
      <c r="AC516" s="112">
        <f>IF(NFI_Expiration=1,IF($A516&lt;VLOOKUP(O$5,NFI,5,0),1,0)*Data_NFI_t[[#This Row],[Kitchen Set]],0)</f>
        <v>0</v>
      </c>
      <c r="AD516" s="112">
        <f>IF(NFI_Expiration=1,IF($A516&lt;VLOOKUP(P$5,NFI,5,0),1,0)*Data_NFI_t[[#This Row],[Complementary Kit]],0)</f>
        <v>0</v>
      </c>
      <c r="AE516" s="112">
        <f>IF(NFI_Expiration=1,IF($A516&lt;VLOOKUP(Q$5,NFI,5,0),1,0)*Data_NFI_t[[#This Row],[Plastic Bucket]],0)</f>
        <v>0</v>
      </c>
      <c r="AF516" s="131">
        <f>IF(NFI_Expiration=1,IF($A516&lt;VLOOKUP(R$5,NFI,5,0),1,0)*Data_NFI_t[[#This Row],[Jerry Can]],0)</f>
        <v>0</v>
      </c>
      <c r="AG516" s="131">
        <f>IF(NFI_Expiration=1,IF($A516&lt;VLOOKUP(S$5,NFI,5,0),1,0)*Data_NFI_t[[#This Row],[Plastic Mat]],0)*IF(Data_NFI_t[[#This Row],[Distribution Date]]&gt;"01-06-2015",1,2.5)</f>
        <v>0</v>
      </c>
      <c r="AH516" s="915">
        <f>IF(NFI_Expiration=1,IF($A516&lt;VLOOKUP(T$5,NFI,5,0),1,0)*Data_NFI_t[[#This Row],[Adult Clothes]],0)</f>
        <v>0</v>
      </c>
      <c r="AI516" s="131">
        <f>IF(NFI_Expiration=1,IF($A516&lt;VLOOKUP(U$5,NFI,5,0),1,0)*Data_NFI_t[[#This Row],[Children Clothes]],0)</f>
        <v>0</v>
      </c>
      <c r="AJ516" s="131">
        <f>IF(NFI_Expiration=1,IF($A516&lt;VLOOKUP(V$5,NFI,5,0),1,0)*Data_NFI_t[[#This Row],[Sewing Kit]],0)</f>
        <v>0</v>
      </c>
      <c r="AK516" s="131" t="str">
        <f ca="1">IFERROR(OFFSET(Camp_List[P_Code],MATCH(Data_NFI_t[[#This Row],[Camp Name]],Camp_List[Camp Name],0)-1,0,1,1),"")</f>
        <v/>
      </c>
      <c r="AL516" s="513" t="str">
        <f ca="1">IFERROR(OFFSET(Camp_List[Status],MATCH(Data_NFI_t[[#This Row],[Camp Name]],Camp_List[Camp Name],0)-1,0,1,1),"")</f>
        <v/>
      </c>
      <c r="AM516" s="131"/>
    </row>
    <row r="517" spans="1:39" s="793" customFormat="1" ht="19.5" customHeight="1" x14ac:dyDescent="0.25">
      <c r="A517" s="242" t="str">
        <f>IF(ISBLANK(C517),"",(Report_Date-C517)/30)</f>
        <v/>
      </c>
      <c r="B517" s="522">
        <f>YEAR(Data_NFI_t[[#This Row],[Distribution Date]])</f>
        <v>1900</v>
      </c>
      <c r="C517" s="927"/>
      <c r="D517" s="489"/>
      <c r="E517" s="488"/>
      <c r="F517" s="489"/>
      <c r="G517" s="794"/>
      <c r="H517" s="794"/>
      <c r="I517" s="794"/>
      <c r="J517" s="51"/>
      <c r="K517" s="51"/>
      <c r="L517" s="119"/>
      <c r="M517" s="119"/>
      <c r="N517" s="119"/>
      <c r="O517" s="119"/>
      <c r="P517" s="119"/>
      <c r="Q517" s="119"/>
      <c r="R517" s="512"/>
      <c r="S517" s="119"/>
      <c r="T517" s="119"/>
      <c r="U517" s="119"/>
      <c r="V517" s="119"/>
      <c r="W517" s="131">
        <f>IF(NFI_Expiration=1,IF($A517&lt;VLOOKUP(I$5,NFI,5,0),1,0)*Data_NFI_t[[#This Row],[Hygiene Kit]],0)</f>
        <v>0</v>
      </c>
      <c r="X517" s="131">
        <f>IF(NFI_Expiration=1,IF($A517&lt;VLOOKUP(J$5,NFI,5,0),1,0)*Data_NFI_t[[#This Row],[NFI Core Kit]],0)</f>
        <v>0</v>
      </c>
      <c r="Y517" s="112">
        <f>IF(NFI_Expiration=1,IF($A517&lt;VLOOKUP(K$5,NFI,5,0),1,0)*Data_NFI_t[[#This Row],[Sanitary Kit]],0)</f>
        <v>0</v>
      </c>
      <c r="Z517" s="112">
        <f>IF(NFI_Expiration=1,IF($A517&lt;VLOOKUP(L$5,NFI,5,0),1,0)*Data_NFI_t[[#This Row],[Mosquito net]],0)</f>
        <v>0</v>
      </c>
      <c r="AA517" s="112">
        <f>IF(NFI_Expiration=1,IF($A517&lt;VLOOKUP(M$5,NFI,5,0),1,0)*Data_NFI_t[[#This Row],[Tarpaulin]],0)</f>
        <v>0</v>
      </c>
      <c r="AB517" s="112">
        <f>IF(NFI_Expiration=1,IF($A517&lt;VLOOKUP(N$5,NFI,5,0),1,0)*Data_NFI_t[[#This Row],[Blanket]],0)</f>
        <v>0</v>
      </c>
      <c r="AC517" s="112">
        <f>IF(NFI_Expiration=1,IF($A517&lt;VLOOKUP(O$5,NFI,5,0),1,0)*Data_NFI_t[[#This Row],[Kitchen Set]],0)</f>
        <v>0</v>
      </c>
      <c r="AD517" s="112">
        <f>IF(NFI_Expiration=1,IF($A517&lt;VLOOKUP(P$5,NFI,5,0),1,0)*Data_NFI_t[[#This Row],[Complementary Kit]],0)</f>
        <v>0</v>
      </c>
      <c r="AE517" s="112">
        <f>IF(NFI_Expiration=1,IF($A517&lt;VLOOKUP(Q$5,NFI,5,0),1,0)*Data_NFI_t[[#This Row],[Plastic Bucket]],0)</f>
        <v>0</v>
      </c>
      <c r="AF517" s="131">
        <f>IF(NFI_Expiration=1,IF($A517&lt;VLOOKUP(R$5,NFI,5,0),1,0)*Data_NFI_t[[#This Row],[Jerry Can]],0)</f>
        <v>0</v>
      </c>
      <c r="AG517" s="131">
        <f>IF(NFI_Expiration=1,IF($A517&lt;VLOOKUP(S$5,NFI,5,0),1,0)*Data_NFI_t[[#This Row],[Plastic Mat]],0)*IF(Data_NFI_t[[#This Row],[Distribution Date]]&gt;"01-06-2015",1,2.5)</f>
        <v>0</v>
      </c>
      <c r="AH517" s="915">
        <f>IF(NFI_Expiration=1,IF($A517&lt;VLOOKUP(T$5,NFI,5,0),1,0)*Data_NFI_t[[#This Row],[Adult Clothes]],0)</f>
        <v>0</v>
      </c>
      <c r="AI517" s="131">
        <f>IF(NFI_Expiration=1,IF($A517&lt;VLOOKUP(U$5,NFI,5,0),1,0)*Data_NFI_t[[#This Row],[Children Clothes]],0)</f>
        <v>0</v>
      </c>
      <c r="AJ517" s="131">
        <f>IF(NFI_Expiration=1,IF($A517&lt;VLOOKUP(V$5,NFI,5,0),1,0)*Data_NFI_t[[#This Row],[Sewing Kit]],0)</f>
        <v>0</v>
      </c>
      <c r="AK517" s="131" t="str">
        <f ca="1">IFERROR(OFFSET(Camp_List[P_Code],MATCH(Data_NFI_t[[#This Row],[Camp Name]],Camp_List[Camp Name],0)-1,0,1,1),"")</f>
        <v/>
      </c>
      <c r="AL517" s="513" t="str">
        <f ca="1">IFERROR(OFFSET(Camp_List[Status],MATCH(Data_NFI_t[[#This Row],[Camp Name]],Camp_List[Camp Name],0)-1,0,1,1),"")</f>
        <v/>
      </c>
      <c r="AM517" s="131"/>
    </row>
    <row r="518" spans="1:39" s="793" customFormat="1" ht="19.5" customHeight="1" x14ac:dyDescent="0.25">
      <c r="A518" s="242" t="str">
        <f>IF(ISBLANK(C518),"",(Report_Date-C518)/30)</f>
        <v/>
      </c>
      <c r="B518" s="522">
        <f>YEAR(Data_NFI_t[[#This Row],[Distribution Date]])</f>
        <v>1900</v>
      </c>
      <c r="C518" s="927"/>
      <c r="D518" s="489"/>
      <c r="E518" s="488"/>
      <c r="F518" s="489"/>
      <c r="G518" s="794"/>
      <c r="H518" s="794"/>
      <c r="I518" s="794"/>
      <c r="J518" s="51"/>
      <c r="K518" s="51"/>
      <c r="L518" s="119"/>
      <c r="M518" s="119"/>
      <c r="N518" s="119"/>
      <c r="O518" s="119"/>
      <c r="P518" s="119"/>
      <c r="Q518" s="119"/>
      <c r="R518" s="512"/>
      <c r="S518" s="119"/>
      <c r="T518" s="119"/>
      <c r="U518" s="119"/>
      <c r="V518" s="119"/>
      <c r="W518" s="131">
        <f>IF(NFI_Expiration=1,IF($A518&lt;VLOOKUP(I$5,NFI,5,0),1,0)*Data_NFI_t[[#This Row],[Hygiene Kit]],0)</f>
        <v>0</v>
      </c>
      <c r="X518" s="131">
        <f>IF(NFI_Expiration=1,IF($A518&lt;VLOOKUP(J$5,NFI,5,0),1,0)*Data_NFI_t[[#This Row],[NFI Core Kit]],0)</f>
        <v>0</v>
      </c>
      <c r="Y518" s="112">
        <f>IF(NFI_Expiration=1,IF($A518&lt;VLOOKUP(K$5,NFI,5,0),1,0)*Data_NFI_t[[#This Row],[Sanitary Kit]],0)</f>
        <v>0</v>
      </c>
      <c r="Z518" s="112">
        <f>IF(NFI_Expiration=1,IF($A518&lt;VLOOKUP(L$5,NFI,5,0),1,0)*Data_NFI_t[[#This Row],[Mosquito net]],0)</f>
        <v>0</v>
      </c>
      <c r="AA518" s="112">
        <f>IF(NFI_Expiration=1,IF($A518&lt;VLOOKUP(M$5,NFI,5,0),1,0)*Data_NFI_t[[#This Row],[Tarpaulin]],0)</f>
        <v>0</v>
      </c>
      <c r="AB518" s="112">
        <f>IF(NFI_Expiration=1,IF($A518&lt;VLOOKUP(N$5,NFI,5,0),1,0)*Data_NFI_t[[#This Row],[Blanket]],0)</f>
        <v>0</v>
      </c>
      <c r="AC518" s="112">
        <f>IF(NFI_Expiration=1,IF($A518&lt;VLOOKUP(O$5,NFI,5,0),1,0)*Data_NFI_t[[#This Row],[Kitchen Set]],0)</f>
        <v>0</v>
      </c>
      <c r="AD518" s="112">
        <f>IF(NFI_Expiration=1,IF($A518&lt;VLOOKUP(P$5,NFI,5,0),1,0)*Data_NFI_t[[#This Row],[Complementary Kit]],0)</f>
        <v>0</v>
      </c>
      <c r="AE518" s="112">
        <f>IF(NFI_Expiration=1,IF($A518&lt;VLOOKUP(Q$5,NFI,5,0),1,0)*Data_NFI_t[[#This Row],[Plastic Bucket]],0)</f>
        <v>0</v>
      </c>
      <c r="AF518" s="131">
        <f>IF(NFI_Expiration=1,IF($A518&lt;VLOOKUP(R$5,NFI,5,0),1,0)*Data_NFI_t[[#This Row],[Jerry Can]],0)</f>
        <v>0</v>
      </c>
      <c r="AG518" s="131">
        <f>IF(NFI_Expiration=1,IF($A518&lt;VLOOKUP(S$5,NFI,5,0),1,0)*Data_NFI_t[[#This Row],[Plastic Mat]],0)*IF(Data_NFI_t[[#This Row],[Distribution Date]]&gt;"01-06-2015",1,2.5)</f>
        <v>0</v>
      </c>
      <c r="AH518" s="915">
        <f>IF(NFI_Expiration=1,IF($A518&lt;VLOOKUP(T$5,NFI,5,0),1,0)*Data_NFI_t[[#This Row],[Adult Clothes]],0)</f>
        <v>0</v>
      </c>
      <c r="AI518" s="131">
        <f>IF(NFI_Expiration=1,IF($A518&lt;VLOOKUP(U$5,NFI,5,0),1,0)*Data_NFI_t[[#This Row],[Children Clothes]],0)</f>
        <v>0</v>
      </c>
      <c r="AJ518" s="131">
        <f>IF(NFI_Expiration=1,IF($A518&lt;VLOOKUP(V$5,NFI,5,0),1,0)*Data_NFI_t[[#This Row],[Sewing Kit]],0)</f>
        <v>0</v>
      </c>
      <c r="AK518" s="131" t="str">
        <f ca="1">IFERROR(OFFSET(Camp_List[P_Code],MATCH(Data_NFI_t[[#This Row],[Camp Name]],Camp_List[Camp Name],0)-1,0,1,1),"")</f>
        <v/>
      </c>
      <c r="AL518" s="513" t="str">
        <f ca="1">IFERROR(OFFSET(Camp_List[Status],MATCH(Data_NFI_t[[#This Row],[Camp Name]],Camp_List[Camp Name],0)-1,0,1,1),"")</f>
        <v/>
      </c>
      <c r="AM518" s="131"/>
    </row>
    <row r="519" spans="1:39" s="793" customFormat="1" ht="19.5" customHeight="1" x14ac:dyDescent="0.25">
      <c r="A519" s="242" t="str">
        <f>IF(ISBLANK(C519),"",(Report_Date-C519)/30)</f>
        <v/>
      </c>
      <c r="B519" s="522">
        <f>YEAR(Data_NFI_t[[#This Row],[Distribution Date]])</f>
        <v>1900</v>
      </c>
      <c r="C519" s="927"/>
      <c r="D519" s="489"/>
      <c r="E519" s="488"/>
      <c r="F519" s="489"/>
      <c r="G519" s="794"/>
      <c r="H519" s="794"/>
      <c r="I519" s="794"/>
      <c r="J519" s="51"/>
      <c r="K519" s="51"/>
      <c r="L519" s="119"/>
      <c r="M519" s="119"/>
      <c r="N519" s="119"/>
      <c r="O519" s="119"/>
      <c r="P519" s="119"/>
      <c r="Q519" s="119"/>
      <c r="R519" s="512"/>
      <c r="S519" s="119"/>
      <c r="T519" s="119"/>
      <c r="U519" s="119"/>
      <c r="V519" s="119"/>
      <c r="W519" s="131">
        <f>IF(NFI_Expiration=1,IF($A519&lt;VLOOKUP(I$5,NFI,5,0),1,0)*Data_NFI_t[[#This Row],[Hygiene Kit]],0)</f>
        <v>0</v>
      </c>
      <c r="X519" s="131">
        <f>IF(NFI_Expiration=1,IF($A519&lt;VLOOKUP(J$5,NFI,5,0),1,0)*Data_NFI_t[[#This Row],[NFI Core Kit]],0)</f>
        <v>0</v>
      </c>
      <c r="Y519" s="112">
        <f>IF(NFI_Expiration=1,IF($A519&lt;VLOOKUP(K$5,NFI,5,0),1,0)*Data_NFI_t[[#This Row],[Sanitary Kit]],0)</f>
        <v>0</v>
      </c>
      <c r="Z519" s="112">
        <f>IF(NFI_Expiration=1,IF($A519&lt;VLOOKUP(L$5,NFI,5,0),1,0)*Data_NFI_t[[#This Row],[Mosquito net]],0)</f>
        <v>0</v>
      </c>
      <c r="AA519" s="112">
        <f>IF(NFI_Expiration=1,IF($A519&lt;VLOOKUP(M$5,NFI,5,0),1,0)*Data_NFI_t[[#This Row],[Tarpaulin]],0)</f>
        <v>0</v>
      </c>
      <c r="AB519" s="112">
        <f>IF(NFI_Expiration=1,IF($A519&lt;VLOOKUP(N$5,NFI,5,0),1,0)*Data_NFI_t[[#This Row],[Blanket]],0)</f>
        <v>0</v>
      </c>
      <c r="AC519" s="112">
        <f>IF(NFI_Expiration=1,IF($A519&lt;VLOOKUP(O$5,NFI,5,0),1,0)*Data_NFI_t[[#This Row],[Kitchen Set]],0)</f>
        <v>0</v>
      </c>
      <c r="AD519" s="112">
        <f>IF(NFI_Expiration=1,IF($A519&lt;VLOOKUP(P$5,NFI,5,0),1,0)*Data_NFI_t[[#This Row],[Complementary Kit]],0)</f>
        <v>0</v>
      </c>
      <c r="AE519" s="112">
        <f>IF(NFI_Expiration=1,IF($A519&lt;VLOOKUP(Q$5,NFI,5,0),1,0)*Data_NFI_t[[#This Row],[Plastic Bucket]],0)</f>
        <v>0</v>
      </c>
      <c r="AF519" s="131">
        <f>IF(NFI_Expiration=1,IF($A519&lt;VLOOKUP(R$5,NFI,5,0),1,0)*Data_NFI_t[[#This Row],[Jerry Can]],0)</f>
        <v>0</v>
      </c>
      <c r="AG519" s="131">
        <f>IF(NFI_Expiration=1,IF($A519&lt;VLOOKUP(S$5,NFI,5,0),1,0)*Data_NFI_t[[#This Row],[Plastic Mat]],0)*IF(Data_NFI_t[[#This Row],[Distribution Date]]&gt;"01-06-2015",1,2.5)</f>
        <v>0</v>
      </c>
      <c r="AH519" s="915">
        <f>IF(NFI_Expiration=1,IF($A519&lt;VLOOKUP(T$5,NFI,5,0),1,0)*Data_NFI_t[[#This Row],[Adult Clothes]],0)</f>
        <v>0</v>
      </c>
      <c r="AI519" s="131">
        <f>IF(NFI_Expiration=1,IF($A519&lt;VLOOKUP(U$5,NFI,5,0),1,0)*Data_NFI_t[[#This Row],[Children Clothes]],0)</f>
        <v>0</v>
      </c>
      <c r="AJ519" s="131">
        <f>IF(NFI_Expiration=1,IF($A519&lt;VLOOKUP(V$5,NFI,5,0),1,0)*Data_NFI_t[[#This Row],[Sewing Kit]],0)</f>
        <v>0</v>
      </c>
      <c r="AK519" s="131" t="str">
        <f ca="1">IFERROR(OFFSET(Camp_List[P_Code],MATCH(Data_NFI_t[[#This Row],[Camp Name]],Camp_List[Camp Name],0)-1,0,1,1),"")</f>
        <v/>
      </c>
      <c r="AL519" s="513" t="str">
        <f ca="1">IFERROR(OFFSET(Camp_List[Status],MATCH(Data_NFI_t[[#This Row],[Camp Name]],Camp_List[Camp Name],0)-1,0,1,1),"")</f>
        <v/>
      </c>
      <c r="AM519" s="131"/>
    </row>
    <row r="520" spans="1:39" s="793" customFormat="1" ht="19.5" customHeight="1" x14ac:dyDescent="0.25">
      <c r="A520" s="242" t="str">
        <f>IF(ISBLANK(C520),"",(Report_Date-C520)/30)</f>
        <v/>
      </c>
      <c r="B520" s="522">
        <f>YEAR(Data_NFI_t[[#This Row],[Distribution Date]])</f>
        <v>1900</v>
      </c>
      <c r="C520" s="927"/>
      <c r="D520" s="489"/>
      <c r="E520" s="488"/>
      <c r="F520" s="489"/>
      <c r="G520" s="794"/>
      <c r="H520" s="794"/>
      <c r="I520" s="794"/>
      <c r="J520" s="51"/>
      <c r="K520" s="51"/>
      <c r="L520" s="119"/>
      <c r="M520" s="119"/>
      <c r="N520" s="119"/>
      <c r="O520" s="119"/>
      <c r="P520" s="119"/>
      <c r="Q520" s="119"/>
      <c r="R520" s="512"/>
      <c r="S520" s="119"/>
      <c r="T520" s="119"/>
      <c r="U520" s="119"/>
      <c r="V520" s="119"/>
      <c r="W520" s="131">
        <f>IF(NFI_Expiration=1,IF($A520&lt;VLOOKUP(I$5,NFI,5,0),1,0)*Data_NFI_t[[#This Row],[Hygiene Kit]],0)</f>
        <v>0</v>
      </c>
      <c r="X520" s="131">
        <f>IF(NFI_Expiration=1,IF($A520&lt;VLOOKUP(J$5,NFI,5,0),1,0)*Data_NFI_t[[#This Row],[NFI Core Kit]],0)</f>
        <v>0</v>
      </c>
      <c r="Y520" s="112">
        <f>IF(NFI_Expiration=1,IF($A520&lt;VLOOKUP(K$5,NFI,5,0),1,0)*Data_NFI_t[[#This Row],[Sanitary Kit]],0)</f>
        <v>0</v>
      </c>
      <c r="Z520" s="112">
        <f>IF(NFI_Expiration=1,IF($A520&lt;VLOOKUP(L$5,NFI,5,0),1,0)*Data_NFI_t[[#This Row],[Mosquito net]],0)</f>
        <v>0</v>
      </c>
      <c r="AA520" s="112">
        <f>IF(NFI_Expiration=1,IF($A520&lt;VLOOKUP(M$5,NFI,5,0),1,0)*Data_NFI_t[[#This Row],[Tarpaulin]],0)</f>
        <v>0</v>
      </c>
      <c r="AB520" s="112">
        <f>IF(NFI_Expiration=1,IF($A520&lt;VLOOKUP(N$5,NFI,5,0),1,0)*Data_NFI_t[[#This Row],[Blanket]],0)</f>
        <v>0</v>
      </c>
      <c r="AC520" s="112">
        <f>IF(NFI_Expiration=1,IF($A520&lt;VLOOKUP(O$5,NFI,5,0),1,0)*Data_NFI_t[[#This Row],[Kitchen Set]],0)</f>
        <v>0</v>
      </c>
      <c r="AD520" s="112">
        <f>IF(NFI_Expiration=1,IF($A520&lt;VLOOKUP(P$5,NFI,5,0),1,0)*Data_NFI_t[[#This Row],[Complementary Kit]],0)</f>
        <v>0</v>
      </c>
      <c r="AE520" s="112">
        <f>IF(NFI_Expiration=1,IF($A520&lt;VLOOKUP(Q$5,NFI,5,0),1,0)*Data_NFI_t[[#This Row],[Plastic Bucket]],0)</f>
        <v>0</v>
      </c>
      <c r="AF520" s="131">
        <f>IF(NFI_Expiration=1,IF($A520&lt;VLOOKUP(R$5,NFI,5,0),1,0)*Data_NFI_t[[#This Row],[Jerry Can]],0)</f>
        <v>0</v>
      </c>
      <c r="AG520" s="131">
        <f>IF(NFI_Expiration=1,IF($A520&lt;VLOOKUP(S$5,NFI,5,0),1,0)*Data_NFI_t[[#This Row],[Plastic Mat]],0)*IF(Data_NFI_t[[#This Row],[Distribution Date]]&gt;"01-06-2015",1,2.5)</f>
        <v>0</v>
      </c>
      <c r="AH520" s="915">
        <f>IF(NFI_Expiration=1,IF($A520&lt;VLOOKUP(T$5,NFI,5,0),1,0)*Data_NFI_t[[#This Row],[Adult Clothes]],0)</f>
        <v>0</v>
      </c>
      <c r="AI520" s="131">
        <f>IF(NFI_Expiration=1,IF($A520&lt;VLOOKUP(U$5,NFI,5,0),1,0)*Data_NFI_t[[#This Row],[Children Clothes]],0)</f>
        <v>0</v>
      </c>
      <c r="AJ520" s="131">
        <f>IF(NFI_Expiration=1,IF($A520&lt;VLOOKUP(V$5,NFI,5,0),1,0)*Data_NFI_t[[#This Row],[Sewing Kit]],0)</f>
        <v>0</v>
      </c>
      <c r="AK520" s="131" t="str">
        <f ca="1">IFERROR(OFFSET(Camp_List[P_Code],MATCH(Data_NFI_t[[#This Row],[Camp Name]],Camp_List[Camp Name],0)-1,0,1,1),"")</f>
        <v/>
      </c>
      <c r="AL520" s="513" t="str">
        <f ca="1">IFERROR(OFFSET(Camp_List[Status],MATCH(Data_NFI_t[[#This Row],[Camp Name]],Camp_List[Camp Name],0)-1,0,1,1),"")</f>
        <v/>
      </c>
      <c r="AM520" s="131"/>
    </row>
    <row r="521" spans="1:39" s="793" customFormat="1" ht="19.5" customHeight="1" x14ac:dyDescent="0.25">
      <c r="A521" s="242" t="str">
        <f>IF(ISBLANK(C521),"",(Report_Date-C521)/30)</f>
        <v/>
      </c>
      <c r="B521" s="522">
        <f>YEAR(Data_NFI_t[[#This Row],[Distribution Date]])</f>
        <v>1900</v>
      </c>
      <c r="C521" s="927"/>
      <c r="D521" s="489"/>
      <c r="E521" s="488"/>
      <c r="F521" s="489"/>
      <c r="G521" s="794"/>
      <c r="H521" s="794"/>
      <c r="I521" s="794"/>
      <c r="J521" s="51"/>
      <c r="K521" s="51"/>
      <c r="L521" s="119"/>
      <c r="M521" s="119"/>
      <c r="N521" s="119"/>
      <c r="O521" s="119"/>
      <c r="P521" s="119"/>
      <c r="Q521" s="119"/>
      <c r="R521" s="512"/>
      <c r="S521" s="119"/>
      <c r="T521" s="119"/>
      <c r="U521" s="119"/>
      <c r="V521" s="119"/>
      <c r="W521" s="131">
        <f>IF(NFI_Expiration=1,IF($A521&lt;VLOOKUP(I$5,NFI,5,0),1,0)*Data_NFI_t[[#This Row],[Hygiene Kit]],0)</f>
        <v>0</v>
      </c>
      <c r="X521" s="131">
        <f>IF(NFI_Expiration=1,IF($A521&lt;VLOOKUP(J$5,NFI,5,0),1,0)*Data_NFI_t[[#This Row],[NFI Core Kit]],0)</f>
        <v>0</v>
      </c>
      <c r="Y521" s="112">
        <f>IF(NFI_Expiration=1,IF($A521&lt;VLOOKUP(K$5,NFI,5,0),1,0)*Data_NFI_t[[#This Row],[Sanitary Kit]],0)</f>
        <v>0</v>
      </c>
      <c r="Z521" s="112">
        <f>IF(NFI_Expiration=1,IF($A521&lt;VLOOKUP(L$5,NFI,5,0),1,0)*Data_NFI_t[[#This Row],[Mosquito net]],0)</f>
        <v>0</v>
      </c>
      <c r="AA521" s="112">
        <f>IF(NFI_Expiration=1,IF($A521&lt;VLOOKUP(M$5,NFI,5,0),1,0)*Data_NFI_t[[#This Row],[Tarpaulin]],0)</f>
        <v>0</v>
      </c>
      <c r="AB521" s="112">
        <f>IF(NFI_Expiration=1,IF($A521&lt;VLOOKUP(N$5,NFI,5,0),1,0)*Data_NFI_t[[#This Row],[Blanket]],0)</f>
        <v>0</v>
      </c>
      <c r="AC521" s="112">
        <f>IF(NFI_Expiration=1,IF($A521&lt;VLOOKUP(O$5,NFI,5,0),1,0)*Data_NFI_t[[#This Row],[Kitchen Set]],0)</f>
        <v>0</v>
      </c>
      <c r="AD521" s="112">
        <f>IF(NFI_Expiration=1,IF($A521&lt;VLOOKUP(P$5,NFI,5,0),1,0)*Data_NFI_t[[#This Row],[Complementary Kit]],0)</f>
        <v>0</v>
      </c>
      <c r="AE521" s="112">
        <f>IF(NFI_Expiration=1,IF($A521&lt;VLOOKUP(Q$5,NFI,5,0),1,0)*Data_NFI_t[[#This Row],[Plastic Bucket]],0)</f>
        <v>0</v>
      </c>
      <c r="AF521" s="131">
        <f>IF(NFI_Expiration=1,IF($A521&lt;VLOOKUP(R$5,NFI,5,0),1,0)*Data_NFI_t[[#This Row],[Jerry Can]],0)</f>
        <v>0</v>
      </c>
      <c r="AG521" s="131">
        <f>IF(NFI_Expiration=1,IF($A521&lt;VLOOKUP(S$5,NFI,5,0),1,0)*Data_NFI_t[[#This Row],[Plastic Mat]],0)*IF(Data_NFI_t[[#This Row],[Distribution Date]]&gt;"01-06-2015",1,2.5)</f>
        <v>0</v>
      </c>
      <c r="AH521" s="915">
        <f>IF(NFI_Expiration=1,IF($A521&lt;VLOOKUP(T$5,NFI,5,0),1,0)*Data_NFI_t[[#This Row],[Adult Clothes]],0)</f>
        <v>0</v>
      </c>
      <c r="AI521" s="131">
        <f>IF(NFI_Expiration=1,IF($A521&lt;VLOOKUP(U$5,NFI,5,0),1,0)*Data_NFI_t[[#This Row],[Children Clothes]],0)</f>
        <v>0</v>
      </c>
      <c r="AJ521" s="131">
        <f>IF(NFI_Expiration=1,IF($A521&lt;VLOOKUP(V$5,NFI,5,0),1,0)*Data_NFI_t[[#This Row],[Sewing Kit]],0)</f>
        <v>0</v>
      </c>
      <c r="AK521" s="131" t="str">
        <f ca="1">IFERROR(OFFSET(Camp_List[P_Code],MATCH(Data_NFI_t[[#This Row],[Camp Name]],Camp_List[Camp Name],0)-1,0,1,1),"")</f>
        <v/>
      </c>
      <c r="AL521" s="513" t="str">
        <f ca="1">IFERROR(OFFSET(Camp_List[Status],MATCH(Data_NFI_t[[#This Row],[Camp Name]],Camp_List[Camp Name],0)-1,0,1,1),"")</f>
        <v/>
      </c>
      <c r="AM521" s="131"/>
    </row>
    <row r="522" spans="1:39" s="793" customFormat="1" ht="19.5" customHeight="1" x14ac:dyDescent="0.25">
      <c r="A522" s="242" t="str">
        <f>IF(ISBLANK(C522),"",(Report_Date-C522)/30)</f>
        <v/>
      </c>
      <c r="B522" s="522">
        <f>YEAR(Data_NFI_t[[#This Row],[Distribution Date]])</f>
        <v>1900</v>
      </c>
      <c r="C522" s="927"/>
      <c r="D522" s="489"/>
      <c r="E522" s="488"/>
      <c r="F522" s="489"/>
      <c r="G522" s="794"/>
      <c r="H522" s="794"/>
      <c r="I522" s="794"/>
      <c r="J522" s="51"/>
      <c r="K522" s="51"/>
      <c r="L522" s="119"/>
      <c r="M522" s="119"/>
      <c r="N522" s="119"/>
      <c r="O522" s="119"/>
      <c r="P522" s="119"/>
      <c r="Q522" s="119"/>
      <c r="R522" s="512"/>
      <c r="S522" s="119"/>
      <c r="T522" s="119"/>
      <c r="U522" s="119"/>
      <c r="V522" s="119"/>
      <c r="W522" s="131">
        <f>IF(NFI_Expiration=1,IF($A522&lt;VLOOKUP(I$5,NFI,5,0),1,0)*Data_NFI_t[[#This Row],[Hygiene Kit]],0)</f>
        <v>0</v>
      </c>
      <c r="X522" s="131">
        <f>IF(NFI_Expiration=1,IF($A522&lt;VLOOKUP(J$5,NFI,5,0),1,0)*Data_NFI_t[[#This Row],[NFI Core Kit]],0)</f>
        <v>0</v>
      </c>
      <c r="Y522" s="112">
        <f>IF(NFI_Expiration=1,IF($A522&lt;VLOOKUP(K$5,NFI,5,0),1,0)*Data_NFI_t[[#This Row],[Sanitary Kit]],0)</f>
        <v>0</v>
      </c>
      <c r="Z522" s="112">
        <f>IF(NFI_Expiration=1,IF($A522&lt;VLOOKUP(L$5,NFI,5,0),1,0)*Data_NFI_t[[#This Row],[Mosquito net]],0)</f>
        <v>0</v>
      </c>
      <c r="AA522" s="112">
        <f>IF(NFI_Expiration=1,IF($A522&lt;VLOOKUP(M$5,NFI,5,0),1,0)*Data_NFI_t[[#This Row],[Tarpaulin]],0)</f>
        <v>0</v>
      </c>
      <c r="AB522" s="112">
        <f>IF(NFI_Expiration=1,IF($A522&lt;VLOOKUP(N$5,NFI,5,0),1,0)*Data_NFI_t[[#This Row],[Blanket]],0)</f>
        <v>0</v>
      </c>
      <c r="AC522" s="112">
        <f>IF(NFI_Expiration=1,IF($A522&lt;VLOOKUP(O$5,NFI,5,0),1,0)*Data_NFI_t[[#This Row],[Kitchen Set]],0)</f>
        <v>0</v>
      </c>
      <c r="AD522" s="112">
        <f>IF(NFI_Expiration=1,IF($A522&lt;VLOOKUP(P$5,NFI,5,0),1,0)*Data_NFI_t[[#This Row],[Complementary Kit]],0)</f>
        <v>0</v>
      </c>
      <c r="AE522" s="112">
        <f>IF(NFI_Expiration=1,IF($A522&lt;VLOOKUP(Q$5,NFI,5,0),1,0)*Data_NFI_t[[#This Row],[Plastic Bucket]],0)</f>
        <v>0</v>
      </c>
      <c r="AF522" s="131">
        <f>IF(NFI_Expiration=1,IF($A522&lt;VLOOKUP(R$5,NFI,5,0),1,0)*Data_NFI_t[[#This Row],[Jerry Can]],0)</f>
        <v>0</v>
      </c>
      <c r="AG522" s="131">
        <f>IF(NFI_Expiration=1,IF($A522&lt;VLOOKUP(S$5,NFI,5,0),1,0)*Data_NFI_t[[#This Row],[Plastic Mat]],0)*IF(Data_NFI_t[[#This Row],[Distribution Date]]&gt;"01-06-2015",1,2.5)</f>
        <v>0</v>
      </c>
      <c r="AH522" s="915">
        <f>IF(NFI_Expiration=1,IF($A522&lt;VLOOKUP(T$5,NFI,5,0),1,0)*Data_NFI_t[[#This Row],[Adult Clothes]],0)</f>
        <v>0</v>
      </c>
      <c r="AI522" s="131">
        <f>IF(NFI_Expiration=1,IF($A522&lt;VLOOKUP(U$5,NFI,5,0),1,0)*Data_NFI_t[[#This Row],[Children Clothes]],0)</f>
        <v>0</v>
      </c>
      <c r="AJ522" s="131">
        <f>IF(NFI_Expiration=1,IF($A522&lt;VLOOKUP(V$5,NFI,5,0),1,0)*Data_NFI_t[[#This Row],[Sewing Kit]],0)</f>
        <v>0</v>
      </c>
      <c r="AK522" s="131" t="str">
        <f ca="1">IFERROR(OFFSET(Camp_List[P_Code],MATCH(Data_NFI_t[[#This Row],[Camp Name]],Camp_List[Camp Name],0)-1,0,1,1),"")</f>
        <v/>
      </c>
      <c r="AL522" s="513" t="str">
        <f ca="1">IFERROR(OFFSET(Camp_List[Status],MATCH(Data_NFI_t[[#This Row],[Camp Name]],Camp_List[Camp Name],0)-1,0,1,1),"")</f>
        <v/>
      </c>
      <c r="AM522" s="131"/>
    </row>
    <row r="523" spans="1:39" s="793" customFormat="1" ht="19.5" customHeight="1" x14ac:dyDescent="0.25">
      <c r="A523" s="242" t="str">
        <f>IF(ISBLANK(C523),"",(Report_Date-C523)/30)</f>
        <v/>
      </c>
      <c r="B523" s="522">
        <f>YEAR(Data_NFI_t[[#This Row],[Distribution Date]])</f>
        <v>1900</v>
      </c>
      <c r="C523" s="927"/>
      <c r="D523" s="489"/>
      <c r="E523" s="488"/>
      <c r="F523" s="489"/>
      <c r="G523" s="794"/>
      <c r="H523" s="794"/>
      <c r="I523" s="794"/>
      <c r="J523" s="51"/>
      <c r="K523" s="51"/>
      <c r="L523" s="119"/>
      <c r="M523" s="119"/>
      <c r="N523" s="119"/>
      <c r="O523" s="119"/>
      <c r="P523" s="119"/>
      <c r="Q523" s="119"/>
      <c r="R523" s="512"/>
      <c r="S523" s="119"/>
      <c r="T523" s="119"/>
      <c r="U523" s="119"/>
      <c r="V523" s="119"/>
      <c r="W523" s="131">
        <f>IF(NFI_Expiration=1,IF($A523&lt;VLOOKUP(I$5,NFI,5,0),1,0)*Data_NFI_t[[#This Row],[Hygiene Kit]],0)</f>
        <v>0</v>
      </c>
      <c r="X523" s="131">
        <f>IF(NFI_Expiration=1,IF($A523&lt;VLOOKUP(J$5,NFI,5,0),1,0)*Data_NFI_t[[#This Row],[NFI Core Kit]],0)</f>
        <v>0</v>
      </c>
      <c r="Y523" s="112">
        <f>IF(NFI_Expiration=1,IF($A523&lt;VLOOKUP(K$5,NFI,5,0),1,0)*Data_NFI_t[[#This Row],[Sanitary Kit]],0)</f>
        <v>0</v>
      </c>
      <c r="Z523" s="112">
        <f>IF(NFI_Expiration=1,IF($A523&lt;VLOOKUP(L$5,NFI,5,0),1,0)*Data_NFI_t[[#This Row],[Mosquito net]],0)</f>
        <v>0</v>
      </c>
      <c r="AA523" s="112">
        <f>IF(NFI_Expiration=1,IF($A523&lt;VLOOKUP(M$5,NFI,5,0),1,0)*Data_NFI_t[[#This Row],[Tarpaulin]],0)</f>
        <v>0</v>
      </c>
      <c r="AB523" s="112">
        <f>IF(NFI_Expiration=1,IF($A523&lt;VLOOKUP(N$5,NFI,5,0),1,0)*Data_NFI_t[[#This Row],[Blanket]],0)</f>
        <v>0</v>
      </c>
      <c r="AC523" s="112">
        <f>IF(NFI_Expiration=1,IF($A523&lt;VLOOKUP(O$5,NFI,5,0),1,0)*Data_NFI_t[[#This Row],[Kitchen Set]],0)</f>
        <v>0</v>
      </c>
      <c r="AD523" s="112">
        <f>IF(NFI_Expiration=1,IF($A523&lt;VLOOKUP(P$5,NFI,5,0),1,0)*Data_NFI_t[[#This Row],[Complementary Kit]],0)</f>
        <v>0</v>
      </c>
      <c r="AE523" s="112">
        <f>IF(NFI_Expiration=1,IF($A523&lt;VLOOKUP(Q$5,NFI,5,0),1,0)*Data_NFI_t[[#This Row],[Plastic Bucket]],0)</f>
        <v>0</v>
      </c>
      <c r="AF523" s="131">
        <f>IF(NFI_Expiration=1,IF($A523&lt;VLOOKUP(R$5,NFI,5,0),1,0)*Data_NFI_t[[#This Row],[Jerry Can]],0)</f>
        <v>0</v>
      </c>
      <c r="AG523" s="131">
        <f>IF(NFI_Expiration=1,IF($A523&lt;VLOOKUP(S$5,NFI,5,0),1,0)*Data_NFI_t[[#This Row],[Plastic Mat]],0)*IF(Data_NFI_t[[#This Row],[Distribution Date]]&gt;"01-06-2015",1,2.5)</f>
        <v>0</v>
      </c>
      <c r="AH523" s="915">
        <f>IF(NFI_Expiration=1,IF($A523&lt;VLOOKUP(T$5,NFI,5,0),1,0)*Data_NFI_t[[#This Row],[Adult Clothes]],0)</f>
        <v>0</v>
      </c>
      <c r="AI523" s="131">
        <f>IF(NFI_Expiration=1,IF($A523&lt;VLOOKUP(U$5,NFI,5,0),1,0)*Data_NFI_t[[#This Row],[Children Clothes]],0)</f>
        <v>0</v>
      </c>
      <c r="AJ523" s="131">
        <f>IF(NFI_Expiration=1,IF($A523&lt;VLOOKUP(V$5,NFI,5,0),1,0)*Data_NFI_t[[#This Row],[Sewing Kit]],0)</f>
        <v>0</v>
      </c>
      <c r="AK523" s="131" t="str">
        <f ca="1">IFERROR(OFFSET(Camp_List[P_Code],MATCH(Data_NFI_t[[#This Row],[Camp Name]],Camp_List[Camp Name],0)-1,0,1,1),"")</f>
        <v/>
      </c>
      <c r="AL523" s="513" t="str">
        <f ca="1">IFERROR(OFFSET(Camp_List[Status],MATCH(Data_NFI_t[[#This Row],[Camp Name]],Camp_List[Camp Name],0)-1,0,1,1),"")</f>
        <v/>
      </c>
      <c r="AM523" s="131"/>
    </row>
    <row r="524" spans="1:39" s="793" customFormat="1" ht="19.5" customHeight="1" x14ac:dyDescent="0.25">
      <c r="A524" s="242" t="str">
        <f>IF(ISBLANK(C524),"",(Report_Date-C524)/30)</f>
        <v/>
      </c>
      <c r="B524" s="522">
        <f>YEAR(Data_NFI_t[[#This Row],[Distribution Date]])</f>
        <v>1900</v>
      </c>
      <c r="C524" s="927"/>
      <c r="D524" s="489"/>
      <c r="E524" s="488"/>
      <c r="F524" s="489"/>
      <c r="G524" s="794"/>
      <c r="H524" s="794"/>
      <c r="I524" s="794"/>
      <c r="J524" s="51"/>
      <c r="K524" s="51"/>
      <c r="L524" s="119"/>
      <c r="M524" s="119"/>
      <c r="N524" s="119"/>
      <c r="O524" s="119"/>
      <c r="P524" s="119"/>
      <c r="Q524" s="119"/>
      <c r="R524" s="512"/>
      <c r="S524" s="119"/>
      <c r="T524" s="119"/>
      <c r="U524" s="119"/>
      <c r="V524" s="119"/>
      <c r="W524" s="131">
        <f>IF(NFI_Expiration=1,IF($A524&lt;VLOOKUP(I$5,NFI,5,0),1,0)*Data_NFI_t[[#This Row],[Hygiene Kit]],0)</f>
        <v>0</v>
      </c>
      <c r="X524" s="131">
        <f>IF(NFI_Expiration=1,IF($A524&lt;VLOOKUP(J$5,NFI,5,0),1,0)*Data_NFI_t[[#This Row],[NFI Core Kit]],0)</f>
        <v>0</v>
      </c>
      <c r="Y524" s="112">
        <f>IF(NFI_Expiration=1,IF($A524&lt;VLOOKUP(K$5,NFI,5,0),1,0)*Data_NFI_t[[#This Row],[Sanitary Kit]],0)</f>
        <v>0</v>
      </c>
      <c r="Z524" s="112">
        <f>IF(NFI_Expiration=1,IF($A524&lt;VLOOKUP(L$5,NFI,5,0),1,0)*Data_NFI_t[[#This Row],[Mosquito net]],0)</f>
        <v>0</v>
      </c>
      <c r="AA524" s="112">
        <f>IF(NFI_Expiration=1,IF($A524&lt;VLOOKUP(M$5,NFI,5,0),1,0)*Data_NFI_t[[#This Row],[Tarpaulin]],0)</f>
        <v>0</v>
      </c>
      <c r="AB524" s="112">
        <f>IF(NFI_Expiration=1,IF($A524&lt;VLOOKUP(N$5,NFI,5,0),1,0)*Data_NFI_t[[#This Row],[Blanket]],0)</f>
        <v>0</v>
      </c>
      <c r="AC524" s="112">
        <f>IF(NFI_Expiration=1,IF($A524&lt;VLOOKUP(O$5,NFI,5,0),1,0)*Data_NFI_t[[#This Row],[Kitchen Set]],0)</f>
        <v>0</v>
      </c>
      <c r="AD524" s="112">
        <f>IF(NFI_Expiration=1,IF($A524&lt;VLOOKUP(P$5,NFI,5,0),1,0)*Data_NFI_t[[#This Row],[Complementary Kit]],0)</f>
        <v>0</v>
      </c>
      <c r="AE524" s="112">
        <f>IF(NFI_Expiration=1,IF($A524&lt;VLOOKUP(Q$5,NFI,5,0),1,0)*Data_NFI_t[[#This Row],[Plastic Bucket]],0)</f>
        <v>0</v>
      </c>
      <c r="AF524" s="131">
        <f>IF(NFI_Expiration=1,IF($A524&lt;VLOOKUP(R$5,NFI,5,0),1,0)*Data_NFI_t[[#This Row],[Jerry Can]],0)</f>
        <v>0</v>
      </c>
      <c r="AG524" s="131">
        <f>IF(NFI_Expiration=1,IF($A524&lt;VLOOKUP(S$5,NFI,5,0),1,0)*Data_NFI_t[[#This Row],[Plastic Mat]],0)*IF(Data_NFI_t[[#This Row],[Distribution Date]]&gt;"01-06-2015",1,2.5)</f>
        <v>0</v>
      </c>
      <c r="AH524" s="915">
        <f>IF(NFI_Expiration=1,IF($A524&lt;VLOOKUP(T$5,NFI,5,0),1,0)*Data_NFI_t[[#This Row],[Adult Clothes]],0)</f>
        <v>0</v>
      </c>
      <c r="AI524" s="131">
        <f>IF(NFI_Expiration=1,IF($A524&lt;VLOOKUP(U$5,NFI,5,0),1,0)*Data_NFI_t[[#This Row],[Children Clothes]],0)</f>
        <v>0</v>
      </c>
      <c r="AJ524" s="131">
        <f>IF(NFI_Expiration=1,IF($A524&lt;VLOOKUP(V$5,NFI,5,0),1,0)*Data_NFI_t[[#This Row],[Sewing Kit]],0)</f>
        <v>0</v>
      </c>
      <c r="AK524" s="131" t="str">
        <f ca="1">IFERROR(OFFSET(Camp_List[P_Code],MATCH(Data_NFI_t[[#This Row],[Camp Name]],Camp_List[Camp Name],0)-1,0,1,1),"")</f>
        <v/>
      </c>
      <c r="AL524" s="513" t="str">
        <f ca="1">IFERROR(OFFSET(Camp_List[Status],MATCH(Data_NFI_t[[#This Row],[Camp Name]],Camp_List[Camp Name],0)-1,0,1,1),"")</f>
        <v/>
      </c>
      <c r="AM524" s="131"/>
    </row>
    <row r="525" spans="1:39" s="793" customFormat="1" ht="19.5" customHeight="1" x14ac:dyDescent="0.25">
      <c r="A525" s="242" t="str">
        <f>IF(ISBLANK(C525),"",(Report_Date-C525)/30)</f>
        <v/>
      </c>
      <c r="B525" s="522">
        <f>YEAR(Data_NFI_t[[#This Row],[Distribution Date]])</f>
        <v>1900</v>
      </c>
      <c r="C525" s="927"/>
      <c r="D525" s="489"/>
      <c r="E525" s="488"/>
      <c r="F525" s="489"/>
      <c r="G525" s="794"/>
      <c r="H525" s="794"/>
      <c r="I525" s="794"/>
      <c r="J525" s="51"/>
      <c r="K525" s="51"/>
      <c r="L525" s="119"/>
      <c r="M525" s="119"/>
      <c r="N525" s="119"/>
      <c r="O525" s="119"/>
      <c r="P525" s="119"/>
      <c r="Q525" s="119"/>
      <c r="R525" s="512"/>
      <c r="S525" s="119"/>
      <c r="T525" s="119"/>
      <c r="U525" s="119"/>
      <c r="V525" s="119"/>
      <c r="W525" s="131">
        <f>IF(NFI_Expiration=1,IF($A525&lt;VLOOKUP(I$5,NFI,5,0),1,0)*Data_NFI_t[[#This Row],[Hygiene Kit]],0)</f>
        <v>0</v>
      </c>
      <c r="X525" s="131">
        <f>IF(NFI_Expiration=1,IF($A525&lt;VLOOKUP(J$5,NFI,5,0),1,0)*Data_NFI_t[[#This Row],[NFI Core Kit]],0)</f>
        <v>0</v>
      </c>
      <c r="Y525" s="112">
        <f>IF(NFI_Expiration=1,IF($A525&lt;VLOOKUP(K$5,NFI,5,0),1,0)*Data_NFI_t[[#This Row],[Sanitary Kit]],0)</f>
        <v>0</v>
      </c>
      <c r="Z525" s="112">
        <f>IF(NFI_Expiration=1,IF($A525&lt;VLOOKUP(L$5,NFI,5,0),1,0)*Data_NFI_t[[#This Row],[Mosquito net]],0)</f>
        <v>0</v>
      </c>
      <c r="AA525" s="112">
        <f>IF(NFI_Expiration=1,IF($A525&lt;VLOOKUP(M$5,NFI,5,0),1,0)*Data_NFI_t[[#This Row],[Tarpaulin]],0)</f>
        <v>0</v>
      </c>
      <c r="AB525" s="112">
        <f>IF(NFI_Expiration=1,IF($A525&lt;VLOOKUP(N$5,NFI,5,0),1,0)*Data_NFI_t[[#This Row],[Blanket]],0)</f>
        <v>0</v>
      </c>
      <c r="AC525" s="112">
        <f>IF(NFI_Expiration=1,IF($A525&lt;VLOOKUP(O$5,NFI,5,0),1,0)*Data_NFI_t[[#This Row],[Kitchen Set]],0)</f>
        <v>0</v>
      </c>
      <c r="AD525" s="112">
        <f>IF(NFI_Expiration=1,IF($A525&lt;VLOOKUP(P$5,NFI,5,0),1,0)*Data_NFI_t[[#This Row],[Complementary Kit]],0)</f>
        <v>0</v>
      </c>
      <c r="AE525" s="112">
        <f>IF(NFI_Expiration=1,IF($A525&lt;VLOOKUP(Q$5,NFI,5,0),1,0)*Data_NFI_t[[#This Row],[Plastic Bucket]],0)</f>
        <v>0</v>
      </c>
      <c r="AF525" s="131">
        <f>IF(NFI_Expiration=1,IF($A525&lt;VLOOKUP(R$5,NFI,5,0),1,0)*Data_NFI_t[[#This Row],[Jerry Can]],0)</f>
        <v>0</v>
      </c>
      <c r="AG525" s="131">
        <f>IF(NFI_Expiration=1,IF($A525&lt;VLOOKUP(S$5,NFI,5,0),1,0)*Data_NFI_t[[#This Row],[Plastic Mat]],0)*IF(Data_NFI_t[[#This Row],[Distribution Date]]&gt;"01-06-2015",1,2.5)</f>
        <v>0</v>
      </c>
      <c r="AH525" s="915">
        <f>IF(NFI_Expiration=1,IF($A525&lt;VLOOKUP(T$5,NFI,5,0),1,0)*Data_NFI_t[[#This Row],[Adult Clothes]],0)</f>
        <v>0</v>
      </c>
      <c r="AI525" s="131">
        <f>IF(NFI_Expiration=1,IF($A525&lt;VLOOKUP(U$5,NFI,5,0),1,0)*Data_NFI_t[[#This Row],[Children Clothes]],0)</f>
        <v>0</v>
      </c>
      <c r="AJ525" s="131">
        <f>IF(NFI_Expiration=1,IF($A525&lt;VLOOKUP(V$5,NFI,5,0),1,0)*Data_NFI_t[[#This Row],[Sewing Kit]],0)</f>
        <v>0</v>
      </c>
      <c r="AK525" s="131" t="str">
        <f ca="1">IFERROR(OFFSET(Camp_List[P_Code],MATCH(Data_NFI_t[[#This Row],[Camp Name]],Camp_List[Camp Name],0)-1,0,1,1),"")</f>
        <v/>
      </c>
      <c r="AL525" s="513" t="str">
        <f ca="1">IFERROR(OFFSET(Camp_List[Status],MATCH(Data_NFI_t[[#This Row],[Camp Name]],Camp_List[Camp Name],0)-1,0,1,1),"")</f>
        <v/>
      </c>
      <c r="AM525" s="131"/>
    </row>
    <row r="526" spans="1:39" s="793" customFormat="1" ht="19.5" customHeight="1" x14ac:dyDescent="0.25">
      <c r="A526" s="242" t="str">
        <f>IF(ISBLANK(C526),"",(Report_Date-C526)/30)</f>
        <v/>
      </c>
      <c r="B526" s="522">
        <f>YEAR(Data_NFI_t[[#This Row],[Distribution Date]])</f>
        <v>1900</v>
      </c>
      <c r="C526" s="927"/>
      <c r="D526" s="489"/>
      <c r="E526" s="488"/>
      <c r="F526" s="489"/>
      <c r="G526" s="794"/>
      <c r="H526" s="794"/>
      <c r="I526" s="794"/>
      <c r="J526" s="51"/>
      <c r="K526" s="51"/>
      <c r="L526" s="119"/>
      <c r="M526" s="119"/>
      <c r="N526" s="119"/>
      <c r="O526" s="119"/>
      <c r="P526" s="119"/>
      <c r="Q526" s="119"/>
      <c r="R526" s="512"/>
      <c r="S526" s="119"/>
      <c r="T526" s="119"/>
      <c r="U526" s="119"/>
      <c r="V526" s="119"/>
      <c r="W526" s="131">
        <f>IF(NFI_Expiration=1,IF($A526&lt;VLOOKUP(I$5,NFI,5,0),1,0)*Data_NFI_t[[#This Row],[Hygiene Kit]],0)</f>
        <v>0</v>
      </c>
      <c r="X526" s="131">
        <f>IF(NFI_Expiration=1,IF($A526&lt;VLOOKUP(J$5,NFI,5,0),1,0)*Data_NFI_t[[#This Row],[NFI Core Kit]],0)</f>
        <v>0</v>
      </c>
      <c r="Y526" s="112">
        <f>IF(NFI_Expiration=1,IF($A526&lt;VLOOKUP(K$5,NFI,5,0),1,0)*Data_NFI_t[[#This Row],[Sanitary Kit]],0)</f>
        <v>0</v>
      </c>
      <c r="Z526" s="112">
        <f>IF(NFI_Expiration=1,IF($A526&lt;VLOOKUP(L$5,NFI,5,0),1,0)*Data_NFI_t[[#This Row],[Mosquito net]],0)</f>
        <v>0</v>
      </c>
      <c r="AA526" s="112">
        <f>IF(NFI_Expiration=1,IF($A526&lt;VLOOKUP(M$5,NFI,5,0),1,0)*Data_NFI_t[[#This Row],[Tarpaulin]],0)</f>
        <v>0</v>
      </c>
      <c r="AB526" s="112">
        <f>IF(NFI_Expiration=1,IF($A526&lt;VLOOKUP(N$5,NFI,5,0),1,0)*Data_NFI_t[[#This Row],[Blanket]],0)</f>
        <v>0</v>
      </c>
      <c r="AC526" s="112">
        <f>IF(NFI_Expiration=1,IF($A526&lt;VLOOKUP(O$5,NFI,5,0),1,0)*Data_NFI_t[[#This Row],[Kitchen Set]],0)</f>
        <v>0</v>
      </c>
      <c r="AD526" s="112">
        <f>IF(NFI_Expiration=1,IF($A526&lt;VLOOKUP(P$5,NFI,5,0),1,0)*Data_NFI_t[[#This Row],[Complementary Kit]],0)</f>
        <v>0</v>
      </c>
      <c r="AE526" s="112">
        <f>IF(NFI_Expiration=1,IF($A526&lt;VLOOKUP(Q$5,NFI,5,0),1,0)*Data_NFI_t[[#This Row],[Plastic Bucket]],0)</f>
        <v>0</v>
      </c>
      <c r="AF526" s="131">
        <f>IF(NFI_Expiration=1,IF($A526&lt;VLOOKUP(R$5,NFI,5,0),1,0)*Data_NFI_t[[#This Row],[Jerry Can]],0)</f>
        <v>0</v>
      </c>
      <c r="AG526" s="131">
        <f>IF(NFI_Expiration=1,IF($A526&lt;VLOOKUP(S$5,NFI,5,0),1,0)*Data_NFI_t[[#This Row],[Plastic Mat]],0)*IF(Data_NFI_t[[#This Row],[Distribution Date]]&gt;"01-06-2015",1,2.5)</f>
        <v>0</v>
      </c>
      <c r="AH526" s="915">
        <f>IF(NFI_Expiration=1,IF($A526&lt;VLOOKUP(T$5,NFI,5,0),1,0)*Data_NFI_t[[#This Row],[Adult Clothes]],0)</f>
        <v>0</v>
      </c>
      <c r="AI526" s="131">
        <f>IF(NFI_Expiration=1,IF($A526&lt;VLOOKUP(U$5,NFI,5,0),1,0)*Data_NFI_t[[#This Row],[Children Clothes]],0)</f>
        <v>0</v>
      </c>
      <c r="AJ526" s="131">
        <f>IF(NFI_Expiration=1,IF($A526&lt;VLOOKUP(V$5,NFI,5,0),1,0)*Data_NFI_t[[#This Row],[Sewing Kit]],0)</f>
        <v>0</v>
      </c>
      <c r="AK526" s="131" t="str">
        <f ca="1">IFERROR(OFFSET(Camp_List[P_Code],MATCH(Data_NFI_t[[#This Row],[Camp Name]],Camp_List[Camp Name],0)-1,0,1,1),"")</f>
        <v/>
      </c>
      <c r="AL526" s="513" t="str">
        <f ca="1">IFERROR(OFFSET(Camp_List[Status],MATCH(Data_NFI_t[[#This Row],[Camp Name]],Camp_List[Camp Name],0)-1,0,1,1),"")</f>
        <v/>
      </c>
      <c r="AM526" s="131"/>
    </row>
    <row r="527" spans="1:39" s="793" customFormat="1" ht="19.5" customHeight="1" x14ac:dyDescent="0.25">
      <c r="A527" s="242" t="str">
        <f>IF(ISBLANK(C527),"",(Report_Date-C527)/30)</f>
        <v/>
      </c>
      <c r="B527" s="522">
        <f>YEAR(Data_NFI_t[[#This Row],[Distribution Date]])</f>
        <v>1900</v>
      </c>
      <c r="C527" s="927"/>
      <c r="D527" s="489"/>
      <c r="E527" s="488"/>
      <c r="F527" s="489"/>
      <c r="G527" s="794"/>
      <c r="H527" s="794"/>
      <c r="I527" s="794"/>
      <c r="J527" s="51"/>
      <c r="K527" s="51"/>
      <c r="L527" s="119"/>
      <c r="M527" s="119"/>
      <c r="N527" s="119"/>
      <c r="O527" s="119"/>
      <c r="P527" s="119"/>
      <c r="Q527" s="119"/>
      <c r="R527" s="512"/>
      <c r="S527" s="119"/>
      <c r="T527" s="119"/>
      <c r="U527" s="119"/>
      <c r="V527" s="119"/>
      <c r="W527" s="131">
        <f>IF(NFI_Expiration=1,IF($A527&lt;VLOOKUP(I$5,NFI,5,0),1,0)*Data_NFI_t[[#This Row],[Hygiene Kit]],0)</f>
        <v>0</v>
      </c>
      <c r="X527" s="131">
        <f>IF(NFI_Expiration=1,IF($A527&lt;VLOOKUP(J$5,NFI,5,0),1,0)*Data_NFI_t[[#This Row],[NFI Core Kit]],0)</f>
        <v>0</v>
      </c>
      <c r="Y527" s="112">
        <f>IF(NFI_Expiration=1,IF($A527&lt;VLOOKUP(K$5,NFI,5,0),1,0)*Data_NFI_t[[#This Row],[Sanitary Kit]],0)</f>
        <v>0</v>
      </c>
      <c r="Z527" s="112">
        <f>IF(NFI_Expiration=1,IF($A527&lt;VLOOKUP(L$5,NFI,5,0),1,0)*Data_NFI_t[[#This Row],[Mosquito net]],0)</f>
        <v>0</v>
      </c>
      <c r="AA527" s="112">
        <f>IF(NFI_Expiration=1,IF($A527&lt;VLOOKUP(M$5,NFI,5,0),1,0)*Data_NFI_t[[#This Row],[Tarpaulin]],0)</f>
        <v>0</v>
      </c>
      <c r="AB527" s="112">
        <f>IF(NFI_Expiration=1,IF($A527&lt;VLOOKUP(N$5,NFI,5,0),1,0)*Data_NFI_t[[#This Row],[Blanket]],0)</f>
        <v>0</v>
      </c>
      <c r="AC527" s="112">
        <f>IF(NFI_Expiration=1,IF($A527&lt;VLOOKUP(O$5,NFI,5,0),1,0)*Data_NFI_t[[#This Row],[Kitchen Set]],0)</f>
        <v>0</v>
      </c>
      <c r="AD527" s="112">
        <f>IF(NFI_Expiration=1,IF($A527&lt;VLOOKUP(P$5,NFI,5,0),1,0)*Data_NFI_t[[#This Row],[Complementary Kit]],0)</f>
        <v>0</v>
      </c>
      <c r="AE527" s="112">
        <f>IF(NFI_Expiration=1,IF($A527&lt;VLOOKUP(Q$5,NFI,5,0),1,0)*Data_NFI_t[[#This Row],[Plastic Bucket]],0)</f>
        <v>0</v>
      </c>
      <c r="AF527" s="131">
        <f>IF(NFI_Expiration=1,IF($A527&lt;VLOOKUP(R$5,NFI,5,0),1,0)*Data_NFI_t[[#This Row],[Jerry Can]],0)</f>
        <v>0</v>
      </c>
      <c r="AG527" s="131">
        <f>IF(NFI_Expiration=1,IF($A527&lt;VLOOKUP(S$5,NFI,5,0),1,0)*Data_NFI_t[[#This Row],[Plastic Mat]],0)*IF(Data_NFI_t[[#This Row],[Distribution Date]]&gt;"01-06-2015",1,2.5)</f>
        <v>0</v>
      </c>
      <c r="AH527" s="915">
        <f>IF(NFI_Expiration=1,IF($A527&lt;VLOOKUP(T$5,NFI,5,0),1,0)*Data_NFI_t[[#This Row],[Adult Clothes]],0)</f>
        <v>0</v>
      </c>
      <c r="AI527" s="131">
        <f>IF(NFI_Expiration=1,IF($A527&lt;VLOOKUP(U$5,NFI,5,0),1,0)*Data_NFI_t[[#This Row],[Children Clothes]],0)</f>
        <v>0</v>
      </c>
      <c r="AJ527" s="131">
        <f>IF(NFI_Expiration=1,IF($A527&lt;VLOOKUP(V$5,NFI,5,0),1,0)*Data_NFI_t[[#This Row],[Sewing Kit]],0)</f>
        <v>0</v>
      </c>
      <c r="AK527" s="131" t="str">
        <f ca="1">IFERROR(OFFSET(Camp_List[P_Code],MATCH(Data_NFI_t[[#This Row],[Camp Name]],Camp_List[Camp Name],0)-1,0,1,1),"")</f>
        <v/>
      </c>
      <c r="AL527" s="513" t="str">
        <f ca="1">IFERROR(OFFSET(Camp_List[Status],MATCH(Data_NFI_t[[#This Row],[Camp Name]],Camp_List[Camp Name],0)-1,0,1,1),"")</f>
        <v/>
      </c>
      <c r="AM527" s="131"/>
    </row>
    <row r="528" spans="1:39" s="793" customFormat="1" ht="19.5" customHeight="1" x14ac:dyDescent="0.25">
      <c r="A528" s="242" t="str">
        <f>IF(ISBLANK(C528),"",(Report_Date-C528)/30)</f>
        <v/>
      </c>
      <c r="B528" s="522">
        <f>YEAR(Data_NFI_t[[#This Row],[Distribution Date]])</f>
        <v>1900</v>
      </c>
      <c r="C528" s="927"/>
      <c r="D528" s="489"/>
      <c r="E528" s="488"/>
      <c r="F528" s="489"/>
      <c r="G528" s="794"/>
      <c r="H528" s="794"/>
      <c r="I528" s="794"/>
      <c r="J528" s="51"/>
      <c r="K528" s="51"/>
      <c r="L528" s="119"/>
      <c r="M528" s="119"/>
      <c r="N528" s="119"/>
      <c r="O528" s="119"/>
      <c r="P528" s="119"/>
      <c r="Q528" s="119"/>
      <c r="R528" s="512"/>
      <c r="S528" s="119"/>
      <c r="T528" s="119"/>
      <c r="U528" s="119"/>
      <c r="V528" s="119"/>
      <c r="W528" s="131">
        <f>IF(NFI_Expiration=1,IF($A528&lt;VLOOKUP(I$5,NFI,5,0),1,0)*Data_NFI_t[[#This Row],[Hygiene Kit]],0)</f>
        <v>0</v>
      </c>
      <c r="X528" s="131">
        <f>IF(NFI_Expiration=1,IF($A528&lt;VLOOKUP(J$5,NFI,5,0),1,0)*Data_NFI_t[[#This Row],[NFI Core Kit]],0)</f>
        <v>0</v>
      </c>
      <c r="Y528" s="112">
        <f>IF(NFI_Expiration=1,IF($A528&lt;VLOOKUP(K$5,NFI,5,0),1,0)*Data_NFI_t[[#This Row],[Sanitary Kit]],0)</f>
        <v>0</v>
      </c>
      <c r="Z528" s="112">
        <f>IF(NFI_Expiration=1,IF($A528&lt;VLOOKUP(L$5,NFI,5,0),1,0)*Data_NFI_t[[#This Row],[Mosquito net]],0)</f>
        <v>0</v>
      </c>
      <c r="AA528" s="112">
        <f>IF(NFI_Expiration=1,IF($A528&lt;VLOOKUP(M$5,NFI,5,0),1,0)*Data_NFI_t[[#This Row],[Tarpaulin]],0)</f>
        <v>0</v>
      </c>
      <c r="AB528" s="112">
        <f>IF(NFI_Expiration=1,IF($A528&lt;VLOOKUP(N$5,NFI,5,0),1,0)*Data_NFI_t[[#This Row],[Blanket]],0)</f>
        <v>0</v>
      </c>
      <c r="AC528" s="112">
        <f>IF(NFI_Expiration=1,IF($A528&lt;VLOOKUP(O$5,NFI,5,0),1,0)*Data_NFI_t[[#This Row],[Kitchen Set]],0)</f>
        <v>0</v>
      </c>
      <c r="AD528" s="112">
        <f>IF(NFI_Expiration=1,IF($A528&lt;VLOOKUP(P$5,NFI,5,0),1,0)*Data_NFI_t[[#This Row],[Complementary Kit]],0)</f>
        <v>0</v>
      </c>
      <c r="AE528" s="112">
        <f>IF(NFI_Expiration=1,IF($A528&lt;VLOOKUP(Q$5,NFI,5,0),1,0)*Data_NFI_t[[#This Row],[Plastic Bucket]],0)</f>
        <v>0</v>
      </c>
      <c r="AF528" s="131">
        <f>IF(NFI_Expiration=1,IF($A528&lt;VLOOKUP(R$5,NFI,5,0),1,0)*Data_NFI_t[[#This Row],[Jerry Can]],0)</f>
        <v>0</v>
      </c>
      <c r="AG528" s="131">
        <f>IF(NFI_Expiration=1,IF($A528&lt;VLOOKUP(S$5,NFI,5,0),1,0)*Data_NFI_t[[#This Row],[Plastic Mat]],0)*IF(Data_NFI_t[[#This Row],[Distribution Date]]&gt;"01-06-2015",1,2.5)</f>
        <v>0</v>
      </c>
      <c r="AH528" s="915">
        <f>IF(NFI_Expiration=1,IF($A528&lt;VLOOKUP(T$5,NFI,5,0),1,0)*Data_NFI_t[[#This Row],[Adult Clothes]],0)</f>
        <v>0</v>
      </c>
      <c r="AI528" s="131">
        <f>IF(NFI_Expiration=1,IF($A528&lt;VLOOKUP(U$5,NFI,5,0),1,0)*Data_NFI_t[[#This Row],[Children Clothes]],0)</f>
        <v>0</v>
      </c>
      <c r="AJ528" s="131">
        <f>IF(NFI_Expiration=1,IF($A528&lt;VLOOKUP(V$5,NFI,5,0),1,0)*Data_NFI_t[[#This Row],[Sewing Kit]],0)</f>
        <v>0</v>
      </c>
      <c r="AK528" s="131" t="str">
        <f ca="1">IFERROR(OFFSET(Camp_List[P_Code],MATCH(Data_NFI_t[[#This Row],[Camp Name]],Camp_List[Camp Name],0)-1,0,1,1),"")</f>
        <v/>
      </c>
      <c r="AL528" s="513" t="str">
        <f ca="1">IFERROR(OFFSET(Camp_List[Status],MATCH(Data_NFI_t[[#This Row],[Camp Name]],Camp_List[Camp Name],0)-1,0,1,1),"")</f>
        <v/>
      </c>
      <c r="AM528" s="131"/>
    </row>
    <row r="529" spans="1:39" s="793" customFormat="1" ht="19.5" customHeight="1" x14ac:dyDescent="0.25">
      <c r="A529" s="242" t="str">
        <f>IF(ISBLANK(C529),"",(Report_Date-C529)/30)</f>
        <v/>
      </c>
      <c r="B529" s="522">
        <f>YEAR(Data_NFI_t[[#This Row],[Distribution Date]])</f>
        <v>1900</v>
      </c>
      <c r="C529" s="927"/>
      <c r="D529" s="489"/>
      <c r="E529" s="488"/>
      <c r="F529" s="489"/>
      <c r="G529" s="794"/>
      <c r="H529" s="794"/>
      <c r="I529" s="794"/>
      <c r="J529" s="51"/>
      <c r="K529" s="51"/>
      <c r="L529" s="119"/>
      <c r="M529" s="119"/>
      <c r="N529" s="119"/>
      <c r="O529" s="119"/>
      <c r="P529" s="119"/>
      <c r="Q529" s="119"/>
      <c r="R529" s="512"/>
      <c r="S529" s="119"/>
      <c r="T529" s="119"/>
      <c r="U529" s="119"/>
      <c r="V529" s="119"/>
      <c r="W529" s="131">
        <f>IF(NFI_Expiration=1,IF($A529&lt;VLOOKUP(I$5,NFI,5,0),1,0)*Data_NFI_t[[#This Row],[Hygiene Kit]],0)</f>
        <v>0</v>
      </c>
      <c r="X529" s="131">
        <f>IF(NFI_Expiration=1,IF($A529&lt;VLOOKUP(J$5,NFI,5,0),1,0)*Data_NFI_t[[#This Row],[NFI Core Kit]],0)</f>
        <v>0</v>
      </c>
      <c r="Y529" s="112">
        <f>IF(NFI_Expiration=1,IF($A529&lt;VLOOKUP(K$5,NFI,5,0),1,0)*Data_NFI_t[[#This Row],[Sanitary Kit]],0)</f>
        <v>0</v>
      </c>
      <c r="Z529" s="112">
        <f>IF(NFI_Expiration=1,IF($A529&lt;VLOOKUP(L$5,NFI,5,0),1,0)*Data_NFI_t[[#This Row],[Mosquito net]],0)</f>
        <v>0</v>
      </c>
      <c r="AA529" s="112">
        <f>IF(NFI_Expiration=1,IF($A529&lt;VLOOKUP(M$5,NFI,5,0),1,0)*Data_NFI_t[[#This Row],[Tarpaulin]],0)</f>
        <v>0</v>
      </c>
      <c r="AB529" s="112">
        <f>IF(NFI_Expiration=1,IF($A529&lt;VLOOKUP(N$5,NFI,5,0),1,0)*Data_NFI_t[[#This Row],[Blanket]],0)</f>
        <v>0</v>
      </c>
      <c r="AC529" s="112">
        <f>IF(NFI_Expiration=1,IF($A529&lt;VLOOKUP(O$5,NFI,5,0),1,0)*Data_NFI_t[[#This Row],[Kitchen Set]],0)</f>
        <v>0</v>
      </c>
      <c r="AD529" s="112">
        <f>IF(NFI_Expiration=1,IF($A529&lt;VLOOKUP(P$5,NFI,5,0),1,0)*Data_NFI_t[[#This Row],[Complementary Kit]],0)</f>
        <v>0</v>
      </c>
      <c r="AE529" s="112">
        <f>IF(NFI_Expiration=1,IF($A529&lt;VLOOKUP(Q$5,NFI,5,0),1,0)*Data_NFI_t[[#This Row],[Plastic Bucket]],0)</f>
        <v>0</v>
      </c>
      <c r="AF529" s="131">
        <f>IF(NFI_Expiration=1,IF($A529&lt;VLOOKUP(R$5,NFI,5,0),1,0)*Data_NFI_t[[#This Row],[Jerry Can]],0)</f>
        <v>0</v>
      </c>
      <c r="AG529" s="131">
        <f>IF(NFI_Expiration=1,IF($A529&lt;VLOOKUP(S$5,NFI,5,0),1,0)*Data_NFI_t[[#This Row],[Plastic Mat]],0)*IF(Data_NFI_t[[#This Row],[Distribution Date]]&gt;"01-06-2015",1,2.5)</f>
        <v>0</v>
      </c>
      <c r="AH529" s="915">
        <f>IF(NFI_Expiration=1,IF($A529&lt;VLOOKUP(T$5,NFI,5,0),1,0)*Data_NFI_t[[#This Row],[Adult Clothes]],0)</f>
        <v>0</v>
      </c>
      <c r="AI529" s="131">
        <f>IF(NFI_Expiration=1,IF($A529&lt;VLOOKUP(U$5,NFI,5,0),1,0)*Data_NFI_t[[#This Row],[Children Clothes]],0)</f>
        <v>0</v>
      </c>
      <c r="AJ529" s="131">
        <f>IF(NFI_Expiration=1,IF($A529&lt;VLOOKUP(V$5,NFI,5,0),1,0)*Data_NFI_t[[#This Row],[Sewing Kit]],0)</f>
        <v>0</v>
      </c>
      <c r="AK529" s="131" t="str">
        <f ca="1">IFERROR(OFFSET(Camp_List[P_Code],MATCH(Data_NFI_t[[#This Row],[Camp Name]],Camp_List[Camp Name],0)-1,0,1,1),"")</f>
        <v/>
      </c>
      <c r="AL529" s="513" t="str">
        <f ca="1">IFERROR(OFFSET(Camp_List[Status],MATCH(Data_NFI_t[[#This Row],[Camp Name]],Camp_List[Camp Name],0)-1,0,1,1),"")</f>
        <v/>
      </c>
      <c r="AM529" s="131"/>
    </row>
    <row r="530" spans="1:39" s="793" customFormat="1" ht="19.5" customHeight="1" x14ac:dyDescent="0.25">
      <c r="A530" s="242" t="str">
        <f>IF(ISBLANK(C530),"",(Report_Date-C530)/30)</f>
        <v/>
      </c>
      <c r="B530" s="522">
        <f>YEAR(Data_NFI_t[[#This Row],[Distribution Date]])</f>
        <v>1900</v>
      </c>
      <c r="C530" s="927"/>
      <c r="D530" s="489"/>
      <c r="E530" s="488"/>
      <c r="F530" s="489"/>
      <c r="G530" s="794"/>
      <c r="H530" s="794"/>
      <c r="I530" s="794"/>
      <c r="J530" s="51"/>
      <c r="K530" s="51"/>
      <c r="L530" s="119"/>
      <c r="M530" s="119"/>
      <c r="N530" s="119"/>
      <c r="O530" s="119"/>
      <c r="P530" s="119"/>
      <c r="Q530" s="119"/>
      <c r="R530" s="512"/>
      <c r="S530" s="119"/>
      <c r="T530" s="119"/>
      <c r="U530" s="119"/>
      <c r="V530" s="119"/>
      <c r="W530" s="131">
        <f>IF(NFI_Expiration=1,IF($A530&lt;VLOOKUP(I$5,NFI,5,0),1,0)*Data_NFI_t[[#This Row],[Hygiene Kit]],0)</f>
        <v>0</v>
      </c>
      <c r="X530" s="131">
        <f>IF(NFI_Expiration=1,IF($A530&lt;VLOOKUP(J$5,NFI,5,0),1,0)*Data_NFI_t[[#This Row],[NFI Core Kit]],0)</f>
        <v>0</v>
      </c>
      <c r="Y530" s="112">
        <f>IF(NFI_Expiration=1,IF($A530&lt;VLOOKUP(K$5,NFI,5,0),1,0)*Data_NFI_t[[#This Row],[Sanitary Kit]],0)</f>
        <v>0</v>
      </c>
      <c r="Z530" s="112">
        <f>IF(NFI_Expiration=1,IF($A530&lt;VLOOKUP(L$5,NFI,5,0),1,0)*Data_NFI_t[[#This Row],[Mosquito net]],0)</f>
        <v>0</v>
      </c>
      <c r="AA530" s="112">
        <f>IF(NFI_Expiration=1,IF($A530&lt;VLOOKUP(M$5,NFI,5,0),1,0)*Data_NFI_t[[#This Row],[Tarpaulin]],0)</f>
        <v>0</v>
      </c>
      <c r="AB530" s="112">
        <f>IF(NFI_Expiration=1,IF($A530&lt;VLOOKUP(N$5,NFI,5,0),1,0)*Data_NFI_t[[#This Row],[Blanket]],0)</f>
        <v>0</v>
      </c>
      <c r="AC530" s="112">
        <f>IF(NFI_Expiration=1,IF($A530&lt;VLOOKUP(O$5,NFI,5,0),1,0)*Data_NFI_t[[#This Row],[Kitchen Set]],0)</f>
        <v>0</v>
      </c>
      <c r="AD530" s="112">
        <f>IF(NFI_Expiration=1,IF($A530&lt;VLOOKUP(P$5,NFI,5,0),1,0)*Data_NFI_t[[#This Row],[Complementary Kit]],0)</f>
        <v>0</v>
      </c>
      <c r="AE530" s="112">
        <f>IF(NFI_Expiration=1,IF($A530&lt;VLOOKUP(Q$5,NFI,5,0),1,0)*Data_NFI_t[[#This Row],[Plastic Bucket]],0)</f>
        <v>0</v>
      </c>
      <c r="AF530" s="131">
        <f>IF(NFI_Expiration=1,IF($A530&lt;VLOOKUP(R$5,NFI,5,0),1,0)*Data_NFI_t[[#This Row],[Jerry Can]],0)</f>
        <v>0</v>
      </c>
      <c r="AG530" s="131">
        <f>IF(NFI_Expiration=1,IF($A530&lt;VLOOKUP(S$5,NFI,5,0),1,0)*Data_NFI_t[[#This Row],[Plastic Mat]],0)*IF(Data_NFI_t[[#This Row],[Distribution Date]]&gt;"01-06-2015",1,2.5)</f>
        <v>0</v>
      </c>
      <c r="AH530" s="915">
        <f>IF(NFI_Expiration=1,IF($A530&lt;VLOOKUP(T$5,NFI,5,0),1,0)*Data_NFI_t[[#This Row],[Adult Clothes]],0)</f>
        <v>0</v>
      </c>
      <c r="AI530" s="131">
        <f>IF(NFI_Expiration=1,IF($A530&lt;VLOOKUP(U$5,NFI,5,0),1,0)*Data_NFI_t[[#This Row],[Children Clothes]],0)</f>
        <v>0</v>
      </c>
      <c r="AJ530" s="131">
        <f>IF(NFI_Expiration=1,IF($A530&lt;VLOOKUP(V$5,NFI,5,0),1,0)*Data_NFI_t[[#This Row],[Sewing Kit]],0)</f>
        <v>0</v>
      </c>
      <c r="AK530" s="131" t="str">
        <f ca="1">IFERROR(OFFSET(Camp_List[P_Code],MATCH(Data_NFI_t[[#This Row],[Camp Name]],Camp_List[Camp Name],0)-1,0,1,1),"")</f>
        <v/>
      </c>
      <c r="AL530" s="513" t="str">
        <f ca="1">IFERROR(OFFSET(Camp_List[Status],MATCH(Data_NFI_t[[#This Row],[Camp Name]],Camp_List[Camp Name],0)-1,0,1,1),"")</f>
        <v/>
      </c>
      <c r="AM530" s="131"/>
    </row>
    <row r="531" spans="1:39" s="793" customFormat="1" ht="19.5" customHeight="1" x14ac:dyDescent="0.25">
      <c r="A531" s="242" t="str">
        <f>IF(ISBLANK(C531),"",(Report_Date-C531)/30)</f>
        <v/>
      </c>
      <c r="B531" s="522">
        <f>YEAR(Data_NFI_t[[#This Row],[Distribution Date]])</f>
        <v>1900</v>
      </c>
      <c r="C531" s="927"/>
      <c r="D531" s="489"/>
      <c r="E531" s="488"/>
      <c r="F531" s="489"/>
      <c r="G531" s="794"/>
      <c r="H531" s="794"/>
      <c r="I531" s="794"/>
      <c r="J531" s="51"/>
      <c r="K531" s="51"/>
      <c r="L531" s="119"/>
      <c r="M531" s="119"/>
      <c r="N531" s="119"/>
      <c r="O531" s="119"/>
      <c r="P531" s="119"/>
      <c r="Q531" s="119"/>
      <c r="R531" s="512"/>
      <c r="S531" s="119"/>
      <c r="T531" s="119"/>
      <c r="U531" s="119"/>
      <c r="V531" s="119"/>
      <c r="W531" s="131">
        <f>IF(NFI_Expiration=1,IF($A531&lt;VLOOKUP(I$5,NFI,5,0),1,0)*Data_NFI_t[[#This Row],[Hygiene Kit]],0)</f>
        <v>0</v>
      </c>
      <c r="X531" s="131">
        <f>IF(NFI_Expiration=1,IF($A531&lt;VLOOKUP(J$5,NFI,5,0),1,0)*Data_NFI_t[[#This Row],[NFI Core Kit]],0)</f>
        <v>0</v>
      </c>
      <c r="Y531" s="112">
        <f>IF(NFI_Expiration=1,IF($A531&lt;VLOOKUP(K$5,NFI,5,0),1,0)*Data_NFI_t[[#This Row],[Sanitary Kit]],0)</f>
        <v>0</v>
      </c>
      <c r="Z531" s="112">
        <f>IF(NFI_Expiration=1,IF($A531&lt;VLOOKUP(L$5,NFI,5,0),1,0)*Data_NFI_t[[#This Row],[Mosquito net]],0)</f>
        <v>0</v>
      </c>
      <c r="AA531" s="112">
        <f>IF(NFI_Expiration=1,IF($A531&lt;VLOOKUP(M$5,NFI,5,0),1,0)*Data_NFI_t[[#This Row],[Tarpaulin]],0)</f>
        <v>0</v>
      </c>
      <c r="AB531" s="112">
        <f>IF(NFI_Expiration=1,IF($A531&lt;VLOOKUP(N$5,NFI,5,0),1,0)*Data_NFI_t[[#This Row],[Blanket]],0)</f>
        <v>0</v>
      </c>
      <c r="AC531" s="112">
        <f>IF(NFI_Expiration=1,IF($A531&lt;VLOOKUP(O$5,NFI,5,0),1,0)*Data_NFI_t[[#This Row],[Kitchen Set]],0)</f>
        <v>0</v>
      </c>
      <c r="AD531" s="112">
        <f>IF(NFI_Expiration=1,IF($A531&lt;VLOOKUP(P$5,NFI,5,0),1,0)*Data_NFI_t[[#This Row],[Complementary Kit]],0)</f>
        <v>0</v>
      </c>
      <c r="AE531" s="112">
        <f>IF(NFI_Expiration=1,IF($A531&lt;VLOOKUP(Q$5,NFI,5,0),1,0)*Data_NFI_t[[#This Row],[Plastic Bucket]],0)</f>
        <v>0</v>
      </c>
      <c r="AF531" s="131">
        <f>IF(NFI_Expiration=1,IF($A531&lt;VLOOKUP(R$5,NFI,5,0),1,0)*Data_NFI_t[[#This Row],[Jerry Can]],0)</f>
        <v>0</v>
      </c>
      <c r="AG531" s="131">
        <f>IF(NFI_Expiration=1,IF($A531&lt;VLOOKUP(S$5,NFI,5,0),1,0)*Data_NFI_t[[#This Row],[Plastic Mat]],0)*IF(Data_NFI_t[[#This Row],[Distribution Date]]&gt;"01-06-2015",1,2.5)</f>
        <v>0</v>
      </c>
      <c r="AH531" s="915">
        <f>IF(NFI_Expiration=1,IF($A531&lt;VLOOKUP(T$5,NFI,5,0),1,0)*Data_NFI_t[[#This Row],[Adult Clothes]],0)</f>
        <v>0</v>
      </c>
      <c r="AI531" s="131">
        <f>IF(NFI_Expiration=1,IF($A531&lt;VLOOKUP(U$5,NFI,5,0),1,0)*Data_NFI_t[[#This Row],[Children Clothes]],0)</f>
        <v>0</v>
      </c>
      <c r="AJ531" s="131">
        <f>IF(NFI_Expiration=1,IF($A531&lt;VLOOKUP(V$5,NFI,5,0),1,0)*Data_NFI_t[[#This Row],[Sewing Kit]],0)</f>
        <v>0</v>
      </c>
      <c r="AK531" s="131" t="str">
        <f ca="1">IFERROR(OFFSET(Camp_List[P_Code],MATCH(Data_NFI_t[[#This Row],[Camp Name]],Camp_List[Camp Name],0)-1,0,1,1),"")</f>
        <v/>
      </c>
      <c r="AL531" s="513" t="str">
        <f ca="1">IFERROR(OFFSET(Camp_List[Status],MATCH(Data_NFI_t[[#This Row],[Camp Name]],Camp_List[Camp Name],0)-1,0,1,1),"")</f>
        <v/>
      </c>
      <c r="AM531" s="131"/>
    </row>
    <row r="532" spans="1:39" s="793" customFormat="1" ht="19.5" customHeight="1" x14ac:dyDescent="0.25">
      <c r="A532" s="242" t="str">
        <f>IF(ISBLANK(C532),"",(Report_Date-C532)/30)</f>
        <v/>
      </c>
      <c r="B532" s="522">
        <f>YEAR(Data_NFI_t[[#This Row],[Distribution Date]])</f>
        <v>1900</v>
      </c>
      <c r="C532" s="927"/>
      <c r="D532" s="489"/>
      <c r="E532" s="488"/>
      <c r="F532" s="489"/>
      <c r="G532" s="794"/>
      <c r="H532" s="794"/>
      <c r="I532" s="794"/>
      <c r="J532" s="51"/>
      <c r="K532" s="51"/>
      <c r="L532" s="119"/>
      <c r="M532" s="119"/>
      <c r="N532" s="119"/>
      <c r="O532" s="119"/>
      <c r="P532" s="119"/>
      <c r="Q532" s="119"/>
      <c r="R532" s="512"/>
      <c r="S532" s="119"/>
      <c r="T532" s="119"/>
      <c r="U532" s="119"/>
      <c r="V532" s="119"/>
      <c r="W532" s="131">
        <f>IF(NFI_Expiration=1,IF($A532&lt;VLOOKUP(I$5,NFI,5,0),1,0)*Data_NFI_t[[#This Row],[Hygiene Kit]],0)</f>
        <v>0</v>
      </c>
      <c r="X532" s="131">
        <f>IF(NFI_Expiration=1,IF($A532&lt;VLOOKUP(J$5,NFI,5,0),1,0)*Data_NFI_t[[#This Row],[NFI Core Kit]],0)</f>
        <v>0</v>
      </c>
      <c r="Y532" s="112">
        <f>IF(NFI_Expiration=1,IF($A532&lt;VLOOKUP(K$5,NFI,5,0),1,0)*Data_NFI_t[[#This Row],[Sanitary Kit]],0)</f>
        <v>0</v>
      </c>
      <c r="Z532" s="112">
        <f>IF(NFI_Expiration=1,IF($A532&lt;VLOOKUP(L$5,NFI,5,0),1,0)*Data_NFI_t[[#This Row],[Mosquito net]],0)</f>
        <v>0</v>
      </c>
      <c r="AA532" s="112">
        <f>IF(NFI_Expiration=1,IF($A532&lt;VLOOKUP(M$5,NFI,5,0),1,0)*Data_NFI_t[[#This Row],[Tarpaulin]],0)</f>
        <v>0</v>
      </c>
      <c r="AB532" s="112">
        <f>IF(NFI_Expiration=1,IF($A532&lt;VLOOKUP(N$5,NFI,5,0),1,0)*Data_NFI_t[[#This Row],[Blanket]],0)</f>
        <v>0</v>
      </c>
      <c r="AC532" s="112">
        <f>IF(NFI_Expiration=1,IF($A532&lt;VLOOKUP(O$5,NFI,5,0),1,0)*Data_NFI_t[[#This Row],[Kitchen Set]],0)</f>
        <v>0</v>
      </c>
      <c r="AD532" s="112">
        <f>IF(NFI_Expiration=1,IF($A532&lt;VLOOKUP(P$5,NFI,5,0),1,0)*Data_NFI_t[[#This Row],[Complementary Kit]],0)</f>
        <v>0</v>
      </c>
      <c r="AE532" s="112">
        <f>IF(NFI_Expiration=1,IF($A532&lt;VLOOKUP(Q$5,NFI,5,0),1,0)*Data_NFI_t[[#This Row],[Plastic Bucket]],0)</f>
        <v>0</v>
      </c>
      <c r="AF532" s="131">
        <f>IF(NFI_Expiration=1,IF($A532&lt;VLOOKUP(R$5,NFI,5,0),1,0)*Data_NFI_t[[#This Row],[Jerry Can]],0)</f>
        <v>0</v>
      </c>
      <c r="AG532" s="131">
        <f>IF(NFI_Expiration=1,IF($A532&lt;VLOOKUP(S$5,NFI,5,0),1,0)*Data_NFI_t[[#This Row],[Plastic Mat]],0)*IF(Data_NFI_t[[#This Row],[Distribution Date]]&gt;"01-06-2015",1,2.5)</f>
        <v>0</v>
      </c>
      <c r="AH532" s="915">
        <f>IF(NFI_Expiration=1,IF($A532&lt;VLOOKUP(T$5,NFI,5,0),1,0)*Data_NFI_t[[#This Row],[Adult Clothes]],0)</f>
        <v>0</v>
      </c>
      <c r="AI532" s="131">
        <f>IF(NFI_Expiration=1,IF($A532&lt;VLOOKUP(U$5,NFI,5,0),1,0)*Data_NFI_t[[#This Row],[Children Clothes]],0)</f>
        <v>0</v>
      </c>
      <c r="AJ532" s="131">
        <f>IF(NFI_Expiration=1,IF($A532&lt;VLOOKUP(V$5,NFI,5,0),1,0)*Data_NFI_t[[#This Row],[Sewing Kit]],0)</f>
        <v>0</v>
      </c>
      <c r="AK532" s="131" t="str">
        <f ca="1">IFERROR(OFFSET(Camp_List[P_Code],MATCH(Data_NFI_t[[#This Row],[Camp Name]],Camp_List[Camp Name],0)-1,0,1,1),"")</f>
        <v/>
      </c>
      <c r="AL532" s="513" t="str">
        <f ca="1">IFERROR(OFFSET(Camp_List[Status],MATCH(Data_NFI_t[[#This Row],[Camp Name]],Camp_List[Camp Name],0)-1,0,1,1),"")</f>
        <v/>
      </c>
      <c r="AM532" s="131"/>
    </row>
    <row r="533" spans="1:39" s="793" customFormat="1" ht="19.5" customHeight="1" x14ac:dyDescent="0.25">
      <c r="A533" s="242" t="str">
        <f>IF(ISBLANK(C533),"",(Report_Date-C533)/30)</f>
        <v/>
      </c>
      <c r="B533" s="522">
        <f>YEAR(Data_NFI_t[[#This Row],[Distribution Date]])</f>
        <v>1900</v>
      </c>
      <c r="C533" s="927"/>
      <c r="D533" s="489"/>
      <c r="E533" s="488"/>
      <c r="F533" s="489"/>
      <c r="G533" s="794"/>
      <c r="H533" s="794"/>
      <c r="I533" s="794"/>
      <c r="J533" s="51"/>
      <c r="K533" s="51"/>
      <c r="L533" s="119"/>
      <c r="M533" s="119"/>
      <c r="N533" s="119"/>
      <c r="O533" s="119"/>
      <c r="P533" s="119"/>
      <c r="Q533" s="119"/>
      <c r="R533" s="512"/>
      <c r="S533" s="119"/>
      <c r="T533" s="119"/>
      <c r="U533" s="119"/>
      <c r="V533" s="119"/>
      <c r="W533" s="131">
        <f>IF(NFI_Expiration=1,IF($A533&lt;VLOOKUP(I$5,NFI,5,0),1,0)*Data_NFI_t[[#This Row],[Hygiene Kit]],0)</f>
        <v>0</v>
      </c>
      <c r="X533" s="131">
        <f>IF(NFI_Expiration=1,IF($A533&lt;VLOOKUP(J$5,NFI,5,0),1,0)*Data_NFI_t[[#This Row],[NFI Core Kit]],0)</f>
        <v>0</v>
      </c>
      <c r="Y533" s="112">
        <f>IF(NFI_Expiration=1,IF($A533&lt;VLOOKUP(K$5,NFI,5,0),1,0)*Data_NFI_t[[#This Row],[Sanitary Kit]],0)</f>
        <v>0</v>
      </c>
      <c r="Z533" s="112">
        <f>IF(NFI_Expiration=1,IF($A533&lt;VLOOKUP(L$5,NFI,5,0),1,0)*Data_NFI_t[[#This Row],[Mosquito net]],0)</f>
        <v>0</v>
      </c>
      <c r="AA533" s="112">
        <f>IF(NFI_Expiration=1,IF($A533&lt;VLOOKUP(M$5,NFI,5,0),1,0)*Data_NFI_t[[#This Row],[Tarpaulin]],0)</f>
        <v>0</v>
      </c>
      <c r="AB533" s="112">
        <f>IF(NFI_Expiration=1,IF($A533&lt;VLOOKUP(N$5,NFI,5,0),1,0)*Data_NFI_t[[#This Row],[Blanket]],0)</f>
        <v>0</v>
      </c>
      <c r="AC533" s="112">
        <f>IF(NFI_Expiration=1,IF($A533&lt;VLOOKUP(O$5,NFI,5,0),1,0)*Data_NFI_t[[#This Row],[Kitchen Set]],0)</f>
        <v>0</v>
      </c>
      <c r="AD533" s="112">
        <f>IF(NFI_Expiration=1,IF($A533&lt;VLOOKUP(P$5,NFI,5,0),1,0)*Data_NFI_t[[#This Row],[Complementary Kit]],0)</f>
        <v>0</v>
      </c>
      <c r="AE533" s="112">
        <f>IF(NFI_Expiration=1,IF($A533&lt;VLOOKUP(Q$5,NFI,5,0),1,0)*Data_NFI_t[[#This Row],[Plastic Bucket]],0)</f>
        <v>0</v>
      </c>
      <c r="AF533" s="131">
        <f>IF(NFI_Expiration=1,IF($A533&lt;VLOOKUP(R$5,NFI,5,0),1,0)*Data_NFI_t[[#This Row],[Jerry Can]],0)</f>
        <v>0</v>
      </c>
      <c r="AG533" s="131">
        <f>IF(NFI_Expiration=1,IF($A533&lt;VLOOKUP(S$5,NFI,5,0),1,0)*Data_NFI_t[[#This Row],[Plastic Mat]],0)*IF(Data_NFI_t[[#This Row],[Distribution Date]]&gt;"01-06-2015",1,2.5)</f>
        <v>0</v>
      </c>
      <c r="AH533" s="915">
        <f>IF(NFI_Expiration=1,IF($A533&lt;VLOOKUP(T$5,NFI,5,0),1,0)*Data_NFI_t[[#This Row],[Adult Clothes]],0)</f>
        <v>0</v>
      </c>
      <c r="AI533" s="131">
        <f>IF(NFI_Expiration=1,IF($A533&lt;VLOOKUP(U$5,NFI,5,0),1,0)*Data_NFI_t[[#This Row],[Children Clothes]],0)</f>
        <v>0</v>
      </c>
      <c r="AJ533" s="131">
        <f>IF(NFI_Expiration=1,IF($A533&lt;VLOOKUP(V$5,NFI,5,0),1,0)*Data_NFI_t[[#This Row],[Sewing Kit]],0)</f>
        <v>0</v>
      </c>
      <c r="AK533" s="131" t="str">
        <f ca="1">IFERROR(OFFSET(Camp_List[P_Code],MATCH(Data_NFI_t[[#This Row],[Camp Name]],Camp_List[Camp Name],0)-1,0,1,1),"")</f>
        <v/>
      </c>
      <c r="AL533" s="513" t="str">
        <f ca="1">IFERROR(OFFSET(Camp_List[Status],MATCH(Data_NFI_t[[#This Row],[Camp Name]],Camp_List[Camp Name],0)-1,0,1,1),"")</f>
        <v/>
      </c>
      <c r="AM533" s="131"/>
    </row>
    <row r="534" spans="1:39" s="793" customFormat="1" ht="19.5" customHeight="1" x14ac:dyDescent="0.25">
      <c r="A534" s="242" t="str">
        <f>IF(ISBLANK(C534),"",(Report_Date-C534)/30)</f>
        <v/>
      </c>
      <c r="B534" s="522">
        <f>YEAR(Data_NFI_t[[#This Row],[Distribution Date]])</f>
        <v>1900</v>
      </c>
      <c r="C534" s="927"/>
      <c r="D534" s="489"/>
      <c r="E534" s="488"/>
      <c r="F534" s="489"/>
      <c r="G534" s="794"/>
      <c r="H534" s="794"/>
      <c r="I534" s="794"/>
      <c r="J534" s="51"/>
      <c r="K534" s="51"/>
      <c r="L534" s="119"/>
      <c r="M534" s="119"/>
      <c r="N534" s="119"/>
      <c r="O534" s="119"/>
      <c r="P534" s="119"/>
      <c r="Q534" s="119"/>
      <c r="R534" s="512"/>
      <c r="S534" s="119"/>
      <c r="T534" s="119"/>
      <c r="U534" s="119"/>
      <c r="V534" s="119"/>
      <c r="W534" s="131">
        <f>IF(NFI_Expiration=1,IF($A534&lt;VLOOKUP(I$5,NFI,5,0),1,0)*Data_NFI_t[[#This Row],[Hygiene Kit]],0)</f>
        <v>0</v>
      </c>
      <c r="X534" s="131">
        <f>IF(NFI_Expiration=1,IF($A534&lt;VLOOKUP(J$5,NFI,5,0),1,0)*Data_NFI_t[[#This Row],[NFI Core Kit]],0)</f>
        <v>0</v>
      </c>
      <c r="Y534" s="112">
        <f>IF(NFI_Expiration=1,IF($A534&lt;VLOOKUP(K$5,NFI,5,0),1,0)*Data_NFI_t[[#This Row],[Sanitary Kit]],0)</f>
        <v>0</v>
      </c>
      <c r="Z534" s="112">
        <f>IF(NFI_Expiration=1,IF($A534&lt;VLOOKUP(L$5,NFI,5,0),1,0)*Data_NFI_t[[#This Row],[Mosquito net]],0)</f>
        <v>0</v>
      </c>
      <c r="AA534" s="112">
        <f>IF(NFI_Expiration=1,IF($A534&lt;VLOOKUP(M$5,NFI,5,0),1,0)*Data_NFI_t[[#This Row],[Tarpaulin]],0)</f>
        <v>0</v>
      </c>
      <c r="AB534" s="112">
        <f>IF(NFI_Expiration=1,IF($A534&lt;VLOOKUP(N$5,NFI,5,0),1,0)*Data_NFI_t[[#This Row],[Blanket]],0)</f>
        <v>0</v>
      </c>
      <c r="AC534" s="112">
        <f>IF(NFI_Expiration=1,IF($A534&lt;VLOOKUP(O$5,NFI,5,0),1,0)*Data_NFI_t[[#This Row],[Kitchen Set]],0)</f>
        <v>0</v>
      </c>
      <c r="AD534" s="112">
        <f>IF(NFI_Expiration=1,IF($A534&lt;VLOOKUP(P$5,NFI,5,0),1,0)*Data_NFI_t[[#This Row],[Complementary Kit]],0)</f>
        <v>0</v>
      </c>
      <c r="AE534" s="112">
        <f>IF(NFI_Expiration=1,IF($A534&lt;VLOOKUP(Q$5,NFI,5,0),1,0)*Data_NFI_t[[#This Row],[Plastic Bucket]],0)</f>
        <v>0</v>
      </c>
      <c r="AF534" s="131">
        <f>IF(NFI_Expiration=1,IF($A534&lt;VLOOKUP(R$5,NFI,5,0),1,0)*Data_NFI_t[[#This Row],[Jerry Can]],0)</f>
        <v>0</v>
      </c>
      <c r="AG534" s="131">
        <f>IF(NFI_Expiration=1,IF($A534&lt;VLOOKUP(S$5,NFI,5,0),1,0)*Data_NFI_t[[#This Row],[Plastic Mat]],0)*IF(Data_NFI_t[[#This Row],[Distribution Date]]&gt;"01-06-2015",1,2.5)</f>
        <v>0</v>
      </c>
      <c r="AH534" s="915">
        <f>IF(NFI_Expiration=1,IF($A534&lt;VLOOKUP(T$5,NFI,5,0),1,0)*Data_NFI_t[[#This Row],[Adult Clothes]],0)</f>
        <v>0</v>
      </c>
      <c r="AI534" s="131">
        <f>IF(NFI_Expiration=1,IF($A534&lt;VLOOKUP(U$5,NFI,5,0),1,0)*Data_NFI_t[[#This Row],[Children Clothes]],0)</f>
        <v>0</v>
      </c>
      <c r="AJ534" s="131">
        <f>IF(NFI_Expiration=1,IF($A534&lt;VLOOKUP(V$5,NFI,5,0),1,0)*Data_NFI_t[[#This Row],[Sewing Kit]],0)</f>
        <v>0</v>
      </c>
      <c r="AK534" s="131" t="str">
        <f ca="1">IFERROR(OFFSET(Camp_List[P_Code],MATCH(Data_NFI_t[[#This Row],[Camp Name]],Camp_List[Camp Name],0)-1,0,1,1),"")</f>
        <v/>
      </c>
      <c r="AL534" s="513" t="str">
        <f ca="1">IFERROR(OFFSET(Camp_List[Status],MATCH(Data_NFI_t[[#This Row],[Camp Name]],Camp_List[Camp Name],0)-1,0,1,1),"")</f>
        <v/>
      </c>
      <c r="AM534" s="131"/>
    </row>
    <row r="535" spans="1:39" s="793" customFormat="1" ht="19.5" customHeight="1" x14ac:dyDescent="0.25">
      <c r="A535" s="242" t="str">
        <f>IF(ISBLANK(C535),"",(Report_Date-C535)/30)</f>
        <v/>
      </c>
      <c r="B535" s="522">
        <f>YEAR(Data_NFI_t[[#This Row],[Distribution Date]])</f>
        <v>1900</v>
      </c>
      <c r="C535" s="927"/>
      <c r="D535" s="489"/>
      <c r="E535" s="488"/>
      <c r="F535" s="489"/>
      <c r="G535" s="794"/>
      <c r="H535" s="794"/>
      <c r="I535" s="794"/>
      <c r="J535" s="51"/>
      <c r="K535" s="51"/>
      <c r="L535" s="119"/>
      <c r="M535" s="119"/>
      <c r="N535" s="119"/>
      <c r="O535" s="119"/>
      <c r="P535" s="119"/>
      <c r="Q535" s="119"/>
      <c r="R535" s="512"/>
      <c r="S535" s="119"/>
      <c r="T535" s="119"/>
      <c r="U535" s="119"/>
      <c r="V535" s="119"/>
      <c r="W535" s="131">
        <f>IF(NFI_Expiration=1,IF($A535&lt;VLOOKUP(I$5,NFI,5,0),1,0)*Data_NFI_t[[#This Row],[Hygiene Kit]],0)</f>
        <v>0</v>
      </c>
      <c r="X535" s="131">
        <f>IF(NFI_Expiration=1,IF($A535&lt;VLOOKUP(J$5,NFI,5,0),1,0)*Data_NFI_t[[#This Row],[NFI Core Kit]],0)</f>
        <v>0</v>
      </c>
      <c r="Y535" s="112">
        <f>IF(NFI_Expiration=1,IF($A535&lt;VLOOKUP(K$5,NFI,5,0),1,0)*Data_NFI_t[[#This Row],[Sanitary Kit]],0)</f>
        <v>0</v>
      </c>
      <c r="Z535" s="112">
        <f>IF(NFI_Expiration=1,IF($A535&lt;VLOOKUP(L$5,NFI,5,0),1,0)*Data_NFI_t[[#This Row],[Mosquito net]],0)</f>
        <v>0</v>
      </c>
      <c r="AA535" s="112">
        <f>IF(NFI_Expiration=1,IF($A535&lt;VLOOKUP(M$5,NFI,5,0),1,0)*Data_NFI_t[[#This Row],[Tarpaulin]],0)</f>
        <v>0</v>
      </c>
      <c r="AB535" s="112">
        <f>IF(NFI_Expiration=1,IF($A535&lt;VLOOKUP(N$5,NFI,5,0),1,0)*Data_NFI_t[[#This Row],[Blanket]],0)</f>
        <v>0</v>
      </c>
      <c r="AC535" s="112">
        <f>IF(NFI_Expiration=1,IF($A535&lt;VLOOKUP(O$5,NFI,5,0),1,0)*Data_NFI_t[[#This Row],[Kitchen Set]],0)</f>
        <v>0</v>
      </c>
      <c r="AD535" s="112">
        <f>IF(NFI_Expiration=1,IF($A535&lt;VLOOKUP(P$5,NFI,5,0),1,0)*Data_NFI_t[[#This Row],[Complementary Kit]],0)</f>
        <v>0</v>
      </c>
      <c r="AE535" s="112">
        <f>IF(NFI_Expiration=1,IF($A535&lt;VLOOKUP(Q$5,NFI,5,0),1,0)*Data_NFI_t[[#This Row],[Plastic Bucket]],0)</f>
        <v>0</v>
      </c>
      <c r="AF535" s="131">
        <f>IF(NFI_Expiration=1,IF($A535&lt;VLOOKUP(R$5,NFI,5,0),1,0)*Data_NFI_t[[#This Row],[Jerry Can]],0)</f>
        <v>0</v>
      </c>
      <c r="AG535" s="131">
        <f>IF(NFI_Expiration=1,IF($A535&lt;VLOOKUP(S$5,NFI,5,0),1,0)*Data_NFI_t[[#This Row],[Plastic Mat]],0)*IF(Data_NFI_t[[#This Row],[Distribution Date]]&gt;"01-06-2015",1,2.5)</f>
        <v>0</v>
      </c>
      <c r="AH535" s="915">
        <f>IF(NFI_Expiration=1,IF($A535&lt;VLOOKUP(T$5,NFI,5,0),1,0)*Data_NFI_t[[#This Row],[Adult Clothes]],0)</f>
        <v>0</v>
      </c>
      <c r="AI535" s="131">
        <f>IF(NFI_Expiration=1,IF($A535&lt;VLOOKUP(U$5,NFI,5,0),1,0)*Data_NFI_t[[#This Row],[Children Clothes]],0)</f>
        <v>0</v>
      </c>
      <c r="AJ535" s="131">
        <f>IF(NFI_Expiration=1,IF($A535&lt;VLOOKUP(V$5,NFI,5,0),1,0)*Data_NFI_t[[#This Row],[Sewing Kit]],0)</f>
        <v>0</v>
      </c>
      <c r="AK535" s="131" t="str">
        <f ca="1">IFERROR(OFFSET(Camp_List[P_Code],MATCH(Data_NFI_t[[#This Row],[Camp Name]],Camp_List[Camp Name],0)-1,0,1,1),"")</f>
        <v/>
      </c>
      <c r="AL535" s="513" t="str">
        <f ca="1">IFERROR(OFFSET(Camp_List[Status],MATCH(Data_NFI_t[[#This Row],[Camp Name]],Camp_List[Camp Name],0)-1,0,1,1),"")</f>
        <v/>
      </c>
      <c r="AM535" s="131"/>
    </row>
    <row r="536" spans="1:39" s="793" customFormat="1" ht="19.5" customHeight="1" x14ac:dyDescent="0.25">
      <c r="A536" s="242" t="str">
        <f>IF(ISBLANK(C536),"",(Report_Date-C536)/30)</f>
        <v/>
      </c>
      <c r="B536" s="522">
        <f>YEAR(Data_NFI_t[[#This Row],[Distribution Date]])</f>
        <v>1900</v>
      </c>
      <c r="C536" s="927"/>
      <c r="D536" s="489"/>
      <c r="E536" s="488"/>
      <c r="F536" s="489"/>
      <c r="G536" s="794"/>
      <c r="H536" s="794"/>
      <c r="I536" s="794"/>
      <c r="J536" s="51"/>
      <c r="K536" s="51"/>
      <c r="L536" s="119"/>
      <c r="M536" s="119"/>
      <c r="N536" s="119"/>
      <c r="O536" s="119"/>
      <c r="P536" s="119"/>
      <c r="Q536" s="119"/>
      <c r="R536" s="512"/>
      <c r="S536" s="119"/>
      <c r="T536" s="119"/>
      <c r="U536" s="119"/>
      <c r="V536" s="119"/>
      <c r="W536" s="131">
        <f>IF(NFI_Expiration=1,IF($A536&lt;VLOOKUP(I$5,NFI,5,0),1,0)*Data_NFI_t[[#This Row],[Hygiene Kit]],0)</f>
        <v>0</v>
      </c>
      <c r="X536" s="131">
        <f>IF(NFI_Expiration=1,IF($A536&lt;VLOOKUP(J$5,NFI,5,0),1,0)*Data_NFI_t[[#This Row],[NFI Core Kit]],0)</f>
        <v>0</v>
      </c>
      <c r="Y536" s="112">
        <f>IF(NFI_Expiration=1,IF($A536&lt;VLOOKUP(K$5,NFI,5,0),1,0)*Data_NFI_t[[#This Row],[Sanitary Kit]],0)</f>
        <v>0</v>
      </c>
      <c r="Z536" s="112">
        <f>IF(NFI_Expiration=1,IF($A536&lt;VLOOKUP(L$5,NFI,5,0),1,0)*Data_NFI_t[[#This Row],[Mosquito net]],0)</f>
        <v>0</v>
      </c>
      <c r="AA536" s="112">
        <f>IF(NFI_Expiration=1,IF($A536&lt;VLOOKUP(M$5,NFI,5,0),1,0)*Data_NFI_t[[#This Row],[Tarpaulin]],0)</f>
        <v>0</v>
      </c>
      <c r="AB536" s="112">
        <f>IF(NFI_Expiration=1,IF($A536&lt;VLOOKUP(N$5,NFI,5,0),1,0)*Data_NFI_t[[#This Row],[Blanket]],0)</f>
        <v>0</v>
      </c>
      <c r="AC536" s="112">
        <f>IF(NFI_Expiration=1,IF($A536&lt;VLOOKUP(O$5,NFI,5,0),1,0)*Data_NFI_t[[#This Row],[Kitchen Set]],0)</f>
        <v>0</v>
      </c>
      <c r="AD536" s="112">
        <f>IF(NFI_Expiration=1,IF($A536&lt;VLOOKUP(P$5,NFI,5,0),1,0)*Data_NFI_t[[#This Row],[Complementary Kit]],0)</f>
        <v>0</v>
      </c>
      <c r="AE536" s="112">
        <f>IF(NFI_Expiration=1,IF($A536&lt;VLOOKUP(Q$5,NFI,5,0),1,0)*Data_NFI_t[[#This Row],[Plastic Bucket]],0)</f>
        <v>0</v>
      </c>
      <c r="AF536" s="131">
        <f>IF(NFI_Expiration=1,IF($A536&lt;VLOOKUP(R$5,NFI,5,0),1,0)*Data_NFI_t[[#This Row],[Jerry Can]],0)</f>
        <v>0</v>
      </c>
      <c r="AG536" s="131">
        <f>IF(NFI_Expiration=1,IF($A536&lt;VLOOKUP(S$5,NFI,5,0),1,0)*Data_NFI_t[[#This Row],[Plastic Mat]],0)*IF(Data_NFI_t[[#This Row],[Distribution Date]]&gt;"01-06-2015",1,2.5)</f>
        <v>0</v>
      </c>
      <c r="AH536" s="915">
        <f>IF(NFI_Expiration=1,IF($A536&lt;VLOOKUP(T$5,NFI,5,0),1,0)*Data_NFI_t[[#This Row],[Adult Clothes]],0)</f>
        <v>0</v>
      </c>
      <c r="AI536" s="131">
        <f>IF(NFI_Expiration=1,IF($A536&lt;VLOOKUP(U$5,NFI,5,0),1,0)*Data_NFI_t[[#This Row],[Children Clothes]],0)</f>
        <v>0</v>
      </c>
      <c r="AJ536" s="131">
        <f>IF(NFI_Expiration=1,IF($A536&lt;VLOOKUP(V$5,NFI,5,0),1,0)*Data_NFI_t[[#This Row],[Sewing Kit]],0)</f>
        <v>0</v>
      </c>
      <c r="AK536" s="131" t="str">
        <f ca="1">IFERROR(OFFSET(Camp_List[P_Code],MATCH(Data_NFI_t[[#This Row],[Camp Name]],Camp_List[Camp Name],0)-1,0,1,1),"")</f>
        <v/>
      </c>
      <c r="AL536" s="513" t="str">
        <f ca="1">IFERROR(OFFSET(Camp_List[Status],MATCH(Data_NFI_t[[#This Row],[Camp Name]],Camp_List[Camp Name],0)-1,0,1,1),"")</f>
        <v/>
      </c>
      <c r="AM536" s="131"/>
    </row>
    <row r="537" spans="1:39" s="793" customFormat="1" ht="19.5" customHeight="1" x14ac:dyDescent="0.25">
      <c r="A537" s="242" t="str">
        <f>IF(ISBLANK(C537),"",(Report_Date-C537)/30)</f>
        <v/>
      </c>
      <c r="B537" s="522">
        <f>YEAR(Data_NFI_t[[#This Row],[Distribution Date]])</f>
        <v>1900</v>
      </c>
      <c r="C537" s="927"/>
      <c r="D537" s="489"/>
      <c r="E537" s="488"/>
      <c r="F537" s="489"/>
      <c r="G537" s="794"/>
      <c r="H537" s="794"/>
      <c r="I537" s="794"/>
      <c r="J537" s="51"/>
      <c r="K537" s="51"/>
      <c r="L537" s="119"/>
      <c r="M537" s="119"/>
      <c r="N537" s="119"/>
      <c r="O537" s="119"/>
      <c r="P537" s="119"/>
      <c r="Q537" s="119"/>
      <c r="R537" s="512"/>
      <c r="S537" s="119"/>
      <c r="T537" s="119"/>
      <c r="U537" s="119"/>
      <c r="V537" s="119"/>
      <c r="W537" s="131">
        <f>IF(NFI_Expiration=1,IF($A537&lt;VLOOKUP(I$5,NFI,5,0),1,0)*Data_NFI_t[[#This Row],[Hygiene Kit]],0)</f>
        <v>0</v>
      </c>
      <c r="X537" s="131">
        <f>IF(NFI_Expiration=1,IF($A537&lt;VLOOKUP(J$5,NFI,5,0),1,0)*Data_NFI_t[[#This Row],[NFI Core Kit]],0)</f>
        <v>0</v>
      </c>
      <c r="Y537" s="112">
        <f>IF(NFI_Expiration=1,IF($A537&lt;VLOOKUP(K$5,NFI,5,0),1,0)*Data_NFI_t[[#This Row],[Sanitary Kit]],0)</f>
        <v>0</v>
      </c>
      <c r="Z537" s="112">
        <f>IF(NFI_Expiration=1,IF($A537&lt;VLOOKUP(L$5,NFI,5,0),1,0)*Data_NFI_t[[#This Row],[Mosquito net]],0)</f>
        <v>0</v>
      </c>
      <c r="AA537" s="112">
        <f>IF(NFI_Expiration=1,IF($A537&lt;VLOOKUP(M$5,NFI,5,0),1,0)*Data_NFI_t[[#This Row],[Tarpaulin]],0)</f>
        <v>0</v>
      </c>
      <c r="AB537" s="112">
        <f>IF(NFI_Expiration=1,IF($A537&lt;VLOOKUP(N$5,NFI,5,0),1,0)*Data_NFI_t[[#This Row],[Blanket]],0)</f>
        <v>0</v>
      </c>
      <c r="AC537" s="112">
        <f>IF(NFI_Expiration=1,IF($A537&lt;VLOOKUP(O$5,NFI,5,0),1,0)*Data_NFI_t[[#This Row],[Kitchen Set]],0)</f>
        <v>0</v>
      </c>
      <c r="AD537" s="112">
        <f>IF(NFI_Expiration=1,IF($A537&lt;VLOOKUP(P$5,NFI,5,0),1,0)*Data_NFI_t[[#This Row],[Complementary Kit]],0)</f>
        <v>0</v>
      </c>
      <c r="AE537" s="112">
        <f>IF(NFI_Expiration=1,IF($A537&lt;VLOOKUP(Q$5,NFI,5,0),1,0)*Data_NFI_t[[#This Row],[Plastic Bucket]],0)</f>
        <v>0</v>
      </c>
      <c r="AF537" s="131">
        <f>IF(NFI_Expiration=1,IF($A537&lt;VLOOKUP(R$5,NFI,5,0),1,0)*Data_NFI_t[[#This Row],[Jerry Can]],0)</f>
        <v>0</v>
      </c>
      <c r="AG537" s="131">
        <f>IF(NFI_Expiration=1,IF($A537&lt;VLOOKUP(S$5,NFI,5,0),1,0)*Data_NFI_t[[#This Row],[Plastic Mat]],0)*IF(Data_NFI_t[[#This Row],[Distribution Date]]&gt;"01-06-2015",1,2.5)</f>
        <v>0</v>
      </c>
      <c r="AH537" s="915">
        <f>IF(NFI_Expiration=1,IF($A537&lt;VLOOKUP(T$5,NFI,5,0),1,0)*Data_NFI_t[[#This Row],[Adult Clothes]],0)</f>
        <v>0</v>
      </c>
      <c r="AI537" s="131">
        <f>IF(NFI_Expiration=1,IF($A537&lt;VLOOKUP(U$5,NFI,5,0),1,0)*Data_NFI_t[[#This Row],[Children Clothes]],0)</f>
        <v>0</v>
      </c>
      <c r="AJ537" s="131">
        <f>IF(NFI_Expiration=1,IF($A537&lt;VLOOKUP(V$5,NFI,5,0),1,0)*Data_NFI_t[[#This Row],[Sewing Kit]],0)</f>
        <v>0</v>
      </c>
      <c r="AK537" s="131" t="str">
        <f ca="1">IFERROR(OFFSET(Camp_List[P_Code],MATCH(Data_NFI_t[[#This Row],[Camp Name]],Camp_List[Camp Name],0)-1,0,1,1),"")</f>
        <v/>
      </c>
      <c r="AL537" s="513" t="str">
        <f ca="1">IFERROR(OFFSET(Camp_List[Status],MATCH(Data_NFI_t[[#This Row],[Camp Name]],Camp_List[Camp Name],0)-1,0,1,1),"")</f>
        <v/>
      </c>
      <c r="AM537" s="131"/>
    </row>
    <row r="538" spans="1:39" s="793" customFormat="1" ht="19.5" customHeight="1" x14ac:dyDescent="0.25">
      <c r="A538" s="242" t="str">
        <f>IF(ISBLANK(C538),"",(Report_Date-C538)/30)</f>
        <v/>
      </c>
      <c r="B538" s="522">
        <f>YEAR(Data_NFI_t[[#This Row],[Distribution Date]])</f>
        <v>1900</v>
      </c>
      <c r="C538" s="927"/>
      <c r="D538" s="489"/>
      <c r="E538" s="488"/>
      <c r="F538" s="489"/>
      <c r="G538" s="794"/>
      <c r="H538" s="794"/>
      <c r="I538" s="794"/>
      <c r="J538" s="51"/>
      <c r="K538" s="51"/>
      <c r="L538" s="119"/>
      <c r="M538" s="119"/>
      <c r="N538" s="119"/>
      <c r="O538" s="119"/>
      <c r="P538" s="119"/>
      <c r="Q538" s="119"/>
      <c r="R538" s="512"/>
      <c r="S538" s="119"/>
      <c r="T538" s="119"/>
      <c r="U538" s="119"/>
      <c r="V538" s="119"/>
      <c r="W538" s="131">
        <f>IF(NFI_Expiration=1,IF($A538&lt;VLOOKUP(I$5,NFI,5,0),1,0)*Data_NFI_t[[#This Row],[Hygiene Kit]],0)</f>
        <v>0</v>
      </c>
      <c r="X538" s="131">
        <f>IF(NFI_Expiration=1,IF($A538&lt;VLOOKUP(J$5,NFI,5,0),1,0)*Data_NFI_t[[#This Row],[NFI Core Kit]],0)</f>
        <v>0</v>
      </c>
      <c r="Y538" s="112">
        <f>IF(NFI_Expiration=1,IF($A538&lt;VLOOKUP(K$5,NFI,5,0),1,0)*Data_NFI_t[[#This Row],[Sanitary Kit]],0)</f>
        <v>0</v>
      </c>
      <c r="Z538" s="112">
        <f>IF(NFI_Expiration=1,IF($A538&lt;VLOOKUP(L$5,NFI,5,0),1,0)*Data_NFI_t[[#This Row],[Mosquito net]],0)</f>
        <v>0</v>
      </c>
      <c r="AA538" s="112">
        <f>IF(NFI_Expiration=1,IF($A538&lt;VLOOKUP(M$5,NFI,5,0),1,0)*Data_NFI_t[[#This Row],[Tarpaulin]],0)</f>
        <v>0</v>
      </c>
      <c r="AB538" s="112">
        <f>IF(NFI_Expiration=1,IF($A538&lt;VLOOKUP(N$5,NFI,5,0),1,0)*Data_NFI_t[[#This Row],[Blanket]],0)</f>
        <v>0</v>
      </c>
      <c r="AC538" s="112">
        <f>IF(NFI_Expiration=1,IF($A538&lt;VLOOKUP(O$5,NFI,5,0),1,0)*Data_NFI_t[[#This Row],[Kitchen Set]],0)</f>
        <v>0</v>
      </c>
      <c r="AD538" s="112">
        <f>IF(NFI_Expiration=1,IF($A538&lt;VLOOKUP(P$5,NFI,5,0),1,0)*Data_NFI_t[[#This Row],[Complementary Kit]],0)</f>
        <v>0</v>
      </c>
      <c r="AE538" s="112">
        <f>IF(NFI_Expiration=1,IF($A538&lt;VLOOKUP(Q$5,NFI,5,0),1,0)*Data_NFI_t[[#This Row],[Plastic Bucket]],0)</f>
        <v>0</v>
      </c>
      <c r="AF538" s="131">
        <f>IF(NFI_Expiration=1,IF($A538&lt;VLOOKUP(R$5,NFI,5,0),1,0)*Data_NFI_t[[#This Row],[Jerry Can]],0)</f>
        <v>0</v>
      </c>
      <c r="AG538" s="131">
        <f>IF(NFI_Expiration=1,IF($A538&lt;VLOOKUP(S$5,NFI,5,0),1,0)*Data_NFI_t[[#This Row],[Plastic Mat]],0)*IF(Data_NFI_t[[#This Row],[Distribution Date]]&gt;"01-06-2015",1,2.5)</f>
        <v>0</v>
      </c>
      <c r="AH538" s="915">
        <f>IF(NFI_Expiration=1,IF($A538&lt;VLOOKUP(T$5,NFI,5,0),1,0)*Data_NFI_t[[#This Row],[Adult Clothes]],0)</f>
        <v>0</v>
      </c>
      <c r="AI538" s="131">
        <f>IF(NFI_Expiration=1,IF($A538&lt;VLOOKUP(U$5,NFI,5,0),1,0)*Data_NFI_t[[#This Row],[Children Clothes]],0)</f>
        <v>0</v>
      </c>
      <c r="AJ538" s="131">
        <f>IF(NFI_Expiration=1,IF($A538&lt;VLOOKUP(V$5,NFI,5,0),1,0)*Data_NFI_t[[#This Row],[Sewing Kit]],0)</f>
        <v>0</v>
      </c>
      <c r="AK538" s="131" t="str">
        <f ca="1">IFERROR(OFFSET(Camp_List[P_Code],MATCH(Data_NFI_t[[#This Row],[Camp Name]],Camp_List[Camp Name],0)-1,0,1,1),"")</f>
        <v/>
      </c>
      <c r="AL538" s="513" t="str">
        <f ca="1">IFERROR(OFFSET(Camp_List[Status],MATCH(Data_NFI_t[[#This Row],[Camp Name]],Camp_List[Camp Name],0)-1,0,1,1),"")</f>
        <v/>
      </c>
      <c r="AM538" s="131"/>
    </row>
    <row r="539" spans="1:39" s="793" customFormat="1" ht="19.5" customHeight="1" x14ac:dyDescent="0.25">
      <c r="A539" s="242" t="str">
        <f>IF(ISBLANK(C539),"",(Report_Date-C539)/30)</f>
        <v/>
      </c>
      <c r="B539" s="522">
        <f>YEAR(Data_NFI_t[[#This Row],[Distribution Date]])</f>
        <v>1900</v>
      </c>
      <c r="C539" s="927"/>
      <c r="D539" s="489"/>
      <c r="E539" s="488"/>
      <c r="F539" s="489"/>
      <c r="G539" s="794"/>
      <c r="H539" s="794"/>
      <c r="I539" s="794"/>
      <c r="J539" s="51"/>
      <c r="K539" s="51"/>
      <c r="L539" s="119"/>
      <c r="M539" s="119"/>
      <c r="N539" s="119"/>
      <c r="O539" s="119"/>
      <c r="P539" s="119"/>
      <c r="Q539" s="119"/>
      <c r="R539" s="512"/>
      <c r="S539" s="119"/>
      <c r="T539" s="119"/>
      <c r="U539" s="119"/>
      <c r="V539" s="119"/>
      <c r="W539" s="131">
        <f>IF(NFI_Expiration=1,IF($A539&lt;VLOOKUP(I$5,NFI,5,0),1,0)*Data_NFI_t[[#This Row],[Hygiene Kit]],0)</f>
        <v>0</v>
      </c>
      <c r="X539" s="131">
        <f>IF(NFI_Expiration=1,IF($A539&lt;VLOOKUP(J$5,NFI,5,0),1,0)*Data_NFI_t[[#This Row],[NFI Core Kit]],0)</f>
        <v>0</v>
      </c>
      <c r="Y539" s="112">
        <f>IF(NFI_Expiration=1,IF($A539&lt;VLOOKUP(K$5,NFI,5,0),1,0)*Data_NFI_t[[#This Row],[Sanitary Kit]],0)</f>
        <v>0</v>
      </c>
      <c r="Z539" s="112">
        <f>IF(NFI_Expiration=1,IF($A539&lt;VLOOKUP(L$5,NFI,5,0),1,0)*Data_NFI_t[[#This Row],[Mosquito net]],0)</f>
        <v>0</v>
      </c>
      <c r="AA539" s="112">
        <f>IF(NFI_Expiration=1,IF($A539&lt;VLOOKUP(M$5,NFI,5,0),1,0)*Data_NFI_t[[#This Row],[Tarpaulin]],0)</f>
        <v>0</v>
      </c>
      <c r="AB539" s="112">
        <f>IF(NFI_Expiration=1,IF($A539&lt;VLOOKUP(N$5,NFI,5,0),1,0)*Data_NFI_t[[#This Row],[Blanket]],0)</f>
        <v>0</v>
      </c>
      <c r="AC539" s="112">
        <f>IF(NFI_Expiration=1,IF($A539&lt;VLOOKUP(O$5,NFI,5,0),1,0)*Data_NFI_t[[#This Row],[Kitchen Set]],0)</f>
        <v>0</v>
      </c>
      <c r="AD539" s="112">
        <f>IF(NFI_Expiration=1,IF($A539&lt;VLOOKUP(P$5,NFI,5,0),1,0)*Data_NFI_t[[#This Row],[Complementary Kit]],0)</f>
        <v>0</v>
      </c>
      <c r="AE539" s="112">
        <f>IF(NFI_Expiration=1,IF($A539&lt;VLOOKUP(Q$5,NFI,5,0),1,0)*Data_NFI_t[[#This Row],[Plastic Bucket]],0)</f>
        <v>0</v>
      </c>
      <c r="AF539" s="131">
        <f>IF(NFI_Expiration=1,IF($A539&lt;VLOOKUP(R$5,NFI,5,0),1,0)*Data_NFI_t[[#This Row],[Jerry Can]],0)</f>
        <v>0</v>
      </c>
      <c r="AG539" s="131">
        <f>IF(NFI_Expiration=1,IF($A539&lt;VLOOKUP(S$5,NFI,5,0),1,0)*Data_NFI_t[[#This Row],[Plastic Mat]],0)*IF(Data_NFI_t[[#This Row],[Distribution Date]]&gt;"01-06-2015",1,2.5)</f>
        <v>0</v>
      </c>
      <c r="AH539" s="915">
        <f>IF(NFI_Expiration=1,IF($A539&lt;VLOOKUP(T$5,NFI,5,0),1,0)*Data_NFI_t[[#This Row],[Adult Clothes]],0)</f>
        <v>0</v>
      </c>
      <c r="AI539" s="131">
        <f>IF(NFI_Expiration=1,IF($A539&lt;VLOOKUP(U$5,NFI,5,0),1,0)*Data_NFI_t[[#This Row],[Children Clothes]],0)</f>
        <v>0</v>
      </c>
      <c r="AJ539" s="131">
        <f>IF(NFI_Expiration=1,IF($A539&lt;VLOOKUP(V$5,NFI,5,0),1,0)*Data_NFI_t[[#This Row],[Sewing Kit]],0)</f>
        <v>0</v>
      </c>
      <c r="AK539" s="131" t="str">
        <f ca="1">IFERROR(OFFSET(Camp_List[P_Code],MATCH(Data_NFI_t[[#This Row],[Camp Name]],Camp_List[Camp Name],0)-1,0,1,1),"")</f>
        <v/>
      </c>
      <c r="AL539" s="513" t="str">
        <f ca="1">IFERROR(OFFSET(Camp_List[Status],MATCH(Data_NFI_t[[#This Row],[Camp Name]],Camp_List[Camp Name],0)-1,0,1,1),"")</f>
        <v/>
      </c>
      <c r="AM539" s="131"/>
    </row>
    <row r="540" spans="1:39" s="793" customFormat="1" ht="19.5" customHeight="1" x14ac:dyDescent="0.25">
      <c r="A540" s="242" t="str">
        <f>IF(ISBLANK(C540),"",(Report_Date-C540)/30)</f>
        <v/>
      </c>
      <c r="B540" s="522">
        <f>YEAR(Data_NFI_t[[#This Row],[Distribution Date]])</f>
        <v>1900</v>
      </c>
      <c r="C540" s="927"/>
      <c r="D540" s="489"/>
      <c r="E540" s="488"/>
      <c r="F540" s="489"/>
      <c r="G540" s="794"/>
      <c r="H540" s="794"/>
      <c r="I540" s="794"/>
      <c r="J540" s="51"/>
      <c r="K540" s="51"/>
      <c r="L540" s="119"/>
      <c r="M540" s="119"/>
      <c r="N540" s="119"/>
      <c r="O540" s="119"/>
      <c r="P540" s="119"/>
      <c r="Q540" s="119"/>
      <c r="R540" s="512"/>
      <c r="S540" s="119"/>
      <c r="T540" s="119"/>
      <c r="U540" s="119"/>
      <c r="V540" s="119"/>
      <c r="W540" s="131">
        <f>IF(NFI_Expiration=1,IF($A540&lt;VLOOKUP(I$5,NFI,5,0),1,0)*Data_NFI_t[[#This Row],[Hygiene Kit]],0)</f>
        <v>0</v>
      </c>
      <c r="X540" s="131">
        <f>IF(NFI_Expiration=1,IF($A540&lt;VLOOKUP(J$5,NFI,5,0),1,0)*Data_NFI_t[[#This Row],[NFI Core Kit]],0)</f>
        <v>0</v>
      </c>
      <c r="Y540" s="112">
        <f>IF(NFI_Expiration=1,IF($A540&lt;VLOOKUP(K$5,NFI,5,0),1,0)*Data_NFI_t[[#This Row],[Sanitary Kit]],0)</f>
        <v>0</v>
      </c>
      <c r="Z540" s="112">
        <f>IF(NFI_Expiration=1,IF($A540&lt;VLOOKUP(L$5,NFI,5,0),1,0)*Data_NFI_t[[#This Row],[Mosquito net]],0)</f>
        <v>0</v>
      </c>
      <c r="AA540" s="112">
        <f>IF(NFI_Expiration=1,IF($A540&lt;VLOOKUP(M$5,NFI,5,0),1,0)*Data_NFI_t[[#This Row],[Tarpaulin]],0)</f>
        <v>0</v>
      </c>
      <c r="AB540" s="112">
        <f>IF(NFI_Expiration=1,IF($A540&lt;VLOOKUP(N$5,NFI,5,0),1,0)*Data_NFI_t[[#This Row],[Blanket]],0)</f>
        <v>0</v>
      </c>
      <c r="AC540" s="112">
        <f>IF(NFI_Expiration=1,IF($A540&lt;VLOOKUP(O$5,NFI,5,0),1,0)*Data_NFI_t[[#This Row],[Kitchen Set]],0)</f>
        <v>0</v>
      </c>
      <c r="AD540" s="112">
        <f>IF(NFI_Expiration=1,IF($A540&lt;VLOOKUP(P$5,NFI,5,0),1,0)*Data_NFI_t[[#This Row],[Complementary Kit]],0)</f>
        <v>0</v>
      </c>
      <c r="AE540" s="112">
        <f>IF(NFI_Expiration=1,IF($A540&lt;VLOOKUP(Q$5,NFI,5,0),1,0)*Data_NFI_t[[#This Row],[Plastic Bucket]],0)</f>
        <v>0</v>
      </c>
      <c r="AF540" s="131">
        <f>IF(NFI_Expiration=1,IF($A540&lt;VLOOKUP(R$5,NFI,5,0),1,0)*Data_NFI_t[[#This Row],[Jerry Can]],0)</f>
        <v>0</v>
      </c>
      <c r="AG540" s="131">
        <f>IF(NFI_Expiration=1,IF($A540&lt;VLOOKUP(S$5,NFI,5,0),1,0)*Data_NFI_t[[#This Row],[Plastic Mat]],0)*IF(Data_NFI_t[[#This Row],[Distribution Date]]&gt;"01-06-2015",1,2.5)</f>
        <v>0</v>
      </c>
      <c r="AH540" s="915">
        <f>IF(NFI_Expiration=1,IF($A540&lt;VLOOKUP(T$5,NFI,5,0),1,0)*Data_NFI_t[[#This Row],[Adult Clothes]],0)</f>
        <v>0</v>
      </c>
      <c r="AI540" s="131">
        <f>IF(NFI_Expiration=1,IF($A540&lt;VLOOKUP(U$5,NFI,5,0),1,0)*Data_NFI_t[[#This Row],[Children Clothes]],0)</f>
        <v>0</v>
      </c>
      <c r="AJ540" s="131">
        <f>IF(NFI_Expiration=1,IF($A540&lt;VLOOKUP(V$5,NFI,5,0),1,0)*Data_NFI_t[[#This Row],[Sewing Kit]],0)</f>
        <v>0</v>
      </c>
      <c r="AK540" s="131" t="str">
        <f ca="1">IFERROR(OFFSET(Camp_List[P_Code],MATCH(Data_NFI_t[[#This Row],[Camp Name]],Camp_List[Camp Name],0)-1,0,1,1),"")</f>
        <v/>
      </c>
      <c r="AL540" s="513" t="str">
        <f ca="1">IFERROR(OFFSET(Camp_List[Status],MATCH(Data_NFI_t[[#This Row],[Camp Name]],Camp_List[Camp Name],0)-1,0,1,1),"")</f>
        <v/>
      </c>
      <c r="AM540" s="131"/>
    </row>
    <row r="541" spans="1:39" s="793" customFormat="1" ht="19.5" customHeight="1" x14ac:dyDescent="0.25">
      <c r="A541" s="242" t="str">
        <f>IF(ISBLANK(C541),"",(Report_Date-C541)/30)</f>
        <v/>
      </c>
      <c r="B541" s="522">
        <f>YEAR(Data_NFI_t[[#This Row],[Distribution Date]])</f>
        <v>1900</v>
      </c>
      <c r="C541" s="927"/>
      <c r="D541" s="489"/>
      <c r="E541" s="488"/>
      <c r="F541" s="489"/>
      <c r="G541" s="794"/>
      <c r="H541" s="794"/>
      <c r="I541" s="794"/>
      <c r="J541" s="51"/>
      <c r="K541" s="51"/>
      <c r="L541" s="119"/>
      <c r="M541" s="119"/>
      <c r="N541" s="119"/>
      <c r="O541" s="119"/>
      <c r="P541" s="119"/>
      <c r="Q541" s="119"/>
      <c r="R541" s="512"/>
      <c r="S541" s="119"/>
      <c r="T541" s="119"/>
      <c r="U541" s="119"/>
      <c r="V541" s="119"/>
      <c r="W541" s="131">
        <f>IF(NFI_Expiration=1,IF($A541&lt;VLOOKUP(I$5,NFI,5,0),1,0)*Data_NFI_t[[#This Row],[Hygiene Kit]],0)</f>
        <v>0</v>
      </c>
      <c r="X541" s="131">
        <f>IF(NFI_Expiration=1,IF($A541&lt;VLOOKUP(J$5,NFI,5,0),1,0)*Data_NFI_t[[#This Row],[NFI Core Kit]],0)</f>
        <v>0</v>
      </c>
      <c r="Y541" s="112">
        <f>IF(NFI_Expiration=1,IF($A541&lt;VLOOKUP(K$5,NFI,5,0),1,0)*Data_NFI_t[[#This Row],[Sanitary Kit]],0)</f>
        <v>0</v>
      </c>
      <c r="Z541" s="112">
        <f>IF(NFI_Expiration=1,IF($A541&lt;VLOOKUP(L$5,NFI,5,0),1,0)*Data_NFI_t[[#This Row],[Mosquito net]],0)</f>
        <v>0</v>
      </c>
      <c r="AA541" s="112">
        <f>IF(NFI_Expiration=1,IF($A541&lt;VLOOKUP(M$5,NFI,5,0),1,0)*Data_NFI_t[[#This Row],[Tarpaulin]],0)</f>
        <v>0</v>
      </c>
      <c r="AB541" s="112">
        <f>IF(NFI_Expiration=1,IF($A541&lt;VLOOKUP(N$5,NFI,5,0),1,0)*Data_NFI_t[[#This Row],[Blanket]],0)</f>
        <v>0</v>
      </c>
      <c r="AC541" s="112">
        <f>IF(NFI_Expiration=1,IF($A541&lt;VLOOKUP(O$5,NFI,5,0),1,0)*Data_NFI_t[[#This Row],[Kitchen Set]],0)</f>
        <v>0</v>
      </c>
      <c r="AD541" s="112">
        <f>IF(NFI_Expiration=1,IF($A541&lt;VLOOKUP(P$5,NFI,5,0),1,0)*Data_NFI_t[[#This Row],[Complementary Kit]],0)</f>
        <v>0</v>
      </c>
      <c r="AE541" s="112">
        <f>IF(NFI_Expiration=1,IF($A541&lt;VLOOKUP(Q$5,NFI,5,0),1,0)*Data_NFI_t[[#This Row],[Plastic Bucket]],0)</f>
        <v>0</v>
      </c>
      <c r="AF541" s="131">
        <f>IF(NFI_Expiration=1,IF($A541&lt;VLOOKUP(R$5,NFI,5,0),1,0)*Data_NFI_t[[#This Row],[Jerry Can]],0)</f>
        <v>0</v>
      </c>
      <c r="AG541" s="131">
        <f>IF(NFI_Expiration=1,IF($A541&lt;VLOOKUP(S$5,NFI,5,0),1,0)*Data_NFI_t[[#This Row],[Plastic Mat]],0)*IF(Data_NFI_t[[#This Row],[Distribution Date]]&gt;"01-06-2015",1,2.5)</f>
        <v>0</v>
      </c>
      <c r="AH541" s="915">
        <f>IF(NFI_Expiration=1,IF($A541&lt;VLOOKUP(T$5,NFI,5,0),1,0)*Data_NFI_t[[#This Row],[Adult Clothes]],0)</f>
        <v>0</v>
      </c>
      <c r="AI541" s="131">
        <f>IF(NFI_Expiration=1,IF($A541&lt;VLOOKUP(U$5,NFI,5,0),1,0)*Data_NFI_t[[#This Row],[Children Clothes]],0)</f>
        <v>0</v>
      </c>
      <c r="AJ541" s="131">
        <f>IF(NFI_Expiration=1,IF($A541&lt;VLOOKUP(V$5,NFI,5,0),1,0)*Data_NFI_t[[#This Row],[Sewing Kit]],0)</f>
        <v>0</v>
      </c>
      <c r="AK541" s="131" t="str">
        <f ca="1">IFERROR(OFFSET(Camp_List[P_Code],MATCH(Data_NFI_t[[#This Row],[Camp Name]],Camp_List[Camp Name],0)-1,0,1,1),"")</f>
        <v/>
      </c>
      <c r="AL541" s="513" t="str">
        <f ca="1">IFERROR(OFFSET(Camp_List[Status],MATCH(Data_NFI_t[[#This Row],[Camp Name]],Camp_List[Camp Name],0)-1,0,1,1),"")</f>
        <v/>
      </c>
      <c r="AM541" s="131"/>
    </row>
    <row r="542" spans="1:39" s="793" customFormat="1" ht="19.5" customHeight="1" x14ac:dyDescent="0.25">
      <c r="A542" s="242" t="str">
        <f>IF(ISBLANK(C542),"",(Report_Date-C542)/30)</f>
        <v/>
      </c>
      <c r="B542" s="522">
        <f>YEAR(Data_NFI_t[[#This Row],[Distribution Date]])</f>
        <v>1900</v>
      </c>
      <c r="C542" s="927"/>
      <c r="D542" s="489"/>
      <c r="E542" s="488"/>
      <c r="F542" s="489"/>
      <c r="G542" s="794"/>
      <c r="H542" s="794"/>
      <c r="I542" s="794"/>
      <c r="J542" s="51"/>
      <c r="K542" s="51"/>
      <c r="L542" s="119"/>
      <c r="M542" s="119"/>
      <c r="N542" s="119"/>
      <c r="O542" s="119"/>
      <c r="P542" s="119"/>
      <c r="Q542" s="119"/>
      <c r="R542" s="512"/>
      <c r="S542" s="119"/>
      <c r="T542" s="119"/>
      <c r="U542" s="119"/>
      <c r="V542" s="119"/>
      <c r="W542" s="131">
        <f>IF(NFI_Expiration=1,IF($A542&lt;VLOOKUP(I$5,NFI,5,0),1,0)*Data_NFI_t[[#This Row],[Hygiene Kit]],0)</f>
        <v>0</v>
      </c>
      <c r="X542" s="131">
        <f>IF(NFI_Expiration=1,IF($A542&lt;VLOOKUP(J$5,NFI,5,0),1,0)*Data_NFI_t[[#This Row],[NFI Core Kit]],0)</f>
        <v>0</v>
      </c>
      <c r="Y542" s="112">
        <f>IF(NFI_Expiration=1,IF($A542&lt;VLOOKUP(K$5,NFI,5,0),1,0)*Data_NFI_t[[#This Row],[Sanitary Kit]],0)</f>
        <v>0</v>
      </c>
      <c r="Z542" s="112">
        <f>IF(NFI_Expiration=1,IF($A542&lt;VLOOKUP(L$5,NFI,5,0),1,0)*Data_NFI_t[[#This Row],[Mosquito net]],0)</f>
        <v>0</v>
      </c>
      <c r="AA542" s="112">
        <f>IF(NFI_Expiration=1,IF($A542&lt;VLOOKUP(M$5,NFI,5,0),1,0)*Data_NFI_t[[#This Row],[Tarpaulin]],0)</f>
        <v>0</v>
      </c>
      <c r="AB542" s="112">
        <f>IF(NFI_Expiration=1,IF($A542&lt;VLOOKUP(N$5,NFI,5,0),1,0)*Data_NFI_t[[#This Row],[Blanket]],0)</f>
        <v>0</v>
      </c>
      <c r="AC542" s="112">
        <f>IF(NFI_Expiration=1,IF($A542&lt;VLOOKUP(O$5,NFI,5,0),1,0)*Data_NFI_t[[#This Row],[Kitchen Set]],0)</f>
        <v>0</v>
      </c>
      <c r="AD542" s="112">
        <f>IF(NFI_Expiration=1,IF($A542&lt;VLOOKUP(P$5,NFI,5,0),1,0)*Data_NFI_t[[#This Row],[Complementary Kit]],0)</f>
        <v>0</v>
      </c>
      <c r="AE542" s="112">
        <f>IF(NFI_Expiration=1,IF($A542&lt;VLOOKUP(Q$5,NFI,5,0),1,0)*Data_NFI_t[[#This Row],[Plastic Bucket]],0)</f>
        <v>0</v>
      </c>
      <c r="AF542" s="131">
        <f>IF(NFI_Expiration=1,IF($A542&lt;VLOOKUP(R$5,NFI,5,0),1,0)*Data_NFI_t[[#This Row],[Jerry Can]],0)</f>
        <v>0</v>
      </c>
      <c r="AG542" s="131">
        <f>IF(NFI_Expiration=1,IF($A542&lt;VLOOKUP(S$5,NFI,5,0),1,0)*Data_NFI_t[[#This Row],[Plastic Mat]],0)*IF(Data_NFI_t[[#This Row],[Distribution Date]]&gt;"01-06-2015",1,2.5)</f>
        <v>0</v>
      </c>
      <c r="AH542" s="915">
        <f>IF(NFI_Expiration=1,IF($A542&lt;VLOOKUP(T$5,NFI,5,0),1,0)*Data_NFI_t[[#This Row],[Adult Clothes]],0)</f>
        <v>0</v>
      </c>
      <c r="AI542" s="131">
        <f>IF(NFI_Expiration=1,IF($A542&lt;VLOOKUP(U$5,NFI,5,0),1,0)*Data_NFI_t[[#This Row],[Children Clothes]],0)</f>
        <v>0</v>
      </c>
      <c r="AJ542" s="131">
        <f>IF(NFI_Expiration=1,IF($A542&lt;VLOOKUP(V$5,NFI,5,0),1,0)*Data_NFI_t[[#This Row],[Sewing Kit]],0)</f>
        <v>0</v>
      </c>
      <c r="AK542" s="131" t="str">
        <f ca="1">IFERROR(OFFSET(Camp_List[P_Code],MATCH(Data_NFI_t[[#This Row],[Camp Name]],Camp_List[Camp Name],0)-1,0,1,1),"")</f>
        <v/>
      </c>
      <c r="AL542" s="513" t="str">
        <f ca="1">IFERROR(OFFSET(Camp_List[Status],MATCH(Data_NFI_t[[#This Row],[Camp Name]],Camp_List[Camp Name],0)-1,0,1,1),"")</f>
        <v/>
      </c>
      <c r="AM542" s="131"/>
    </row>
    <row r="543" spans="1:39" s="793" customFormat="1" ht="19.5" customHeight="1" x14ac:dyDescent="0.25">
      <c r="A543" s="242" t="str">
        <f>IF(ISBLANK(C543),"",(Report_Date-C543)/30)</f>
        <v/>
      </c>
      <c r="B543" s="522">
        <f>YEAR(Data_NFI_t[[#This Row],[Distribution Date]])</f>
        <v>1900</v>
      </c>
      <c r="C543" s="927"/>
      <c r="D543" s="489"/>
      <c r="E543" s="488"/>
      <c r="F543" s="489"/>
      <c r="G543" s="794"/>
      <c r="H543" s="794"/>
      <c r="I543" s="794"/>
      <c r="J543" s="51"/>
      <c r="K543" s="51"/>
      <c r="L543" s="119"/>
      <c r="M543" s="119"/>
      <c r="N543" s="119"/>
      <c r="O543" s="119"/>
      <c r="P543" s="119"/>
      <c r="Q543" s="119"/>
      <c r="R543" s="512"/>
      <c r="S543" s="119"/>
      <c r="T543" s="119"/>
      <c r="U543" s="119"/>
      <c r="V543" s="119"/>
      <c r="W543" s="131">
        <f>IF(NFI_Expiration=1,IF($A543&lt;VLOOKUP(I$5,NFI,5,0),1,0)*Data_NFI_t[[#This Row],[Hygiene Kit]],0)</f>
        <v>0</v>
      </c>
      <c r="X543" s="131">
        <f>IF(NFI_Expiration=1,IF($A543&lt;VLOOKUP(J$5,NFI,5,0),1,0)*Data_NFI_t[[#This Row],[NFI Core Kit]],0)</f>
        <v>0</v>
      </c>
      <c r="Y543" s="112">
        <f>IF(NFI_Expiration=1,IF($A543&lt;VLOOKUP(K$5,NFI,5,0),1,0)*Data_NFI_t[[#This Row],[Sanitary Kit]],0)</f>
        <v>0</v>
      </c>
      <c r="Z543" s="112">
        <f>IF(NFI_Expiration=1,IF($A543&lt;VLOOKUP(L$5,NFI,5,0),1,0)*Data_NFI_t[[#This Row],[Mosquito net]],0)</f>
        <v>0</v>
      </c>
      <c r="AA543" s="112">
        <f>IF(NFI_Expiration=1,IF($A543&lt;VLOOKUP(M$5,NFI,5,0),1,0)*Data_NFI_t[[#This Row],[Tarpaulin]],0)</f>
        <v>0</v>
      </c>
      <c r="AB543" s="112">
        <f>IF(NFI_Expiration=1,IF($A543&lt;VLOOKUP(N$5,NFI,5,0),1,0)*Data_NFI_t[[#This Row],[Blanket]],0)</f>
        <v>0</v>
      </c>
      <c r="AC543" s="112">
        <f>IF(NFI_Expiration=1,IF($A543&lt;VLOOKUP(O$5,NFI,5,0),1,0)*Data_NFI_t[[#This Row],[Kitchen Set]],0)</f>
        <v>0</v>
      </c>
      <c r="AD543" s="112">
        <f>IF(NFI_Expiration=1,IF($A543&lt;VLOOKUP(P$5,NFI,5,0),1,0)*Data_NFI_t[[#This Row],[Complementary Kit]],0)</f>
        <v>0</v>
      </c>
      <c r="AE543" s="112">
        <f>IF(NFI_Expiration=1,IF($A543&lt;VLOOKUP(Q$5,NFI,5,0),1,0)*Data_NFI_t[[#This Row],[Plastic Bucket]],0)</f>
        <v>0</v>
      </c>
      <c r="AF543" s="131">
        <f>IF(NFI_Expiration=1,IF($A543&lt;VLOOKUP(R$5,NFI,5,0),1,0)*Data_NFI_t[[#This Row],[Jerry Can]],0)</f>
        <v>0</v>
      </c>
      <c r="AG543" s="131">
        <f>IF(NFI_Expiration=1,IF($A543&lt;VLOOKUP(S$5,NFI,5,0),1,0)*Data_NFI_t[[#This Row],[Plastic Mat]],0)*IF(Data_NFI_t[[#This Row],[Distribution Date]]&gt;"01-06-2015",1,2.5)</f>
        <v>0</v>
      </c>
      <c r="AH543" s="915">
        <f>IF(NFI_Expiration=1,IF($A543&lt;VLOOKUP(T$5,NFI,5,0),1,0)*Data_NFI_t[[#This Row],[Adult Clothes]],0)</f>
        <v>0</v>
      </c>
      <c r="AI543" s="131">
        <f>IF(NFI_Expiration=1,IF($A543&lt;VLOOKUP(U$5,NFI,5,0),1,0)*Data_NFI_t[[#This Row],[Children Clothes]],0)</f>
        <v>0</v>
      </c>
      <c r="AJ543" s="131">
        <f>IF(NFI_Expiration=1,IF($A543&lt;VLOOKUP(V$5,NFI,5,0),1,0)*Data_NFI_t[[#This Row],[Sewing Kit]],0)</f>
        <v>0</v>
      </c>
      <c r="AK543" s="131" t="str">
        <f ca="1">IFERROR(OFFSET(Camp_List[P_Code],MATCH(Data_NFI_t[[#This Row],[Camp Name]],Camp_List[Camp Name],0)-1,0,1,1),"")</f>
        <v/>
      </c>
      <c r="AL543" s="513" t="str">
        <f ca="1">IFERROR(OFFSET(Camp_List[Status],MATCH(Data_NFI_t[[#This Row],[Camp Name]],Camp_List[Camp Name],0)-1,0,1,1),"")</f>
        <v/>
      </c>
      <c r="AM543" s="131"/>
    </row>
    <row r="544" spans="1:39" s="793" customFormat="1" ht="19.5" customHeight="1" x14ac:dyDescent="0.25">
      <c r="A544" s="242" t="str">
        <f>IF(ISBLANK(C544),"",(Report_Date-C544)/30)</f>
        <v/>
      </c>
      <c r="B544" s="522">
        <f>YEAR(Data_NFI_t[[#This Row],[Distribution Date]])</f>
        <v>1900</v>
      </c>
      <c r="C544" s="927"/>
      <c r="D544" s="489"/>
      <c r="E544" s="488"/>
      <c r="F544" s="489"/>
      <c r="G544" s="794"/>
      <c r="H544" s="794"/>
      <c r="I544" s="794"/>
      <c r="J544" s="51"/>
      <c r="K544" s="51"/>
      <c r="L544" s="119"/>
      <c r="M544" s="119"/>
      <c r="N544" s="119"/>
      <c r="O544" s="119"/>
      <c r="P544" s="119"/>
      <c r="Q544" s="119"/>
      <c r="R544" s="512"/>
      <c r="S544" s="119"/>
      <c r="T544" s="119"/>
      <c r="U544" s="119"/>
      <c r="V544" s="119"/>
      <c r="W544" s="131">
        <f>IF(NFI_Expiration=1,IF($A544&lt;VLOOKUP(I$5,NFI,5,0),1,0)*Data_NFI_t[[#This Row],[Hygiene Kit]],0)</f>
        <v>0</v>
      </c>
      <c r="X544" s="131">
        <f>IF(NFI_Expiration=1,IF($A544&lt;VLOOKUP(J$5,NFI,5,0),1,0)*Data_NFI_t[[#This Row],[NFI Core Kit]],0)</f>
        <v>0</v>
      </c>
      <c r="Y544" s="112">
        <f>IF(NFI_Expiration=1,IF($A544&lt;VLOOKUP(K$5,NFI,5,0),1,0)*Data_NFI_t[[#This Row],[Sanitary Kit]],0)</f>
        <v>0</v>
      </c>
      <c r="Z544" s="112">
        <f>IF(NFI_Expiration=1,IF($A544&lt;VLOOKUP(L$5,NFI,5,0),1,0)*Data_NFI_t[[#This Row],[Mosquito net]],0)</f>
        <v>0</v>
      </c>
      <c r="AA544" s="112">
        <f>IF(NFI_Expiration=1,IF($A544&lt;VLOOKUP(M$5,NFI,5,0),1,0)*Data_NFI_t[[#This Row],[Tarpaulin]],0)</f>
        <v>0</v>
      </c>
      <c r="AB544" s="112">
        <f>IF(NFI_Expiration=1,IF($A544&lt;VLOOKUP(N$5,NFI,5,0),1,0)*Data_NFI_t[[#This Row],[Blanket]],0)</f>
        <v>0</v>
      </c>
      <c r="AC544" s="112">
        <f>IF(NFI_Expiration=1,IF($A544&lt;VLOOKUP(O$5,NFI,5,0),1,0)*Data_NFI_t[[#This Row],[Kitchen Set]],0)</f>
        <v>0</v>
      </c>
      <c r="AD544" s="112">
        <f>IF(NFI_Expiration=1,IF($A544&lt;VLOOKUP(P$5,NFI,5,0),1,0)*Data_NFI_t[[#This Row],[Complementary Kit]],0)</f>
        <v>0</v>
      </c>
      <c r="AE544" s="112">
        <f>IF(NFI_Expiration=1,IF($A544&lt;VLOOKUP(Q$5,NFI,5,0),1,0)*Data_NFI_t[[#This Row],[Plastic Bucket]],0)</f>
        <v>0</v>
      </c>
      <c r="AF544" s="131">
        <f>IF(NFI_Expiration=1,IF($A544&lt;VLOOKUP(R$5,NFI,5,0),1,0)*Data_NFI_t[[#This Row],[Jerry Can]],0)</f>
        <v>0</v>
      </c>
      <c r="AG544" s="131">
        <f>IF(NFI_Expiration=1,IF($A544&lt;VLOOKUP(S$5,NFI,5,0),1,0)*Data_NFI_t[[#This Row],[Plastic Mat]],0)*IF(Data_NFI_t[[#This Row],[Distribution Date]]&gt;"01-06-2015",1,2.5)</f>
        <v>0</v>
      </c>
      <c r="AH544" s="915">
        <f>IF(NFI_Expiration=1,IF($A544&lt;VLOOKUP(T$5,NFI,5,0),1,0)*Data_NFI_t[[#This Row],[Adult Clothes]],0)</f>
        <v>0</v>
      </c>
      <c r="AI544" s="131">
        <f>IF(NFI_Expiration=1,IF($A544&lt;VLOOKUP(U$5,NFI,5,0),1,0)*Data_NFI_t[[#This Row],[Children Clothes]],0)</f>
        <v>0</v>
      </c>
      <c r="AJ544" s="131">
        <f>IF(NFI_Expiration=1,IF($A544&lt;VLOOKUP(V$5,NFI,5,0),1,0)*Data_NFI_t[[#This Row],[Sewing Kit]],0)</f>
        <v>0</v>
      </c>
      <c r="AK544" s="131" t="str">
        <f ca="1">IFERROR(OFFSET(Camp_List[P_Code],MATCH(Data_NFI_t[[#This Row],[Camp Name]],Camp_List[Camp Name],0)-1,0,1,1),"")</f>
        <v/>
      </c>
      <c r="AL544" s="513" t="str">
        <f ca="1">IFERROR(OFFSET(Camp_List[Status],MATCH(Data_NFI_t[[#This Row],[Camp Name]],Camp_List[Camp Name],0)-1,0,1,1),"")</f>
        <v/>
      </c>
      <c r="AM544" s="131"/>
    </row>
    <row r="545" spans="1:39" s="793" customFormat="1" ht="19.5" customHeight="1" x14ac:dyDescent="0.25">
      <c r="A545" s="242" t="str">
        <f>IF(ISBLANK(C545),"",(Report_Date-C545)/30)</f>
        <v/>
      </c>
      <c r="B545" s="522">
        <f>YEAR(Data_NFI_t[[#This Row],[Distribution Date]])</f>
        <v>1900</v>
      </c>
      <c r="C545" s="927"/>
      <c r="D545" s="489"/>
      <c r="E545" s="488"/>
      <c r="F545" s="489"/>
      <c r="G545" s="794"/>
      <c r="H545" s="794"/>
      <c r="I545" s="794"/>
      <c r="J545" s="51"/>
      <c r="K545" s="51"/>
      <c r="L545" s="119"/>
      <c r="M545" s="119"/>
      <c r="N545" s="119"/>
      <c r="O545" s="119"/>
      <c r="P545" s="119"/>
      <c r="Q545" s="119"/>
      <c r="R545" s="512"/>
      <c r="S545" s="119"/>
      <c r="T545" s="119"/>
      <c r="U545" s="119"/>
      <c r="V545" s="119"/>
      <c r="W545" s="131">
        <f>IF(NFI_Expiration=1,IF($A545&lt;VLOOKUP(I$5,NFI,5,0),1,0)*Data_NFI_t[[#This Row],[Hygiene Kit]],0)</f>
        <v>0</v>
      </c>
      <c r="X545" s="131">
        <f>IF(NFI_Expiration=1,IF($A545&lt;VLOOKUP(J$5,NFI,5,0),1,0)*Data_NFI_t[[#This Row],[NFI Core Kit]],0)</f>
        <v>0</v>
      </c>
      <c r="Y545" s="112">
        <f>IF(NFI_Expiration=1,IF($A545&lt;VLOOKUP(K$5,NFI,5,0),1,0)*Data_NFI_t[[#This Row],[Sanitary Kit]],0)</f>
        <v>0</v>
      </c>
      <c r="Z545" s="112">
        <f>IF(NFI_Expiration=1,IF($A545&lt;VLOOKUP(L$5,NFI,5,0),1,0)*Data_NFI_t[[#This Row],[Mosquito net]],0)</f>
        <v>0</v>
      </c>
      <c r="AA545" s="112">
        <f>IF(NFI_Expiration=1,IF($A545&lt;VLOOKUP(M$5,NFI,5,0),1,0)*Data_NFI_t[[#This Row],[Tarpaulin]],0)</f>
        <v>0</v>
      </c>
      <c r="AB545" s="112">
        <f>IF(NFI_Expiration=1,IF($A545&lt;VLOOKUP(N$5,NFI,5,0),1,0)*Data_NFI_t[[#This Row],[Blanket]],0)</f>
        <v>0</v>
      </c>
      <c r="AC545" s="112">
        <f>IF(NFI_Expiration=1,IF($A545&lt;VLOOKUP(O$5,NFI,5,0),1,0)*Data_NFI_t[[#This Row],[Kitchen Set]],0)</f>
        <v>0</v>
      </c>
      <c r="AD545" s="112">
        <f>IF(NFI_Expiration=1,IF($A545&lt;VLOOKUP(P$5,NFI,5,0),1,0)*Data_NFI_t[[#This Row],[Complementary Kit]],0)</f>
        <v>0</v>
      </c>
      <c r="AE545" s="112">
        <f>IF(NFI_Expiration=1,IF($A545&lt;VLOOKUP(Q$5,NFI,5,0),1,0)*Data_NFI_t[[#This Row],[Plastic Bucket]],0)</f>
        <v>0</v>
      </c>
      <c r="AF545" s="131">
        <f>IF(NFI_Expiration=1,IF($A545&lt;VLOOKUP(R$5,NFI,5,0),1,0)*Data_NFI_t[[#This Row],[Jerry Can]],0)</f>
        <v>0</v>
      </c>
      <c r="AG545" s="131">
        <f>IF(NFI_Expiration=1,IF($A545&lt;VLOOKUP(S$5,NFI,5,0),1,0)*Data_NFI_t[[#This Row],[Plastic Mat]],0)*IF(Data_NFI_t[[#This Row],[Distribution Date]]&gt;"01-06-2015",1,2.5)</f>
        <v>0</v>
      </c>
      <c r="AH545" s="915">
        <f>IF(NFI_Expiration=1,IF($A545&lt;VLOOKUP(T$5,NFI,5,0),1,0)*Data_NFI_t[[#This Row],[Adult Clothes]],0)</f>
        <v>0</v>
      </c>
      <c r="AI545" s="131">
        <f>IF(NFI_Expiration=1,IF($A545&lt;VLOOKUP(U$5,NFI,5,0),1,0)*Data_NFI_t[[#This Row],[Children Clothes]],0)</f>
        <v>0</v>
      </c>
      <c r="AJ545" s="131">
        <f>IF(NFI_Expiration=1,IF($A545&lt;VLOOKUP(V$5,NFI,5,0),1,0)*Data_NFI_t[[#This Row],[Sewing Kit]],0)</f>
        <v>0</v>
      </c>
      <c r="AK545" s="131" t="str">
        <f ca="1">IFERROR(OFFSET(Camp_List[P_Code],MATCH(Data_NFI_t[[#This Row],[Camp Name]],Camp_List[Camp Name],0)-1,0,1,1),"")</f>
        <v/>
      </c>
      <c r="AL545" s="513" t="str">
        <f ca="1">IFERROR(OFFSET(Camp_List[Status],MATCH(Data_NFI_t[[#This Row],[Camp Name]],Camp_List[Camp Name],0)-1,0,1,1),"")</f>
        <v/>
      </c>
      <c r="AM545" s="131"/>
    </row>
    <row r="546" spans="1:39" s="793" customFormat="1" ht="19.5" customHeight="1" x14ac:dyDescent="0.25">
      <c r="A546" s="242" t="str">
        <f>IF(ISBLANK(C546),"",(Report_Date-C546)/30)</f>
        <v/>
      </c>
      <c r="B546" s="522">
        <f>YEAR(Data_NFI_t[[#This Row],[Distribution Date]])</f>
        <v>1900</v>
      </c>
      <c r="C546" s="927"/>
      <c r="D546" s="489"/>
      <c r="E546" s="488"/>
      <c r="F546" s="489"/>
      <c r="G546" s="794"/>
      <c r="H546" s="794"/>
      <c r="I546" s="794"/>
      <c r="J546" s="51"/>
      <c r="K546" s="51"/>
      <c r="L546" s="119"/>
      <c r="M546" s="119"/>
      <c r="N546" s="119"/>
      <c r="O546" s="119"/>
      <c r="P546" s="119"/>
      <c r="Q546" s="119"/>
      <c r="R546" s="512"/>
      <c r="S546" s="119"/>
      <c r="T546" s="119"/>
      <c r="U546" s="119"/>
      <c r="V546" s="119"/>
      <c r="W546" s="131">
        <f>IF(NFI_Expiration=1,IF($A546&lt;VLOOKUP(I$5,NFI,5,0),1,0)*Data_NFI_t[[#This Row],[Hygiene Kit]],0)</f>
        <v>0</v>
      </c>
      <c r="X546" s="131">
        <f>IF(NFI_Expiration=1,IF($A546&lt;VLOOKUP(J$5,NFI,5,0),1,0)*Data_NFI_t[[#This Row],[NFI Core Kit]],0)</f>
        <v>0</v>
      </c>
      <c r="Y546" s="112">
        <f>IF(NFI_Expiration=1,IF($A546&lt;VLOOKUP(K$5,NFI,5,0),1,0)*Data_NFI_t[[#This Row],[Sanitary Kit]],0)</f>
        <v>0</v>
      </c>
      <c r="Z546" s="112">
        <f>IF(NFI_Expiration=1,IF($A546&lt;VLOOKUP(L$5,NFI,5,0),1,0)*Data_NFI_t[[#This Row],[Mosquito net]],0)</f>
        <v>0</v>
      </c>
      <c r="AA546" s="112">
        <f>IF(NFI_Expiration=1,IF($A546&lt;VLOOKUP(M$5,NFI,5,0),1,0)*Data_NFI_t[[#This Row],[Tarpaulin]],0)</f>
        <v>0</v>
      </c>
      <c r="AB546" s="112">
        <f>IF(NFI_Expiration=1,IF($A546&lt;VLOOKUP(N$5,NFI,5,0),1,0)*Data_NFI_t[[#This Row],[Blanket]],0)</f>
        <v>0</v>
      </c>
      <c r="AC546" s="112">
        <f>IF(NFI_Expiration=1,IF($A546&lt;VLOOKUP(O$5,NFI,5,0),1,0)*Data_NFI_t[[#This Row],[Kitchen Set]],0)</f>
        <v>0</v>
      </c>
      <c r="AD546" s="112">
        <f>IF(NFI_Expiration=1,IF($A546&lt;VLOOKUP(P$5,NFI,5,0),1,0)*Data_NFI_t[[#This Row],[Complementary Kit]],0)</f>
        <v>0</v>
      </c>
      <c r="AE546" s="112">
        <f>IF(NFI_Expiration=1,IF($A546&lt;VLOOKUP(Q$5,NFI,5,0),1,0)*Data_NFI_t[[#This Row],[Plastic Bucket]],0)</f>
        <v>0</v>
      </c>
      <c r="AF546" s="131">
        <f>IF(NFI_Expiration=1,IF($A546&lt;VLOOKUP(R$5,NFI,5,0),1,0)*Data_NFI_t[[#This Row],[Jerry Can]],0)</f>
        <v>0</v>
      </c>
      <c r="AG546" s="131">
        <f>IF(NFI_Expiration=1,IF($A546&lt;VLOOKUP(S$5,NFI,5,0),1,0)*Data_NFI_t[[#This Row],[Plastic Mat]],0)*IF(Data_NFI_t[[#This Row],[Distribution Date]]&gt;"01-06-2015",1,2.5)</f>
        <v>0</v>
      </c>
      <c r="AH546" s="915">
        <f>IF(NFI_Expiration=1,IF($A546&lt;VLOOKUP(T$5,NFI,5,0),1,0)*Data_NFI_t[[#This Row],[Adult Clothes]],0)</f>
        <v>0</v>
      </c>
      <c r="AI546" s="131">
        <f>IF(NFI_Expiration=1,IF($A546&lt;VLOOKUP(U$5,NFI,5,0),1,0)*Data_NFI_t[[#This Row],[Children Clothes]],0)</f>
        <v>0</v>
      </c>
      <c r="AJ546" s="131">
        <f>IF(NFI_Expiration=1,IF($A546&lt;VLOOKUP(V$5,NFI,5,0),1,0)*Data_NFI_t[[#This Row],[Sewing Kit]],0)</f>
        <v>0</v>
      </c>
      <c r="AK546" s="131" t="str">
        <f ca="1">IFERROR(OFFSET(Camp_List[P_Code],MATCH(Data_NFI_t[[#This Row],[Camp Name]],Camp_List[Camp Name],0)-1,0,1,1),"")</f>
        <v/>
      </c>
      <c r="AL546" s="513" t="str">
        <f ca="1">IFERROR(OFFSET(Camp_List[Status],MATCH(Data_NFI_t[[#This Row],[Camp Name]],Camp_List[Camp Name],0)-1,0,1,1),"")</f>
        <v/>
      </c>
      <c r="AM546" s="131"/>
    </row>
    <row r="547" spans="1:39" s="793" customFormat="1" ht="19.5" customHeight="1" x14ac:dyDescent="0.25">
      <c r="A547" s="242" t="str">
        <f>IF(ISBLANK(C547),"",(Report_Date-C547)/30)</f>
        <v/>
      </c>
      <c r="B547" s="522">
        <f>YEAR(Data_NFI_t[[#This Row],[Distribution Date]])</f>
        <v>1900</v>
      </c>
      <c r="C547" s="927"/>
      <c r="D547" s="489"/>
      <c r="E547" s="488"/>
      <c r="F547" s="489"/>
      <c r="G547" s="794"/>
      <c r="H547" s="794"/>
      <c r="I547" s="794"/>
      <c r="J547" s="51"/>
      <c r="K547" s="51"/>
      <c r="L547" s="119"/>
      <c r="M547" s="119"/>
      <c r="N547" s="119"/>
      <c r="O547" s="119"/>
      <c r="P547" s="119"/>
      <c r="Q547" s="119"/>
      <c r="R547" s="512"/>
      <c r="S547" s="119"/>
      <c r="T547" s="119"/>
      <c r="U547" s="119"/>
      <c r="V547" s="119"/>
      <c r="W547" s="131">
        <f>IF(NFI_Expiration=1,IF($A547&lt;VLOOKUP(I$5,NFI,5,0),1,0)*Data_NFI_t[[#This Row],[Hygiene Kit]],0)</f>
        <v>0</v>
      </c>
      <c r="X547" s="131">
        <f>IF(NFI_Expiration=1,IF($A547&lt;VLOOKUP(J$5,NFI,5,0),1,0)*Data_NFI_t[[#This Row],[NFI Core Kit]],0)</f>
        <v>0</v>
      </c>
      <c r="Y547" s="112">
        <f>IF(NFI_Expiration=1,IF($A547&lt;VLOOKUP(K$5,NFI,5,0),1,0)*Data_NFI_t[[#This Row],[Sanitary Kit]],0)</f>
        <v>0</v>
      </c>
      <c r="Z547" s="112">
        <f>IF(NFI_Expiration=1,IF($A547&lt;VLOOKUP(L$5,NFI,5,0),1,0)*Data_NFI_t[[#This Row],[Mosquito net]],0)</f>
        <v>0</v>
      </c>
      <c r="AA547" s="112">
        <f>IF(NFI_Expiration=1,IF($A547&lt;VLOOKUP(M$5,NFI,5,0),1,0)*Data_NFI_t[[#This Row],[Tarpaulin]],0)</f>
        <v>0</v>
      </c>
      <c r="AB547" s="112">
        <f>IF(NFI_Expiration=1,IF($A547&lt;VLOOKUP(N$5,NFI,5,0),1,0)*Data_NFI_t[[#This Row],[Blanket]],0)</f>
        <v>0</v>
      </c>
      <c r="AC547" s="112">
        <f>IF(NFI_Expiration=1,IF($A547&lt;VLOOKUP(O$5,NFI,5,0),1,0)*Data_NFI_t[[#This Row],[Kitchen Set]],0)</f>
        <v>0</v>
      </c>
      <c r="AD547" s="112">
        <f>IF(NFI_Expiration=1,IF($A547&lt;VLOOKUP(P$5,NFI,5,0),1,0)*Data_NFI_t[[#This Row],[Complementary Kit]],0)</f>
        <v>0</v>
      </c>
      <c r="AE547" s="112">
        <f>IF(NFI_Expiration=1,IF($A547&lt;VLOOKUP(Q$5,NFI,5,0),1,0)*Data_NFI_t[[#This Row],[Plastic Bucket]],0)</f>
        <v>0</v>
      </c>
      <c r="AF547" s="131">
        <f>IF(NFI_Expiration=1,IF($A547&lt;VLOOKUP(R$5,NFI,5,0),1,0)*Data_NFI_t[[#This Row],[Jerry Can]],0)</f>
        <v>0</v>
      </c>
      <c r="AG547" s="131">
        <f>IF(NFI_Expiration=1,IF($A547&lt;VLOOKUP(S$5,NFI,5,0),1,0)*Data_NFI_t[[#This Row],[Plastic Mat]],0)*IF(Data_NFI_t[[#This Row],[Distribution Date]]&gt;"01-06-2015",1,2.5)</f>
        <v>0</v>
      </c>
      <c r="AH547" s="915">
        <f>IF(NFI_Expiration=1,IF($A547&lt;VLOOKUP(T$5,NFI,5,0),1,0)*Data_NFI_t[[#This Row],[Adult Clothes]],0)</f>
        <v>0</v>
      </c>
      <c r="AI547" s="131">
        <f>IF(NFI_Expiration=1,IF($A547&lt;VLOOKUP(U$5,NFI,5,0),1,0)*Data_NFI_t[[#This Row],[Children Clothes]],0)</f>
        <v>0</v>
      </c>
      <c r="AJ547" s="131">
        <f>IF(NFI_Expiration=1,IF($A547&lt;VLOOKUP(V$5,NFI,5,0),1,0)*Data_NFI_t[[#This Row],[Sewing Kit]],0)</f>
        <v>0</v>
      </c>
      <c r="AK547" s="131" t="str">
        <f ca="1">IFERROR(OFFSET(Camp_List[P_Code],MATCH(Data_NFI_t[[#This Row],[Camp Name]],Camp_List[Camp Name],0)-1,0,1,1),"")</f>
        <v/>
      </c>
      <c r="AL547" s="513" t="str">
        <f ca="1">IFERROR(OFFSET(Camp_List[Status],MATCH(Data_NFI_t[[#This Row],[Camp Name]],Camp_List[Camp Name],0)-1,0,1,1),"")</f>
        <v/>
      </c>
      <c r="AM547" s="131"/>
    </row>
    <row r="548" spans="1:39" s="793" customFormat="1" ht="19.5" customHeight="1" x14ac:dyDescent="0.25">
      <c r="A548" s="242" t="str">
        <f>IF(ISBLANK(C548),"",(Report_Date-C548)/30)</f>
        <v/>
      </c>
      <c r="B548" s="522">
        <f>YEAR(Data_NFI_t[[#This Row],[Distribution Date]])</f>
        <v>1900</v>
      </c>
      <c r="C548" s="927"/>
      <c r="D548" s="489"/>
      <c r="E548" s="488"/>
      <c r="F548" s="489"/>
      <c r="G548" s="794"/>
      <c r="H548" s="794"/>
      <c r="I548" s="794"/>
      <c r="J548" s="51"/>
      <c r="K548" s="51"/>
      <c r="L548" s="119"/>
      <c r="M548" s="119"/>
      <c r="N548" s="119"/>
      <c r="O548" s="119"/>
      <c r="P548" s="119"/>
      <c r="Q548" s="119"/>
      <c r="R548" s="512"/>
      <c r="S548" s="119"/>
      <c r="T548" s="119"/>
      <c r="U548" s="119"/>
      <c r="V548" s="119"/>
      <c r="W548" s="131">
        <f>IF(NFI_Expiration=1,IF($A548&lt;VLOOKUP(I$5,NFI,5,0),1,0)*Data_NFI_t[[#This Row],[Hygiene Kit]],0)</f>
        <v>0</v>
      </c>
      <c r="X548" s="131">
        <f>IF(NFI_Expiration=1,IF($A548&lt;VLOOKUP(J$5,NFI,5,0),1,0)*Data_NFI_t[[#This Row],[NFI Core Kit]],0)</f>
        <v>0</v>
      </c>
      <c r="Y548" s="112">
        <f>IF(NFI_Expiration=1,IF($A548&lt;VLOOKUP(K$5,NFI,5,0),1,0)*Data_NFI_t[[#This Row],[Sanitary Kit]],0)</f>
        <v>0</v>
      </c>
      <c r="Z548" s="112">
        <f>IF(NFI_Expiration=1,IF($A548&lt;VLOOKUP(L$5,NFI,5,0),1,0)*Data_NFI_t[[#This Row],[Mosquito net]],0)</f>
        <v>0</v>
      </c>
      <c r="AA548" s="112">
        <f>IF(NFI_Expiration=1,IF($A548&lt;VLOOKUP(M$5,NFI,5,0),1,0)*Data_NFI_t[[#This Row],[Tarpaulin]],0)</f>
        <v>0</v>
      </c>
      <c r="AB548" s="112">
        <f>IF(NFI_Expiration=1,IF($A548&lt;VLOOKUP(N$5,NFI,5,0),1,0)*Data_NFI_t[[#This Row],[Blanket]],0)</f>
        <v>0</v>
      </c>
      <c r="AC548" s="112">
        <f>IF(NFI_Expiration=1,IF($A548&lt;VLOOKUP(O$5,NFI,5,0),1,0)*Data_NFI_t[[#This Row],[Kitchen Set]],0)</f>
        <v>0</v>
      </c>
      <c r="AD548" s="112">
        <f>IF(NFI_Expiration=1,IF($A548&lt;VLOOKUP(P$5,NFI,5,0),1,0)*Data_NFI_t[[#This Row],[Complementary Kit]],0)</f>
        <v>0</v>
      </c>
      <c r="AE548" s="112">
        <f>IF(NFI_Expiration=1,IF($A548&lt;VLOOKUP(Q$5,NFI,5,0),1,0)*Data_NFI_t[[#This Row],[Plastic Bucket]],0)</f>
        <v>0</v>
      </c>
      <c r="AF548" s="131">
        <f>IF(NFI_Expiration=1,IF($A548&lt;VLOOKUP(R$5,NFI,5,0),1,0)*Data_NFI_t[[#This Row],[Jerry Can]],0)</f>
        <v>0</v>
      </c>
      <c r="AG548" s="131">
        <f>IF(NFI_Expiration=1,IF($A548&lt;VLOOKUP(S$5,NFI,5,0),1,0)*Data_NFI_t[[#This Row],[Plastic Mat]],0)*IF(Data_NFI_t[[#This Row],[Distribution Date]]&gt;"01-06-2015",1,2.5)</f>
        <v>0</v>
      </c>
      <c r="AH548" s="915">
        <f>IF(NFI_Expiration=1,IF($A548&lt;VLOOKUP(T$5,NFI,5,0),1,0)*Data_NFI_t[[#This Row],[Adult Clothes]],0)</f>
        <v>0</v>
      </c>
      <c r="AI548" s="131">
        <f>IF(NFI_Expiration=1,IF($A548&lt;VLOOKUP(U$5,NFI,5,0),1,0)*Data_NFI_t[[#This Row],[Children Clothes]],0)</f>
        <v>0</v>
      </c>
      <c r="AJ548" s="131">
        <f>IF(NFI_Expiration=1,IF($A548&lt;VLOOKUP(V$5,NFI,5,0),1,0)*Data_NFI_t[[#This Row],[Sewing Kit]],0)</f>
        <v>0</v>
      </c>
      <c r="AK548" s="131" t="str">
        <f ca="1">IFERROR(OFFSET(Camp_List[P_Code],MATCH(Data_NFI_t[[#This Row],[Camp Name]],Camp_List[Camp Name],0)-1,0,1,1),"")</f>
        <v/>
      </c>
      <c r="AL548" s="513" t="str">
        <f ca="1">IFERROR(OFFSET(Camp_List[Status],MATCH(Data_NFI_t[[#This Row],[Camp Name]],Camp_List[Camp Name],0)-1,0,1,1),"")</f>
        <v/>
      </c>
      <c r="AM548" s="131"/>
    </row>
    <row r="549" spans="1:39" s="793" customFormat="1" ht="19.5" customHeight="1" x14ac:dyDescent="0.25">
      <c r="A549" s="242" t="str">
        <f>IF(ISBLANK(C549),"",(Report_Date-C549)/30)</f>
        <v/>
      </c>
      <c r="B549" s="522">
        <f>YEAR(Data_NFI_t[[#This Row],[Distribution Date]])</f>
        <v>1900</v>
      </c>
      <c r="C549" s="927"/>
      <c r="D549" s="489"/>
      <c r="E549" s="488"/>
      <c r="F549" s="489"/>
      <c r="G549" s="794"/>
      <c r="H549" s="794"/>
      <c r="I549" s="794"/>
      <c r="J549" s="51"/>
      <c r="K549" s="51"/>
      <c r="L549" s="119"/>
      <c r="M549" s="119"/>
      <c r="N549" s="119"/>
      <c r="O549" s="119"/>
      <c r="P549" s="119"/>
      <c r="Q549" s="119"/>
      <c r="R549" s="512"/>
      <c r="S549" s="119"/>
      <c r="T549" s="119"/>
      <c r="U549" s="119"/>
      <c r="V549" s="119"/>
      <c r="W549" s="131">
        <f>IF(NFI_Expiration=1,IF($A549&lt;VLOOKUP(I$5,NFI,5,0),1,0)*Data_NFI_t[[#This Row],[Hygiene Kit]],0)</f>
        <v>0</v>
      </c>
      <c r="X549" s="131">
        <f>IF(NFI_Expiration=1,IF($A549&lt;VLOOKUP(J$5,NFI,5,0),1,0)*Data_NFI_t[[#This Row],[NFI Core Kit]],0)</f>
        <v>0</v>
      </c>
      <c r="Y549" s="112">
        <f>IF(NFI_Expiration=1,IF($A549&lt;VLOOKUP(K$5,NFI,5,0),1,0)*Data_NFI_t[[#This Row],[Sanitary Kit]],0)</f>
        <v>0</v>
      </c>
      <c r="Z549" s="112">
        <f>IF(NFI_Expiration=1,IF($A549&lt;VLOOKUP(L$5,NFI,5,0),1,0)*Data_NFI_t[[#This Row],[Mosquito net]],0)</f>
        <v>0</v>
      </c>
      <c r="AA549" s="112">
        <f>IF(NFI_Expiration=1,IF($A549&lt;VLOOKUP(M$5,NFI,5,0),1,0)*Data_NFI_t[[#This Row],[Tarpaulin]],0)</f>
        <v>0</v>
      </c>
      <c r="AB549" s="112">
        <f>IF(NFI_Expiration=1,IF($A549&lt;VLOOKUP(N$5,NFI,5,0),1,0)*Data_NFI_t[[#This Row],[Blanket]],0)</f>
        <v>0</v>
      </c>
      <c r="AC549" s="112">
        <f>IF(NFI_Expiration=1,IF($A549&lt;VLOOKUP(O$5,NFI,5,0),1,0)*Data_NFI_t[[#This Row],[Kitchen Set]],0)</f>
        <v>0</v>
      </c>
      <c r="AD549" s="112">
        <f>IF(NFI_Expiration=1,IF($A549&lt;VLOOKUP(P$5,NFI,5,0),1,0)*Data_NFI_t[[#This Row],[Complementary Kit]],0)</f>
        <v>0</v>
      </c>
      <c r="AE549" s="112">
        <f>IF(NFI_Expiration=1,IF($A549&lt;VLOOKUP(Q$5,NFI,5,0),1,0)*Data_NFI_t[[#This Row],[Plastic Bucket]],0)</f>
        <v>0</v>
      </c>
      <c r="AF549" s="131">
        <f>IF(NFI_Expiration=1,IF($A549&lt;VLOOKUP(R$5,NFI,5,0),1,0)*Data_NFI_t[[#This Row],[Jerry Can]],0)</f>
        <v>0</v>
      </c>
      <c r="AG549" s="131">
        <f>IF(NFI_Expiration=1,IF($A549&lt;VLOOKUP(S$5,NFI,5,0),1,0)*Data_NFI_t[[#This Row],[Plastic Mat]],0)*IF(Data_NFI_t[[#This Row],[Distribution Date]]&gt;"01-06-2015",1,2.5)</f>
        <v>0</v>
      </c>
      <c r="AH549" s="915">
        <f>IF(NFI_Expiration=1,IF($A549&lt;VLOOKUP(T$5,NFI,5,0),1,0)*Data_NFI_t[[#This Row],[Adult Clothes]],0)</f>
        <v>0</v>
      </c>
      <c r="AI549" s="131">
        <f>IF(NFI_Expiration=1,IF($A549&lt;VLOOKUP(U$5,NFI,5,0),1,0)*Data_NFI_t[[#This Row],[Children Clothes]],0)</f>
        <v>0</v>
      </c>
      <c r="AJ549" s="131">
        <f>IF(NFI_Expiration=1,IF($A549&lt;VLOOKUP(V$5,NFI,5,0),1,0)*Data_NFI_t[[#This Row],[Sewing Kit]],0)</f>
        <v>0</v>
      </c>
      <c r="AK549" s="131" t="str">
        <f ca="1">IFERROR(OFFSET(Camp_List[P_Code],MATCH(Data_NFI_t[[#This Row],[Camp Name]],Camp_List[Camp Name],0)-1,0,1,1),"")</f>
        <v/>
      </c>
      <c r="AL549" s="513" t="str">
        <f ca="1">IFERROR(OFFSET(Camp_List[Status],MATCH(Data_NFI_t[[#This Row],[Camp Name]],Camp_List[Camp Name],0)-1,0,1,1),"")</f>
        <v/>
      </c>
      <c r="AM549" s="131"/>
    </row>
    <row r="550" spans="1:39" s="793" customFormat="1" ht="19.5" customHeight="1" x14ac:dyDescent="0.25">
      <c r="A550" s="242" t="str">
        <f>IF(ISBLANK(C550),"",(Report_Date-C550)/30)</f>
        <v/>
      </c>
      <c r="B550" s="522">
        <f>YEAR(Data_NFI_t[[#This Row],[Distribution Date]])</f>
        <v>1900</v>
      </c>
      <c r="C550" s="927"/>
      <c r="D550" s="489"/>
      <c r="E550" s="488"/>
      <c r="F550" s="489"/>
      <c r="G550" s="794"/>
      <c r="H550" s="794"/>
      <c r="I550" s="794"/>
      <c r="J550" s="51"/>
      <c r="K550" s="51"/>
      <c r="L550" s="119"/>
      <c r="M550" s="119"/>
      <c r="N550" s="119"/>
      <c r="O550" s="119"/>
      <c r="P550" s="119"/>
      <c r="Q550" s="119"/>
      <c r="R550" s="512"/>
      <c r="S550" s="119"/>
      <c r="T550" s="119"/>
      <c r="U550" s="119"/>
      <c r="V550" s="119"/>
      <c r="W550" s="131">
        <f>IF(NFI_Expiration=1,IF($A550&lt;VLOOKUP(I$5,NFI,5,0),1,0)*Data_NFI_t[[#This Row],[Hygiene Kit]],0)</f>
        <v>0</v>
      </c>
      <c r="X550" s="131">
        <f>IF(NFI_Expiration=1,IF($A550&lt;VLOOKUP(J$5,NFI,5,0),1,0)*Data_NFI_t[[#This Row],[NFI Core Kit]],0)</f>
        <v>0</v>
      </c>
      <c r="Y550" s="112">
        <f>IF(NFI_Expiration=1,IF($A550&lt;VLOOKUP(K$5,NFI,5,0),1,0)*Data_NFI_t[[#This Row],[Sanitary Kit]],0)</f>
        <v>0</v>
      </c>
      <c r="Z550" s="112">
        <f>IF(NFI_Expiration=1,IF($A550&lt;VLOOKUP(L$5,NFI,5,0),1,0)*Data_NFI_t[[#This Row],[Mosquito net]],0)</f>
        <v>0</v>
      </c>
      <c r="AA550" s="112">
        <f>IF(NFI_Expiration=1,IF($A550&lt;VLOOKUP(M$5,NFI,5,0),1,0)*Data_NFI_t[[#This Row],[Tarpaulin]],0)</f>
        <v>0</v>
      </c>
      <c r="AB550" s="112">
        <f>IF(NFI_Expiration=1,IF($A550&lt;VLOOKUP(N$5,NFI,5,0),1,0)*Data_NFI_t[[#This Row],[Blanket]],0)</f>
        <v>0</v>
      </c>
      <c r="AC550" s="112">
        <f>IF(NFI_Expiration=1,IF($A550&lt;VLOOKUP(O$5,NFI,5,0),1,0)*Data_NFI_t[[#This Row],[Kitchen Set]],0)</f>
        <v>0</v>
      </c>
      <c r="AD550" s="112">
        <f>IF(NFI_Expiration=1,IF($A550&lt;VLOOKUP(P$5,NFI,5,0),1,0)*Data_NFI_t[[#This Row],[Complementary Kit]],0)</f>
        <v>0</v>
      </c>
      <c r="AE550" s="112">
        <f>IF(NFI_Expiration=1,IF($A550&lt;VLOOKUP(Q$5,NFI,5,0),1,0)*Data_NFI_t[[#This Row],[Plastic Bucket]],0)</f>
        <v>0</v>
      </c>
      <c r="AF550" s="131">
        <f>IF(NFI_Expiration=1,IF($A550&lt;VLOOKUP(R$5,NFI,5,0),1,0)*Data_NFI_t[[#This Row],[Jerry Can]],0)</f>
        <v>0</v>
      </c>
      <c r="AG550" s="131">
        <f>IF(NFI_Expiration=1,IF($A550&lt;VLOOKUP(S$5,NFI,5,0),1,0)*Data_NFI_t[[#This Row],[Plastic Mat]],0)*IF(Data_NFI_t[[#This Row],[Distribution Date]]&gt;"01-06-2015",1,2.5)</f>
        <v>0</v>
      </c>
      <c r="AH550" s="915">
        <f>IF(NFI_Expiration=1,IF($A550&lt;VLOOKUP(T$5,NFI,5,0),1,0)*Data_NFI_t[[#This Row],[Adult Clothes]],0)</f>
        <v>0</v>
      </c>
      <c r="AI550" s="131">
        <f>IF(NFI_Expiration=1,IF($A550&lt;VLOOKUP(U$5,NFI,5,0),1,0)*Data_NFI_t[[#This Row],[Children Clothes]],0)</f>
        <v>0</v>
      </c>
      <c r="AJ550" s="131">
        <f>IF(NFI_Expiration=1,IF($A550&lt;VLOOKUP(V$5,NFI,5,0),1,0)*Data_NFI_t[[#This Row],[Sewing Kit]],0)</f>
        <v>0</v>
      </c>
      <c r="AK550" s="131" t="str">
        <f ca="1">IFERROR(OFFSET(Camp_List[P_Code],MATCH(Data_NFI_t[[#This Row],[Camp Name]],Camp_List[Camp Name],0)-1,0,1,1),"")</f>
        <v/>
      </c>
      <c r="AL550" s="513" t="str">
        <f ca="1">IFERROR(OFFSET(Camp_List[Status],MATCH(Data_NFI_t[[#This Row],[Camp Name]],Camp_List[Camp Name],0)-1,0,1,1),"")</f>
        <v/>
      </c>
      <c r="AM550" s="131"/>
    </row>
    <row r="551" spans="1:39" s="793" customFormat="1" ht="19.5" customHeight="1" x14ac:dyDescent="0.25">
      <c r="A551" s="242" t="str">
        <f>IF(ISBLANK(C551),"",(Report_Date-C551)/30)</f>
        <v/>
      </c>
      <c r="B551" s="522">
        <f>YEAR(Data_NFI_t[[#This Row],[Distribution Date]])</f>
        <v>1900</v>
      </c>
      <c r="C551" s="927"/>
      <c r="D551" s="489"/>
      <c r="E551" s="488"/>
      <c r="F551" s="489"/>
      <c r="G551" s="794"/>
      <c r="H551" s="794"/>
      <c r="I551" s="794"/>
      <c r="J551" s="51"/>
      <c r="K551" s="51"/>
      <c r="L551" s="119"/>
      <c r="M551" s="119"/>
      <c r="N551" s="119"/>
      <c r="O551" s="119"/>
      <c r="P551" s="119"/>
      <c r="Q551" s="119"/>
      <c r="R551" s="512"/>
      <c r="S551" s="119"/>
      <c r="T551" s="119"/>
      <c r="U551" s="119"/>
      <c r="V551" s="119"/>
      <c r="W551" s="131">
        <f>IF(NFI_Expiration=1,IF($A551&lt;VLOOKUP(I$5,NFI,5,0),1,0)*Data_NFI_t[[#This Row],[Hygiene Kit]],0)</f>
        <v>0</v>
      </c>
      <c r="X551" s="131">
        <f>IF(NFI_Expiration=1,IF($A551&lt;VLOOKUP(J$5,NFI,5,0),1,0)*Data_NFI_t[[#This Row],[NFI Core Kit]],0)</f>
        <v>0</v>
      </c>
      <c r="Y551" s="112">
        <f>IF(NFI_Expiration=1,IF($A551&lt;VLOOKUP(K$5,NFI,5,0),1,0)*Data_NFI_t[[#This Row],[Sanitary Kit]],0)</f>
        <v>0</v>
      </c>
      <c r="Z551" s="112">
        <f>IF(NFI_Expiration=1,IF($A551&lt;VLOOKUP(L$5,NFI,5,0),1,0)*Data_NFI_t[[#This Row],[Mosquito net]],0)</f>
        <v>0</v>
      </c>
      <c r="AA551" s="112">
        <f>IF(NFI_Expiration=1,IF($A551&lt;VLOOKUP(M$5,NFI,5,0),1,0)*Data_NFI_t[[#This Row],[Tarpaulin]],0)</f>
        <v>0</v>
      </c>
      <c r="AB551" s="112">
        <f>IF(NFI_Expiration=1,IF($A551&lt;VLOOKUP(N$5,NFI,5,0),1,0)*Data_NFI_t[[#This Row],[Blanket]],0)</f>
        <v>0</v>
      </c>
      <c r="AC551" s="112">
        <f>IF(NFI_Expiration=1,IF($A551&lt;VLOOKUP(O$5,NFI,5,0),1,0)*Data_NFI_t[[#This Row],[Kitchen Set]],0)</f>
        <v>0</v>
      </c>
      <c r="AD551" s="112">
        <f>IF(NFI_Expiration=1,IF($A551&lt;VLOOKUP(P$5,NFI,5,0),1,0)*Data_NFI_t[[#This Row],[Complementary Kit]],0)</f>
        <v>0</v>
      </c>
      <c r="AE551" s="112">
        <f>IF(NFI_Expiration=1,IF($A551&lt;VLOOKUP(Q$5,NFI,5,0),1,0)*Data_NFI_t[[#This Row],[Plastic Bucket]],0)</f>
        <v>0</v>
      </c>
      <c r="AF551" s="131">
        <f>IF(NFI_Expiration=1,IF($A551&lt;VLOOKUP(R$5,NFI,5,0),1,0)*Data_NFI_t[[#This Row],[Jerry Can]],0)</f>
        <v>0</v>
      </c>
      <c r="AG551" s="131">
        <f>IF(NFI_Expiration=1,IF($A551&lt;VLOOKUP(S$5,NFI,5,0),1,0)*Data_NFI_t[[#This Row],[Plastic Mat]],0)*IF(Data_NFI_t[[#This Row],[Distribution Date]]&gt;"01-06-2015",1,2.5)</f>
        <v>0</v>
      </c>
      <c r="AH551" s="915">
        <f>IF(NFI_Expiration=1,IF($A551&lt;VLOOKUP(T$5,NFI,5,0),1,0)*Data_NFI_t[[#This Row],[Adult Clothes]],0)</f>
        <v>0</v>
      </c>
      <c r="AI551" s="131">
        <f>IF(NFI_Expiration=1,IF($A551&lt;VLOOKUP(U$5,NFI,5,0),1,0)*Data_NFI_t[[#This Row],[Children Clothes]],0)</f>
        <v>0</v>
      </c>
      <c r="AJ551" s="131">
        <f>IF(NFI_Expiration=1,IF($A551&lt;VLOOKUP(V$5,NFI,5,0),1,0)*Data_NFI_t[[#This Row],[Sewing Kit]],0)</f>
        <v>0</v>
      </c>
      <c r="AK551" s="131" t="str">
        <f ca="1">IFERROR(OFFSET(Camp_List[P_Code],MATCH(Data_NFI_t[[#This Row],[Camp Name]],Camp_List[Camp Name],0)-1,0,1,1),"")</f>
        <v/>
      </c>
      <c r="AL551" s="513" t="str">
        <f ca="1">IFERROR(OFFSET(Camp_List[Status],MATCH(Data_NFI_t[[#This Row],[Camp Name]],Camp_List[Camp Name],0)-1,0,1,1),"")</f>
        <v/>
      </c>
      <c r="AM551" s="131"/>
    </row>
    <row r="552" spans="1:39" s="793" customFormat="1" ht="19.5" customHeight="1" x14ac:dyDescent="0.25">
      <c r="A552" s="242" t="str">
        <f>IF(ISBLANK(C552),"",(Report_Date-C552)/30)</f>
        <v/>
      </c>
      <c r="B552" s="522">
        <f>YEAR(Data_NFI_t[[#This Row],[Distribution Date]])</f>
        <v>1900</v>
      </c>
      <c r="C552" s="927"/>
      <c r="D552" s="489"/>
      <c r="E552" s="488"/>
      <c r="F552" s="489"/>
      <c r="G552" s="794"/>
      <c r="H552" s="794"/>
      <c r="I552" s="794"/>
      <c r="J552" s="51"/>
      <c r="K552" s="51"/>
      <c r="L552" s="119"/>
      <c r="M552" s="119"/>
      <c r="N552" s="119"/>
      <c r="O552" s="119"/>
      <c r="P552" s="119"/>
      <c r="Q552" s="119"/>
      <c r="R552" s="512"/>
      <c r="S552" s="119"/>
      <c r="T552" s="119"/>
      <c r="U552" s="119"/>
      <c r="V552" s="119"/>
      <c r="W552" s="131">
        <f>IF(NFI_Expiration=1,IF($A552&lt;VLOOKUP(I$5,NFI,5,0),1,0)*Data_NFI_t[[#This Row],[Hygiene Kit]],0)</f>
        <v>0</v>
      </c>
      <c r="X552" s="131">
        <f>IF(NFI_Expiration=1,IF($A552&lt;VLOOKUP(J$5,NFI,5,0),1,0)*Data_NFI_t[[#This Row],[NFI Core Kit]],0)</f>
        <v>0</v>
      </c>
      <c r="Y552" s="112">
        <f>IF(NFI_Expiration=1,IF($A552&lt;VLOOKUP(K$5,NFI,5,0),1,0)*Data_NFI_t[[#This Row],[Sanitary Kit]],0)</f>
        <v>0</v>
      </c>
      <c r="Z552" s="112">
        <f>IF(NFI_Expiration=1,IF($A552&lt;VLOOKUP(L$5,NFI,5,0),1,0)*Data_NFI_t[[#This Row],[Mosquito net]],0)</f>
        <v>0</v>
      </c>
      <c r="AA552" s="112">
        <f>IF(NFI_Expiration=1,IF($A552&lt;VLOOKUP(M$5,NFI,5,0),1,0)*Data_NFI_t[[#This Row],[Tarpaulin]],0)</f>
        <v>0</v>
      </c>
      <c r="AB552" s="112">
        <f>IF(NFI_Expiration=1,IF($A552&lt;VLOOKUP(N$5,NFI,5,0),1,0)*Data_NFI_t[[#This Row],[Blanket]],0)</f>
        <v>0</v>
      </c>
      <c r="AC552" s="112">
        <f>IF(NFI_Expiration=1,IF($A552&lt;VLOOKUP(O$5,NFI,5,0),1,0)*Data_NFI_t[[#This Row],[Kitchen Set]],0)</f>
        <v>0</v>
      </c>
      <c r="AD552" s="112">
        <f>IF(NFI_Expiration=1,IF($A552&lt;VLOOKUP(P$5,NFI,5,0),1,0)*Data_NFI_t[[#This Row],[Complementary Kit]],0)</f>
        <v>0</v>
      </c>
      <c r="AE552" s="112">
        <f>IF(NFI_Expiration=1,IF($A552&lt;VLOOKUP(Q$5,NFI,5,0),1,0)*Data_NFI_t[[#This Row],[Plastic Bucket]],0)</f>
        <v>0</v>
      </c>
      <c r="AF552" s="131">
        <f>IF(NFI_Expiration=1,IF($A552&lt;VLOOKUP(R$5,NFI,5,0),1,0)*Data_NFI_t[[#This Row],[Jerry Can]],0)</f>
        <v>0</v>
      </c>
      <c r="AG552" s="131">
        <f>IF(NFI_Expiration=1,IF($A552&lt;VLOOKUP(S$5,NFI,5,0),1,0)*Data_NFI_t[[#This Row],[Plastic Mat]],0)*IF(Data_NFI_t[[#This Row],[Distribution Date]]&gt;"01-06-2015",1,2.5)</f>
        <v>0</v>
      </c>
      <c r="AH552" s="915">
        <f>IF(NFI_Expiration=1,IF($A552&lt;VLOOKUP(T$5,NFI,5,0),1,0)*Data_NFI_t[[#This Row],[Adult Clothes]],0)</f>
        <v>0</v>
      </c>
      <c r="AI552" s="131">
        <f>IF(NFI_Expiration=1,IF($A552&lt;VLOOKUP(U$5,NFI,5,0),1,0)*Data_NFI_t[[#This Row],[Children Clothes]],0)</f>
        <v>0</v>
      </c>
      <c r="AJ552" s="131">
        <f>IF(NFI_Expiration=1,IF($A552&lt;VLOOKUP(V$5,NFI,5,0),1,0)*Data_NFI_t[[#This Row],[Sewing Kit]],0)</f>
        <v>0</v>
      </c>
      <c r="AK552" s="131" t="str">
        <f ca="1">IFERROR(OFFSET(Camp_List[P_Code],MATCH(Data_NFI_t[[#This Row],[Camp Name]],Camp_List[Camp Name],0)-1,0,1,1),"")</f>
        <v/>
      </c>
      <c r="AL552" s="513" t="str">
        <f ca="1">IFERROR(OFFSET(Camp_List[Status],MATCH(Data_NFI_t[[#This Row],[Camp Name]],Camp_List[Camp Name],0)-1,0,1,1),"")</f>
        <v/>
      </c>
      <c r="AM552" s="131"/>
    </row>
    <row r="553" spans="1:39" s="793" customFormat="1" ht="19.5" customHeight="1" x14ac:dyDescent="0.25">
      <c r="A553" s="242" t="str">
        <f>IF(ISBLANK(C553),"",(Report_Date-C553)/30)</f>
        <v/>
      </c>
      <c r="B553" s="522">
        <f>YEAR(Data_NFI_t[[#This Row],[Distribution Date]])</f>
        <v>1900</v>
      </c>
      <c r="C553" s="927"/>
      <c r="D553" s="489"/>
      <c r="E553" s="488"/>
      <c r="F553" s="489"/>
      <c r="G553" s="794"/>
      <c r="H553" s="794"/>
      <c r="I553" s="794"/>
      <c r="J553" s="51"/>
      <c r="K553" s="51"/>
      <c r="L553" s="119"/>
      <c r="M553" s="119"/>
      <c r="N553" s="119"/>
      <c r="O553" s="119"/>
      <c r="P553" s="119"/>
      <c r="Q553" s="119"/>
      <c r="R553" s="512"/>
      <c r="S553" s="119"/>
      <c r="T553" s="119"/>
      <c r="U553" s="119"/>
      <c r="V553" s="119"/>
      <c r="W553" s="131">
        <f>IF(NFI_Expiration=1,IF($A553&lt;VLOOKUP(I$5,NFI,5,0),1,0)*Data_NFI_t[[#This Row],[Hygiene Kit]],0)</f>
        <v>0</v>
      </c>
      <c r="X553" s="131">
        <f>IF(NFI_Expiration=1,IF($A553&lt;VLOOKUP(J$5,NFI,5,0),1,0)*Data_NFI_t[[#This Row],[NFI Core Kit]],0)</f>
        <v>0</v>
      </c>
      <c r="Y553" s="112">
        <f>IF(NFI_Expiration=1,IF($A553&lt;VLOOKUP(K$5,NFI,5,0),1,0)*Data_NFI_t[[#This Row],[Sanitary Kit]],0)</f>
        <v>0</v>
      </c>
      <c r="Z553" s="112">
        <f>IF(NFI_Expiration=1,IF($A553&lt;VLOOKUP(L$5,NFI,5,0),1,0)*Data_NFI_t[[#This Row],[Mosquito net]],0)</f>
        <v>0</v>
      </c>
      <c r="AA553" s="112">
        <f>IF(NFI_Expiration=1,IF($A553&lt;VLOOKUP(M$5,NFI,5,0),1,0)*Data_NFI_t[[#This Row],[Tarpaulin]],0)</f>
        <v>0</v>
      </c>
      <c r="AB553" s="112">
        <f>IF(NFI_Expiration=1,IF($A553&lt;VLOOKUP(N$5,NFI,5,0),1,0)*Data_NFI_t[[#This Row],[Blanket]],0)</f>
        <v>0</v>
      </c>
      <c r="AC553" s="112">
        <f>IF(NFI_Expiration=1,IF($A553&lt;VLOOKUP(O$5,NFI,5,0),1,0)*Data_NFI_t[[#This Row],[Kitchen Set]],0)</f>
        <v>0</v>
      </c>
      <c r="AD553" s="112">
        <f>IF(NFI_Expiration=1,IF($A553&lt;VLOOKUP(P$5,NFI,5,0),1,0)*Data_NFI_t[[#This Row],[Complementary Kit]],0)</f>
        <v>0</v>
      </c>
      <c r="AE553" s="112">
        <f>IF(NFI_Expiration=1,IF($A553&lt;VLOOKUP(Q$5,NFI,5,0),1,0)*Data_NFI_t[[#This Row],[Plastic Bucket]],0)</f>
        <v>0</v>
      </c>
      <c r="AF553" s="131">
        <f>IF(NFI_Expiration=1,IF($A553&lt;VLOOKUP(R$5,NFI,5,0),1,0)*Data_NFI_t[[#This Row],[Jerry Can]],0)</f>
        <v>0</v>
      </c>
      <c r="AG553" s="131">
        <f>IF(NFI_Expiration=1,IF($A553&lt;VLOOKUP(S$5,NFI,5,0),1,0)*Data_NFI_t[[#This Row],[Plastic Mat]],0)*IF(Data_NFI_t[[#This Row],[Distribution Date]]&gt;"01-06-2015",1,2.5)</f>
        <v>0</v>
      </c>
      <c r="AH553" s="915">
        <f>IF(NFI_Expiration=1,IF($A553&lt;VLOOKUP(T$5,NFI,5,0),1,0)*Data_NFI_t[[#This Row],[Adult Clothes]],0)</f>
        <v>0</v>
      </c>
      <c r="AI553" s="131">
        <f>IF(NFI_Expiration=1,IF($A553&lt;VLOOKUP(U$5,NFI,5,0),1,0)*Data_NFI_t[[#This Row],[Children Clothes]],0)</f>
        <v>0</v>
      </c>
      <c r="AJ553" s="131">
        <f>IF(NFI_Expiration=1,IF($A553&lt;VLOOKUP(V$5,NFI,5,0),1,0)*Data_NFI_t[[#This Row],[Sewing Kit]],0)</f>
        <v>0</v>
      </c>
      <c r="AK553" s="131" t="str">
        <f ca="1">IFERROR(OFFSET(Camp_List[P_Code],MATCH(Data_NFI_t[[#This Row],[Camp Name]],Camp_List[Camp Name],0)-1,0,1,1),"")</f>
        <v/>
      </c>
      <c r="AL553" s="513" t="str">
        <f ca="1">IFERROR(OFFSET(Camp_List[Status],MATCH(Data_NFI_t[[#This Row],[Camp Name]],Camp_List[Camp Name],0)-1,0,1,1),"")</f>
        <v/>
      </c>
      <c r="AM553" s="131"/>
    </row>
    <row r="554" spans="1:39" s="793" customFormat="1" ht="19.5" customHeight="1" x14ac:dyDescent="0.25">
      <c r="A554" s="242" t="str">
        <f>IF(ISBLANK(C554),"",(Report_Date-C554)/30)</f>
        <v/>
      </c>
      <c r="B554" s="522">
        <f>YEAR(Data_NFI_t[[#This Row],[Distribution Date]])</f>
        <v>1900</v>
      </c>
      <c r="C554" s="927"/>
      <c r="D554" s="489"/>
      <c r="E554" s="488"/>
      <c r="F554" s="489"/>
      <c r="G554" s="794"/>
      <c r="H554" s="794"/>
      <c r="I554" s="794"/>
      <c r="J554" s="51"/>
      <c r="K554" s="51"/>
      <c r="L554" s="119"/>
      <c r="M554" s="119"/>
      <c r="N554" s="119"/>
      <c r="O554" s="119"/>
      <c r="P554" s="119"/>
      <c r="Q554" s="119"/>
      <c r="R554" s="512"/>
      <c r="S554" s="119"/>
      <c r="T554" s="119"/>
      <c r="U554" s="119"/>
      <c r="V554" s="119"/>
      <c r="W554" s="131">
        <f>IF(NFI_Expiration=1,IF($A554&lt;VLOOKUP(I$5,NFI,5,0),1,0)*Data_NFI_t[[#This Row],[Hygiene Kit]],0)</f>
        <v>0</v>
      </c>
      <c r="X554" s="131">
        <f>IF(NFI_Expiration=1,IF($A554&lt;VLOOKUP(J$5,NFI,5,0),1,0)*Data_NFI_t[[#This Row],[NFI Core Kit]],0)</f>
        <v>0</v>
      </c>
      <c r="Y554" s="112">
        <f>IF(NFI_Expiration=1,IF($A554&lt;VLOOKUP(K$5,NFI,5,0),1,0)*Data_NFI_t[[#This Row],[Sanitary Kit]],0)</f>
        <v>0</v>
      </c>
      <c r="Z554" s="112">
        <f>IF(NFI_Expiration=1,IF($A554&lt;VLOOKUP(L$5,NFI,5,0),1,0)*Data_NFI_t[[#This Row],[Mosquito net]],0)</f>
        <v>0</v>
      </c>
      <c r="AA554" s="112">
        <f>IF(NFI_Expiration=1,IF($A554&lt;VLOOKUP(M$5,NFI,5,0),1,0)*Data_NFI_t[[#This Row],[Tarpaulin]],0)</f>
        <v>0</v>
      </c>
      <c r="AB554" s="112">
        <f>IF(NFI_Expiration=1,IF($A554&lt;VLOOKUP(N$5,NFI,5,0),1,0)*Data_NFI_t[[#This Row],[Blanket]],0)</f>
        <v>0</v>
      </c>
      <c r="AC554" s="112">
        <f>IF(NFI_Expiration=1,IF($A554&lt;VLOOKUP(O$5,NFI,5,0),1,0)*Data_NFI_t[[#This Row],[Kitchen Set]],0)</f>
        <v>0</v>
      </c>
      <c r="AD554" s="112">
        <f>IF(NFI_Expiration=1,IF($A554&lt;VLOOKUP(P$5,NFI,5,0),1,0)*Data_NFI_t[[#This Row],[Complementary Kit]],0)</f>
        <v>0</v>
      </c>
      <c r="AE554" s="112">
        <f>IF(NFI_Expiration=1,IF($A554&lt;VLOOKUP(Q$5,NFI,5,0),1,0)*Data_NFI_t[[#This Row],[Plastic Bucket]],0)</f>
        <v>0</v>
      </c>
      <c r="AF554" s="131">
        <f>IF(NFI_Expiration=1,IF($A554&lt;VLOOKUP(R$5,NFI,5,0),1,0)*Data_NFI_t[[#This Row],[Jerry Can]],0)</f>
        <v>0</v>
      </c>
      <c r="AG554" s="131">
        <f>IF(NFI_Expiration=1,IF($A554&lt;VLOOKUP(S$5,NFI,5,0),1,0)*Data_NFI_t[[#This Row],[Plastic Mat]],0)*IF(Data_NFI_t[[#This Row],[Distribution Date]]&gt;"01-06-2015",1,2.5)</f>
        <v>0</v>
      </c>
      <c r="AH554" s="915">
        <f>IF(NFI_Expiration=1,IF($A554&lt;VLOOKUP(T$5,NFI,5,0),1,0)*Data_NFI_t[[#This Row],[Adult Clothes]],0)</f>
        <v>0</v>
      </c>
      <c r="AI554" s="131">
        <f>IF(NFI_Expiration=1,IF($A554&lt;VLOOKUP(U$5,NFI,5,0),1,0)*Data_NFI_t[[#This Row],[Children Clothes]],0)</f>
        <v>0</v>
      </c>
      <c r="AJ554" s="131">
        <f>IF(NFI_Expiration=1,IF($A554&lt;VLOOKUP(V$5,NFI,5,0),1,0)*Data_NFI_t[[#This Row],[Sewing Kit]],0)</f>
        <v>0</v>
      </c>
      <c r="AK554" s="131" t="str">
        <f ca="1">IFERROR(OFFSET(Camp_List[P_Code],MATCH(Data_NFI_t[[#This Row],[Camp Name]],Camp_List[Camp Name],0)-1,0,1,1),"")</f>
        <v/>
      </c>
      <c r="AL554" s="513" t="str">
        <f ca="1">IFERROR(OFFSET(Camp_List[Status],MATCH(Data_NFI_t[[#This Row],[Camp Name]],Camp_List[Camp Name],0)-1,0,1,1),"")</f>
        <v/>
      </c>
      <c r="AM554" s="131"/>
    </row>
    <row r="555" spans="1:39" s="793" customFormat="1" ht="19.5" customHeight="1" x14ac:dyDescent="0.25">
      <c r="A555" s="242" t="str">
        <f>IF(ISBLANK(C555),"",(Report_Date-C555)/30)</f>
        <v/>
      </c>
      <c r="B555" s="522">
        <f>YEAR(Data_NFI_t[[#This Row],[Distribution Date]])</f>
        <v>1900</v>
      </c>
      <c r="C555" s="927"/>
      <c r="D555" s="489"/>
      <c r="E555" s="488"/>
      <c r="F555" s="489"/>
      <c r="G555" s="794"/>
      <c r="H555" s="794"/>
      <c r="I555" s="794"/>
      <c r="J555" s="51"/>
      <c r="K555" s="51"/>
      <c r="L555" s="119"/>
      <c r="M555" s="119"/>
      <c r="N555" s="119"/>
      <c r="O555" s="119"/>
      <c r="P555" s="119"/>
      <c r="Q555" s="119"/>
      <c r="R555" s="512"/>
      <c r="S555" s="119"/>
      <c r="T555" s="119"/>
      <c r="U555" s="119"/>
      <c r="V555" s="119"/>
      <c r="W555" s="131">
        <f>IF(NFI_Expiration=1,IF($A555&lt;VLOOKUP(I$5,NFI,5,0),1,0)*Data_NFI_t[[#This Row],[Hygiene Kit]],0)</f>
        <v>0</v>
      </c>
      <c r="X555" s="131">
        <f>IF(NFI_Expiration=1,IF($A555&lt;VLOOKUP(J$5,NFI,5,0),1,0)*Data_NFI_t[[#This Row],[NFI Core Kit]],0)</f>
        <v>0</v>
      </c>
      <c r="Y555" s="112">
        <f>IF(NFI_Expiration=1,IF($A555&lt;VLOOKUP(K$5,NFI,5,0),1,0)*Data_NFI_t[[#This Row],[Sanitary Kit]],0)</f>
        <v>0</v>
      </c>
      <c r="Z555" s="112">
        <f>IF(NFI_Expiration=1,IF($A555&lt;VLOOKUP(L$5,NFI,5,0),1,0)*Data_NFI_t[[#This Row],[Mosquito net]],0)</f>
        <v>0</v>
      </c>
      <c r="AA555" s="112">
        <f>IF(NFI_Expiration=1,IF($A555&lt;VLOOKUP(M$5,NFI,5,0),1,0)*Data_NFI_t[[#This Row],[Tarpaulin]],0)</f>
        <v>0</v>
      </c>
      <c r="AB555" s="112">
        <f>IF(NFI_Expiration=1,IF($A555&lt;VLOOKUP(N$5,NFI,5,0),1,0)*Data_NFI_t[[#This Row],[Blanket]],0)</f>
        <v>0</v>
      </c>
      <c r="AC555" s="112">
        <f>IF(NFI_Expiration=1,IF($A555&lt;VLOOKUP(O$5,NFI,5,0),1,0)*Data_NFI_t[[#This Row],[Kitchen Set]],0)</f>
        <v>0</v>
      </c>
      <c r="AD555" s="112">
        <f>IF(NFI_Expiration=1,IF($A555&lt;VLOOKUP(P$5,NFI,5,0),1,0)*Data_NFI_t[[#This Row],[Complementary Kit]],0)</f>
        <v>0</v>
      </c>
      <c r="AE555" s="112">
        <f>IF(NFI_Expiration=1,IF($A555&lt;VLOOKUP(Q$5,NFI,5,0),1,0)*Data_NFI_t[[#This Row],[Plastic Bucket]],0)</f>
        <v>0</v>
      </c>
      <c r="AF555" s="131">
        <f>IF(NFI_Expiration=1,IF($A555&lt;VLOOKUP(R$5,NFI,5,0),1,0)*Data_NFI_t[[#This Row],[Jerry Can]],0)</f>
        <v>0</v>
      </c>
      <c r="AG555" s="131">
        <f>IF(NFI_Expiration=1,IF($A555&lt;VLOOKUP(S$5,NFI,5,0),1,0)*Data_NFI_t[[#This Row],[Plastic Mat]],0)*IF(Data_NFI_t[[#This Row],[Distribution Date]]&gt;"01-06-2015",1,2.5)</f>
        <v>0</v>
      </c>
      <c r="AH555" s="915">
        <f>IF(NFI_Expiration=1,IF($A555&lt;VLOOKUP(T$5,NFI,5,0),1,0)*Data_NFI_t[[#This Row],[Adult Clothes]],0)</f>
        <v>0</v>
      </c>
      <c r="AI555" s="131">
        <f>IF(NFI_Expiration=1,IF($A555&lt;VLOOKUP(U$5,NFI,5,0),1,0)*Data_NFI_t[[#This Row],[Children Clothes]],0)</f>
        <v>0</v>
      </c>
      <c r="AJ555" s="131">
        <f>IF(NFI_Expiration=1,IF($A555&lt;VLOOKUP(V$5,NFI,5,0),1,0)*Data_NFI_t[[#This Row],[Sewing Kit]],0)</f>
        <v>0</v>
      </c>
      <c r="AK555" s="131" t="str">
        <f ca="1">IFERROR(OFFSET(Camp_List[P_Code],MATCH(Data_NFI_t[[#This Row],[Camp Name]],Camp_List[Camp Name],0)-1,0,1,1),"")</f>
        <v/>
      </c>
      <c r="AL555" s="513" t="str">
        <f ca="1">IFERROR(OFFSET(Camp_List[Status],MATCH(Data_NFI_t[[#This Row],[Camp Name]],Camp_List[Camp Name],0)-1,0,1,1),"")</f>
        <v/>
      </c>
      <c r="AM555" s="131"/>
    </row>
    <row r="556" spans="1:39" s="793" customFormat="1" ht="19.5" customHeight="1" x14ac:dyDescent="0.25">
      <c r="A556" s="242" t="str">
        <f>IF(ISBLANK(C556),"",(Report_Date-C556)/30)</f>
        <v/>
      </c>
      <c r="B556" s="522">
        <f>YEAR(Data_NFI_t[[#This Row],[Distribution Date]])</f>
        <v>1900</v>
      </c>
      <c r="C556" s="927"/>
      <c r="D556" s="489"/>
      <c r="E556" s="488"/>
      <c r="F556" s="489"/>
      <c r="G556" s="794"/>
      <c r="H556" s="794"/>
      <c r="I556" s="794"/>
      <c r="J556" s="51"/>
      <c r="K556" s="51"/>
      <c r="L556" s="119"/>
      <c r="M556" s="119"/>
      <c r="N556" s="119"/>
      <c r="O556" s="119"/>
      <c r="P556" s="119"/>
      <c r="Q556" s="119"/>
      <c r="R556" s="512"/>
      <c r="S556" s="119"/>
      <c r="T556" s="119"/>
      <c r="U556" s="119"/>
      <c r="V556" s="119"/>
      <c r="W556" s="131">
        <f>IF(NFI_Expiration=1,IF($A556&lt;VLOOKUP(I$5,NFI,5,0),1,0)*Data_NFI_t[[#This Row],[Hygiene Kit]],0)</f>
        <v>0</v>
      </c>
      <c r="X556" s="131">
        <f>IF(NFI_Expiration=1,IF($A556&lt;VLOOKUP(J$5,NFI,5,0),1,0)*Data_NFI_t[[#This Row],[NFI Core Kit]],0)</f>
        <v>0</v>
      </c>
      <c r="Y556" s="112">
        <f>IF(NFI_Expiration=1,IF($A556&lt;VLOOKUP(K$5,NFI,5,0),1,0)*Data_NFI_t[[#This Row],[Sanitary Kit]],0)</f>
        <v>0</v>
      </c>
      <c r="Z556" s="112">
        <f>IF(NFI_Expiration=1,IF($A556&lt;VLOOKUP(L$5,NFI,5,0),1,0)*Data_NFI_t[[#This Row],[Mosquito net]],0)</f>
        <v>0</v>
      </c>
      <c r="AA556" s="112">
        <f>IF(NFI_Expiration=1,IF($A556&lt;VLOOKUP(M$5,NFI,5,0),1,0)*Data_NFI_t[[#This Row],[Tarpaulin]],0)</f>
        <v>0</v>
      </c>
      <c r="AB556" s="112">
        <f>IF(NFI_Expiration=1,IF($A556&lt;VLOOKUP(N$5,NFI,5,0),1,0)*Data_NFI_t[[#This Row],[Blanket]],0)</f>
        <v>0</v>
      </c>
      <c r="AC556" s="112">
        <f>IF(NFI_Expiration=1,IF($A556&lt;VLOOKUP(O$5,NFI,5,0),1,0)*Data_NFI_t[[#This Row],[Kitchen Set]],0)</f>
        <v>0</v>
      </c>
      <c r="AD556" s="112">
        <f>IF(NFI_Expiration=1,IF($A556&lt;VLOOKUP(P$5,NFI,5,0),1,0)*Data_NFI_t[[#This Row],[Complementary Kit]],0)</f>
        <v>0</v>
      </c>
      <c r="AE556" s="112">
        <f>IF(NFI_Expiration=1,IF($A556&lt;VLOOKUP(Q$5,NFI,5,0),1,0)*Data_NFI_t[[#This Row],[Plastic Bucket]],0)</f>
        <v>0</v>
      </c>
      <c r="AF556" s="131">
        <f>IF(NFI_Expiration=1,IF($A556&lt;VLOOKUP(R$5,NFI,5,0),1,0)*Data_NFI_t[[#This Row],[Jerry Can]],0)</f>
        <v>0</v>
      </c>
      <c r="AG556" s="131">
        <f>IF(NFI_Expiration=1,IF($A556&lt;VLOOKUP(S$5,NFI,5,0),1,0)*Data_NFI_t[[#This Row],[Plastic Mat]],0)*IF(Data_NFI_t[[#This Row],[Distribution Date]]&gt;"01-06-2015",1,2.5)</f>
        <v>0</v>
      </c>
      <c r="AH556" s="915">
        <f>IF(NFI_Expiration=1,IF($A556&lt;VLOOKUP(T$5,NFI,5,0),1,0)*Data_NFI_t[[#This Row],[Adult Clothes]],0)</f>
        <v>0</v>
      </c>
      <c r="AI556" s="131">
        <f>IF(NFI_Expiration=1,IF($A556&lt;VLOOKUP(U$5,NFI,5,0),1,0)*Data_NFI_t[[#This Row],[Children Clothes]],0)</f>
        <v>0</v>
      </c>
      <c r="AJ556" s="131">
        <f>IF(NFI_Expiration=1,IF($A556&lt;VLOOKUP(V$5,NFI,5,0),1,0)*Data_NFI_t[[#This Row],[Sewing Kit]],0)</f>
        <v>0</v>
      </c>
      <c r="AK556" s="131" t="str">
        <f ca="1">IFERROR(OFFSET(Camp_List[P_Code],MATCH(Data_NFI_t[[#This Row],[Camp Name]],Camp_List[Camp Name],0)-1,0,1,1),"")</f>
        <v/>
      </c>
      <c r="AL556" s="513" t="str">
        <f ca="1">IFERROR(OFFSET(Camp_List[Status],MATCH(Data_NFI_t[[#This Row],[Camp Name]],Camp_List[Camp Name],0)-1,0,1,1),"")</f>
        <v/>
      </c>
      <c r="AM556" s="131"/>
    </row>
    <row r="557" spans="1:39" s="793" customFormat="1" ht="19.5" customHeight="1" x14ac:dyDescent="0.25">
      <c r="A557" s="242" t="str">
        <f>IF(ISBLANK(C557),"",(Report_Date-C557)/30)</f>
        <v/>
      </c>
      <c r="B557" s="522">
        <f>YEAR(Data_NFI_t[[#This Row],[Distribution Date]])</f>
        <v>1900</v>
      </c>
      <c r="C557" s="927"/>
      <c r="D557" s="489"/>
      <c r="E557" s="488"/>
      <c r="F557" s="489"/>
      <c r="G557" s="794"/>
      <c r="H557" s="794"/>
      <c r="I557" s="794"/>
      <c r="J557" s="51"/>
      <c r="K557" s="51"/>
      <c r="L557" s="119"/>
      <c r="M557" s="119"/>
      <c r="N557" s="119"/>
      <c r="O557" s="119"/>
      <c r="P557" s="119"/>
      <c r="Q557" s="119"/>
      <c r="R557" s="512"/>
      <c r="S557" s="119"/>
      <c r="T557" s="119"/>
      <c r="U557" s="119"/>
      <c r="V557" s="119"/>
      <c r="W557" s="131">
        <f>IF(NFI_Expiration=1,IF($A557&lt;VLOOKUP(I$5,NFI,5,0),1,0)*Data_NFI_t[[#This Row],[Hygiene Kit]],0)</f>
        <v>0</v>
      </c>
      <c r="X557" s="131">
        <f>IF(NFI_Expiration=1,IF($A557&lt;VLOOKUP(J$5,NFI,5,0),1,0)*Data_NFI_t[[#This Row],[NFI Core Kit]],0)</f>
        <v>0</v>
      </c>
      <c r="Y557" s="112">
        <f>IF(NFI_Expiration=1,IF($A557&lt;VLOOKUP(K$5,NFI,5,0),1,0)*Data_NFI_t[[#This Row],[Sanitary Kit]],0)</f>
        <v>0</v>
      </c>
      <c r="Z557" s="112">
        <f>IF(NFI_Expiration=1,IF($A557&lt;VLOOKUP(L$5,NFI,5,0),1,0)*Data_NFI_t[[#This Row],[Mosquito net]],0)</f>
        <v>0</v>
      </c>
      <c r="AA557" s="112">
        <f>IF(NFI_Expiration=1,IF($A557&lt;VLOOKUP(M$5,NFI,5,0),1,0)*Data_NFI_t[[#This Row],[Tarpaulin]],0)</f>
        <v>0</v>
      </c>
      <c r="AB557" s="112">
        <f>IF(NFI_Expiration=1,IF($A557&lt;VLOOKUP(N$5,NFI,5,0),1,0)*Data_NFI_t[[#This Row],[Blanket]],0)</f>
        <v>0</v>
      </c>
      <c r="AC557" s="112">
        <f>IF(NFI_Expiration=1,IF($A557&lt;VLOOKUP(O$5,NFI,5,0),1,0)*Data_NFI_t[[#This Row],[Kitchen Set]],0)</f>
        <v>0</v>
      </c>
      <c r="AD557" s="112">
        <f>IF(NFI_Expiration=1,IF($A557&lt;VLOOKUP(P$5,NFI,5,0),1,0)*Data_NFI_t[[#This Row],[Complementary Kit]],0)</f>
        <v>0</v>
      </c>
      <c r="AE557" s="112">
        <f>IF(NFI_Expiration=1,IF($A557&lt;VLOOKUP(Q$5,NFI,5,0),1,0)*Data_NFI_t[[#This Row],[Plastic Bucket]],0)</f>
        <v>0</v>
      </c>
      <c r="AF557" s="131">
        <f>IF(NFI_Expiration=1,IF($A557&lt;VLOOKUP(R$5,NFI,5,0),1,0)*Data_NFI_t[[#This Row],[Jerry Can]],0)</f>
        <v>0</v>
      </c>
      <c r="AG557" s="131">
        <f>IF(NFI_Expiration=1,IF($A557&lt;VLOOKUP(S$5,NFI,5,0),1,0)*Data_NFI_t[[#This Row],[Plastic Mat]],0)*IF(Data_NFI_t[[#This Row],[Distribution Date]]&gt;"01-06-2015",1,2.5)</f>
        <v>0</v>
      </c>
      <c r="AH557" s="915">
        <f>IF(NFI_Expiration=1,IF($A557&lt;VLOOKUP(T$5,NFI,5,0),1,0)*Data_NFI_t[[#This Row],[Adult Clothes]],0)</f>
        <v>0</v>
      </c>
      <c r="AI557" s="131">
        <f>IF(NFI_Expiration=1,IF($A557&lt;VLOOKUP(U$5,NFI,5,0),1,0)*Data_NFI_t[[#This Row],[Children Clothes]],0)</f>
        <v>0</v>
      </c>
      <c r="AJ557" s="131">
        <f>IF(NFI_Expiration=1,IF($A557&lt;VLOOKUP(V$5,NFI,5,0),1,0)*Data_NFI_t[[#This Row],[Sewing Kit]],0)</f>
        <v>0</v>
      </c>
      <c r="AK557" s="131" t="str">
        <f ca="1">IFERROR(OFFSET(Camp_List[P_Code],MATCH(Data_NFI_t[[#This Row],[Camp Name]],Camp_List[Camp Name],0)-1,0,1,1),"")</f>
        <v/>
      </c>
      <c r="AL557" s="513" t="str">
        <f ca="1">IFERROR(OFFSET(Camp_List[Status],MATCH(Data_NFI_t[[#This Row],[Camp Name]],Camp_List[Camp Name],0)-1,0,1,1),"")</f>
        <v/>
      </c>
      <c r="AM557" s="131"/>
    </row>
    <row r="558" spans="1:39" s="793" customFormat="1" ht="19.5" customHeight="1" x14ac:dyDescent="0.25">
      <c r="A558" s="242" t="str">
        <f>IF(ISBLANK(C558),"",(Report_Date-C558)/30)</f>
        <v/>
      </c>
      <c r="B558" s="522">
        <f>YEAR(Data_NFI_t[[#This Row],[Distribution Date]])</f>
        <v>1900</v>
      </c>
      <c r="C558" s="927"/>
      <c r="D558" s="489"/>
      <c r="E558" s="488"/>
      <c r="F558" s="489"/>
      <c r="G558" s="794"/>
      <c r="H558" s="794"/>
      <c r="I558" s="794"/>
      <c r="J558" s="51"/>
      <c r="K558" s="51"/>
      <c r="L558" s="119"/>
      <c r="M558" s="119"/>
      <c r="N558" s="119"/>
      <c r="O558" s="119"/>
      <c r="P558" s="119"/>
      <c r="Q558" s="119"/>
      <c r="R558" s="512"/>
      <c r="S558" s="119"/>
      <c r="T558" s="119"/>
      <c r="U558" s="119"/>
      <c r="V558" s="119"/>
      <c r="W558" s="131">
        <f>IF(NFI_Expiration=1,IF($A558&lt;VLOOKUP(I$5,NFI,5,0),1,0)*Data_NFI_t[[#This Row],[Hygiene Kit]],0)</f>
        <v>0</v>
      </c>
      <c r="X558" s="131">
        <f>IF(NFI_Expiration=1,IF($A558&lt;VLOOKUP(J$5,NFI,5,0),1,0)*Data_NFI_t[[#This Row],[NFI Core Kit]],0)</f>
        <v>0</v>
      </c>
      <c r="Y558" s="112">
        <f>IF(NFI_Expiration=1,IF($A558&lt;VLOOKUP(K$5,NFI,5,0),1,0)*Data_NFI_t[[#This Row],[Sanitary Kit]],0)</f>
        <v>0</v>
      </c>
      <c r="Z558" s="112">
        <f>IF(NFI_Expiration=1,IF($A558&lt;VLOOKUP(L$5,NFI,5,0),1,0)*Data_NFI_t[[#This Row],[Mosquito net]],0)</f>
        <v>0</v>
      </c>
      <c r="AA558" s="112">
        <f>IF(NFI_Expiration=1,IF($A558&lt;VLOOKUP(M$5,NFI,5,0),1,0)*Data_NFI_t[[#This Row],[Tarpaulin]],0)</f>
        <v>0</v>
      </c>
      <c r="AB558" s="112">
        <f>IF(NFI_Expiration=1,IF($A558&lt;VLOOKUP(N$5,NFI,5,0),1,0)*Data_NFI_t[[#This Row],[Blanket]],0)</f>
        <v>0</v>
      </c>
      <c r="AC558" s="112">
        <f>IF(NFI_Expiration=1,IF($A558&lt;VLOOKUP(O$5,NFI,5,0),1,0)*Data_NFI_t[[#This Row],[Kitchen Set]],0)</f>
        <v>0</v>
      </c>
      <c r="AD558" s="112">
        <f>IF(NFI_Expiration=1,IF($A558&lt;VLOOKUP(P$5,NFI,5,0),1,0)*Data_NFI_t[[#This Row],[Complementary Kit]],0)</f>
        <v>0</v>
      </c>
      <c r="AE558" s="112">
        <f>IF(NFI_Expiration=1,IF($A558&lt;VLOOKUP(Q$5,NFI,5,0),1,0)*Data_NFI_t[[#This Row],[Plastic Bucket]],0)</f>
        <v>0</v>
      </c>
      <c r="AF558" s="131">
        <f>IF(NFI_Expiration=1,IF($A558&lt;VLOOKUP(R$5,NFI,5,0),1,0)*Data_NFI_t[[#This Row],[Jerry Can]],0)</f>
        <v>0</v>
      </c>
      <c r="AG558" s="131">
        <f>IF(NFI_Expiration=1,IF($A558&lt;VLOOKUP(S$5,NFI,5,0),1,0)*Data_NFI_t[[#This Row],[Plastic Mat]],0)*IF(Data_NFI_t[[#This Row],[Distribution Date]]&gt;"01-06-2015",1,2.5)</f>
        <v>0</v>
      </c>
      <c r="AH558" s="915">
        <f>IF(NFI_Expiration=1,IF($A558&lt;VLOOKUP(T$5,NFI,5,0),1,0)*Data_NFI_t[[#This Row],[Adult Clothes]],0)</f>
        <v>0</v>
      </c>
      <c r="AI558" s="131">
        <f>IF(NFI_Expiration=1,IF($A558&lt;VLOOKUP(U$5,NFI,5,0),1,0)*Data_NFI_t[[#This Row],[Children Clothes]],0)</f>
        <v>0</v>
      </c>
      <c r="AJ558" s="131">
        <f>IF(NFI_Expiration=1,IF($A558&lt;VLOOKUP(V$5,NFI,5,0),1,0)*Data_NFI_t[[#This Row],[Sewing Kit]],0)</f>
        <v>0</v>
      </c>
      <c r="AK558" s="131" t="str">
        <f ca="1">IFERROR(OFFSET(Camp_List[P_Code],MATCH(Data_NFI_t[[#This Row],[Camp Name]],Camp_List[Camp Name],0)-1,0,1,1),"")</f>
        <v/>
      </c>
      <c r="AL558" s="513" t="str">
        <f ca="1">IFERROR(OFFSET(Camp_List[Status],MATCH(Data_NFI_t[[#This Row],[Camp Name]],Camp_List[Camp Name],0)-1,0,1,1),"")</f>
        <v/>
      </c>
      <c r="AM558" s="131"/>
    </row>
    <row r="559" spans="1:39" s="793" customFormat="1" ht="19.5" customHeight="1" x14ac:dyDescent="0.25">
      <c r="A559" s="242" t="str">
        <f>IF(ISBLANK(C559),"",(Report_Date-C559)/30)</f>
        <v/>
      </c>
      <c r="B559" s="522">
        <f>YEAR(Data_NFI_t[[#This Row],[Distribution Date]])</f>
        <v>1900</v>
      </c>
      <c r="C559" s="927"/>
      <c r="D559" s="489"/>
      <c r="E559" s="488"/>
      <c r="F559" s="489"/>
      <c r="G559" s="794"/>
      <c r="H559" s="794"/>
      <c r="I559" s="794"/>
      <c r="J559" s="51"/>
      <c r="K559" s="51"/>
      <c r="L559" s="119"/>
      <c r="M559" s="119"/>
      <c r="N559" s="119"/>
      <c r="O559" s="119"/>
      <c r="P559" s="119"/>
      <c r="Q559" s="119"/>
      <c r="R559" s="512"/>
      <c r="S559" s="119"/>
      <c r="T559" s="119"/>
      <c r="U559" s="119"/>
      <c r="V559" s="119"/>
      <c r="W559" s="131">
        <f>IF(NFI_Expiration=1,IF($A559&lt;VLOOKUP(I$5,NFI,5,0),1,0)*Data_NFI_t[[#This Row],[Hygiene Kit]],0)</f>
        <v>0</v>
      </c>
      <c r="X559" s="131">
        <f>IF(NFI_Expiration=1,IF($A559&lt;VLOOKUP(J$5,NFI,5,0),1,0)*Data_NFI_t[[#This Row],[NFI Core Kit]],0)</f>
        <v>0</v>
      </c>
      <c r="Y559" s="112">
        <f>IF(NFI_Expiration=1,IF($A559&lt;VLOOKUP(K$5,NFI,5,0),1,0)*Data_NFI_t[[#This Row],[Sanitary Kit]],0)</f>
        <v>0</v>
      </c>
      <c r="Z559" s="112">
        <f>IF(NFI_Expiration=1,IF($A559&lt;VLOOKUP(L$5,NFI,5,0),1,0)*Data_NFI_t[[#This Row],[Mosquito net]],0)</f>
        <v>0</v>
      </c>
      <c r="AA559" s="112">
        <f>IF(NFI_Expiration=1,IF($A559&lt;VLOOKUP(M$5,NFI,5,0),1,0)*Data_NFI_t[[#This Row],[Tarpaulin]],0)</f>
        <v>0</v>
      </c>
      <c r="AB559" s="112">
        <f>IF(NFI_Expiration=1,IF($A559&lt;VLOOKUP(N$5,NFI,5,0),1,0)*Data_NFI_t[[#This Row],[Blanket]],0)</f>
        <v>0</v>
      </c>
      <c r="AC559" s="112">
        <f>IF(NFI_Expiration=1,IF($A559&lt;VLOOKUP(O$5,NFI,5,0),1,0)*Data_NFI_t[[#This Row],[Kitchen Set]],0)</f>
        <v>0</v>
      </c>
      <c r="AD559" s="112">
        <f>IF(NFI_Expiration=1,IF($A559&lt;VLOOKUP(P$5,NFI,5,0),1,0)*Data_NFI_t[[#This Row],[Complementary Kit]],0)</f>
        <v>0</v>
      </c>
      <c r="AE559" s="112">
        <f>IF(NFI_Expiration=1,IF($A559&lt;VLOOKUP(Q$5,NFI,5,0),1,0)*Data_NFI_t[[#This Row],[Plastic Bucket]],0)</f>
        <v>0</v>
      </c>
      <c r="AF559" s="131">
        <f>IF(NFI_Expiration=1,IF($A559&lt;VLOOKUP(R$5,NFI,5,0),1,0)*Data_NFI_t[[#This Row],[Jerry Can]],0)</f>
        <v>0</v>
      </c>
      <c r="AG559" s="131">
        <f>IF(NFI_Expiration=1,IF($A559&lt;VLOOKUP(S$5,NFI,5,0),1,0)*Data_NFI_t[[#This Row],[Plastic Mat]],0)*IF(Data_NFI_t[[#This Row],[Distribution Date]]&gt;"01-06-2015",1,2.5)</f>
        <v>0</v>
      </c>
      <c r="AH559" s="915">
        <f>IF(NFI_Expiration=1,IF($A559&lt;VLOOKUP(T$5,NFI,5,0),1,0)*Data_NFI_t[[#This Row],[Adult Clothes]],0)</f>
        <v>0</v>
      </c>
      <c r="AI559" s="131">
        <f>IF(NFI_Expiration=1,IF($A559&lt;VLOOKUP(U$5,NFI,5,0),1,0)*Data_NFI_t[[#This Row],[Children Clothes]],0)</f>
        <v>0</v>
      </c>
      <c r="AJ559" s="131">
        <f>IF(NFI_Expiration=1,IF($A559&lt;VLOOKUP(V$5,NFI,5,0),1,0)*Data_NFI_t[[#This Row],[Sewing Kit]],0)</f>
        <v>0</v>
      </c>
      <c r="AK559" s="131" t="str">
        <f ca="1">IFERROR(OFFSET(Camp_List[P_Code],MATCH(Data_NFI_t[[#This Row],[Camp Name]],Camp_List[Camp Name],0)-1,0,1,1),"")</f>
        <v/>
      </c>
      <c r="AL559" s="513" t="str">
        <f ca="1">IFERROR(OFFSET(Camp_List[Status],MATCH(Data_NFI_t[[#This Row],[Camp Name]],Camp_List[Camp Name],0)-1,0,1,1),"")</f>
        <v/>
      </c>
      <c r="AM559" s="131"/>
    </row>
    <row r="560" spans="1:39" s="793" customFormat="1" ht="19.5" customHeight="1" x14ac:dyDescent="0.25">
      <c r="A560" s="242" t="str">
        <f>IF(ISBLANK(C560),"",(Report_Date-C560)/30)</f>
        <v/>
      </c>
      <c r="B560" s="522">
        <f>YEAR(Data_NFI_t[[#This Row],[Distribution Date]])</f>
        <v>1900</v>
      </c>
      <c r="C560" s="927"/>
      <c r="D560" s="489"/>
      <c r="E560" s="488"/>
      <c r="F560" s="489"/>
      <c r="G560" s="794"/>
      <c r="H560" s="794"/>
      <c r="I560" s="794"/>
      <c r="J560" s="51"/>
      <c r="K560" s="51"/>
      <c r="L560" s="119"/>
      <c r="M560" s="119"/>
      <c r="N560" s="119"/>
      <c r="O560" s="119"/>
      <c r="P560" s="119"/>
      <c r="Q560" s="119"/>
      <c r="R560" s="512"/>
      <c r="S560" s="119"/>
      <c r="T560" s="119"/>
      <c r="U560" s="119"/>
      <c r="V560" s="119"/>
      <c r="W560" s="131">
        <f>IF(NFI_Expiration=1,IF($A560&lt;VLOOKUP(I$5,NFI,5,0),1,0)*Data_NFI_t[[#This Row],[Hygiene Kit]],0)</f>
        <v>0</v>
      </c>
      <c r="X560" s="131">
        <f>IF(NFI_Expiration=1,IF($A560&lt;VLOOKUP(J$5,NFI,5,0),1,0)*Data_NFI_t[[#This Row],[NFI Core Kit]],0)</f>
        <v>0</v>
      </c>
      <c r="Y560" s="112">
        <f>IF(NFI_Expiration=1,IF($A560&lt;VLOOKUP(K$5,NFI,5,0),1,0)*Data_NFI_t[[#This Row],[Sanitary Kit]],0)</f>
        <v>0</v>
      </c>
      <c r="Z560" s="112">
        <f>IF(NFI_Expiration=1,IF($A560&lt;VLOOKUP(L$5,NFI,5,0),1,0)*Data_NFI_t[[#This Row],[Mosquito net]],0)</f>
        <v>0</v>
      </c>
      <c r="AA560" s="112">
        <f>IF(NFI_Expiration=1,IF($A560&lt;VLOOKUP(M$5,NFI,5,0),1,0)*Data_NFI_t[[#This Row],[Tarpaulin]],0)</f>
        <v>0</v>
      </c>
      <c r="AB560" s="112">
        <f>IF(NFI_Expiration=1,IF($A560&lt;VLOOKUP(N$5,NFI,5,0),1,0)*Data_NFI_t[[#This Row],[Blanket]],0)</f>
        <v>0</v>
      </c>
      <c r="AC560" s="112">
        <f>IF(NFI_Expiration=1,IF($A560&lt;VLOOKUP(O$5,NFI,5,0),1,0)*Data_NFI_t[[#This Row],[Kitchen Set]],0)</f>
        <v>0</v>
      </c>
      <c r="AD560" s="112">
        <f>IF(NFI_Expiration=1,IF($A560&lt;VLOOKUP(P$5,NFI,5,0),1,0)*Data_NFI_t[[#This Row],[Complementary Kit]],0)</f>
        <v>0</v>
      </c>
      <c r="AE560" s="112">
        <f>IF(NFI_Expiration=1,IF($A560&lt;VLOOKUP(Q$5,NFI,5,0),1,0)*Data_NFI_t[[#This Row],[Plastic Bucket]],0)</f>
        <v>0</v>
      </c>
      <c r="AF560" s="131">
        <f>IF(NFI_Expiration=1,IF($A560&lt;VLOOKUP(R$5,NFI,5,0),1,0)*Data_NFI_t[[#This Row],[Jerry Can]],0)</f>
        <v>0</v>
      </c>
      <c r="AG560" s="131">
        <f>IF(NFI_Expiration=1,IF($A560&lt;VLOOKUP(S$5,NFI,5,0),1,0)*Data_NFI_t[[#This Row],[Plastic Mat]],0)*IF(Data_NFI_t[[#This Row],[Distribution Date]]&gt;"01-06-2015",1,2.5)</f>
        <v>0</v>
      </c>
      <c r="AH560" s="915">
        <f>IF(NFI_Expiration=1,IF($A560&lt;VLOOKUP(T$5,NFI,5,0),1,0)*Data_NFI_t[[#This Row],[Adult Clothes]],0)</f>
        <v>0</v>
      </c>
      <c r="AI560" s="131">
        <f>IF(NFI_Expiration=1,IF($A560&lt;VLOOKUP(U$5,NFI,5,0),1,0)*Data_NFI_t[[#This Row],[Children Clothes]],0)</f>
        <v>0</v>
      </c>
      <c r="AJ560" s="131">
        <f>IF(NFI_Expiration=1,IF($A560&lt;VLOOKUP(V$5,NFI,5,0),1,0)*Data_NFI_t[[#This Row],[Sewing Kit]],0)</f>
        <v>0</v>
      </c>
      <c r="AK560" s="131" t="str">
        <f ca="1">IFERROR(OFFSET(Camp_List[P_Code],MATCH(Data_NFI_t[[#This Row],[Camp Name]],Camp_List[Camp Name],0)-1,0,1,1),"")</f>
        <v/>
      </c>
      <c r="AL560" s="513" t="str">
        <f ca="1">IFERROR(OFFSET(Camp_List[Status],MATCH(Data_NFI_t[[#This Row],[Camp Name]],Camp_List[Camp Name],0)-1,0,1,1),"")</f>
        <v/>
      </c>
      <c r="AM560" s="131"/>
    </row>
    <row r="561" spans="1:39" s="793" customFormat="1" ht="19.5" customHeight="1" x14ac:dyDescent="0.25">
      <c r="A561" s="242" t="str">
        <f>IF(ISBLANK(C561),"",(Report_Date-C561)/30)</f>
        <v/>
      </c>
      <c r="B561" s="522">
        <f>YEAR(Data_NFI_t[[#This Row],[Distribution Date]])</f>
        <v>1900</v>
      </c>
      <c r="C561" s="927"/>
      <c r="D561" s="489"/>
      <c r="E561" s="488"/>
      <c r="F561" s="489"/>
      <c r="G561" s="794"/>
      <c r="H561" s="794"/>
      <c r="I561" s="794"/>
      <c r="J561" s="51"/>
      <c r="K561" s="51"/>
      <c r="L561" s="119"/>
      <c r="M561" s="119"/>
      <c r="N561" s="119"/>
      <c r="O561" s="119"/>
      <c r="P561" s="119"/>
      <c r="Q561" s="119"/>
      <c r="R561" s="512"/>
      <c r="S561" s="119"/>
      <c r="T561" s="119"/>
      <c r="U561" s="119"/>
      <c r="V561" s="119"/>
      <c r="W561" s="131">
        <f>IF(NFI_Expiration=1,IF($A561&lt;VLOOKUP(I$5,NFI,5,0),1,0)*Data_NFI_t[[#This Row],[Hygiene Kit]],0)</f>
        <v>0</v>
      </c>
      <c r="X561" s="131">
        <f>IF(NFI_Expiration=1,IF($A561&lt;VLOOKUP(J$5,NFI,5,0),1,0)*Data_NFI_t[[#This Row],[NFI Core Kit]],0)</f>
        <v>0</v>
      </c>
      <c r="Y561" s="112">
        <f>IF(NFI_Expiration=1,IF($A561&lt;VLOOKUP(K$5,NFI,5,0),1,0)*Data_NFI_t[[#This Row],[Sanitary Kit]],0)</f>
        <v>0</v>
      </c>
      <c r="Z561" s="112">
        <f>IF(NFI_Expiration=1,IF($A561&lt;VLOOKUP(L$5,NFI,5,0),1,0)*Data_NFI_t[[#This Row],[Mosquito net]],0)</f>
        <v>0</v>
      </c>
      <c r="AA561" s="112">
        <f>IF(NFI_Expiration=1,IF($A561&lt;VLOOKUP(M$5,NFI,5,0),1,0)*Data_NFI_t[[#This Row],[Tarpaulin]],0)</f>
        <v>0</v>
      </c>
      <c r="AB561" s="112">
        <f>IF(NFI_Expiration=1,IF($A561&lt;VLOOKUP(N$5,NFI,5,0),1,0)*Data_NFI_t[[#This Row],[Blanket]],0)</f>
        <v>0</v>
      </c>
      <c r="AC561" s="112">
        <f>IF(NFI_Expiration=1,IF($A561&lt;VLOOKUP(O$5,NFI,5,0),1,0)*Data_NFI_t[[#This Row],[Kitchen Set]],0)</f>
        <v>0</v>
      </c>
      <c r="AD561" s="112">
        <f>IF(NFI_Expiration=1,IF($A561&lt;VLOOKUP(P$5,NFI,5,0),1,0)*Data_NFI_t[[#This Row],[Complementary Kit]],0)</f>
        <v>0</v>
      </c>
      <c r="AE561" s="112">
        <f>IF(NFI_Expiration=1,IF($A561&lt;VLOOKUP(Q$5,NFI,5,0),1,0)*Data_NFI_t[[#This Row],[Plastic Bucket]],0)</f>
        <v>0</v>
      </c>
      <c r="AF561" s="131">
        <f>IF(NFI_Expiration=1,IF($A561&lt;VLOOKUP(R$5,NFI,5,0),1,0)*Data_NFI_t[[#This Row],[Jerry Can]],0)</f>
        <v>0</v>
      </c>
      <c r="AG561" s="131">
        <f>IF(NFI_Expiration=1,IF($A561&lt;VLOOKUP(S$5,NFI,5,0),1,0)*Data_NFI_t[[#This Row],[Plastic Mat]],0)*IF(Data_NFI_t[[#This Row],[Distribution Date]]&gt;"01-06-2015",1,2.5)</f>
        <v>0</v>
      </c>
      <c r="AH561" s="915">
        <f>IF(NFI_Expiration=1,IF($A561&lt;VLOOKUP(T$5,NFI,5,0),1,0)*Data_NFI_t[[#This Row],[Adult Clothes]],0)</f>
        <v>0</v>
      </c>
      <c r="AI561" s="131">
        <f>IF(NFI_Expiration=1,IF($A561&lt;VLOOKUP(U$5,NFI,5,0),1,0)*Data_NFI_t[[#This Row],[Children Clothes]],0)</f>
        <v>0</v>
      </c>
      <c r="AJ561" s="131">
        <f>IF(NFI_Expiration=1,IF($A561&lt;VLOOKUP(V$5,NFI,5,0),1,0)*Data_NFI_t[[#This Row],[Sewing Kit]],0)</f>
        <v>0</v>
      </c>
      <c r="AK561" s="131" t="str">
        <f ca="1">IFERROR(OFFSET(Camp_List[P_Code],MATCH(Data_NFI_t[[#This Row],[Camp Name]],Camp_List[Camp Name],0)-1,0,1,1),"")</f>
        <v/>
      </c>
      <c r="AL561" s="513" t="str">
        <f ca="1">IFERROR(OFFSET(Camp_List[Status],MATCH(Data_NFI_t[[#This Row],[Camp Name]],Camp_List[Camp Name],0)-1,0,1,1),"")</f>
        <v/>
      </c>
      <c r="AM561" s="131"/>
    </row>
    <row r="562" spans="1:39" s="793" customFormat="1" ht="19.5" customHeight="1" x14ac:dyDescent="0.25">
      <c r="A562" s="242" t="str">
        <f>IF(ISBLANK(C562),"",(Report_Date-C562)/30)</f>
        <v/>
      </c>
      <c r="B562" s="522">
        <f>YEAR(Data_NFI_t[[#This Row],[Distribution Date]])</f>
        <v>1900</v>
      </c>
      <c r="C562" s="927"/>
      <c r="D562" s="489"/>
      <c r="E562" s="488"/>
      <c r="F562" s="489"/>
      <c r="G562" s="794"/>
      <c r="H562" s="794"/>
      <c r="I562" s="794"/>
      <c r="J562" s="51"/>
      <c r="K562" s="51"/>
      <c r="L562" s="119"/>
      <c r="M562" s="119"/>
      <c r="N562" s="119"/>
      <c r="O562" s="119"/>
      <c r="P562" s="119"/>
      <c r="Q562" s="119"/>
      <c r="R562" s="512"/>
      <c r="S562" s="119"/>
      <c r="T562" s="119"/>
      <c r="U562" s="119"/>
      <c r="V562" s="119"/>
      <c r="W562" s="131">
        <f>IF(NFI_Expiration=1,IF($A562&lt;VLOOKUP(I$5,NFI,5,0),1,0)*Data_NFI_t[[#This Row],[Hygiene Kit]],0)</f>
        <v>0</v>
      </c>
      <c r="X562" s="131">
        <f>IF(NFI_Expiration=1,IF($A562&lt;VLOOKUP(J$5,NFI,5,0),1,0)*Data_NFI_t[[#This Row],[NFI Core Kit]],0)</f>
        <v>0</v>
      </c>
      <c r="Y562" s="112">
        <f>IF(NFI_Expiration=1,IF($A562&lt;VLOOKUP(K$5,NFI,5,0),1,0)*Data_NFI_t[[#This Row],[Sanitary Kit]],0)</f>
        <v>0</v>
      </c>
      <c r="Z562" s="112">
        <f>IF(NFI_Expiration=1,IF($A562&lt;VLOOKUP(L$5,NFI,5,0),1,0)*Data_NFI_t[[#This Row],[Mosquito net]],0)</f>
        <v>0</v>
      </c>
      <c r="AA562" s="112">
        <f>IF(NFI_Expiration=1,IF($A562&lt;VLOOKUP(M$5,NFI,5,0),1,0)*Data_NFI_t[[#This Row],[Tarpaulin]],0)</f>
        <v>0</v>
      </c>
      <c r="AB562" s="112">
        <f>IF(NFI_Expiration=1,IF($A562&lt;VLOOKUP(N$5,NFI,5,0),1,0)*Data_NFI_t[[#This Row],[Blanket]],0)</f>
        <v>0</v>
      </c>
      <c r="AC562" s="112">
        <f>IF(NFI_Expiration=1,IF($A562&lt;VLOOKUP(O$5,NFI,5,0),1,0)*Data_NFI_t[[#This Row],[Kitchen Set]],0)</f>
        <v>0</v>
      </c>
      <c r="AD562" s="112">
        <f>IF(NFI_Expiration=1,IF($A562&lt;VLOOKUP(P$5,NFI,5,0),1,0)*Data_NFI_t[[#This Row],[Complementary Kit]],0)</f>
        <v>0</v>
      </c>
      <c r="AE562" s="112">
        <f>IF(NFI_Expiration=1,IF($A562&lt;VLOOKUP(Q$5,NFI,5,0),1,0)*Data_NFI_t[[#This Row],[Plastic Bucket]],0)</f>
        <v>0</v>
      </c>
      <c r="AF562" s="131">
        <f>IF(NFI_Expiration=1,IF($A562&lt;VLOOKUP(R$5,NFI,5,0),1,0)*Data_NFI_t[[#This Row],[Jerry Can]],0)</f>
        <v>0</v>
      </c>
      <c r="AG562" s="131">
        <f>IF(NFI_Expiration=1,IF($A562&lt;VLOOKUP(S$5,NFI,5,0),1,0)*Data_NFI_t[[#This Row],[Plastic Mat]],0)*IF(Data_NFI_t[[#This Row],[Distribution Date]]&gt;"01-06-2015",1,2.5)</f>
        <v>0</v>
      </c>
      <c r="AH562" s="915">
        <f>IF(NFI_Expiration=1,IF($A562&lt;VLOOKUP(T$5,NFI,5,0),1,0)*Data_NFI_t[[#This Row],[Adult Clothes]],0)</f>
        <v>0</v>
      </c>
      <c r="AI562" s="131">
        <f>IF(NFI_Expiration=1,IF($A562&lt;VLOOKUP(U$5,NFI,5,0),1,0)*Data_NFI_t[[#This Row],[Children Clothes]],0)</f>
        <v>0</v>
      </c>
      <c r="AJ562" s="131">
        <f>IF(NFI_Expiration=1,IF($A562&lt;VLOOKUP(V$5,NFI,5,0),1,0)*Data_NFI_t[[#This Row],[Sewing Kit]],0)</f>
        <v>0</v>
      </c>
      <c r="AK562" s="131" t="str">
        <f ca="1">IFERROR(OFFSET(Camp_List[P_Code],MATCH(Data_NFI_t[[#This Row],[Camp Name]],Camp_List[Camp Name],0)-1,0,1,1),"")</f>
        <v/>
      </c>
      <c r="AL562" s="513" t="str">
        <f ca="1">IFERROR(OFFSET(Camp_List[Status],MATCH(Data_NFI_t[[#This Row],[Camp Name]],Camp_List[Camp Name],0)-1,0,1,1),"")</f>
        <v/>
      </c>
      <c r="AM562" s="131"/>
    </row>
    <row r="563" spans="1:39" s="793" customFormat="1" ht="19.5" customHeight="1" x14ac:dyDescent="0.25">
      <c r="A563" s="242" t="str">
        <f>IF(ISBLANK(C563),"",(Report_Date-C563)/30)</f>
        <v/>
      </c>
      <c r="B563" s="522">
        <f>YEAR(Data_NFI_t[[#This Row],[Distribution Date]])</f>
        <v>1900</v>
      </c>
      <c r="C563" s="927"/>
      <c r="D563" s="489"/>
      <c r="E563" s="488"/>
      <c r="F563" s="489"/>
      <c r="G563" s="794"/>
      <c r="H563" s="794"/>
      <c r="I563" s="794"/>
      <c r="J563" s="51"/>
      <c r="K563" s="51"/>
      <c r="L563" s="119"/>
      <c r="M563" s="119"/>
      <c r="N563" s="119"/>
      <c r="O563" s="119"/>
      <c r="P563" s="119"/>
      <c r="Q563" s="119"/>
      <c r="R563" s="512"/>
      <c r="S563" s="119"/>
      <c r="T563" s="119"/>
      <c r="U563" s="119"/>
      <c r="V563" s="119"/>
      <c r="W563" s="131">
        <f>IF(NFI_Expiration=1,IF($A563&lt;VLOOKUP(I$5,NFI,5,0),1,0)*Data_NFI_t[[#This Row],[Hygiene Kit]],0)</f>
        <v>0</v>
      </c>
      <c r="X563" s="131">
        <f>IF(NFI_Expiration=1,IF($A563&lt;VLOOKUP(J$5,NFI,5,0),1,0)*Data_NFI_t[[#This Row],[NFI Core Kit]],0)</f>
        <v>0</v>
      </c>
      <c r="Y563" s="112">
        <f>IF(NFI_Expiration=1,IF($A563&lt;VLOOKUP(K$5,NFI,5,0),1,0)*Data_NFI_t[[#This Row],[Sanitary Kit]],0)</f>
        <v>0</v>
      </c>
      <c r="Z563" s="112">
        <f>IF(NFI_Expiration=1,IF($A563&lt;VLOOKUP(L$5,NFI,5,0),1,0)*Data_NFI_t[[#This Row],[Mosquito net]],0)</f>
        <v>0</v>
      </c>
      <c r="AA563" s="112">
        <f>IF(NFI_Expiration=1,IF($A563&lt;VLOOKUP(M$5,NFI,5,0),1,0)*Data_NFI_t[[#This Row],[Tarpaulin]],0)</f>
        <v>0</v>
      </c>
      <c r="AB563" s="112">
        <f>IF(NFI_Expiration=1,IF($A563&lt;VLOOKUP(N$5,NFI,5,0),1,0)*Data_NFI_t[[#This Row],[Blanket]],0)</f>
        <v>0</v>
      </c>
      <c r="AC563" s="112">
        <f>IF(NFI_Expiration=1,IF($A563&lt;VLOOKUP(O$5,NFI,5,0),1,0)*Data_NFI_t[[#This Row],[Kitchen Set]],0)</f>
        <v>0</v>
      </c>
      <c r="AD563" s="112">
        <f>IF(NFI_Expiration=1,IF($A563&lt;VLOOKUP(P$5,NFI,5,0),1,0)*Data_NFI_t[[#This Row],[Complementary Kit]],0)</f>
        <v>0</v>
      </c>
      <c r="AE563" s="112">
        <f>IF(NFI_Expiration=1,IF($A563&lt;VLOOKUP(Q$5,NFI,5,0),1,0)*Data_NFI_t[[#This Row],[Plastic Bucket]],0)</f>
        <v>0</v>
      </c>
      <c r="AF563" s="131">
        <f>IF(NFI_Expiration=1,IF($A563&lt;VLOOKUP(R$5,NFI,5,0),1,0)*Data_NFI_t[[#This Row],[Jerry Can]],0)</f>
        <v>0</v>
      </c>
      <c r="AG563" s="131">
        <f>IF(NFI_Expiration=1,IF($A563&lt;VLOOKUP(S$5,NFI,5,0),1,0)*Data_NFI_t[[#This Row],[Plastic Mat]],0)*IF(Data_NFI_t[[#This Row],[Distribution Date]]&gt;"01-06-2015",1,2.5)</f>
        <v>0</v>
      </c>
      <c r="AH563" s="915">
        <f>IF(NFI_Expiration=1,IF($A563&lt;VLOOKUP(T$5,NFI,5,0),1,0)*Data_NFI_t[[#This Row],[Adult Clothes]],0)</f>
        <v>0</v>
      </c>
      <c r="AI563" s="131">
        <f>IF(NFI_Expiration=1,IF($A563&lt;VLOOKUP(U$5,NFI,5,0),1,0)*Data_NFI_t[[#This Row],[Children Clothes]],0)</f>
        <v>0</v>
      </c>
      <c r="AJ563" s="131">
        <f>IF(NFI_Expiration=1,IF($A563&lt;VLOOKUP(V$5,NFI,5,0),1,0)*Data_NFI_t[[#This Row],[Sewing Kit]],0)</f>
        <v>0</v>
      </c>
      <c r="AK563" s="131" t="str">
        <f ca="1">IFERROR(OFFSET(Camp_List[P_Code],MATCH(Data_NFI_t[[#This Row],[Camp Name]],Camp_List[Camp Name],0)-1,0,1,1),"")</f>
        <v/>
      </c>
      <c r="AL563" s="513" t="str">
        <f ca="1">IFERROR(OFFSET(Camp_List[Status],MATCH(Data_NFI_t[[#This Row],[Camp Name]],Camp_List[Camp Name],0)-1,0,1,1),"")</f>
        <v/>
      </c>
      <c r="AM563" s="131"/>
    </row>
    <row r="564" spans="1:39" s="793" customFormat="1" ht="19.5" customHeight="1" x14ac:dyDescent="0.25">
      <c r="A564" s="242" t="str">
        <f>IF(ISBLANK(C564),"",(Report_Date-C564)/30)</f>
        <v/>
      </c>
      <c r="B564" s="522">
        <f>YEAR(Data_NFI_t[[#This Row],[Distribution Date]])</f>
        <v>1900</v>
      </c>
      <c r="C564" s="927"/>
      <c r="D564" s="489"/>
      <c r="E564" s="488"/>
      <c r="F564" s="489"/>
      <c r="G564" s="794"/>
      <c r="H564" s="794"/>
      <c r="I564" s="794"/>
      <c r="J564" s="51"/>
      <c r="K564" s="51"/>
      <c r="L564" s="119"/>
      <c r="M564" s="119"/>
      <c r="N564" s="119"/>
      <c r="O564" s="119"/>
      <c r="P564" s="119"/>
      <c r="Q564" s="119"/>
      <c r="R564" s="512"/>
      <c r="S564" s="119"/>
      <c r="T564" s="119"/>
      <c r="U564" s="119"/>
      <c r="V564" s="119"/>
      <c r="W564" s="131">
        <f>IF(NFI_Expiration=1,IF($A564&lt;VLOOKUP(I$5,NFI,5,0),1,0)*Data_NFI_t[[#This Row],[Hygiene Kit]],0)</f>
        <v>0</v>
      </c>
      <c r="X564" s="131">
        <f>IF(NFI_Expiration=1,IF($A564&lt;VLOOKUP(J$5,NFI,5,0),1,0)*Data_NFI_t[[#This Row],[NFI Core Kit]],0)</f>
        <v>0</v>
      </c>
      <c r="Y564" s="112">
        <f>IF(NFI_Expiration=1,IF($A564&lt;VLOOKUP(K$5,NFI,5,0),1,0)*Data_NFI_t[[#This Row],[Sanitary Kit]],0)</f>
        <v>0</v>
      </c>
      <c r="Z564" s="112">
        <f>IF(NFI_Expiration=1,IF($A564&lt;VLOOKUP(L$5,NFI,5,0),1,0)*Data_NFI_t[[#This Row],[Mosquito net]],0)</f>
        <v>0</v>
      </c>
      <c r="AA564" s="112">
        <f>IF(NFI_Expiration=1,IF($A564&lt;VLOOKUP(M$5,NFI,5,0),1,0)*Data_NFI_t[[#This Row],[Tarpaulin]],0)</f>
        <v>0</v>
      </c>
      <c r="AB564" s="112">
        <f>IF(NFI_Expiration=1,IF($A564&lt;VLOOKUP(N$5,NFI,5,0),1,0)*Data_NFI_t[[#This Row],[Blanket]],0)</f>
        <v>0</v>
      </c>
      <c r="AC564" s="112">
        <f>IF(NFI_Expiration=1,IF($A564&lt;VLOOKUP(O$5,NFI,5,0),1,0)*Data_NFI_t[[#This Row],[Kitchen Set]],0)</f>
        <v>0</v>
      </c>
      <c r="AD564" s="112">
        <f>IF(NFI_Expiration=1,IF($A564&lt;VLOOKUP(P$5,NFI,5,0),1,0)*Data_NFI_t[[#This Row],[Complementary Kit]],0)</f>
        <v>0</v>
      </c>
      <c r="AE564" s="112">
        <f>IF(NFI_Expiration=1,IF($A564&lt;VLOOKUP(Q$5,NFI,5,0),1,0)*Data_NFI_t[[#This Row],[Plastic Bucket]],0)</f>
        <v>0</v>
      </c>
      <c r="AF564" s="131">
        <f>IF(NFI_Expiration=1,IF($A564&lt;VLOOKUP(R$5,NFI,5,0),1,0)*Data_NFI_t[[#This Row],[Jerry Can]],0)</f>
        <v>0</v>
      </c>
      <c r="AG564" s="131">
        <f>IF(NFI_Expiration=1,IF($A564&lt;VLOOKUP(S$5,NFI,5,0),1,0)*Data_NFI_t[[#This Row],[Plastic Mat]],0)*IF(Data_NFI_t[[#This Row],[Distribution Date]]&gt;"01-06-2015",1,2.5)</f>
        <v>0</v>
      </c>
      <c r="AH564" s="915">
        <f>IF(NFI_Expiration=1,IF($A564&lt;VLOOKUP(T$5,NFI,5,0),1,0)*Data_NFI_t[[#This Row],[Adult Clothes]],0)</f>
        <v>0</v>
      </c>
      <c r="AI564" s="131">
        <f>IF(NFI_Expiration=1,IF($A564&lt;VLOOKUP(U$5,NFI,5,0),1,0)*Data_NFI_t[[#This Row],[Children Clothes]],0)</f>
        <v>0</v>
      </c>
      <c r="AJ564" s="131">
        <f>IF(NFI_Expiration=1,IF($A564&lt;VLOOKUP(V$5,NFI,5,0),1,0)*Data_NFI_t[[#This Row],[Sewing Kit]],0)</f>
        <v>0</v>
      </c>
      <c r="AK564" s="131" t="str">
        <f ca="1">IFERROR(OFFSET(Camp_List[P_Code],MATCH(Data_NFI_t[[#This Row],[Camp Name]],Camp_List[Camp Name],0)-1,0,1,1),"")</f>
        <v/>
      </c>
      <c r="AL564" s="513" t="str">
        <f ca="1">IFERROR(OFFSET(Camp_List[Status],MATCH(Data_NFI_t[[#This Row],[Camp Name]],Camp_List[Camp Name],0)-1,0,1,1),"")</f>
        <v/>
      </c>
      <c r="AM564" s="131"/>
    </row>
    <row r="565" spans="1:39" s="793" customFormat="1" ht="19.5" customHeight="1" x14ac:dyDescent="0.25">
      <c r="A565" s="242" t="str">
        <f>IF(ISBLANK(C565),"",(Report_Date-C565)/30)</f>
        <v/>
      </c>
      <c r="B565" s="522">
        <f>YEAR(Data_NFI_t[[#This Row],[Distribution Date]])</f>
        <v>1900</v>
      </c>
      <c r="C565" s="927"/>
      <c r="D565" s="489"/>
      <c r="E565" s="488"/>
      <c r="F565" s="489"/>
      <c r="G565" s="794"/>
      <c r="H565" s="794"/>
      <c r="I565" s="794"/>
      <c r="J565" s="51"/>
      <c r="K565" s="51"/>
      <c r="L565" s="119"/>
      <c r="M565" s="119"/>
      <c r="N565" s="119"/>
      <c r="O565" s="119"/>
      <c r="P565" s="119"/>
      <c r="Q565" s="119"/>
      <c r="R565" s="512"/>
      <c r="S565" s="119"/>
      <c r="T565" s="119"/>
      <c r="U565" s="119"/>
      <c r="V565" s="119"/>
      <c r="W565" s="131">
        <f>IF(NFI_Expiration=1,IF($A565&lt;VLOOKUP(I$5,NFI,5,0),1,0)*Data_NFI_t[[#This Row],[Hygiene Kit]],0)</f>
        <v>0</v>
      </c>
      <c r="X565" s="131">
        <f>IF(NFI_Expiration=1,IF($A565&lt;VLOOKUP(J$5,NFI,5,0),1,0)*Data_NFI_t[[#This Row],[NFI Core Kit]],0)</f>
        <v>0</v>
      </c>
      <c r="Y565" s="112">
        <f>IF(NFI_Expiration=1,IF($A565&lt;VLOOKUP(K$5,NFI,5,0),1,0)*Data_NFI_t[[#This Row],[Sanitary Kit]],0)</f>
        <v>0</v>
      </c>
      <c r="Z565" s="112">
        <f>IF(NFI_Expiration=1,IF($A565&lt;VLOOKUP(L$5,NFI,5,0),1,0)*Data_NFI_t[[#This Row],[Mosquito net]],0)</f>
        <v>0</v>
      </c>
      <c r="AA565" s="112">
        <f>IF(NFI_Expiration=1,IF($A565&lt;VLOOKUP(M$5,NFI,5,0),1,0)*Data_NFI_t[[#This Row],[Tarpaulin]],0)</f>
        <v>0</v>
      </c>
      <c r="AB565" s="112">
        <f>IF(NFI_Expiration=1,IF($A565&lt;VLOOKUP(N$5,NFI,5,0),1,0)*Data_NFI_t[[#This Row],[Blanket]],0)</f>
        <v>0</v>
      </c>
      <c r="AC565" s="112">
        <f>IF(NFI_Expiration=1,IF($A565&lt;VLOOKUP(O$5,NFI,5,0),1,0)*Data_NFI_t[[#This Row],[Kitchen Set]],0)</f>
        <v>0</v>
      </c>
      <c r="AD565" s="112">
        <f>IF(NFI_Expiration=1,IF($A565&lt;VLOOKUP(P$5,NFI,5,0),1,0)*Data_NFI_t[[#This Row],[Complementary Kit]],0)</f>
        <v>0</v>
      </c>
      <c r="AE565" s="112">
        <f>IF(NFI_Expiration=1,IF($A565&lt;VLOOKUP(Q$5,NFI,5,0),1,0)*Data_NFI_t[[#This Row],[Plastic Bucket]],0)</f>
        <v>0</v>
      </c>
      <c r="AF565" s="131">
        <f>IF(NFI_Expiration=1,IF($A565&lt;VLOOKUP(R$5,NFI,5,0),1,0)*Data_NFI_t[[#This Row],[Jerry Can]],0)</f>
        <v>0</v>
      </c>
      <c r="AG565" s="131">
        <f>IF(NFI_Expiration=1,IF($A565&lt;VLOOKUP(S$5,NFI,5,0),1,0)*Data_NFI_t[[#This Row],[Plastic Mat]],0)*IF(Data_NFI_t[[#This Row],[Distribution Date]]&gt;"01-06-2015",1,2.5)</f>
        <v>0</v>
      </c>
      <c r="AH565" s="915">
        <f>IF(NFI_Expiration=1,IF($A565&lt;VLOOKUP(T$5,NFI,5,0),1,0)*Data_NFI_t[[#This Row],[Adult Clothes]],0)</f>
        <v>0</v>
      </c>
      <c r="AI565" s="131">
        <f>IF(NFI_Expiration=1,IF($A565&lt;VLOOKUP(U$5,NFI,5,0),1,0)*Data_NFI_t[[#This Row],[Children Clothes]],0)</f>
        <v>0</v>
      </c>
      <c r="AJ565" s="131">
        <f>IF(NFI_Expiration=1,IF($A565&lt;VLOOKUP(V$5,NFI,5,0),1,0)*Data_NFI_t[[#This Row],[Sewing Kit]],0)</f>
        <v>0</v>
      </c>
      <c r="AK565" s="131" t="str">
        <f ca="1">IFERROR(OFFSET(Camp_List[P_Code],MATCH(Data_NFI_t[[#This Row],[Camp Name]],Camp_List[Camp Name],0)-1,0,1,1),"")</f>
        <v/>
      </c>
      <c r="AL565" s="513" t="str">
        <f ca="1">IFERROR(OFFSET(Camp_List[Status],MATCH(Data_NFI_t[[#This Row],[Camp Name]],Camp_List[Camp Name],0)-1,0,1,1),"")</f>
        <v/>
      </c>
      <c r="AM565" s="131"/>
    </row>
    <row r="566" spans="1:39" s="793" customFormat="1" ht="19.5" customHeight="1" x14ac:dyDescent="0.25">
      <c r="A566" s="242" t="str">
        <f>IF(ISBLANK(C566),"",(Report_Date-C566)/30)</f>
        <v/>
      </c>
      <c r="B566" s="522">
        <f>YEAR(Data_NFI_t[[#This Row],[Distribution Date]])</f>
        <v>1900</v>
      </c>
      <c r="C566" s="927"/>
      <c r="D566" s="489"/>
      <c r="E566" s="488"/>
      <c r="F566" s="489"/>
      <c r="G566" s="794"/>
      <c r="H566" s="794"/>
      <c r="I566" s="794"/>
      <c r="J566" s="51"/>
      <c r="K566" s="51"/>
      <c r="L566" s="119"/>
      <c r="M566" s="119"/>
      <c r="N566" s="119"/>
      <c r="O566" s="119"/>
      <c r="P566" s="119"/>
      <c r="Q566" s="119"/>
      <c r="R566" s="512"/>
      <c r="S566" s="119"/>
      <c r="T566" s="119"/>
      <c r="U566" s="119"/>
      <c r="V566" s="119"/>
      <c r="W566" s="131">
        <f>IF(NFI_Expiration=1,IF($A566&lt;VLOOKUP(I$5,NFI,5,0),1,0)*Data_NFI_t[[#This Row],[Hygiene Kit]],0)</f>
        <v>0</v>
      </c>
      <c r="X566" s="131">
        <f>IF(NFI_Expiration=1,IF($A566&lt;VLOOKUP(J$5,NFI,5,0),1,0)*Data_NFI_t[[#This Row],[NFI Core Kit]],0)</f>
        <v>0</v>
      </c>
      <c r="Y566" s="112">
        <f>IF(NFI_Expiration=1,IF($A566&lt;VLOOKUP(K$5,NFI,5,0),1,0)*Data_NFI_t[[#This Row],[Sanitary Kit]],0)</f>
        <v>0</v>
      </c>
      <c r="Z566" s="112">
        <f>IF(NFI_Expiration=1,IF($A566&lt;VLOOKUP(L$5,NFI,5,0),1,0)*Data_NFI_t[[#This Row],[Mosquito net]],0)</f>
        <v>0</v>
      </c>
      <c r="AA566" s="112">
        <f>IF(NFI_Expiration=1,IF($A566&lt;VLOOKUP(M$5,NFI,5,0),1,0)*Data_NFI_t[[#This Row],[Tarpaulin]],0)</f>
        <v>0</v>
      </c>
      <c r="AB566" s="112">
        <f>IF(NFI_Expiration=1,IF($A566&lt;VLOOKUP(N$5,NFI,5,0),1,0)*Data_NFI_t[[#This Row],[Blanket]],0)</f>
        <v>0</v>
      </c>
      <c r="AC566" s="112">
        <f>IF(NFI_Expiration=1,IF($A566&lt;VLOOKUP(O$5,NFI,5,0),1,0)*Data_NFI_t[[#This Row],[Kitchen Set]],0)</f>
        <v>0</v>
      </c>
      <c r="AD566" s="112">
        <f>IF(NFI_Expiration=1,IF($A566&lt;VLOOKUP(P$5,NFI,5,0),1,0)*Data_NFI_t[[#This Row],[Complementary Kit]],0)</f>
        <v>0</v>
      </c>
      <c r="AE566" s="112">
        <f>IF(NFI_Expiration=1,IF($A566&lt;VLOOKUP(Q$5,NFI,5,0),1,0)*Data_NFI_t[[#This Row],[Plastic Bucket]],0)</f>
        <v>0</v>
      </c>
      <c r="AF566" s="131">
        <f>IF(NFI_Expiration=1,IF($A566&lt;VLOOKUP(R$5,NFI,5,0),1,0)*Data_NFI_t[[#This Row],[Jerry Can]],0)</f>
        <v>0</v>
      </c>
      <c r="AG566" s="131">
        <f>IF(NFI_Expiration=1,IF($A566&lt;VLOOKUP(S$5,NFI,5,0),1,0)*Data_NFI_t[[#This Row],[Plastic Mat]],0)*IF(Data_NFI_t[[#This Row],[Distribution Date]]&gt;"01-06-2015",1,2.5)</f>
        <v>0</v>
      </c>
      <c r="AH566" s="915">
        <f>IF(NFI_Expiration=1,IF($A566&lt;VLOOKUP(T$5,NFI,5,0),1,0)*Data_NFI_t[[#This Row],[Adult Clothes]],0)</f>
        <v>0</v>
      </c>
      <c r="AI566" s="131">
        <f>IF(NFI_Expiration=1,IF($A566&lt;VLOOKUP(U$5,NFI,5,0),1,0)*Data_NFI_t[[#This Row],[Children Clothes]],0)</f>
        <v>0</v>
      </c>
      <c r="AJ566" s="131">
        <f>IF(NFI_Expiration=1,IF($A566&lt;VLOOKUP(V$5,NFI,5,0),1,0)*Data_NFI_t[[#This Row],[Sewing Kit]],0)</f>
        <v>0</v>
      </c>
      <c r="AK566" s="131" t="str">
        <f ca="1">IFERROR(OFFSET(Camp_List[P_Code],MATCH(Data_NFI_t[[#This Row],[Camp Name]],Camp_List[Camp Name],0)-1,0,1,1),"")</f>
        <v/>
      </c>
      <c r="AL566" s="513" t="str">
        <f ca="1">IFERROR(OFFSET(Camp_List[Status],MATCH(Data_NFI_t[[#This Row],[Camp Name]],Camp_List[Camp Name],0)-1,0,1,1),"")</f>
        <v/>
      </c>
      <c r="AM566" s="131"/>
    </row>
    <row r="567" spans="1:39" s="793" customFormat="1" ht="19.5" customHeight="1" x14ac:dyDescent="0.25">
      <c r="A567" s="242" t="str">
        <f>IF(ISBLANK(C567),"",(Report_Date-C567)/30)</f>
        <v/>
      </c>
      <c r="B567" s="522">
        <f>YEAR(Data_NFI_t[[#This Row],[Distribution Date]])</f>
        <v>1900</v>
      </c>
      <c r="C567" s="927"/>
      <c r="D567" s="489"/>
      <c r="E567" s="488"/>
      <c r="F567" s="489"/>
      <c r="G567" s="794"/>
      <c r="H567" s="794"/>
      <c r="I567" s="794"/>
      <c r="J567" s="51"/>
      <c r="K567" s="51"/>
      <c r="L567" s="119"/>
      <c r="M567" s="119"/>
      <c r="N567" s="119"/>
      <c r="O567" s="119"/>
      <c r="P567" s="119"/>
      <c r="Q567" s="119"/>
      <c r="R567" s="512"/>
      <c r="S567" s="119"/>
      <c r="T567" s="119"/>
      <c r="U567" s="119"/>
      <c r="V567" s="119"/>
      <c r="W567" s="131">
        <f>IF(NFI_Expiration=1,IF($A567&lt;VLOOKUP(I$5,NFI,5,0),1,0)*Data_NFI_t[[#This Row],[Hygiene Kit]],0)</f>
        <v>0</v>
      </c>
      <c r="X567" s="131">
        <f>IF(NFI_Expiration=1,IF($A567&lt;VLOOKUP(J$5,NFI,5,0),1,0)*Data_NFI_t[[#This Row],[NFI Core Kit]],0)</f>
        <v>0</v>
      </c>
      <c r="Y567" s="112">
        <f>IF(NFI_Expiration=1,IF($A567&lt;VLOOKUP(K$5,NFI,5,0),1,0)*Data_NFI_t[[#This Row],[Sanitary Kit]],0)</f>
        <v>0</v>
      </c>
      <c r="Z567" s="112">
        <f>IF(NFI_Expiration=1,IF($A567&lt;VLOOKUP(L$5,NFI,5,0),1,0)*Data_NFI_t[[#This Row],[Mosquito net]],0)</f>
        <v>0</v>
      </c>
      <c r="AA567" s="112">
        <f>IF(NFI_Expiration=1,IF($A567&lt;VLOOKUP(M$5,NFI,5,0),1,0)*Data_NFI_t[[#This Row],[Tarpaulin]],0)</f>
        <v>0</v>
      </c>
      <c r="AB567" s="112">
        <f>IF(NFI_Expiration=1,IF($A567&lt;VLOOKUP(N$5,NFI,5,0),1,0)*Data_NFI_t[[#This Row],[Blanket]],0)</f>
        <v>0</v>
      </c>
      <c r="AC567" s="112">
        <f>IF(NFI_Expiration=1,IF($A567&lt;VLOOKUP(O$5,NFI,5,0),1,0)*Data_NFI_t[[#This Row],[Kitchen Set]],0)</f>
        <v>0</v>
      </c>
      <c r="AD567" s="112">
        <f>IF(NFI_Expiration=1,IF($A567&lt;VLOOKUP(P$5,NFI,5,0),1,0)*Data_NFI_t[[#This Row],[Complementary Kit]],0)</f>
        <v>0</v>
      </c>
      <c r="AE567" s="112">
        <f>IF(NFI_Expiration=1,IF($A567&lt;VLOOKUP(Q$5,NFI,5,0),1,0)*Data_NFI_t[[#This Row],[Plastic Bucket]],0)</f>
        <v>0</v>
      </c>
      <c r="AF567" s="131">
        <f>IF(NFI_Expiration=1,IF($A567&lt;VLOOKUP(R$5,NFI,5,0),1,0)*Data_NFI_t[[#This Row],[Jerry Can]],0)</f>
        <v>0</v>
      </c>
      <c r="AG567" s="131">
        <f>IF(NFI_Expiration=1,IF($A567&lt;VLOOKUP(S$5,NFI,5,0),1,0)*Data_NFI_t[[#This Row],[Plastic Mat]],0)*IF(Data_NFI_t[[#This Row],[Distribution Date]]&gt;"01-06-2015",1,2.5)</f>
        <v>0</v>
      </c>
      <c r="AH567" s="915">
        <f>IF(NFI_Expiration=1,IF($A567&lt;VLOOKUP(T$5,NFI,5,0),1,0)*Data_NFI_t[[#This Row],[Adult Clothes]],0)</f>
        <v>0</v>
      </c>
      <c r="AI567" s="131">
        <f>IF(NFI_Expiration=1,IF($A567&lt;VLOOKUP(U$5,NFI,5,0),1,0)*Data_NFI_t[[#This Row],[Children Clothes]],0)</f>
        <v>0</v>
      </c>
      <c r="AJ567" s="131">
        <f>IF(NFI_Expiration=1,IF($A567&lt;VLOOKUP(V$5,NFI,5,0),1,0)*Data_NFI_t[[#This Row],[Sewing Kit]],0)</f>
        <v>0</v>
      </c>
      <c r="AK567" s="131" t="str">
        <f ca="1">IFERROR(OFFSET(Camp_List[P_Code],MATCH(Data_NFI_t[[#This Row],[Camp Name]],Camp_List[Camp Name],0)-1,0,1,1),"")</f>
        <v/>
      </c>
      <c r="AL567" s="513" t="str">
        <f ca="1">IFERROR(OFFSET(Camp_List[Status],MATCH(Data_NFI_t[[#This Row],[Camp Name]],Camp_List[Camp Name],0)-1,0,1,1),"")</f>
        <v/>
      </c>
      <c r="AM567" s="131"/>
    </row>
    <row r="568" spans="1:39" s="793" customFormat="1" ht="19.5" customHeight="1" x14ac:dyDescent="0.25">
      <c r="A568" s="242" t="str">
        <f>IF(ISBLANK(C568),"",(Report_Date-C568)/30)</f>
        <v/>
      </c>
      <c r="B568" s="522">
        <f>YEAR(Data_NFI_t[[#This Row],[Distribution Date]])</f>
        <v>1900</v>
      </c>
      <c r="C568" s="927"/>
      <c r="D568" s="489"/>
      <c r="E568" s="488"/>
      <c r="F568" s="489"/>
      <c r="G568" s="794"/>
      <c r="H568" s="794"/>
      <c r="I568" s="794"/>
      <c r="J568" s="51"/>
      <c r="K568" s="51"/>
      <c r="L568" s="119"/>
      <c r="M568" s="119"/>
      <c r="N568" s="119"/>
      <c r="O568" s="119"/>
      <c r="P568" s="119"/>
      <c r="Q568" s="119"/>
      <c r="R568" s="512"/>
      <c r="S568" s="119"/>
      <c r="T568" s="119"/>
      <c r="U568" s="119"/>
      <c r="V568" s="119"/>
      <c r="W568" s="131">
        <f>IF(NFI_Expiration=1,IF($A568&lt;VLOOKUP(I$5,NFI,5,0),1,0)*Data_NFI_t[[#This Row],[Hygiene Kit]],0)</f>
        <v>0</v>
      </c>
      <c r="X568" s="131">
        <f>IF(NFI_Expiration=1,IF($A568&lt;VLOOKUP(J$5,NFI,5,0),1,0)*Data_NFI_t[[#This Row],[NFI Core Kit]],0)</f>
        <v>0</v>
      </c>
      <c r="Y568" s="112">
        <f>IF(NFI_Expiration=1,IF($A568&lt;VLOOKUP(K$5,NFI,5,0),1,0)*Data_NFI_t[[#This Row],[Sanitary Kit]],0)</f>
        <v>0</v>
      </c>
      <c r="Z568" s="112">
        <f>IF(NFI_Expiration=1,IF($A568&lt;VLOOKUP(L$5,NFI,5,0),1,0)*Data_NFI_t[[#This Row],[Mosquito net]],0)</f>
        <v>0</v>
      </c>
      <c r="AA568" s="112">
        <f>IF(NFI_Expiration=1,IF($A568&lt;VLOOKUP(M$5,NFI,5,0),1,0)*Data_NFI_t[[#This Row],[Tarpaulin]],0)</f>
        <v>0</v>
      </c>
      <c r="AB568" s="112">
        <f>IF(NFI_Expiration=1,IF($A568&lt;VLOOKUP(N$5,NFI,5,0),1,0)*Data_NFI_t[[#This Row],[Blanket]],0)</f>
        <v>0</v>
      </c>
      <c r="AC568" s="112">
        <f>IF(NFI_Expiration=1,IF($A568&lt;VLOOKUP(O$5,NFI,5,0),1,0)*Data_NFI_t[[#This Row],[Kitchen Set]],0)</f>
        <v>0</v>
      </c>
      <c r="AD568" s="112">
        <f>IF(NFI_Expiration=1,IF($A568&lt;VLOOKUP(P$5,NFI,5,0),1,0)*Data_NFI_t[[#This Row],[Complementary Kit]],0)</f>
        <v>0</v>
      </c>
      <c r="AE568" s="112">
        <f>IF(NFI_Expiration=1,IF($A568&lt;VLOOKUP(Q$5,NFI,5,0),1,0)*Data_NFI_t[[#This Row],[Plastic Bucket]],0)</f>
        <v>0</v>
      </c>
      <c r="AF568" s="131">
        <f>IF(NFI_Expiration=1,IF($A568&lt;VLOOKUP(R$5,NFI,5,0),1,0)*Data_NFI_t[[#This Row],[Jerry Can]],0)</f>
        <v>0</v>
      </c>
      <c r="AG568" s="131">
        <f>IF(NFI_Expiration=1,IF($A568&lt;VLOOKUP(S$5,NFI,5,0),1,0)*Data_NFI_t[[#This Row],[Plastic Mat]],0)*IF(Data_NFI_t[[#This Row],[Distribution Date]]&gt;"01-06-2015",1,2.5)</f>
        <v>0</v>
      </c>
      <c r="AH568" s="915">
        <f>IF(NFI_Expiration=1,IF($A568&lt;VLOOKUP(T$5,NFI,5,0),1,0)*Data_NFI_t[[#This Row],[Adult Clothes]],0)</f>
        <v>0</v>
      </c>
      <c r="AI568" s="131">
        <f>IF(NFI_Expiration=1,IF($A568&lt;VLOOKUP(U$5,NFI,5,0),1,0)*Data_NFI_t[[#This Row],[Children Clothes]],0)</f>
        <v>0</v>
      </c>
      <c r="AJ568" s="131">
        <f>IF(NFI_Expiration=1,IF($A568&lt;VLOOKUP(V$5,NFI,5,0),1,0)*Data_NFI_t[[#This Row],[Sewing Kit]],0)</f>
        <v>0</v>
      </c>
      <c r="AK568" s="131" t="str">
        <f ca="1">IFERROR(OFFSET(Camp_List[P_Code],MATCH(Data_NFI_t[[#This Row],[Camp Name]],Camp_List[Camp Name],0)-1,0,1,1),"")</f>
        <v/>
      </c>
      <c r="AL568" s="513" t="str">
        <f ca="1">IFERROR(OFFSET(Camp_List[Status],MATCH(Data_NFI_t[[#This Row],[Camp Name]],Camp_List[Camp Name],0)-1,0,1,1),"")</f>
        <v/>
      </c>
      <c r="AM568" s="131"/>
    </row>
    <row r="569" spans="1:39" s="793" customFormat="1" ht="19.5" customHeight="1" x14ac:dyDescent="0.25">
      <c r="A569" s="242" t="str">
        <f>IF(ISBLANK(C569),"",(Report_Date-C569)/30)</f>
        <v/>
      </c>
      <c r="B569" s="522">
        <f>YEAR(Data_NFI_t[[#This Row],[Distribution Date]])</f>
        <v>1900</v>
      </c>
      <c r="C569" s="927"/>
      <c r="D569" s="489"/>
      <c r="E569" s="488"/>
      <c r="F569" s="489"/>
      <c r="G569" s="794"/>
      <c r="H569" s="794"/>
      <c r="I569" s="794"/>
      <c r="J569" s="51"/>
      <c r="K569" s="51"/>
      <c r="L569" s="119"/>
      <c r="M569" s="119"/>
      <c r="N569" s="119"/>
      <c r="O569" s="119"/>
      <c r="P569" s="119"/>
      <c r="Q569" s="119"/>
      <c r="R569" s="512"/>
      <c r="S569" s="119"/>
      <c r="T569" s="119"/>
      <c r="U569" s="119"/>
      <c r="V569" s="119"/>
      <c r="W569" s="131">
        <f>IF(NFI_Expiration=1,IF($A569&lt;VLOOKUP(I$5,NFI,5,0),1,0)*Data_NFI_t[[#This Row],[Hygiene Kit]],0)</f>
        <v>0</v>
      </c>
      <c r="X569" s="131">
        <f>IF(NFI_Expiration=1,IF($A569&lt;VLOOKUP(J$5,NFI,5,0),1,0)*Data_NFI_t[[#This Row],[NFI Core Kit]],0)</f>
        <v>0</v>
      </c>
      <c r="Y569" s="112">
        <f>IF(NFI_Expiration=1,IF($A569&lt;VLOOKUP(K$5,NFI,5,0),1,0)*Data_NFI_t[[#This Row],[Sanitary Kit]],0)</f>
        <v>0</v>
      </c>
      <c r="Z569" s="112">
        <f>IF(NFI_Expiration=1,IF($A569&lt;VLOOKUP(L$5,NFI,5,0),1,0)*Data_NFI_t[[#This Row],[Mosquito net]],0)</f>
        <v>0</v>
      </c>
      <c r="AA569" s="112">
        <f>IF(NFI_Expiration=1,IF($A569&lt;VLOOKUP(M$5,NFI,5,0),1,0)*Data_NFI_t[[#This Row],[Tarpaulin]],0)</f>
        <v>0</v>
      </c>
      <c r="AB569" s="112">
        <f>IF(NFI_Expiration=1,IF($A569&lt;VLOOKUP(N$5,NFI,5,0),1,0)*Data_NFI_t[[#This Row],[Blanket]],0)</f>
        <v>0</v>
      </c>
      <c r="AC569" s="112">
        <f>IF(NFI_Expiration=1,IF($A569&lt;VLOOKUP(O$5,NFI,5,0),1,0)*Data_NFI_t[[#This Row],[Kitchen Set]],0)</f>
        <v>0</v>
      </c>
      <c r="AD569" s="112">
        <f>IF(NFI_Expiration=1,IF($A569&lt;VLOOKUP(P$5,NFI,5,0),1,0)*Data_NFI_t[[#This Row],[Complementary Kit]],0)</f>
        <v>0</v>
      </c>
      <c r="AE569" s="112">
        <f>IF(NFI_Expiration=1,IF($A569&lt;VLOOKUP(Q$5,NFI,5,0),1,0)*Data_NFI_t[[#This Row],[Plastic Bucket]],0)</f>
        <v>0</v>
      </c>
      <c r="AF569" s="131">
        <f>IF(NFI_Expiration=1,IF($A569&lt;VLOOKUP(R$5,NFI,5,0),1,0)*Data_NFI_t[[#This Row],[Jerry Can]],0)</f>
        <v>0</v>
      </c>
      <c r="AG569" s="131">
        <f>IF(NFI_Expiration=1,IF($A569&lt;VLOOKUP(S$5,NFI,5,0),1,0)*Data_NFI_t[[#This Row],[Plastic Mat]],0)*IF(Data_NFI_t[[#This Row],[Distribution Date]]&gt;"01-06-2015",1,2.5)</f>
        <v>0</v>
      </c>
      <c r="AH569" s="915">
        <f>IF(NFI_Expiration=1,IF($A569&lt;VLOOKUP(T$5,NFI,5,0),1,0)*Data_NFI_t[[#This Row],[Adult Clothes]],0)</f>
        <v>0</v>
      </c>
      <c r="AI569" s="131">
        <f>IF(NFI_Expiration=1,IF($A569&lt;VLOOKUP(U$5,NFI,5,0),1,0)*Data_NFI_t[[#This Row],[Children Clothes]],0)</f>
        <v>0</v>
      </c>
      <c r="AJ569" s="131">
        <f>IF(NFI_Expiration=1,IF($A569&lt;VLOOKUP(V$5,NFI,5,0),1,0)*Data_NFI_t[[#This Row],[Sewing Kit]],0)</f>
        <v>0</v>
      </c>
      <c r="AK569" s="131" t="str">
        <f ca="1">IFERROR(OFFSET(Camp_List[P_Code],MATCH(Data_NFI_t[[#This Row],[Camp Name]],Camp_List[Camp Name],0)-1,0,1,1),"")</f>
        <v/>
      </c>
      <c r="AL569" s="513" t="str">
        <f ca="1">IFERROR(OFFSET(Camp_List[Status],MATCH(Data_NFI_t[[#This Row],[Camp Name]],Camp_List[Camp Name],0)-1,0,1,1),"")</f>
        <v/>
      </c>
      <c r="AM569" s="131"/>
    </row>
    <row r="570" spans="1:39" s="793" customFormat="1" ht="19.5" customHeight="1" x14ac:dyDescent="0.25">
      <c r="A570" s="242" t="str">
        <f>IF(ISBLANK(C570),"",(Report_Date-C570)/30)</f>
        <v/>
      </c>
      <c r="B570" s="522">
        <f>YEAR(Data_NFI_t[[#This Row],[Distribution Date]])</f>
        <v>1900</v>
      </c>
      <c r="C570" s="927"/>
      <c r="D570" s="489"/>
      <c r="E570" s="488"/>
      <c r="F570" s="489"/>
      <c r="G570" s="794"/>
      <c r="H570" s="794"/>
      <c r="I570" s="794"/>
      <c r="J570" s="51"/>
      <c r="K570" s="51"/>
      <c r="L570" s="119"/>
      <c r="M570" s="119"/>
      <c r="N570" s="119"/>
      <c r="O570" s="119"/>
      <c r="P570" s="119"/>
      <c r="Q570" s="119"/>
      <c r="R570" s="512"/>
      <c r="S570" s="119"/>
      <c r="T570" s="119"/>
      <c r="U570" s="119"/>
      <c r="V570" s="119"/>
      <c r="W570" s="131">
        <f>IF(NFI_Expiration=1,IF($A570&lt;VLOOKUP(I$5,NFI,5,0),1,0)*Data_NFI_t[[#This Row],[Hygiene Kit]],0)</f>
        <v>0</v>
      </c>
      <c r="X570" s="131">
        <f>IF(NFI_Expiration=1,IF($A570&lt;VLOOKUP(J$5,NFI,5,0),1,0)*Data_NFI_t[[#This Row],[NFI Core Kit]],0)</f>
        <v>0</v>
      </c>
      <c r="Y570" s="112">
        <f>IF(NFI_Expiration=1,IF($A570&lt;VLOOKUP(K$5,NFI,5,0),1,0)*Data_NFI_t[[#This Row],[Sanitary Kit]],0)</f>
        <v>0</v>
      </c>
      <c r="Z570" s="112">
        <f>IF(NFI_Expiration=1,IF($A570&lt;VLOOKUP(L$5,NFI,5,0),1,0)*Data_NFI_t[[#This Row],[Mosquito net]],0)</f>
        <v>0</v>
      </c>
      <c r="AA570" s="112">
        <f>IF(NFI_Expiration=1,IF($A570&lt;VLOOKUP(M$5,NFI,5,0),1,0)*Data_NFI_t[[#This Row],[Tarpaulin]],0)</f>
        <v>0</v>
      </c>
      <c r="AB570" s="112">
        <f>IF(NFI_Expiration=1,IF($A570&lt;VLOOKUP(N$5,NFI,5,0),1,0)*Data_NFI_t[[#This Row],[Blanket]],0)</f>
        <v>0</v>
      </c>
      <c r="AC570" s="112">
        <f>IF(NFI_Expiration=1,IF($A570&lt;VLOOKUP(O$5,NFI,5,0),1,0)*Data_NFI_t[[#This Row],[Kitchen Set]],0)</f>
        <v>0</v>
      </c>
      <c r="AD570" s="112">
        <f>IF(NFI_Expiration=1,IF($A570&lt;VLOOKUP(P$5,NFI,5,0),1,0)*Data_NFI_t[[#This Row],[Complementary Kit]],0)</f>
        <v>0</v>
      </c>
      <c r="AE570" s="112">
        <f>IF(NFI_Expiration=1,IF($A570&lt;VLOOKUP(Q$5,NFI,5,0),1,0)*Data_NFI_t[[#This Row],[Plastic Bucket]],0)</f>
        <v>0</v>
      </c>
      <c r="AF570" s="131">
        <f>IF(NFI_Expiration=1,IF($A570&lt;VLOOKUP(R$5,NFI,5,0),1,0)*Data_NFI_t[[#This Row],[Jerry Can]],0)</f>
        <v>0</v>
      </c>
      <c r="AG570" s="131">
        <f>IF(NFI_Expiration=1,IF($A570&lt;VLOOKUP(S$5,NFI,5,0),1,0)*Data_NFI_t[[#This Row],[Plastic Mat]],0)*IF(Data_NFI_t[[#This Row],[Distribution Date]]&gt;"01-06-2015",1,2.5)</f>
        <v>0</v>
      </c>
      <c r="AH570" s="915">
        <f>IF(NFI_Expiration=1,IF($A570&lt;VLOOKUP(T$5,NFI,5,0),1,0)*Data_NFI_t[[#This Row],[Adult Clothes]],0)</f>
        <v>0</v>
      </c>
      <c r="AI570" s="131">
        <f>IF(NFI_Expiration=1,IF($A570&lt;VLOOKUP(U$5,NFI,5,0),1,0)*Data_NFI_t[[#This Row],[Children Clothes]],0)</f>
        <v>0</v>
      </c>
      <c r="AJ570" s="131">
        <f>IF(NFI_Expiration=1,IF($A570&lt;VLOOKUP(V$5,NFI,5,0),1,0)*Data_NFI_t[[#This Row],[Sewing Kit]],0)</f>
        <v>0</v>
      </c>
      <c r="AK570" s="131" t="str">
        <f ca="1">IFERROR(OFFSET(Camp_List[P_Code],MATCH(Data_NFI_t[[#This Row],[Camp Name]],Camp_List[Camp Name],0)-1,0,1,1),"")</f>
        <v/>
      </c>
      <c r="AL570" s="513" t="str">
        <f ca="1">IFERROR(OFFSET(Camp_List[Status],MATCH(Data_NFI_t[[#This Row],[Camp Name]],Camp_List[Camp Name],0)-1,0,1,1),"")</f>
        <v/>
      </c>
      <c r="AM570" s="131"/>
    </row>
    <row r="571" spans="1:39" s="793" customFormat="1" ht="19.5" customHeight="1" x14ac:dyDescent="0.25">
      <c r="A571" s="242" t="str">
        <f>IF(ISBLANK(C571),"",(Report_Date-C571)/30)</f>
        <v/>
      </c>
      <c r="B571" s="522">
        <f>YEAR(Data_NFI_t[[#This Row],[Distribution Date]])</f>
        <v>1900</v>
      </c>
      <c r="C571" s="927"/>
      <c r="D571" s="489"/>
      <c r="E571" s="488"/>
      <c r="F571" s="489"/>
      <c r="G571" s="794"/>
      <c r="H571" s="794"/>
      <c r="I571" s="794"/>
      <c r="J571" s="51"/>
      <c r="K571" s="51"/>
      <c r="L571" s="119"/>
      <c r="M571" s="119"/>
      <c r="N571" s="119"/>
      <c r="O571" s="119"/>
      <c r="P571" s="119"/>
      <c r="Q571" s="119"/>
      <c r="R571" s="512"/>
      <c r="S571" s="119"/>
      <c r="T571" s="119"/>
      <c r="U571" s="119"/>
      <c r="V571" s="119"/>
      <c r="W571" s="131">
        <f>IF(NFI_Expiration=1,IF($A571&lt;VLOOKUP(I$5,NFI,5,0),1,0)*Data_NFI_t[[#This Row],[Hygiene Kit]],0)</f>
        <v>0</v>
      </c>
      <c r="X571" s="131">
        <f>IF(NFI_Expiration=1,IF($A571&lt;VLOOKUP(J$5,NFI,5,0),1,0)*Data_NFI_t[[#This Row],[NFI Core Kit]],0)</f>
        <v>0</v>
      </c>
      <c r="Y571" s="112">
        <f>IF(NFI_Expiration=1,IF($A571&lt;VLOOKUP(K$5,NFI,5,0),1,0)*Data_NFI_t[[#This Row],[Sanitary Kit]],0)</f>
        <v>0</v>
      </c>
      <c r="Z571" s="112">
        <f>IF(NFI_Expiration=1,IF($A571&lt;VLOOKUP(L$5,NFI,5,0),1,0)*Data_NFI_t[[#This Row],[Mosquito net]],0)</f>
        <v>0</v>
      </c>
      <c r="AA571" s="112">
        <f>IF(NFI_Expiration=1,IF($A571&lt;VLOOKUP(M$5,NFI,5,0),1,0)*Data_NFI_t[[#This Row],[Tarpaulin]],0)</f>
        <v>0</v>
      </c>
      <c r="AB571" s="112">
        <f>IF(NFI_Expiration=1,IF($A571&lt;VLOOKUP(N$5,NFI,5,0),1,0)*Data_NFI_t[[#This Row],[Blanket]],0)</f>
        <v>0</v>
      </c>
      <c r="AC571" s="112">
        <f>IF(NFI_Expiration=1,IF($A571&lt;VLOOKUP(O$5,NFI,5,0),1,0)*Data_NFI_t[[#This Row],[Kitchen Set]],0)</f>
        <v>0</v>
      </c>
      <c r="AD571" s="112">
        <f>IF(NFI_Expiration=1,IF($A571&lt;VLOOKUP(P$5,NFI,5,0),1,0)*Data_NFI_t[[#This Row],[Complementary Kit]],0)</f>
        <v>0</v>
      </c>
      <c r="AE571" s="112">
        <f>IF(NFI_Expiration=1,IF($A571&lt;VLOOKUP(Q$5,NFI,5,0),1,0)*Data_NFI_t[[#This Row],[Plastic Bucket]],0)</f>
        <v>0</v>
      </c>
      <c r="AF571" s="131">
        <f>IF(NFI_Expiration=1,IF($A571&lt;VLOOKUP(R$5,NFI,5,0),1,0)*Data_NFI_t[[#This Row],[Jerry Can]],0)</f>
        <v>0</v>
      </c>
      <c r="AG571" s="131">
        <f>IF(NFI_Expiration=1,IF($A571&lt;VLOOKUP(S$5,NFI,5,0),1,0)*Data_NFI_t[[#This Row],[Plastic Mat]],0)*IF(Data_NFI_t[[#This Row],[Distribution Date]]&gt;"01-06-2015",1,2.5)</f>
        <v>0</v>
      </c>
      <c r="AH571" s="915">
        <f>IF(NFI_Expiration=1,IF($A571&lt;VLOOKUP(T$5,NFI,5,0),1,0)*Data_NFI_t[[#This Row],[Adult Clothes]],0)</f>
        <v>0</v>
      </c>
      <c r="AI571" s="131">
        <f>IF(NFI_Expiration=1,IF($A571&lt;VLOOKUP(U$5,NFI,5,0),1,0)*Data_NFI_t[[#This Row],[Children Clothes]],0)</f>
        <v>0</v>
      </c>
      <c r="AJ571" s="131">
        <f>IF(NFI_Expiration=1,IF($A571&lt;VLOOKUP(V$5,NFI,5,0),1,0)*Data_NFI_t[[#This Row],[Sewing Kit]],0)</f>
        <v>0</v>
      </c>
      <c r="AK571" s="131" t="str">
        <f ca="1">IFERROR(OFFSET(Camp_List[P_Code],MATCH(Data_NFI_t[[#This Row],[Camp Name]],Camp_List[Camp Name],0)-1,0,1,1),"")</f>
        <v/>
      </c>
      <c r="AL571" s="513" t="str">
        <f ca="1">IFERROR(OFFSET(Camp_List[Status],MATCH(Data_NFI_t[[#This Row],[Camp Name]],Camp_List[Camp Name],0)-1,0,1,1),"")</f>
        <v/>
      </c>
      <c r="AM571" s="131"/>
    </row>
    <row r="572" spans="1:39" s="793" customFormat="1" ht="19.5" customHeight="1" x14ac:dyDescent="0.25">
      <c r="A572" s="242" t="str">
        <f>IF(ISBLANK(C572),"",(Report_Date-C572)/30)</f>
        <v/>
      </c>
      <c r="B572" s="522">
        <f>YEAR(Data_NFI_t[[#This Row],[Distribution Date]])</f>
        <v>1900</v>
      </c>
      <c r="C572" s="927"/>
      <c r="D572" s="489"/>
      <c r="E572" s="488"/>
      <c r="F572" s="489"/>
      <c r="G572" s="794"/>
      <c r="H572" s="794"/>
      <c r="I572" s="794"/>
      <c r="J572" s="51"/>
      <c r="K572" s="51"/>
      <c r="L572" s="119"/>
      <c r="M572" s="119"/>
      <c r="N572" s="119"/>
      <c r="O572" s="119"/>
      <c r="P572" s="119"/>
      <c r="Q572" s="119"/>
      <c r="R572" s="512"/>
      <c r="S572" s="119"/>
      <c r="T572" s="119"/>
      <c r="U572" s="119"/>
      <c r="V572" s="119"/>
      <c r="W572" s="131">
        <f>IF(NFI_Expiration=1,IF($A572&lt;VLOOKUP(I$5,NFI,5,0),1,0)*Data_NFI_t[[#This Row],[Hygiene Kit]],0)</f>
        <v>0</v>
      </c>
      <c r="X572" s="131">
        <f>IF(NFI_Expiration=1,IF($A572&lt;VLOOKUP(J$5,NFI,5,0),1,0)*Data_NFI_t[[#This Row],[NFI Core Kit]],0)</f>
        <v>0</v>
      </c>
      <c r="Y572" s="112">
        <f>IF(NFI_Expiration=1,IF($A572&lt;VLOOKUP(K$5,NFI,5,0),1,0)*Data_NFI_t[[#This Row],[Sanitary Kit]],0)</f>
        <v>0</v>
      </c>
      <c r="Z572" s="112">
        <f>IF(NFI_Expiration=1,IF($A572&lt;VLOOKUP(L$5,NFI,5,0),1,0)*Data_NFI_t[[#This Row],[Mosquito net]],0)</f>
        <v>0</v>
      </c>
      <c r="AA572" s="112">
        <f>IF(NFI_Expiration=1,IF($A572&lt;VLOOKUP(M$5,NFI,5,0),1,0)*Data_NFI_t[[#This Row],[Tarpaulin]],0)</f>
        <v>0</v>
      </c>
      <c r="AB572" s="112">
        <f>IF(NFI_Expiration=1,IF($A572&lt;VLOOKUP(N$5,NFI,5,0),1,0)*Data_NFI_t[[#This Row],[Blanket]],0)</f>
        <v>0</v>
      </c>
      <c r="AC572" s="112">
        <f>IF(NFI_Expiration=1,IF($A572&lt;VLOOKUP(O$5,NFI,5,0),1,0)*Data_NFI_t[[#This Row],[Kitchen Set]],0)</f>
        <v>0</v>
      </c>
      <c r="AD572" s="112">
        <f>IF(NFI_Expiration=1,IF($A572&lt;VLOOKUP(P$5,NFI,5,0),1,0)*Data_NFI_t[[#This Row],[Complementary Kit]],0)</f>
        <v>0</v>
      </c>
      <c r="AE572" s="112">
        <f>IF(NFI_Expiration=1,IF($A572&lt;VLOOKUP(Q$5,NFI,5,0),1,0)*Data_NFI_t[[#This Row],[Plastic Bucket]],0)</f>
        <v>0</v>
      </c>
      <c r="AF572" s="131">
        <f>IF(NFI_Expiration=1,IF($A572&lt;VLOOKUP(R$5,NFI,5,0),1,0)*Data_NFI_t[[#This Row],[Jerry Can]],0)</f>
        <v>0</v>
      </c>
      <c r="AG572" s="131">
        <f>IF(NFI_Expiration=1,IF($A572&lt;VLOOKUP(S$5,NFI,5,0),1,0)*Data_NFI_t[[#This Row],[Plastic Mat]],0)*IF(Data_NFI_t[[#This Row],[Distribution Date]]&gt;"01-06-2015",1,2.5)</f>
        <v>0</v>
      </c>
      <c r="AH572" s="915">
        <f>IF(NFI_Expiration=1,IF($A572&lt;VLOOKUP(T$5,NFI,5,0),1,0)*Data_NFI_t[[#This Row],[Adult Clothes]],0)</f>
        <v>0</v>
      </c>
      <c r="AI572" s="131">
        <f>IF(NFI_Expiration=1,IF($A572&lt;VLOOKUP(U$5,NFI,5,0),1,0)*Data_NFI_t[[#This Row],[Children Clothes]],0)</f>
        <v>0</v>
      </c>
      <c r="AJ572" s="131">
        <f>IF(NFI_Expiration=1,IF($A572&lt;VLOOKUP(V$5,NFI,5,0),1,0)*Data_NFI_t[[#This Row],[Sewing Kit]],0)</f>
        <v>0</v>
      </c>
      <c r="AK572" s="131" t="str">
        <f ca="1">IFERROR(OFFSET(Camp_List[P_Code],MATCH(Data_NFI_t[[#This Row],[Camp Name]],Camp_List[Camp Name],0)-1,0,1,1),"")</f>
        <v/>
      </c>
      <c r="AL572" s="513" t="str">
        <f ca="1">IFERROR(OFFSET(Camp_List[Status],MATCH(Data_NFI_t[[#This Row],[Camp Name]],Camp_List[Camp Name],0)-1,0,1,1),"")</f>
        <v/>
      </c>
      <c r="AM572" s="131"/>
    </row>
    <row r="573" spans="1:39" s="793" customFormat="1" ht="19.5" customHeight="1" x14ac:dyDescent="0.25">
      <c r="A573" s="242" t="str">
        <f>IF(ISBLANK(C573),"",(Report_Date-C573)/30)</f>
        <v/>
      </c>
      <c r="B573" s="522">
        <f>YEAR(Data_NFI_t[[#This Row],[Distribution Date]])</f>
        <v>1900</v>
      </c>
      <c r="C573" s="927"/>
      <c r="D573" s="489"/>
      <c r="E573" s="488"/>
      <c r="F573" s="489"/>
      <c r="G573" s="794"/>
      <c r="H573" s="794"/>
      <c r="I573" s="794"/>
      <c r="J573" s="51"/>
      <c r="K573" s="51"/>
      <c r="L573" s="119"/>
      <c r="M573" s="119"/>
      <c r="N573" s="119"/>
      <c r="O573" s="119"/>
      <c r="P573" s="119"/>
      <c r="Q573" s="119"/>
      <c r="R573" s="512"/>
      <c r="S573" s="119"/>
      <c r="T573" s="119"/>
      <c r="U573" s="119"/>
      <c r="V573" s="119"/>
      <c r="W573" s="131">
        <f>IF(NFI_Expiration=1,IF($A573&lt;VLOOKUP(I$5,NFI,5,0),1,0)*Data_NFI_t[[#This Row],[Hygiene Kit]],0)</f>
        <v>0</v>
      </c>
      <c r="X573" s="131">
        <f>IF(NFI_Expiration=1,IF($A573&lt;VLOOKUP(J$5,NFI,5,0),1,0)*Data_NFI_t[[#This Row],[NFI Core Kit]],0)</f>
        <v>0</v>
      </c>
      <c r="Y573" s="112">
        <f>IF(NFI_Expiration=1,IF($A573&lt;VLOOKUP(K$5,NFI,5,0),1,0)*Data_NFI_t[[#This Row],[Sanitary Kit]],0)</f>
        <v>0</v>
      </c>
      <c r="Z573" s="112">
        <f>IF(NFI_Expiration=1,IF($A573&lt;VLOOKUP(L$5,NFI,5,0),1,0)*Data_NFI_t[[#This Row],[Mosquito net]],0)</f>
        <v>0</v>
      </c>
      <c r="AA573" s="112">
        <f>IF(NFI_Expiration=1,IF($A573&lt;VLOOKUP(M$5,NFI,5,0),1,0)*Data_NFI_t[[#This Row],[Tarpaulin]],0)</f>
        <v>0</v>
      </c>
      <c r="AB573" s="112">
        <f>IF(NFI_Expiration=1,IF($A573&lt;VLOOKUP(N$5,NFI,5,0),1,0)*Data_NFI_t[[#This Row],[Blanket]],0)</f>
        <v>0</v>
      </c>
      <c r="AC573" s="112">
        <f>IF(NFI_Expiration=1,IF($A573&lt;VLOOKUP(O$5,NFI,5,0),1,0)*Data_NFI_t[[#This Row],[Kitchen Set]],0)</f>
        <v>0</v>
      </c>
      <c r="AD573" s="112">
        <f>IF(NFI_Expiration=1,IF($A573&lt;VLOOKUP(P$5,NFI,5,0),1,0)*Data_NFI_t[[#This Row],[Complementary Kit]],0)</f>
        <v>0</v>
      </c>
      <c r="AE573" s="112">
        <f>IF(NFI_Expiration=1,IF($A573&lt;VLOOKUP(Q$5,NFI,5,0),1,0)*Data_NFI_t[[#This Row],[Plastic Bucket]],0)</f>
        <v>0</v>
      </c>
      <c r="AF573" s="131">
        <f>IF(NFI_Expiration=1,IF($A573&lt;VLOOKUP(R$5,NFI,5,0),1,0)*Data_NFI_t[[#This Row],[Jerry Can]],0)</f>
        <v>0</v>
      </c>
      <c r="AG573" s="131">
        <f>IF(NFI_Expiration=1,IF($A573&lt;VLOOKUP(S$5,NFI,5,0),1,0)*Data_NFI_t[[#This Row],[Plastic Mat]],0)*IF(Data_NFI_t[[#This Row],[Distribution Date]]&gt;"01-06-2015",1,2.5)</f>
        <v>0</v>
      </c>
      <c r="AH573" s="915">
        <f>IF(NFI_Expiration=1,IF($A573&lt;VLOOKUP(T$5,NFI,5,0),1,0)*Data_NFI_t[[#This Row],[Adult Clothes]],0)</f>
        <v>0</v>
      </c>
      <c r="AI573" s="131">
        <f>IF(NFI_Expiration=1,IF($A573&lt;VLOOKUP(U$5,NFI,5,0),1,0)*Data_NFI_t[[#This Row],[Children Clothes]],0)</f>
        <v>0</v>
      </c>
      <c r="AJ573" s="131">
        <f>IF(NFI_Expiration=1,IF($A573&lt;VLOOKUP(V$5,NFI,5,0),1,0)*Data_NFI_t[[#This Row],[Sewing Kit]],0)</f>
        <v>0</v>
      </c>
      <c r="AK573" s="131" t="str">
        <f ca="1">IFERROR(OFFSET(Camp_List[P_Code],MATCH(Data_NFI_t[[#This Row],[Camp Name]],Camp_List[Camp Name],0)-1,0,1,1),"")</f>
        <v/>
      </c>
      <c r="AL573" s="513" t="str">
        <f ca="1">IFERROR(OFFSET(Camp_List[Status],MATCH(Data_NFI_t[[#This Row],[Camp Name]],Camp_List[Camp Name],0)-1,0,1,1),"")</f>
        <v/>
      </c>
      <c r="AM573" s="131"/>
    </row>
    <row r="574" spans="1:39" s="793" customFormat="1" ht="19.5" customHeight="1" x14ac:dyDescent="0.25">
      <c r="A574" s="242" t="str">
        <f>IF(ISBLANK(C574),"",(Report_Date-C574)/30)</f>
        <v/>
      </c>
      <c r="B574" s="522">
        <f>YEAR(Data_NFI_t[[#This Row],[Distribution Date]])</f>
        <v>1900</v>
      </c>
      <c r="C574" s="927"/>
      <c r="D574" s="489"/>
      <c r="E574" s="488"/>
      <c r="F574" s="489"/>
      <c r="G574" s="794"/>
      <c r="H574" s="794"/>
      <c r="I574" s="794"/>
      <c r="J574" s="51"/>
      <c r="K574" s="51"/>
      <c r="L574" s="119"/>
      <c r="M574" s="119"/>
      <c r="N574" s="119"/>
      <c r="O574" s="119"/>
      <c r="P574" s="119"/>
      <c r="Q574" s="119"/>
      <c r="R574" s="512"/>
      <c r="S574" s="119"/>
      <c r="T574" s="119"/>
      <c r="U574" s="119"/>
      <c r="V574" s="119"/>
      <c r="W574" s="131">
        <f>IF(NFI_Expiration=1,IF($A574&lt;VLOOKUP(I$5,NFI,5,0),1,0)*Data_NFI_t[[#This Row],[Hygiene Kit]],0)</f>
        <v>0</v>
      </c>
      <c r="X574" s="131">
        <f>IF(NFI_Expiration=1,IF($A574&lt;VLOOKUP(J$5,NFI,5,0),1,0)*Data_NFI_t[[#This Row],[NFI Core Kit]],0)</f>
        <v>0</v>
      </c>
      <c r="Y574" s="112">
        <f>IF(NFI_Expiration=1,IF($A574&lt;VLOOKUP(K$5,NFI,5,0),1,0)*Data_NFI_t[[#This Row],[Sanitary Kit]],0)</f>
        <v>0</v>
      </c>
      <c r="Z574" s="112">
        <f>IF(NFI_Expiration=1,IF($A574&lt;VLOOKUP(L$5,NFI,5,0),1,0)*Data_NFI_t[[#This Row],[Mosquito net]],0)</f>
        <v>0</v>
      </c>
      <c r="AA574" s="112">
        <f>IF(NFI_Expiration=1,IF($A574&lt;VLOOKUP(M$5,NFI,5,0),1,0)*Data_NFI_t[[#This Row],[Tarpaulin]],0)</f>
        <v>0</v>
      </c>
      <c r="AB574" s="112">
        <f>IF(NFI_Expiration=1,IF($A574&lt;VLOOKUP(N$5,NFI,5,0),1,0)*Data_NFI_t[[#This Row],[Blanket]],0)</f>
        <v>0</v>
      </c>
      <c r="AC574" s="112">
        <f>IF(NFI_Expiration=1,IF($A574&lt;VLOOKUP(O$5,NFI,5,0),1,0)*Data_NFI_t[[#This Row],[Kitchen Set]],0)</f>
        <v>0</v>
      </c>
      <c r="AD574" s="112">
        <f>IF(NFI_Expiration=1,IF($A574&lt;VLOOKUP(P$5,NFI,5,0),1,0)*Data_NFI_t[[#This Row],[Complementary Kit]],0)</f>
        <v>0</v>
      </c>
      <c r="AE574" s="112">
        <f>IF(NFI_Expiration=1,IF($A574&lt;VLOOKUP(Q$5,NFI,5,0),1,0)*Data_NFI_t[[#This Row],[Plastic Bucket]],0)</f>
        <v>0</v>
      </c>
      <c r="AF574" s="131">
        <f>IF(NFI_Expiration=1,IF($A574&lt;VLOOKUP(R$5,NFI,5,0),1,0)*Data_NFI_t[[#This Row],[Jerry Can]],0)</f>
        <v>0</v>
      </c>
      <c r="AG574" s="131">
        <f>IF(NFI_Expiration=1,IF($A574&lt;VLOOKUP(S$5,NFI,5,0),1,0)*Data_NFI_t[[#This Row],[Plastic Mat]],0)*IF(Data_NFI_t[[#This Row],[Distribution Date]]&gt;"01-06-2015",1,2.5)</f>
        <v>0</v>
      </c>
      <c r="AH574" s="915">
        <f>IF(NFI_Expiration=1,IF($A574&lt;VLOOKUP(T$5,NFI,5,0),1,0)*Data_NFI_t[[#This Row],[Adult Clothes]],0)</f>
        <v>0</v>
      </c>
      <c r="AI574" s="131">
        <f>IF(NFI_Expiration=1,IF($A574&lt;VLOOKUP(U$5,NFI,5,0),1,0)*Data_NFI_t[[#This Row],[Children Clothes]],0)</f>
        <v>0</v>
      </c>
      <c r="AJ574" s="131">
        <f>IF(NFI_Expiration=1,IF($A574&lt;VLOOKUP(V$5,NFI,5,0),1,0)*Data_NFI_t[[#This Row],[Sewing Kit]],0)</f>
        <v>0</v>
      </c>
      <c r="AK574" s="131" t="str">
        <f ca="1">IFERROR(OFFSET(Camp_List[P_Code],MATCH(Data_NFI_t[[#This Row],[Camp Name]],Camp_List[Camp Name],0)-1,0,1,1),"")</f>
        <v/>
      </c>
      <c r="AL574" s="513" t="str">
        <f ca="1">IFERROR(OFFSET(Camp_List[Status],MATCH(Data_NFI_t[[#This Row],[Camp Name]],Camp_List[Camp Name],0)-1,0,1,1),"")</f>
        <v/>
      </c>
      <c r="AM574" s="131"/>
    </row>
    <row r="575" spans="1:39" s="793" customFormat="1" ht="19.5" customHeight="1" x14ac:dyDescent="0.25">
      <c r="A575" s="242" t="str">
        <f>IF(ISBLANK(C575),"",(Report_Date-C575)/30)</f>
        <v/>
      </c>
      <c r="B575" s="522">
        <f>YEAR(Data_NFI_t[[#This Row],[Distribution Date]])</f>
        <v>1900</v>
      </c>
      <c r="C575" s="927"/>
      <c r="D575" s="489"/>
      <c r="E575" s="488"/>
      <c r="F575" s="489"/>
      <c r="G575" s="794"/>
      <c r="H575" s="794"/>
      <c r="I575" s="794"/>
      <c r="J575" s="51"/>
      <c r="K575" s="51"/>
      <c r="L575" s="119"/>
      <c r="M575" s="119"/>
      <c r="N575" s="119"/>
      <c r="O575" s="119"/>
      <c r="P575" s="119"/>
      <c r="Q575" s="119"/>
      <c r="R575" s="512"/>
      <c r="S575" s="119"/>
      <c r="T575" s="119"/>
      <c r="U575" s="119"/>
      <c r="V575" s="119"/>
      <c r="W575" s="131">
        <f>IF(NFI_Expiration=1,IF($A575&lt;VLOOKUP(I$5,NFI,5,0),1,0)*Data_NFI_t[[#This Row],[Hygiene Kit]],0)</f>
        <v>0</v>
      </c>
      <c r="X575" s="131">
        <f>IF(NFI_Expiration=1,IF($A575&lt;VLOOKUP(J$5,NFI,5,0),1,0)*Data_NFI_t[[#This Row],[NFI Core Kit]],0)</f>
        <v>0</v>
      </c>
      <c r="Y575" s="112">
        <f>IF(NFI_Expiration=1,IF($A575&lt;VLOOKUP(K$5,NFI,5,0),1,0)*Data_NFI_t[[#This Row],[Sanitary Kit]],0)</f>
        <v>0</v>
      </c>
      <c r="Z575" s="112">
        <f>IF(NFI_Expiration=1,IF($A575&lt;VLOOKUP(L$5,NFI,5,0),1,0)*Data_NFI_t[[#This Row],[Mosquito net]],0)</f>
        <v>0</v>
      </c>
      <c r="AA575" s="112">
        <f>IF(NFI_Expiration=1,IF($A575&lt;VLOOKUP(M$5,NFI,5,0),1,0)*Data_NFI_t[[#This Row],[Tarpaulin]],0)</f>
        <v>0</v>
      </c>
      <c r="AB575" s="112">
        <f>IF(NFI_Expiration=1,IF($A575&lt;VLOOKUP(N$5,NFI,5,0),1,0)*Data_NFI_t[[#This Row],[Blanket]],0)</f>
        <v>0</v>
      </c>
      <c r="AC575" s="112">
        <f>IF(NFI_Expiration=1,IF($A575&lt;VLOOKUP(O$5,NFI,5,0),1,0)*Data_NFI_t[[#This Row],[Kitchen Set]],0)</f>
        <v>0</v>
      </c>
      <c r="AD575" s="112">
        <f>IF(NFI_Expiration=1,IF($A575&lt;VLOOKUP(P$5,NFI,5,0),1,0)*Data_NFI_t[[#This Row],[Complementary Kit]],0)</f>
        <v>0</v>
      </c>
      <c r="AE575" s="112">
        <f>IF(NFI_Expiration=1,IF($A575&lt;VLOOKUP(Q$5,NFI,5,0),1,0)*Data_NFI_t[[#This Row],[Plastic Bucket]],0)</f>
        <v>0</v>
      </c>
      <c r="AF575" s="131">
        <f>IF(NFI_Expiration=1,IF($A575&lt;VLOOKUP(R$5,NFI,5,0),1,0)*Data_NFI_t[[#This Row],[Jerry Can]],0)</f>
        <v>0</v>
      </c>
      <c r="AG575" s="131">
        <f>IF(NFI_Expiration=1,IF($A575&lt;VLOOKUP(S$5,NFI,5,0),1,0)*Data_NFI_t[[#This Row],[Plastic Mat]],0)*IF(Data_NFI_t[[#This Row],[Distribution Date]]&gt;"01-06-2015",1,2.5)</f>
        <v>0</v>
      </c>
      <c r="AH575" s="915">
        <f>IF(NFI_Expiration=1,IF($A575&lt;VLOOKUP(T$5,NFI,5,0),1,0)*Data_NFI_t[[#This Row],[Adult Clothes]],0)</f>
        <v>0</v>
      </c>
      <c r="AI575" s="131">
        <f>IF(NFI_Expiration=1,IF($A575&lt;VLOOKUP(U$5,NFI,5,0),1,0)*Data_NFI_t[[#This Row],[Children Clothes]],0)</f>
        <v>0</v>
      </c>
      <c r="AJ575" s="131">
        <f>IF(NFI_Expiration=1,IF($A575&lt;VLOOKUP(V$5,NFI,5,0),1,0)*Data_NFI_t[[#This Row],[Sewing Kit]],0)</f>
        <v>0</v>
      </c>
      <c r="AK575" s="131" t="str">
        <f ca="1">IFERROR(OFFSET(Camp_List[P_Code],MATCH(Data_NFI_t[[#This Row],[Camp Name]],Camp_List[Camp Name],0)-1,0,1,1),"")</f>
        <v/>
      </c>
      <c r="AL575" s="513" t="str">
        <f ca="1">IFERROR(OFFSET(Camp_List[Status],MATCH(Data_NFI_t[[#This Row],[Camp Name]],Camp_List[Camp Name],0)-1,0,1,1),"")</f>
        <v/>
      </c>
      <c r="AM575" s="131"/>
    </row>
    <row r="576" spans="1:39" s="793" customFormat="1" ht="19.5" customHeight="1" x14ac:dyDescent="0.25">
      <c r="A576" s="242" t="str">
        <f>IF(ISBLANK(C576),"",(Report_Date-C576)/30)</f>
        <v/>
      </c>
      <c r="B576" s="522">
        <f>YEAR(Data_NFI_t[[#This Row],[Distribution Date]])</f>
        <v>1900</v>
      </c>
      <c r="C576" s="927"/>
      <c r="D576" s="489"/>
      <c r="E576" s="488"/>
      <c r="F576" s="489"/>
      <c r="G576" s="794"/>
      <c r="H576" s="794"/>
      <c r="I576" s="794"/>
      <c r="J576" s="51"/>
      <c r="K576" s="51"/>
      <c r="L576" s="119"/>
      <c r="M576" s="119"/>
      <c r="N576" s="119"/>
      <c r="O576" s="119"/>
      <c r="P576" s="119"/>
      <c r="Q576" s="119"/>
      <c r="R576" s="512"/>
      <c r="S576" s="119"/>
      <c r="T576" s="119"/>
      <c r="U576" s="119"/>
      <c r="V576" s="119"/>
      <c r="W576" s="131">
        <f>IF(NFI_Expiration=1,IF($A576&lt;VLOOKUP(I$5,NFI,5,0),1,0)*Data_NFI_t[[#This Row],[Hygiene Kit]],0)</f>
        <v>0</v>
      </c>
      <c r="X576" s="131">
        <f>IF(NFI_Expiration=1,IF($A576&lt;VLOOKUP(J$5,NFI,5,0),1,0)*Data_NFI_t[[#This Row],[NFI Core Kit]],0)</f>
        <v>0</v>
      </c>
      <c r="Y576" s="112">
        <f>IF(NFI_Expiration=1,IF($A576&lt;VLOOKUP(K$5,NFI,5,0),1,0)*Data_NFI_t[[#This Row],[Sanitary Kit]],0)</f>
        <v>0</v>
      </c>
      <c r="Z576" s="112">
        <f>IF(NFI_Expiration=1,IF($A576&lt;VLOOKUP(L$5,NFI,5,0),1,0)*Data_NFI_t[[#This Row],[Mosquito net]],0)</f>
        <v>0</v>
      </c>
      <c r="AA576" s="112">
        <f>IF(NFI_Expiration=1,IF($A576&lt;VLOOKUP(M$5,NFI,5,0),1,0)*Data_NFI_t[[#This Row],[Tarpaulin]],0)</f>
        <v>0</v>
      </c>
      <c r="AB576" s="112">
        <f>IF(NFI_Expiration=1,IF($A576&lt;VLOOKUP(N$5,NFI,5,0),1,0)*Data_NFI_t[[#This Row],[Blanket]],0)</f>
        <v>0</v>
      </c>
      <c r="AC576" s="112">
        <f>IF(NFI_Expiration=1,IF($A576&lt;VLOOKUP(O$5,NFI,5,0),1,0)*Data_NFI_t[[#This Row],[Kitchen Set]],0)</f>
        <v>0</v>
      </c>
      <c r="AD576" s="112">
        <f>IF(NFI_Expiration=1,IF($A576&lt;VLOOKUP(P$5,NFI,5,0),1,0)*Data_NFI_t[[#This Row],[Complementary Kit]],0)</f>
        <v>0</v>
      </c>
      <c r="AE576" s="112">
        <f>IF(NFI_Expiration=1,IF($A576&lt;VLOOKUP(Q$5,NFI,5,0),1,0)*Data_NFI_t[[#This Row],[Plastic Bucket]],0)</f>
        <v>0</v>
      </c>
      <c r="AF576" s="131">
        <f>IF(NFI_Expiration=1,IF($A576&lt;VLOOKUP(R$5,NFI,5,0),1,0)*Data_NFI_t[[#This Row],[Jerry Can]],0)</f>
        <v>0</v>
      </c>
      <c r="AG576" s="131">
        <f>IF(NFI_Expiration=1,IF($A576&lt;VLOOKUP(S$5,NFI,5,0),1,0)*Data_NFI_t[[#This Row],[Plastic Mat]],0)*IF(Data_NFI_t[[#This Row],[Distribution Date]]&gt;"01-06-2015",1,2.5)</f>
        <v>0</v>
      </c>
      <c r="AH576" s="915">
        <f>IF(NFI_Expiration=1,IF($A576&lt;VLOOKUP(T$5,NFI,5,0),1,0)*Data_NFI_t[[#This Row],[Adult Clothes]],0)</f>
        <v>0</v>
      </c>
      <c r="AI576" s="131">
        <f>IF(NFI_Expiration=1,IF($A576&lt;VLOOKUP(U$5,NFI,5,0),1,0)*Data_NFI_t[[#This Row],[Children Clothes]],0)</f>
        <v>0</v>
      </c>
      <c r="AJ576" s="131">
        <f>IF(NFI_Expiration=1,IF($A576&lt;VLOOKUP(V$5,NFI,5,0),1,0)*Data_NFI_t[[#This Row],[Sewing Kit]],0)</f>
        <v>0</v>
      </c>
      <c r="AK576" s="131" t="str">
        <f ca="1">IFERROR(OFFSET(Camp_List[P_Code],MATCH(Data_NFI_t[[#This Row],[Camp Name]],Camp_List[Camp Name],0)-1,0,1,1),"")</f>
        <v/>
      </c>
      <c r="AL576" s="513" t="str">
        <f ca="1">IFERROR(OFFSET(Camp_List[Status],MATCH(Data_NFI_t[[#This Row],[Camp Name]],Camp_List[Camp Name],0)-1,0,1,1),"")</f>
        <v/>
      </c>
      <c r="AM576" s="131"/>
    </row>
    <row r="577" spans="1:39" s="793" customFormat="1" ht="19.5" customHeight="1" x14ac:dyDescent="0.25">
      <c r="A577" s="242" t="str">
        <f>IF(ISBLANK(C577),"",(Report_Date-C577)/30)</f>
        <v/>
      </c>
      <c r="B577" s="522">
        <f>YEAR(Data_NFI_t[[#This Row],[Distribution Date]])</f>
        <v>1900</v>
      </c>
      <c r="C577" s="927"/>
      <c r="D577" s="489"/>
      <c r="E577" s="488"/>
      <c r="F577" s="489"/>
      <c r="G577" s="794"/>
      <c r="H577" s="794"/>
      <c r="I577" s="794"/>
      <c r="J577" s="51"/>
      <c r="K577" s="51"/>
      <c r="L577" s="119"/>
      <c r="M577" s="119"/>
      <c r="N577" s="119"/>
      <c r="O577" s="119"/>
      <c r="P577" s="119"/>
      <c r="Q577" s="119"/>
      <c r="R577" s="512"/>
      <c r="S577" s="119"/>
      <c r="T577" s="119"/>
      <c r="U577" s="119"/>
      <c r="V577" s="119"/>
      <c r="W577" s="131">
        <f>IF(NFI_Expiration=1,IF($A577&lt;VLOOKUP(I$5,NFI,5,0),1,0)*Data_NFI_t[[#This Row],[Hygiene Kit]],0)</f>
        <v>0</v>
      </c>
      <c r="X577" s="131">
        <f>IF(NFI_Expiration=1,IF($A577&lt;VLOOKUP(J$5,NFI,5,0),1,0)*Data_NFI_t[[#This Row],[NFI Core Kit]],0)</f>
        <v>0</v>
      </c>
      <c r="Y577" s="112">
        <f>IF(NFI_Expiration=1,IF($A577&lt;VLOOKUP(K$5,NFI,5,0),1,0)*Data_NFI_t[[#This Row],[Sanitary Kit]],0)</f>
        <v>0</v>
      </c>
      <c r="Z577" s="112">
        <f>IF(NFI_Expiration=1,IF($A577&lt;VLOOKUP(L$5,NFI,5,0),1,0)*Data_NFI_t[[#This Row],[Mosquito net]],0)</f>
        <v>0</v>
      </c>
      <c r="AA577" s="112">
        <f>IF(NFI_Expiration=1,IF($A577&lt;VLOOKUP(M$5,NFI,5,0),1,0)*Data_NFI_t[[#This Row],[Tarpaulin]],0)</f>
        <v>0</v>
      </c>
      <c r="AB577" s="112">
        <f>IF(NFI_Expiration=1,IF($A577&lt;VLOOKUP(N$5,NFI,5,0),1,0)*Data_NFI_t[[#This Row],[Blanket]],0)</f>
        <v>0</v>
      </c>
      <c r="AC577" s="112">
        <f>IF(NFI_Expiration=1,IF($A577&lt;VLOOKUP(O$5,NFI,5,0),1,0)*Data_NFI_t[[#This Row],[Kitchen Set]],0)</f>
        <v>0</v>
      </c>
      <c r="AD577" s="112">
        <f>IF(NFI_Expiration=1,IF($A577&lt;VLOOKUP(P$5,NFI,5,0),1,0)*Data_NFI_t[[#This Row],[Complementary Kit]],0)</f>
        <v>0</v>
      </c>
      <c r="AE577" s="112">
        <f>IF(NFI_Expiration=1,IF($A577&lt;VLOOKUP(Q$5,NFI,5,0),1,0)*Data_NFI_t[[#This Row],[Plastic Bucket]],0)</f>
        <v>0</v>
      </c>
      <c r="AF577" s="131">
        <f>IF(NFI_Expiration=1,IF($A577&lt;VLOOKUP(R$5,NFI,5,0),1,0)*Data_NFI_t[[#This Row],[Jerry Can]],0)</f>
        <v>0</v>
      </c>
      <c r="AG577" s="131">
        <f>IF(NFI_Expiration=1,IF($A577&lt;VLOOKUP(S$5,NFI,5,0),1,0)*Data_NFI_t[[#This Row],[Plastic Mat]],0)*IF(Data_NFI_t[[#This Row],[Distribution Date]]&gt;"01-06-2015",1,2.5)</f>
        <v>0</v>
      </c>
      <c r="AH577" s="915">
        <f>IF(NFI_Expiration=1,IF($A577&lt;VLOOKUP(T$5,NFI,5,0),1,0)*Data_NFI_t[[#This Row],[Adult Clothes]],0)</f>
        <v>0</v>
      </c>
      <c r="AI577" s="131">
        <f>IF(NFI_Expiration=1,IF($A577&lt;VLOOKUP(U$5,NFI,5,0),1,0)*Data_NFI_t[[#This Row],[Children Clothes]],0)</f>
        <v>0</v>
      </c>
      <c r="AJ577" s="131">
        <f>IF(NFI_Expiration=1,IF($A577&lt;VLOOKUP(V$5,NFI,5,0),1,0)*Data_NFI_t[[#This Row],[Sewing Kit]],0)</f>
        <v>0</v>
      </c>
      <c r="AK577" s="131" t="str">
        <f ca="1">IFERROR(OFFSET(Camp_List[P_Code],MATCH(Data_NFI_t[[#This Row],[Camp Name]],Camp_List[Camp Name],0)-1,0,1,1),"")</f>
        <v/>
      </c>
      <c r="AL577" s="513" t="str">
        <f ca="1">IFERROR(OFFSET(Camp_List[Status],MATCH(Data_NFI_t[[#This Row],[Camp Name]],Camp_List[Camp Name],0)-1,0,1,1),"")</f>
        <v/>
      </c>
      <c r="AM577" s="131"/>
    </row>
    <row r="578" spans="1:39" s="793" customFormat="1" ht="19.5" customHeight="1" x14ac:dyDescent="0.25">
      <c r="A578" s="242" t="str">
        <f>IF(ISBLANK(C578),"",(Report_Date-C578)/30)</f>
        <v/>
      </c>
      <c r="B578" s="522">
        <f>YEAR(Data_NFI_t[[#This Row],[Distribution Date]])</f>
        <v>1900</v>
      </c>
      <c r="C578" s="927"/>
      <c r="D578" s="489"/>
      <c r="E578" s="488"/>
      <c r="F578" s="489"/>
      <c r="G578" s="794"/>
      <c r="H578" s="794"/>
      <c r="I578" s="794"/>
      <c r="J578" s="51"/>
      <c r="K578" s="51"/>
      <c r="L578" s="119"/>
      <c r="M578" s="119"/>
      <c r="N578" s="119"/>
      <c r="O578" s="119"/>
      <c r="P578" s="119"/>
      <c r="Q578" s="119"/>
      <c r="R578" s="512"/>
      <c r="S578" s="119"/>
      <c r="T578" s="119"/>
      <c r="U578" s="119"/>
      <c r="V578" s="119"/>
      <c r="W578" s="131">
        <f>IF(NFI_Expiration=1,IF($A578&lt;VLOOKUP(I$5,NFI,5,0),1,0)*Data_NFI_t[[#This Row],[Hygiene Kit]],0)</f>
        <v>0</v>
      </c>
      <c r="X578" s="131">
        <f>IF(NFI_Expiration=1,IF($A578&lt;VLOOKUP(J$5,NFI,5,0),1,0)*Data_NFI_t[[#This Row],[NFI Core Kit]],0)</f>
        <v>0</v>
      </c>
      <c r="Y578" s="112">
        <f>IF(NFI_Expiration=1,IF($A578&lt;VLOOKUP(K$5,NFI,5,0),1,0)*Data_NFI_t[[#This Row],[Sanitary Kit]],0)</f>
        <v>0</v>
      </c>
      <c r="Z578" s="112">
        <f>IF(NFI_Expiration=1,IF($A578&lt;VLOOKUP(L$5,NFI,5,0),1,0)*Data_NFI_t[[#This Row],[Mosquito net]],0)</f>
        <v>0</v>
      </c>
      <c r="AA578" s="112">
        <f>IF(NFI_Expiration=1,IF($A578&lt;VLOOKUP(M$5,NFI,5,0),1,0)*Data_NFI_t[[#This Row],[Tarpaulin]],0)</f>
        <v>0</v>
      </c>
      <c r="AB578" s="112">
        <f>IF(NFI_Expiration=1,IF($A578&lt;VLOOKUP(N$5,NFI,5,0),1,0)*Data_NFI_t[[#This Row],[Blanket]],0)</f>
        <v>0</v>
      </c>
      <c r="AC578" s="112">
        <f>IF(NFI_Expiration=1,IF($A578&lt;VLOOKUP(O$5,NFI,5,0),1,0)*Data_NFI_t[[#This Row],[Kitchen Set]],0)</f>
        <v>0</v>
      </c>
      <c r="AD578" s="112">
        <f>IF(NFI_Expiration=1,IF($A578&lt;VLOOKUP(P$5,NFI,5,0),1,0)*Data_NFI_t[[#This Row],[Complementary Kit]],0)</f>
        <v>0</v>
      </c>
      <c r="AE578" s="112">
        <f>IF(NFI_Expiration=1,IF($A578&lt;VLOOKUP(Q$5,NFI,5,0),1,0)*Data_NFI_t[[#This Row],[Plastic Bucket]],0)</f>
        <v>0</v>
      </c>
      <c r="AF578" s="131">
        <f>IF(NFI_Expiration=1,IF($A578&lt;VLOOKUP(R$5,NFI,5,0),1,0)*Data_NFI_t[[#This Row],[Jerry Can]],0)</f>
        <v>0</v>
      </c>
      <c r="AG578" s="131">
        <f>IF(NFI_Expiration=1,IF($A578&lt;VLOOKUP(S$5,NFI,5,0),1,0)*Data_NFI_t[[#This Row],[Plastic Mat]],0)*IF(Data_NFI_t[[#This Row],[Distribution Date]]&gt;"01-06-2015",1,2.5)</f>
        <v>0</v>
      </c>
      <c r="AH578" s="915">
        <f>IF(NFI_Expiration=1,IF($A578&lt;VLOOKUP(T$5,NFI,5,0),1,0)*Data_NFI_t[[#This Row],[Adult Clothes]],0)</f>
        <v>0</v>
      </c>
      <c r="AI578" s="131">
        <f>IF(NFI_Expiration=1,IF($A578&lt;VLOOKUP(U$5,NFI,5,0),1,0)*Data_NFI_t[[#This Row],[Children Clothes]],0)</f>
        <v>0</v>
      </c>
      <c r="AJ578" s="131">
        <f>IF(NFI_Expiration=1,IF($A578&lt;VLOOKUP(V$5,NFI,5,0),1,0)*Data_NFI_t[[#This Row],[Sewing Kit]],0)</f>
        <v>0</v>
      </c>
      <c r="AK578" s="131" t="str">
        <f ca="1">IFERROR(OFFSET(Camp_List[P_Code],MATCH(Data_NFI_t[[#This Row],[Camp Name]],Camp_List[Camp Name],0)-1,0,1,1),"")</f>
        <v/>
      </c>
      <c r="AL578" s="513" t="str">
        <f ca="1">IFERROR(OFFSET(Camp_List[Status],MATCH(Data_NFI_t[[#This Row],[Camp Name]],Camp_List[Camp Name],0)-1,0,1,1),"")</f>
        <v/>
      </c>
      <c r="AM578" s="131"/>
    </row>
    <row r="579" spans="1:39" s="793" customFormat="1" ht="19.5" customHeight="1" x14ac:dyDescent="0.25">
      <c r="A579" s="242" t="str">
        <f>IF(ISBLANK(C579),"",(Report_Date-C579)/30)</f>
        <v/>
      </c>
      <c r="B579" s="522">
        <f>YEAR(Data_NFI_t[[#This Row],[Distribution Date]])</f>
        <v>1900</v>
      </c>
      <c r="C579" s="927"/>
      <c r="D579" s="489"/>
      <c r="E579" s="488"/>
      <c r="F579" s="489"/>
      <c r="G579" s="794"/>
      <c r="H579" s="794"/>
      <c r="I579" s="794"/>
      <c r="J579" s="51"/>
      <c r="K579" s="51"/>
      <c r="L579" s="119"/>
      <c r="M579" s="119"/>
      <c r="N579" s="119"/>
      <c r="O579" s="119"/>
      <c r="P579" s="119"/>
      <c r="Q579" s="119"/>
      <c r="R579" s="512"/>
      <c r="S579" s="119"/>
      <c r="T579" s="119"/>
      <c r="U579" s="119"/>
      <c r="V579" s="119"/>
      <c r="W579" s="131">
        <f>IF(NFI_Expiration=1,IF($A579&lt;VLOOKUP(I$5,NFI,5,0),1,0)*Data_NFI_t[[#This Row],[Hygiene Kit]],0)</f>
        <v>0</v>
      </c>
      <c r="X579" s="131">
        <f>IF(NFI_Expiration=1,IF($A579&lt;VLOOKUP(J$5,NFI,5,0),1,0)*Data_NFI_t[[#This Row],[NFI Core Kit]],0)</f>
        <v>0</v>
      </c>
      <c r="Y579" s="112">
        <f>IF(NFI_Expiration=1,IF($A579&lt;VLOOKUP(K$5,NFI,5,0),1,0)*Data_NFI_t[[#This Row],[Sanitary Kit]],0)</f>
        <v>0</v>
      </c>
      <c r="Z579" s="112">
        <f>IF(NFI_Expiration=1,IF($A579&lt;VLOOKUP(L$5,NFI,5,0),1,0)*Data_NFI_t[[#This Row],[Mosquito net]],0)</f>
        <v>0</v>
      </c>
      <c r="AA579" s="112">
        <f>IF(NFI_Expiration=1,IF($A579&lt;VLOOKUP(M$5,NFI,5,0),1,0)*Data_NFI_t[[#This Row],[Tarpaulin]],0)</f>
        <v>0</v>
      </c>
      <c r="AB579" s="112">
        <f>IF(NFI_Expiration=1,IF($A579&lt;VLOOKUP(N$5,NFI,5,0),1,0)*Data_NFI_t[[#This Row],[Blanket]],0)</f>
        <v>0</v>
      </c>
      <c r="AC579" s="112">
        <f>IF(NFI_Expiration=1,IF($A579&lt;VLOOKUP(O$5,NFI,5,0),1,0)*Data_NFI_t[[#This Row],[Kitchen Set]],0)</f>
        <v>0</v>
      </c>
      <c r="AD579" s="112">
        <f>IF(NFI_Expiration=1,IF($A579&lt;VLOOKUP(P$5,NFI,5,0),1,0)*Data_NFI_t[[#This Row],[Complementary Kit]],0)</f>
        <v>0</v>
      </c>
      <c r="AE579" s="112">
        <f>IF(NFI_Expiration=1,IF($A579&lt;VLOOKUP(Q$5,NFI,5,0),1,0)*Data_NFI_t[[#This Row],[Plastic Bucket]],0)</f>
        <v>0</v>
      </c>
      <c r="AF579" s="131">
        <f>IF(NFI_Expiration=1,IF($A579&lt;VLOOKUP(R$5,NFI,5,0),1,0)*Data_NFI_t[[#This Row],[Jerry Can]],0)</f>
        <v>0</v>
      </c>
      <c r="AG579" s="131">
        <f>IF(NFI_Expiration=1,IF($A579&lt;VLOOKUP(S$5,NFI,5,0),1,0)*Data_NFI_t[[#This Row],[Plastic Mat]],0)*IF(Data_NFI_t[[#This Row],[Distribution Date]]&gt;"01-06-2015",1,2.5)</f>
        <v>0</v>
      </c>
      <c r="AH579" s="915">
        <f>IF(NFI_Expiration=1,IF($A579&lt;VLOOKUP(T$5,NFI,5,0),1,0)*Data_NFI_t[[#This Row],[Adult Clothes]],0)</f>
        <v>0</v>
      </c>
      <c r="AI579" s="131">
        <f>IF(NFI_Expiration=1,IF($A579&lt;VLOOKUP(U$5,NFI,5,0),1,0)*Data_NFI_t[[#This Row],[Children Clothes]],0)</f>
        <v>0</v>
      </c>
      <c r="AJ579" s="131">
        <f>IF(NFI_Expiration=1,IF($A579&lt;VLOOKUP(V$5,NFI,5,0),1,0)*Data_NFI_t[[#This Row],[Sewing Kit]],0)</f>
        <v>0</v>
      </c>
      <c r="AK579" s="131" t="str">
        <f ca="1">IFERROR(OFFSET(Camp_List[P_Code],MATCH(Data_NFI_t[[#This Row],[Camp Name]],Camp_List[Camp Name],0)-1,0,1,1),"")</f>
        <v/>
      </c>
      <c r="AL579" s="513" t="str">
        <f ca="1">IFERROR(OFFSET(Camp_List[Status],MATCH(Data_NFI_t[[#This Row],[Camp Name]],Camp_List[Camp Name],0)-1,0,1,1),"")</f>
        <v/>
      </c>
      <c r="AM579" s="131"/>
    </row>
    <row r="580" spans="1:39" s="793" customFormat="1" ht="19.5" customHeight="1" x14ac:dyDescent="0.25">
      <c r="A580" s="242" t="str">
        <f>IF(ISBLANK(C580),"",(Report_Date-C580)/30)</f>
        <v/>
      </c>
      <c r="B580" s="522">
        <f>YEAR(Data_NFI_t[[#This Row],[Distribution Date]])</f>
        <v>1900</v>
      </c>
      <c r="C580" s="927"/>
      <c r="D580" s="489"/>
      <c r="E580" s="488"/>
      <c r="F580" s="489"/>
      <c r="G580" s="794"/>
      <c r="H580" s="794"/>
      <c r="I580" s="794"/>
      <c r="J580" s="51"/>
      <c r="K580" s="51"/>
      <c r="L580" s="119"/>
      <c r="M580" s="119"/>
      <c r="N580" s="119"/>
      <c r="O580" s="119"/>
      <c r="P580" s="119"/>
      <c r="Q580" s="119"/>
      <c r="R580" s="512"/>
      <c r="S580" s="119"/>
      <c r="T580" s="119"/>
      <c r="U580" s="119"/>
      <c r="V580" s="119"/>
      <c r="W580" s="131">
        <f>IF(NFI_Expiration=1,IF($A580&lt;VLOOKUP(I$5,NFI,5,0),1,0)*Data_NFI_t[[#This Row],[Hygiene Kit]],0)</f>
        <v>0</v>
      </c>
      <c r="X580" s="131">
        <f>IF(NFI_Expiration=1,IF($A580&lt;VLOOKUP(J$5,NFI,5,0),1,0)*Data_NFI_t[[#This Row],[NFI Core Kit]],0)</f>
        <v>0</v>
      </c>
      <c r="Y580" s="112">
        <f>IF(NFI_Expiration=1,IF($A580&lt;VLOOKUP(K$5,NFI,5,0),1,0)*Data_NFI_t[[#This Row],[Sanitary Kit]],0)</f>
        <v>0</v>
      </c>
      <c r="Z580" s="112">
        <f>IF(NFI_Expiration=1,IF($A580&lt;VLOOKUP(L$5,NFI,5,0),1,0)*Data_NFI_t[[#This Row],[Mosquito net]],0)</f>
        <v>0</v>
      </c>
      <c r="AA580" s="112">
        <f>IF(NFI_Expiration=1,IF($A580&lt;VLOOKUP(M$5,NFI,5,0),1,0)*Data_NFI_t[[#This Row],[Tarpaulin]],0)</f>
        <v>0</v>
      </c>
      <c r="AB580" s="112">
        <f>IF(NFI_Expiration=1,IF($A580&lt;VLOOKUP(N$5,NFI,5,0),1,0)*Data_NFI_t[[#This Row],[Blanket]],0)</f>
        <v>0</v>
      </c>
      <c r="AC580" s="112">
        <f>IF(NFI_Expiration=1,IF($A580&lt;VLOOKUP(O$5,NFI,5,0),1,0)*Data_NFI_t[[#This Row],[Kitchen Set]],0)</f>
        <v>0</v>
      </c>
      <c r="AD580" s="112">
        <f>IF(NFI_Expiration=1,IF($A580&lt;VLOOKUP(P$5,NFI,5,0),1,0)*Data_NFI_t[[#This Row],[Complementary Kit]],0)</f>
        <v>0</v>
      </c>
      <c r="AE580" s="112">
        <f>IF(NFI_Expiration=1,IF($A580&lt;VLOOKUP(Q$5,NFI,5,0),1,0)*Data_NFI_t[[#This Row],[Plastic Bucket]],0)</f>
        <v>0</v>
      </c>
      <c r="AF580" s="131">
        <f>IF(NFI_Expiration=1,IF($A580&lt;VLOOKUP(R$5,NFI,5,0),1,0)*Data_NFI_t[[#This Row],[Jerry Can]],0)</f>
        <v>0</v>
      </c>
      <c r="AG580" s="131">
        <f>IF(NFI_Expiration=1,IF($A580&lt;VLOOKUP(S$5,NFI,5,0),1,0)*Data_NFI_t[[#This Row],[Plastic Mat]],0)*IF(Data_NFI_t[[#This Row],[Distribution Date]]&gt;"01-06-2015",1,2.5)</f>
        <v>0</v>
      </c>
      <c r="AH580" s="915">
        <f>IF(NFI_Expiration=1,IF($A580&lt;VLOOKUP(T$5,NFI,5,0),1,0)*Data_NFI_t[[#This Row],[Adult Clothes]],0)</f>
        <v>0</v>
      </c>
      <c r="AI580" s="131">
        <f>IF(NFI_Expiration=1,IF($A580&lt;VLOOKUP(U$5,NFI,5,0),1,0)*Data_NFI_t[[#This Row],[Children Clothes]],0)</f>
        <v>0</v>
      </c>
      <c r="AJ580" s="131">
        <f>IF(NFI_Expiration=1,IF($A580&lt;VLOOKUP(V$5,NFI,5,0),1,0)*Data_NFI_t[[#This Row],[Sewing Kit]],0)</f>
        <v>0</v>
      </c>
      <c r="AK580" s="131" t="str">
        <f ca="1">IFERROR(OFFSET(Camp_List[P_Code],MATCH(Data_NFI_t[[#This Row],[Camp Name]],Camp_List[Camp Name],0)-1,0,1,1),"")</f>
        <v/>
      </c>
      <c r="AL580" s="513" t="str">
        <f ca="1">IFERROR(OFFSET(Camp_List[Status],MATCH(Data_NFI_t[[#This Row],[Camp Name]],Camp_List[Camp Name],0)-1,0,1,1),"")</f>
        <v/>
      </c>
      <c r="AM580" s="131"/>
    </row>
    <row r="581" spans="1:39" s="793" customFormat="1" ht="19.5" customHeight="1" x14ac:dyDescent="0.25">
      <c r="A581" s="242" t="str">
        <f>IF(ISBLANK(C581),"",(Report_Date-C581)/30)</f>
        <v/>
      </c>
      <c r="B581" s="522">
        <f>YEAR(Data_NFI_t[[#This Row],[Distribution Date]])</f>
        <v>1900</v>
      </c>
      <c r="C581" s="927"/>
      <c r="D581" s="489"/>
      <c r="E581" s="488"/>
      <c r="F581" s="489"/>
      <c r="G581" s="794"/>
      <c r="H581" s="794"/>
      <c r="I581" s="794"/>
      <c r="J581" s="51"/>
      <c r="K581" s="51"/>
      <c r="L581" s="119"/>
      <c r="M581" s="119"/>
      <c r="N581" s="119"/>
      <c r="O581" s="119"/>
      <c r="P581" s="119"/>
      <c r="Q581" s="119"/>
      <c r="R581" s="512"/>
      <c r="S581" s="119"/>
      <c r="T581" s="119"/>
      <c r="U581" s="119"/>
      <c r="V581" s="119"/>
      <c r="W581" s="131">
        <f>IF(NFI_Expiration=1,IF($A581&lt;VLOOKUP(I$5,NFI,5,0),1,0)*Data_NFI_t[[#This Row],[Hygiene Kit]],0)</f>
        <v>0</v>
      </c>
      <c r="X581" s="131">
        <f>IF(NFI_Expiration=1,IF($A581&lt;VLOOKUP(J$5,NFI,5,0),1,0)*Data_NFI_t[[#This Row],[NFI Core Kit]],0)</f>
        <v>0</v>
      </c>
      <c r="Y581" s="112">
        <f>IF(NFI_Expiration=1,IF($A581&lt;VLOOKUP(K$5,NFI,5,0),1,0)*Data_NFI_t[[#This Row],[Sanitary Kit]],0)</f>
        <v>0</v>
      </c>
      <c r="Z581" s="112">
        <f>IF(NFI_Expiration=1,IF($A581&lt;VLOOKUP(L$5,NFI,5,0),1,0)*Data_NFI_t[[#This Row],[Mosquito net]],0)</f>
        <v>0</v>
      </c>
      <c r="AA581" s="112">
        <f>IF(NFI_Expiration=1,IF($A581&lt;VLOOKUP(M$5,NFI,5,0),1,0)*Data_NFI_t[[#This Row],[Tarpaulin]],0)</f>
        <v>0</v>
      </c>
      <c r="AB581" s="112">
        <f>IF(NFI_Expiration=1,IF($A581&lt;VLOOKUP(N$5,NFI,5,0),1,0)*Data_NFI_t[[#This Row],[Blanket]],0)</f>
        <v>0</v>
      </c>
      <c r="AC581" s="112">
        <f>IF(NFI_Expiration=1,IF($A581&lt;VLOOKUP(O$5,NFI,5,0),1,0)*Data_NFI_t[[#This Row],[Kitchen Set]],0)</f>
        <v>0</v>
      </c>
      <c r="AD581" s="112">
        <f>IF(NFI_Expiration=1,IF($A581&lt;VLOOKUP(P$5,NFI,5,0),1,0)*Data_NFI_t[[#This Row],[Complementary Kit]],0)</f>
        <v>0</v>
      </c>
      <c r="AE581" s="112">
        <f>IF(NFI_Expiration=1,IF($A581&lt;VLOOKUP(Q$5,NFI,5,0),1,0)*Data_NFI_t[[#This Row],[Plastic Bucket]],0)</f>
        <v>0</v>
      </c>
      <c r="AF581" s="131">
        <f>IF(NFI_Expiration=1,IF($A581&lt;VLOOKUP(R$5,NFI,5,0),1,0)*Data_NFI_t[[#This Row],[Jerry Can]],0)</f>
        <v>0</v>
      </c>
      <c r="AG581" s="131">
        <f>IF(NFI_Expiration=1,IF($A581&lt;VLOOKUP(S$5,NFI,5,0),1,0)*Data_NFI_t[[#This Row],[Plastic Mat]],0)*IF(Data_NFI_t[[#This Row],[Distribution Date]]&gt;"01-06-2015",1,2.5)</f>
        <v>0</v>
      </c>
      <c r="AH581" s="915">
        <f>IF(NFI_Expiration=1,IF($A581&lt;VLOOKUP(T$5,NFI,5,0),1,0)*Data_NFI_t[[#This Row],[Adult Clothes]],0)</f>
        <v>0</v>
      </c>
      <c r="AI581" s="131">
        <f>IF(NFI_Expiration=1,IF($A581&lt;VLOOKUP(U$5,NFI,5,0),1,0)*Data_NFI_t[[#This Row],[Children Clothes]],0)</f>
        <v>0</v>
      </c>
      <c r="AJ581" s="131">
        <f>IF(NFI_Expiration=1,IF($A581&lt;VLOOKUP(V$5,NFI,5,0),1,0)*Data_NFI_t[[#This Row],[Sewing Kit]],0)</f>
        <v>0</v>
      </c>
      <c r="AK581" s="131" t="str">
        <f ca="1">IFERROR(OFFSET(Camp_List[P_Code],MATCH(Data_NFI_t[[#This Row],[Camp Name]],Camp_List[Camp Name],0)-1,0,1,1),"")</f>
        <v/>
      </c>
      <c r="AL581" s="513" t="str">
        <f ca="1">IFERROR(OFFSET(Camp_List[Status],MATCH(Data_NFI_t[[#This Row],[Camp Name]],Camp_List[Camp Name],0)-1,0,1,1),"")</f>
        <v/>
      </c>
      <c r="AM581" s="131"/>
    </row>
    <row r="582" spans="1:39" s="793" customFormat="1" ht="19.5" customHeight="1" x14ac:dyDescent="0.25">
      <c r="A582" s="242" t="str">
        <f>IF(ISBLANK(C582),"",(Report_Date-C582)/30)</f>
        <v/>
      </c>
      <c r="B582" s="522">
        <f>YEAR(Data_NFI_t[[#This Row],[Distribution Date]])</f>
        <v>1900</v>
      </c>
      <c r="C582" s="927"/>
      <c r="D582" s="489"/>
      <c r="E582" s="488"/>
      <c r="F582" s="489"/>
      <c r="G582" s="794"/>
      <c r="H582" s="794"/>
      <c r="I582" s="794"/>
      <c r="J582" s="51"/>
      <c r="K582" s="51"/>
      <c r="L582" s="119"/>
      <c r="M582" s="119"/>
      <c r="N582" s="119"/>
      <c r="O582" s="119"/>
      <c r="P582" s="119"/>
      <c r="Q582" s="119"/>
      <c r="R582" s="512"/>
      <c r="S582" s="119"/>
      <c r="T582" s="119"/>
      <c r="U582" s="119"/>
      <c r="V582" s="119"/>
      <c r="W582" s="131">
        <f>IF(NFI_Expiration=1,IF($A582&lt;VLOOKUP(I$5,NFI,5,0),1,0)*Data_NFI_t[[#This Row],[Hygiene Kit]],0)</f>
        <v>0</v>
      </c>
      <c r="X582" s="131">
        <f>IF(NFI_Expiration=1,IF($A582&lt;VLOOKUP(J$5,NFI,5,0),1,0)*Data_NFI_t[[#This Row],[NFI Core Kit]],0)</f>
        <v>0</v>
      </c>
      <c r="Y582" s="112">
        <f>IF(NFI_Expiration=1,IF($A582&lt;VLOOKUP(K$5,NFI,5,0),1,0)*Data_NFI_t[[#This Row],[Sanitary Kit]],0)</f>
        <v>0</v>
      </c>
      <c r="Z582" s="112">
        <f>IF(NFI_Expiration=1,IF($A582&lt;VLOOKUP(L$5,NFI,5,0),1,0)*Data_NFI_t[[#This Row],[Mosquito net]],0)</f>
        <v>0</v>
      </c>
      <c r="AA582" s="112">
        <f>IF(NFI_Expiration=1,IF($A582&lt;VLOOKUP(M$5,NFI,5,0),1,0)*Data_NFI_t[[#This Row],[Tarpaulin]],0)</f>
        <v>0</v>
      </c>
      <c r="AB582" s="112">
        <f>IF(NFI_Expiration=1,IF($A582&lt;VLOOKUP(N$5,NFI,5,0),1,0)*Data_NFI_t[[#This Row],[Blanket]],0)</f>
        <v>0</v>
      </c>
      <c r="AC582" s="112">
        <f>IF(NFI_Expiration=1,IF($A582&lt;VLOOKUP(O$5,NFI,5,0),1,0)*Data_NFI_t[[#This Row],[Kitchen Set]],0)</f>
        <v>0</v>
      </c>
      <c r="AD582" s="112">
        <f>IF(NFI_Expiration=1,IF($A582&lt;VLOOKUP(P$5,NFI,5,0),1,0)*Data_NFI_t[[#This Row],[Complementary Kit]],0)</f>
        <v>0</v>
      </c>
      <c r="AE582" s="112">
        <f>IF(NFI_Expiration=1,IF($A582&lt;VLOOKUP(Q$5,NFI,5,0),1,0)*Data_NFI_t[[#This Row],[Plastic Bucket]],0)</f>
        <v>0</v>
      </c>
      <c r="AF582" s="131">
        <f>IF(NFI_Expiration=1,IF($A582&lt;VLOOKUP(R$5,NFI,5,0),1,0)*Data_NFI_t[[#This Row],[Jerry Can]],0)</f>
        <v>0</v>
      </c>
      <c r="AG582" s="131">
        <f>IF(NFI_Expiration=1,IF($A582&lt;VLOOKUP(S$5,NFI,5,0),1,0)*Data_NFI_t[[#This Row],[Plastic Mat]],0)*IF(Data_NFI_t[[#This Row],[Distribution Date]]&gt;"01-06-2015",1,2.5)</f>
        <v>0</v>
      </c>
      <c r="AH582" s="915">
        <f>IF(NFI_Expiration=1,IF($A582&lt;VLOOKUP(T$5,NFI,5,0),1,0)*Data_NFI_t[[#This Row],[Adult Clothes]],0)</f>
        <v>0</v>
      </c>
      <c r="AI582" s="131">
        <f>IF(NFI_Expiration=1,IF($A582&lt;VLOOKUP(U$5,NFI,5,0),1,0)*Data_NFI_t[[#This Row],[Children Clothes]],0)</f>
        <v>0</v>
      </c>
      <c r="AJ582" s="131">
        <f>IF(NFI_Expiration=1,IF($A582&lt;VLOOKUP(V$5,NFI,5,0),1,0)*Data_NFI_t[[#This Row],[Sewing Kit]],0)</f>
        <v>0</v>
      </c>
      <c r="AK582" s="131" t="str">
        <f ca="1">IFERROR(OFFSET(Camp_List[P_Code],MATCH(Data_NFI_t[[#This Row],[Camp Name]],Camp_List[Camp Name],0)-1,0,1,1),"")</f>
        <v/>
      </c>
      <c r="AL582" s="513" t="str">
        <f ca="1">IFERROR(OFFSET(Camp_List[Status],MATCH(Data_NFI_t[[#This Row],[Camp Name]],Camp_List[Camp Name],0)-1,0,1,1),"")</f>
        <v/>
      </c>
      <c r="AM582" s="131"/>
    </row>
    <row r="583" spans="1:39" s="793" customFormat="1" ht="19.5" customHeight="1" x14ac:dyDescent="0.25">
      <c r="A583" s="242" t="str">
        <f>IF(ISBLANK(C583),"",(Report_Date-C583)/30)</f>
        <v/>
      </c>
      <c r="B583" s="522">
        <f>YEAR(Data_NFI_t[[#This Row],[Distribution Date]])</f>
        <v>1900</v>
      </c>
      <c r="C583" s="927"/>
      <c r="D583" s="489"/>
      <c r="E583" s="488"/>
      <c r="F583" s="489"/>
      <c r="G583" s="794"/>
      <c r="H583" s="794"/>
      <c r="I583" s="794"/>
      <c r="J583" s="51"/>
      <c r="K583" s="51"/>
      <c r="L583" s="119"/>
      <c r="M583" s="119"/>
      <c r="N583" s="119"/>
      <c r="O583" s="119"/>
      <c r="P583" s="119"/>
      <c r="Q583" s="119"/>
      <c r="R583" s="512"/>
      <c r="S583" s="119"/>
      <c r="T583" s="119"/>
      <c r="U583" s="119"/>
      <c r="V583" s="119"/>
      <c r="W583" s="131">
        <f>IF(NFI_Expiration=1,IF($A583&lt;VLOOKUP(I$5,NFI,5,0),1,0)*Data_NFI_t[[#This Row],[Hygiene Kit]],0)</f>
        <v>0</v>
      </c>
      <c r="X583" s="131">
        <f>IF(NFI_Expiration=1,IF($A583&lt;VLOOKUP(J$5,NFI,5,0),1,0)*Data_NFI_t[[#This Row],[NFI Core Kit]],0)</f>
        <v>0</v>
      </c>
      <c r="Y583" s="112">
        <f>IF(NFI_Expiration=1,IF($A583&lt;VLOOKUP(K$5,NFI,5,0),1,0)*Data_NFI_t[[#This Row],[Sanitary Kit]],0)</f>
        <v>0</v>
      </c>
      <c r="Z583" s="112">
        <f>IF(NFI_Expiration=1,IF($A583&lt;VLOOKUP(L$5,NFI,5,0),1,0)*Data_NFI_t[[#This Row],[Mosquito net]],0)</f>
        <v>0</v>
      </c>
      <c r="AA583" s="112">
        <f>IF(NFI_Expiration=1,IF($A583&lt;VLOOKUP(M$5,NFI,5,0),1,0)*Data_NFI_t[[#This Row],[Tarpaulin]],0)</f>
        <v>0</v>
      </c>
      <c r="AB583" s="112">
        <f>IF(NFI_Expiration=1,IF($A583&lt;VLOOKUP(N$5,NFI,5,0),1,0)*Data_NFI_t[[#This Row],[Blanket]],0)</f>
        <v>0</v>
      </c>
      <c r="AC583" s="112">
        <f>IF(NFI_Expiration=1,IF($A583&lt;VLOOKUP(O$5,NFI,5,0),1,0)*Data_NFI_t[[#This Row],[Kitchen Set]],0)</f>
        <v>0</v>
      </c>
      <c r="AD583" s="112">
        <f>IF(NFI_Expiration=1,IF($A583&lt;VLOOKUP(P$5,NFI,5,0),1,0)*Data_NFI_t[[#This Row],[Complementary Kit]],0)</f>
        <v>0</v>
      </c>
      <c r="AE583" s="112">
        <f>IF(NFI_Expiration=1,IF($A583&lt;VLOOKUP(Q$5,NFI,5,0),1,0)*Data_NFI_t[[#This Row],[Plastic Bucket]],0)</f>
        <v>0</v>
      </c>
      <c r="AF583" s="131">
        <f>IF(NFI_Expiration=1,IF($A583&lt;VLOOKUP(R$5,NFI,5,0),1,0)*Data_NFI_t[[#This Row],[Jerry Can]],0)</f>
        <v>0</v>
      </c>
      <c r="AG583" s="131">
        <f>IF(NFI_Expiration=1,IF($A583&lt;VLOOKUP(S$5,NFI,5,0),1,0)*Data_NFI_t[[#This Row],[Plastic Mat]],0)*IF(Data_NFI_t[[#This Row],[Distribution Date]]&gt;"01-06-2015",1,2.5)</f>
        <v>0</v>
      </c>
      <c r="AH583" s="915">
        <f>IF(NFI_Expiration=1,IF($A583&lt;VLOOKUP(T$5,NFI,5,0),1,0)*Data_NFI_t[[#This Row],[Adult Clothes]],0)</f>
        <v>0</v>
      </c>
      <c r="AI583" s="131">
        <f>IF(NFI_Expiration=1,IF($A583&lt;VLOOKUP(U$5,NFI,5,0),1,0)*Data_NFI_t[[#This Row],[Children Clothes]],0)</f>
        <v>0</v>
      </c>
      <c r="AJ583" s="131">
        <f>IF(NFI_Expiration=1,IF($A583&lt;VLOOKUP(V$5,NFI,5,0),1,0)*Data_NFI_t[[#This Row],[Sewing Kit]],0)</f>
        <v>0</v>
      </c>
      <c r="AK583" s="131" t="str">
        <f ca="1">IFERROR(OFFSET(Camp_List[P_Code],MATCH(Data_NFI_t[[#This Row],[Camp Name]],Camp_List[Camp Name],0)-1,0,1,1),"")</f>
        <v/>
      </c>
      <c r="AL583" s="513" t="str">
        <f ca="1">IFERROR(OFFSET(Camp_List[Status],MATCH(Data_NFI_t[[#This Row],[Camp Name]],Camp_List[Camp Name],0)-1,0,1,1),"")</f>
        <v/>
      </c>
      <c r="AM583" s="131"/>
    </row>
    <row r="584" spans="1:39" s="793" customFormat="1" ht="19.5" customHeight="1" x14ac:dyDescent="0.25">
      <c r="A584" s="242" t="str">
        <f>IF(ISBLANK(C584),"",(Report_Date-C584)/30)</f>
        <v/>
      </c>
      <c r="B584" s="522">
        <f>YEAR(Data_NFI_t[[#This Row],[Distribution Date]])</f>
        <v>1900</v>
      </c>
      <c r="C584" s="927"/>
      <c r="D584" s="489"/>
      <c r="E584" s="488"/>
      <c r="F584" s="489"/>
      <c r="G584" s="794"/>
      <c r="H584" s="794"/>
      <c r="I584" s="794"/>
      <c r="J584" s="51"/>
      <c r="K584" s="51"/>
      <c r="L584" s="119"/>
      <c r="M584" s="119"/>
      <c r="N584" s="119"/>
      <c r="O584" s="119"/>
      <c r="P584" s="119"/>
      <c r="Q584" s="119"/>
      <c r="R584" s="512"/>
      <c r="S584" s="119"/>
      <c r="T584" s="119"/>
      <c r="U584" s="119"/>
      <c r="V584" s="119"/>
      <c r="W584" s="131">
        <f>IF(NFI_Expiration=1,IF($A584&lt;VLOOKUP(I$5,NFI,5,0),1,0)*Data_NFI_t[[#This Row],[Hygiene Kit]],0)</f>
        <v>0</v>
      </c>
      <c r="X584" s="131">
        <f>IF(NFI_Expiration=1,IF($A584&lt;VLOOKUP(J$5,NFI,5,0),1,0)*Data_NFI_t[[#This Row],[NFI Core Kit]],0)</f>
        <v>0</v>
      </c>
      <c r="Y584" s="112">
        <f>IF(NFI_Expiration=1,IF($A584&lt;VLOOKUP(K$5,NFI,5,0),1,0)*Data_NFI_t[[#This Row],[Sanitary Kit]],0)</f>
        <v>0</v>
      </c>
      <c r="Z584" s="112">
        <f>IF(NFI_Expiration=1,IF($A584&lt;VLOOKUP(L$5,NFI,5,0),1,0)*Data_NFI_t[[#This Row],[Mosquito net]],0)</f>
        <v>0</v>
      </c>
      <c r="AA584" s="112">
        <f>IF(NFI_Expiration=1,IF($A584&lt;VLOOKUP(M$5,NFI,5,0),1,0)*Data_NFI_t[[#This Row],[Tarpaulin]],0)</f>
        <v>0</v>
      </c>
      <c r="AB584" s="112">
        <f>IF(NFI_Expiration=1,IF($A584&lt;VLOOKUP(N$5,NFI,5,0),1,0)*Data_NFI_t[[#This Row],[Blanket]],0)</f>
        <v>0</v>
      </c>
      <c r="AC584" s="112">
        <f>IF(NFI_Expiration=1,IF($A584&lt;VLOOKUP(O$5,NFI,5,0),1,0)*Data_NFI_t[[#This Row],[Kitchen Set]],0)</f>
        <v>0</v>
      </c>
      <c r="AD584" s="112">
        <f>IF(NFI_Expiration=1,IF($A584&lt;VLOOKUP(P$5,NFI,5,0),1,0)*Data_NFI_t[[#This Row],[Complementary Kit]],0)</f>
        <v>0</v>
      </c>
      <c r="AE584" s="112">
        <f>IF(NFI_Expiration=1,IF($A584&lt;VLOOKUP(Q$5,NFI,5,0),1,0)*Data_NFI_t[[#This Row],[Plastic Bucket]],0)</f>
        <v>0</v>
      </c>
      <c r="AF584" s="131">
        <f>IF(NFI_Expiration=1,IF($A584&lt;VLOOKUP(R$5,NFI,5,0),1,0)*Data_NFI_t[[#This Row],[Jerry Can]],0)</f>
        <v>0</v>
      </c>
      <c r="AG584" s="131">
        <f>IF(NFI_Expiration=1,IF($A584&lt;VLOOKUP(S$5,NFI,5,0),1,0)*Data_NFI_t[[#This Row],[Plastic Mat]],0)*IF(Data_NFI_t[[#This Row],[Distribution Date]]&gt;"01-06-2015",1,2.5)</f>
        <v>0</v>
      </c>
      <c r="AH584" s="915">
        <f>IF(NFI_Expiration=1,IF($A584&lt;VLOOKUP(T$5,NFI,5,0),1,0)*Data_NFI_t[[#This Row],[Adult Clothes]],0)</f>
        <v>0</v>
      </c>
      <c r="AI584" s="131">
        <f>IF(NFI_Expiration=1,IF($A584&lt;VLOOKUP(U$5,NFI,5,0),1,0)*Data_NFI_t[[#This Row],[Children Clothes]],0)</f>
        <v>0</v>
      </c>
      <c r="AJ584" s="131">
        <f>IF(NFI_Expiration=1,IF($A584&lt;VLOOKUP(V$5,NFI,5,0),1,0)*Data_NFI_t[[#This Row],[Sewing Kit]],0)</f>
        <v>0</v>
      </c>
      <c r="AK584" s="131" t="str">
        <f ca="1">IFERROR(OFFSET(Camp_List[P_Code],MATCH(Data_NFI_t[[#This Row],[Camp Name]],Camp_List[Camp Name],0)-1,0,1,1),"")</f>
        <v/>
      </c>
      <c r="AL584" s="513" t="str">
        <f ca="1">IFERROR(OFFSET(Camp_List[Status],MATCH(Data_NFI_t[[#This Row],[Camp Name]],Camp_List[Camp Name],0)-1,0,1,1),"")</f>
        <v/>
      </c>
      <c r="AM584" s="131"/>
    </row>
    <row r="585" spans="1:39" s="793" customFormat="1" ht="19.5" customHeight="1" x14ac:dyDescent="0.25">
      <c r="A585" s="242" t="str">
        <f>IF(ISBLANK(C585),"",(Report_Date-C585)/30)</f>
        <v/>
      </c>
      <c r="B585" s="522">
        <f>YEAR(Data_NFI_t[[#This Row],[Distribution Date]])</f>
        <v>1900</v>
      </c>
      <c r="C585" s="927"/>
      <c r="D585" s="489"/>
      <c r="E585" s="488"/>
      <c r="F585" s="489"/>
      <c r="G585" s="794"/>
      <c r="H585" s="794"/>
      <c r="I585" s="794"/>
      <c r="J585" s="51"/>
      <c r="K585" s="51"/>
      <c r="L585" s="119"/>
      <c r="M585" s="119"/>
      <c r="N585" s="119"/>
      <c r="O585" s="119"/>
      <c r="P585" s="119"/>
      <c r="Q585" s="119"/>
      <c r="R585" s="512"/>
      <c r="S585" s="119"/>
      <c r="T585" s="119"/>
      <c r="U585" s="119"/>
      <c r="V585" s="119"/>
      <c r="W585" s="131">
        <f>IF(NFI_Expiration=1,IF($A585&lt;VLOOKUP(I$5,NFI,5,0),1,0)*Data_NFI_t[[#This Row],[Hygiene Kit]],0)</f>
        <v>0</v>
      </c>
      <c r="X585" s="131">
        <f>IF(NFI_Expiration=1,IF($A585&lt;VLOOKUP(J$5,NFI,5,0),1,0)*Data_NFI_t[[#This Row],[NFI Core Kit]],0)</f>
        <v>0</v>
      </c>
      <c r="Y585" s="112">
        <f>IF(NFI_Expiration=1,IF($A585&lt;VLOOKUP(K$5,NFI,5,0),1,0)*Data_NFI_t[[#This Row],[Sanitary Kit]],0)</f>
        <v>0</v>
      </c>
      <c r="Z585" s="112">
        <f>IF(NFI_Expiration=1,IF($A585&lt;VLOOKUP(L$5,NFI,5,0),1,0)*Data_NFI_t[[#This Row],[Mosquito net]],0)</f>
        <v>0</v>
      </c>
      <c r="AA585" s="112">
        <f>IF(NFI_Expiration=1,IF($A585&lt;VLOOKUP(M$5,NFI,5,0),1,0)*Data_NFI_t[[#This Row],[Tarpaulin]],0)</f>
        <v>0</v>
      </c>
      <c r="AB585" s="112">
        <f>IF(NFI_Expiration=1,IF($A585&lt;VLOOKUP(N$5,NFI,5,0),1,0)*Data_NFI_t[[#This Row],[Blanket]],0)</f>
        <v>0</v>
      </c>
      <c r="AC585" s="112">
        <f>IF(NFI_Expiration=1,IF($A585&lt;VLOOKUP(O$5,NFI,5,0),1,0)*Data_NFI_t[[#This Row],[Kitchen Set]],0)</f>
        <v>0</v>
      </c>
      <c r="AD585" s="112">
        <f>IF(NFI_Expiration=1,IF($A585&lt;VLOOKUP(P$5,NFI,5,0),1,0)*Data_NFI_t[[#This Row],[Complementary Kit]],0)</f>
        <v>0</v>
      </c>
      <c r="AE585" s="112">
        <f>IF(NFI_Expiration=1,IF($A585&lt;VLOOKUP(Q$5,NFI,5,0),1,0)*Data_NFI_t[[#This Row],[Plastic Bucket]],0)</f>
        <v>0</v>
      </c>
      <c r="AF585" s="131">
        <f>IF(NFI_Expiration=1,IF($A585&lt;VLOOKUP(R$5,NFI,5,0),1,0)*Data_NFI_t[[#This Row],[Jerry Can]],0)</f>
        <v>0</v>
      </c>
      <c r="AG585" s="131">
        <f>IF(NFI_Expiration=1,IF($A585&lt;VLOOKUP(S$5,NFI,5,0),1,0)*Data_NFI_t[[#This Row],[Plastic Mat]],0)*IF(Data_NFI_t[[#This Row],[Distribution Date]]&gt;"01-06-2015",1,2.5)</f>
        <v>0</v>
      </c>
      <c r="AH585" s="915">
        <f>IF(NFI_Expiration=1,IF($A585&lt;VLOOKUP(T$5,NFI,5,0),1,0)*Data_NFI_t[[#This Row],[Adult Clothes]],0)</f>
        <v>0</v>
      </c>
      <c r="AI585" s="131">
        <f>IF(NFI_Expiration=1,IF($A585&lt;VLOOKUP(U$5,NFI,5,0),1,0)*Data_NFI_t[[#This Row],[Children Clothes]],0)</f>
        <v>0</v>
      </c>
      <c r="AJ585" s="131">
        <f>IF(NFI_Expiration=1,IF($A585&lt;VLOOKUP(V$5,NFI,5,0),1,0)*Data_NFI_t[[#This Row],[Sewing Kit]],0)</f>
        <v>0</v>
      </c>
      <c r="AK585" s="131" t="str">
        <f ca="1">IFERROR(OFFSET(Camp_List[P_Code],MATCH(Data_NFI_t[[#This Row],[Camp Name]],Camp_List[Camp Name],0)-1,0,1,1),"")</f>
        <v/>
      </c>
      <c r="AL585" s="513" t="str">
        <f ca="1">IFERROR(OFFSET(Camp_List[Status],MATCH(Data_NFI_t[[#This Row],[Camp Name]],Camp_List[Camp Name],0)-1,0,1,1),"")</f>
        <v/>
      </c>
      <c r="AM585" s="131"/>
    </row>
    <row r="586" spans="1:39" s="793" customFormat="1" ht="19.5" customHeight="1" x14ac:dyDescent="0.25">
      <c r="A586" s="242" t="str">
        <f>IF(ISBLANK(C586),"",(Report_Date-C586)/30)</f>
        <v/>
      </c>
      <c r="B586" s="522">
        <f>YEAR(Data_NFI_t[[#This Row],[Distribution Date]])</f>
        <v>1900</v>
      </c>
      <c r="C586" s="927"/>
      <c r="D586" s="489"/>
      <c r="E586" s="488"/>
      <c r="F586" s="489"/>
      <c r="G586" s="794"/>
      <c r="H586" s="794"/>
      <c r="I586" s="794"/>
      <c r="J586" s="51"/>
      <c r="K586" s="51"/>
      <c r="L586" s="119"/>
      <c r="M586" s="119"/>
      <c r="N586" s="119"/>
      <c r="O586" s="119"/>
      <c r="P586" s="119"/>
      <c r="Q586" s="119"/>
      <c r="R586" s="512"/>
      <c r="S586" s="119"/>
      <c r="T586" s="119"/>
      <c r="U586" s="119"/>
      <c r="V586" s="119"/>
      <c r="W586" s="131">
        <f>IF(NFI_Expiration=1,IF($A586&lt;VLOOKUP(I$5,NFI,5,0),1,0)*Data_NFI_t[[#This Row],[Hygiene Kit]],0)</f>
        <v>0</v>
      </c>
      <c r="X586" s="131">
        <f>IF(NFI_Expiration=1,IF($A586&lt;VLOOKUP(J$5,NFI,5,0),1,0)*Data_NFI_t[[#This Row],[NFI Core Kit]],0)</f>
        <v>0</v>
      </c>
      <c r="Y586" s="112">
        <f>IF(NFI_Expiration=1,IF($A586&lt;VLOOKUP(K$5,NFI,5,0),1,0)*Data_NFI_t[[#This Row],[Sanitary Kit]],0)</f>
        <v>0</v>
      </c>
      <c r="Z586" s="112">
        <f>IF(NFI_Expiration=1,IF($A586&lt;VLOOKUP(L$5,NFI,5,0),1,0)*Data_NFI_t[[#This Row],[Mosquito net]],0)</f>
        <v>0</v>
      </c>
      <c r="AA586" s="112">
        <f>IF(NFI_Expiration=1,IF($A586&lt;VLOOKUP(M$5,NFI,5,0),1,0)*Data_NFI_t[[#This Row],[Tarpaulin]],0)</f>
        <v>0</v>
      </c>
      <c r="AB586" s="112">
        <f>IF(NFI_Expiration=1,IF($A586&lt;VLOOKUP(N$5,NFI,5,0),1,0)*Data_NFI_t[[#This Row],[Blanket]],0)</f>
        <v>0</v>
      </c>
      <c r="AC586" s="112">
        <f>IF(NFI_Expiration=1,IF($A586&lt;VLOOKUP(O$5,NFI,5,0),1,0)*Data_NFI_t[[#This Row],[Kitchen Set]],0)</f>
        <v>0</v>
      </c>
      <c r="AD586" s="112">
        <f>IF(NFI_Expiration=1,IF($A586&lt;VLOOKUP(P$5,NFI,5,0),1,0)*Data_NFI_t[[#This Row],[Complementary Kit]],0)</f>
        <v>0</v>
      </c>
      <c r="AE586" s="112">
        <f>IF(NFI_Expiration=1,IF($A586&lt;VLOOKUP(Q$5,NFI,5,0),1,0)*Data_NFI_t[[#This Row],[Plastic Bucket]],0)</f>
        <v>0</v>
      </c>
      <c r="AF586" s="131">
        <f>IF(NFI_Expiration=1,IF($A586&lt;VLOOKUP(R$5,NFI,5,0),1,0)*Data_NFI_t[[#This Row],[Jerry Can]],0)</f>
        <v>0</v>
      </c>
      <c r="AG586" s="131">
        <f>IF(NFI_Expiration=1,IF($A586&lt;VLOOKUP(S$5,NFI,5,0),1,0)*Data_NFI_t[[#This Row],[Plastic Mat]],0)*IF(Data_NFI_t[[#This Row],[Distribution Date]]&gt;"01-06-2015",1,2.5)</f>
        <v>0</v>
      </c>
      <c r="AH586" s="915">
        <f>IF(NFI_Expiration=1,IF($A586&lt;VLOOKUP(T$5,NFI,5,0),1,0)*Data_NFI_t[[#This Row],[Adult Clothes]],0)</f>
        <v>0</v>
      </c>
      <c r="AI586" s="131">
        <f>IF(NFI_Expiration=1,IF($A586&lt;VLOOKUP(U$5,NFI,5,0),1,0)*Data_NFI_t[[#This Row],[Children Clothes]],0)</f>
        <v>0</v>
      </c>
      <c r="AJ586" s="131">
        <f>IF(NFI_Expiration=1,IF($A586&lt;VLOOKUP(V$5,NFI,5,0),1,0)*Data_NFI_t[[#This Row],[Sewing Kit]],0)</f>
        <v>0</v>
      </c>
      <c r="AK586" s="131" t="str">
        <f ca="1">IFERROR(OFFSET(Camp_List[P_Code],MATCH(Data_NFI_t[[#This Row],[Camp Name]],Camp_List[Camp Name],0)-1,0,1,1),"")</f>
        <v/>
      </c>
      <c r="AL586" s="513" t="str">
        <f ca="1">IFERROR(OFFSET(Camp_List[Status],MATCH(Data_NFI_t[[#This Row],[Camp Name]],Camp_List[Camp Name],0)-1,0,1,1),"")</f>
        <v/>
      </c>
      <c r="AM586" s="131"/>
    </row>
    <row r="587" spans="1:39" ht="19.5" customHeight="1" x14ac:dyDescent="0.25">
      <c r="A587" s="242" t="str">
        <f>IF(ISBLANK(C587),"",(Report_Date-C587)/30)</f>
        <v/>
      </c>
      <c r="B587" s="926">
        <f>YEAR(Data_NFI_t[[#This Row],[Distribution Date]])</f>
        <v>1900</v>
      </c>
      <c r="C587" s="927"/>
      <c r="D587" s="489"/>
      <c r="E587" s="488"/>
      <c r="F587" s="489"/>
      <c r="G587" s="794"/>
      <c r="H587" s="794"/>
      <c r="I587" s="794"/>
      <c r="J587" s="51"/>
      <c r="K587" s="51"/>
      <c r="L587" s="791"/>
      <c r="M587" s="791"/>
      <c r="N587" s="791"/>
      <c r="O587" s="791"/>
      <c r="P587" s="791"/>
      <c r="Q587" s="791"/>
      <c r="R587" s="928"/>
      <c r="S587" s="791"/>
      <c r="T587" s="791"/>
      <c r="U587" s="791"/>
      <c r="V587" s="791"/>
      <c r="W587" s="131">
        <f>IF(NFI_Expiration=1,IF($A587&lt;VLOOKUP(I$5,NFI,5,0),1,0)*Data_NFI_t[[#This Row],[Hygiene Kit]],0)</f>
        <v>0</v>
      </c>
      <c r="X587" s="131">
        <f>IF(NFI_Expiration=1,IF($A587&lt;VLOOKUP(J$5,NFI,5,0),1,0)*Data_NFI_t[[#This Row],[NFI Core Kit]],0)</f>
        <v>0</v>
      </c>
      <c r="Y587" s="112">
        <f>IF(NFI_Expiration=1,IF($A587&lt;VLOOKUP(K$5,NFI,5,0),1,0)*Data_NFI_t[[#This Row],[Sanitary Kit]],0)</f>
        <v>0</v>
      </c>
      <c r="Z587" s="112">
        <f>IF(NFI_Expiration=1,IF($A587&lt;VLOOKUP(L$5,NFI,5,0),1,0)*Data_NFI_t[[#This Row],[Mosquito net]],0)</f>
        <v>0</v>
      </c>
      <c r="AA587" s="112">
        <f>IF(NFI_Expiration=1,IF($A587&lt;VLOOKUP(M$5,NFI,5,0),1,0)*Data_NFI_t[[#This Row],[Tarpaulin]],0)</f>
        <v>0</v>
      </c>
      <c r="AB587" s="112">
        <f>IF(NFI_Expiration=1,IF($A587&lt;VLOOKUP(N$5,NFI,5,0),1,0)*Data_NFI_t[[#This Row],[Blanket]],0)</f>
        <v>0</v>
      </c>
      <c r="AC587" s="112">
        <f>IF(NFI_Expiration=1,IF($A587&lt;VLOOKUP(O$5,NFI,5,0),1,0)*Data_NFI_t[[#This Row],[Kitchen Set]],0)</f>
        <v>0</v>
      </c>
      <c r="AD587" s="112">
        <f>IF(NFI_Expiration=1,IF($A587&lt;VLOOKUP(P$5,NFI,5,0),1,0)*Data_NFI_t[[#This Row],[Complementary Kit]],0)</f>
        <v>0</v>
      </c>
      <c r="AE587" s="112">
        <f>IF(NFI_Expiration=1,IF($A587&lt;VLOOKUP(Q$5,NFI,5,0),1,0)*Data_NFI_t[[#This Row],[Plastic Bucket]],0)</f>
        <v>0</v>
      </c>
      <c r="AF587" s="131">
        <f>IF(NFI_Expiration=1,IF($A587&lt;VLOOKUP(R$5,NFI,5,0),1,0)*Data_NFI_t[[#This Row],[Jerry Can]],0)</f>
        <v>0</v>
      </c>
      <c r="AG587" s="131">
        <f>IF(NFI_Expiration=1,IF($A587&lt;VLOOKUP(S$5,NFI,5,0),1,0)*Data_NFI_t[[#This Row],[Plastic Mat]],0)*IF(Data_NFI_t[[#This Row],[Distribution Date]]&gt;"01-06-2015",1,2.5)</f>
        <v>0</v>
      </c>
      <c r="AH587" s="915">
        <f>IF(NFI_Expiration=1,IF($A587&lt;VLOOKUP(T$5,NFI,5,0),1,0)*Data_NFI_t[[#This Row],[Adult Clothes]],0)</f>
        <v>0</v>
      </c>
      <c r="AI587" s="131">
        <f>IF(NFI_Expiration=1,IF($A587&lt;VLOOKUP(U$5,NFI,5,0),1,0)*Data_NFI_t[[#This Row],[Children Clothes]],0)</f>
        <v>0</v>
      </c>
      <c r="AJ587" s="131">
        <f>IF(NFI_Expiration=1,IF($A587&lt;VLOOKUP(V$5,NFI,5,0),1,0)*Data_NFI_t[[#This Row],[Sewing Kit]],0)</f>
        <v>0</v>
      </c>
      <c r="AK587" s="131" t="str">
        <f ca="1">IFERROR(OFFSET(Camp_List[P_Code],MATCH(Data_NFI_t[[#This Row],[Camp Name]],Camp_List[Camp Name],0)-1,0,1,1),"")</f>
        <v/>
      </c>
      <c r="AL587" s="513" t="str">
        <f ca="1">IFERROR(OFFSET(Camp_List[Status],MATCH(Data_NFI_t[[#This Row],[Camp Name]],Camp_List[Camp Name],0)-1,0,1,1),"")</f>
        <v/>
      </c>
      <c r="AM587" s="904"/>
    </row>
    <row r="588" spans="1:39" ht="19.5" customHeight="1" x14ac:dyDescent="0.25">
      <c r="A588"/>
      <c r="B588" s="38"/>
      <c r="C588"/>
      <c r="E588" s="118"/>
      <c r="I588" s="118"/>
      <c r="J588" s="119"/>
      <c r="K588" s="119"/>
      <c r="L588" s="119"/>
      <c r="M588" s="119"/>
      <c r="N588" s="119"/>
      <c r="O588" s="119"/>
      <c r="P588" s="119"/>
      <c r="Q588" s="119"/>
      <c r="R588" s="512"/>
      <c r="S588" s="119"/>
      <c r="T588" s="119"/>
      <c r="U588" s="119"/>
      <c r="V588" s="119"/>
      <c r="W588"/>
      <c r="X588"/>
      <c r="Y588"/>
      <c r="Z588"/>
      <c r="AA588"/>
      <c r="AB588"/>
      <c r="AC588"/>
      <c r="AD588"/>
      <c r="AE588"/>
      <c r="AF588" s="90"/>
      <c r="AG588"/>
      <c r="AH588" s="793"/>
      <c r="AI588" s="793"/>
      <c r="AJ588" s="793"/>
    </row>
  </sheetData>
  <sortState ref="A5:A1000">
    <sortCondition descending="1" ref="A8"/>
  </sortState>
  <mergeCells count="3">
    <mergeCell ref="A4:D4"/>
    <mergeCell ref="A2:I2"/>
    <mergeCell ref="A3:I3"/>
  </mergeCells>
  <conditionalFormatting sqref="AL38:AL46 AL33 AL587:AL588">
    <cfRule type="cellIs" dxfId="565" priority="4" operator="equal">
      <formula>"close"</formula>
    </cfRule>
  </conditionalFormatting>
  <conditionalFormatting sqref="AL47:AL434">
    <cfRule type="cellIs" dxfId="564" priority="2" operator="equal">
      <formula>"close"</formula>
    </cfRule>
  </conditionalFormatting>
  <dataValidations count="5">
    <dataValidation type="list" allowBlank="1" showInputMessage="1" showErrorMessage="1" sqref="D105:D116">
      <formula1>Agency1</formula1>
    </dataValidation>
    <dataValidation type="list" showInputMessage="1" showErrorMessage="1" sqref="JH89 WVT89 WLX89 WCB89 VSF89 VIJ89 UYN89 UOR89 UEV89 TUZ89 TLD89 TBH89 SRL89 SHP89 RXT89 RNX89 REB89 QUF89 QKJ89 QAN89 PQR89 PGV89 OWZ89 OND89 ODH89 NTL89 NJP89 MZT89 MPX89 MGB89 LWF89 LMJ89 LCN89 KSR89 KIV89 JYZ89 JPD89 JFH89 IVL89 ILP89 IBT89 HRX89 HIB89 GYF89 GOJ89 GEN89 FUR89 FKV89 FAZ89 ERD89 EHH89 DXL89 DNP89 DDT89 CTX89 CKB89 CAF89 BQJ89 BGN89 AWR89 AMV89 ACZ89 TD89">
      <formula1>INDIRECT(#REF!)</formula1>
    </dataValidation>
    <dataValidation type="list" allowBlank="1" showInputMessage="1" showErrorMessage="1" sqref="F6:F587">
      <formula1>State</formula1>
    </dataValidation>
    <dataValidation type="list" showInputMessage="1" showErrorMessage="1" sqref="G6:G587">
      <formula1>INDIRECT(F6)</formula1>
    </dataValidation>
    <dataValidation type="list" errorStyle="warning" showInputMessage="1" showErrorMessage="1" sqref="H6:H587">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J17" sqref="J17"/>
    </sheetView>
  </sheetViews>
  <sheetFormatPr defaultColWidth="5" defaultRowHeight="51.75" customHeight="1" x14ac:dyDescent="0.25"/>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7" width="9.5703125" style="1" customWidth="1"/>
    <col min="18" max="18" width="11.7109375" style="57" customWidth="1"/>
    <col min="19" max="19" width="10.5703125" style="1" customWidth="1"/>
    <col min="20" max="20" width="6.28515625" style="1" customWidth="1"/>
    <col min="21" max="21" width="10.28515625" style="57" customWidth="1"/>
    <col min="22" max="22" width="10.140625" style="1" customWidth="1"/>
    <col min="23" max="23" width="6.140625" style="58" bestFit="1" customWidth="1"/>
    <col min="24" max="24" width="10.5703125" bestFit="1" customWidth="1"/>
    <col min="25" max="25" width="9.85546875" style="39" customWidth="1"/>
    <col min="26" max="26" width="8.140625" style="39" customWidth="1"/>
    <col min="27" max="27" width="9.7109375" style="57" bestFit="1" customWidth="1"/>
    <col min="28" max="28" width="9.42578125" style="1" customWidth="1"/>
    <col min="29" max="29" width="6.140625" style="58" bestFit="1" customWidth="1"/>
    <col min="30" max="30" width="10.140625" style="57" bestFit="1" customWidth="1"/>
    <col min="31" max="31" width="10.5703125" style="1" bestFit="1" customWidth="1"/>
    <col min="32" max="32" width="6.140625" style="58" bestFit="1" customWidth="1"/>
    <col min="33" max="33" width="9.7109375" style="57" customWidth="1"/>
    <col min="34" max="34" width="9.42578125" style="1" customWidth="1"/>
    <col min="35" max="35" width="6.140625" style="58" customWidth="1"/>
    <col min="36" max="36" width="9.7109375" style="57" customWidth="1"/>
    <col min="37" max="37" width="9.7109375" style="1" customWidth="1"/>
    <col min="38" max="38" width="9.7109375" style="58" customWidth="1"/>
    <col min="39" max="39" width="9.7109375" style="57" customWidth="1"/>
    <col min="40" max="40" width="9.42578125" style="1" customWidth="1"/>
    <col min="41" max="41" width="6.140625" style="58" customWidth="1"/>
  </cols>
  <sheetData>
    <row r="1" spans="1:62" s="1" customFormat="1" ht="36" x14ac:dyDescent="0.25">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203"/>
      <c r="BI1" s="68"/>
      <c r="BJ1" s="68"/>
    </row>
    <row r="2" spans="1:62" s="1" customFormat="1" ht="86.25" customHeight="1" x14ac:dyDescent="0.25">
      <c r="A2" s="244"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211"/>
      <c r="BI2" s="68"/>
      <c r="BJ2" s="68"/>
    </row>
    <row r="3" spans="1:62" s="19" customFormat="1" ht="18" customHeight="1" x14ac:dyDescent="0.25">
      <c r="A3" s="1003">
        <f>Report_Date</f>
        <v>42795</v>
      </c>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205"/>
      <c r="AK3" s="205"/>
      <c r="AL3" s="205"/>
      <c r="AM3" s="205"/>
      <c r="AN3" s="205"/>
      <c r="AO3" s="206"/>
      <c r="BI3" s="69"/>
      <c r="BJ3" s="69"/>
    </row>
    <row r="4" spans="1:62" s="59" customFormat="1" ht="15.75" customHeight="1" thickBot="1" x14ac:dyDescent="0.3">
      <c r="O4" s="793"/>
      <c r="P4" s="793"/>
      <c r="Q4" s="793"/>
      <c r="AD4" s="90"/>
      <c r="AE4" s="90"/>
      <c r="AF4" s="90"/>
      <c r="AG4" s="90"/>
      <c r="AH4" s="90"/>
      <c r="AI4" s="90"/>
      <c r="AJ4" s="90"/>
      <c r="AK4" s="90"/>
      <c r="AL4" s="90"/>
      <c r="AM4" s="90"/>
      <c r="AN4" s="90"/>
      <c r="AO4" s="90"/>
    </row>
    <row r="5" spans="1:62" s="52" customFormat="1" ht="72.75" customHeight="1" thickBot="1" x14ac:dyDescent="0.3">
      <c r="A5" s="1069" t="s">
        <v>207</v>
      </c>
      <c r="B5" s="1069" t="s">
        <v>200</v>
      </c>
      <c r="C5" s="245"/>
      <c r="D5" s="1069" t="s">
        <v>10</v>
      </c>
      <c r="E5" s="1069" t="s">
        <v>1</v>
      </c>
      <c r="F5" s="1080" t="s">
        <v>201</v>
      </c>
      <c r="G5" s="1081"/>
      <c r="H5" s="1082"/>
      <c r="I5" s="1083" t="s">
        <v>202</v>
      </c>
      <c r="J5" s="1084"/>
      <c r="K5" s="1085"/>
      <c r="L5" s="1077" t="s">
        <v>203</v>
      </c>
      <c r="M5" s="1078"/>
      <c r="N5" s="1079"/>
      <c r="O5" s="1077" t="s">
        <v>1137</v>
      </c>
      <c r="P5" s="1078"/>
      <c r="Q5" s="1079"/>
      <c r="R5" s="1074" t="s">
        <v>204</v>
      </c>
      <c r="S5" s="1075"/>
      <c r="T5" s="1076"/>
      <c r="U5" s="1071" t="s">
        <v>205</v>
      </c>
      <c r="V5" s="1072"/>
      <c r="W5" s="1073"/>
      <c r="X5" s="1081" t="s">
        <v>228</v>
      </c>
      <c r="Y5" s="1081"/>
      <c r="Z5" s="1081"/>
      <c r="AA5" s="1086" t="s">
        <v>229</v>
      </c>
      <c r="AB5" s="1087"/>
      <c r="AC5" s="1088"/>
      <c r="AD5" s="1092" t="s">
        <v>877</v>
      </c>
      <c r="AE5" s="1093"/>
      <c r="AF5" s="1094"/>
      <c r="AG5" s="1089" t="s">
        <v>580</v>
      </c>
      <c r="AH5" s="1090"/>
      <c r="AI5" s="1091"/>
      <c r="AJ5" s="1097" t="s">
        <v>581</v>
      </c>
      <c r="AK5" s="1098"/>
      <c r="AL5" s="1099"/>
      <c r="AM5" s="1089" t="s">
        <v>929</v>
      </c>
      <c r="AN5" s="1095"/>
      <c r="AO5" s="1096"/>
    </row>
    <row r="6" spans="1:62" s="52" customFormat="1" ht="51.75" customHeight="1" thickBot="1" x14ac:dyDescent="0.3">
      <c r="A6" s="1070"/>
      <c r="B6" s="1070"/>
      <c r="C6" s="246" t="s">
        <v>211</v>
      </c>
      <c r="D6" s="1070"/>
      <c r="E6" s="1070"/>
      <c r="F6" s="176" t="s">
        <v>1084</v>
      </c>
      <c r="G6" s="817" t="s">
        <v>208</v>
      </c>
      <c r="H6" s="818" t="s">
        <v>209</v>
      </c>
      <c r="I6" s="176" t="s">
        <v>1084</v>
      </c>
      <c r="J6" s="817" t="s">
        <v>208</v>
      </c>
      <c r="K6" s="818" t="s">
        <v>209</v>
      </c>
      <c r="L6" s="817" t="s">
        <v>206</v>
      </c>
      <c r="M6" s="817" t="s">
        <v>208</v>
      </c>
      <c r="N6" s="818" t="s">
        <v>209</v>
      </c>
      <c r="O6" s="950" t="s">
        <v>1084</v>
      </c>
      <c r="P6" s="818" t="s">
        <v>208</v>
      </c>
      <c r="Q6" s="818"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176" t="s">
        <v>208</v>
      </c>
      <c r="AL6" s="176" t="s">
        <v>209</v>
      </c>
      <c r="AM6" s="176" t="s">
        <v>206</v>
      </c>
      <c r="AN6" s="627" t="s">
        <v>208</v>
      </c>
      <c r="AO6" s="632" t="s">
        <v>209</v>
      </c>
    </row>
    <row r="7" spans="1:62" s="5" customFormat="1" ht="23.25" customHeight="1" x14ac:dyDescent="0.25">
      <c r="A7" s="120">
        <v>42657</v>
      </c>
      <c r="B7" s="121" t="s">
        <v>285</v>
      </c>
      <c r="C7" s="121" t="s">
        <v>285</v>
      </c>
      <c r="D7" s="121" t="s">
        <v>7</v>
      </c>
      <c r="E7" s="121" t="s">
        <v>20</v>
      </c>
      <c r="F7" s="122" t="s">
        <v>1083</v>
      </c>
      <c r="G7" s="19"/>
      <c r="H7" s="123"/>
      <c r="I7" s="122">
        <v>494</v>
      </c>
      <c r="J7" s="19"/>
      <c r="K7" s="123"/>
      <c r="L7" s="122">
        <v>599</v>
      </c>
      <c r="M7" s="19"/>
      <c r="N7" s="123"/>
      <c r="O7" s="19"/>
      <c r="P7" s="19"/>
      <c r="Q7" s="19"/>
      <c r="R7" s="631">
        <v>1004</v>
      </c>
      <c r="S7" s="250">
        <v>0</v>
      </c>
      <c r="T7" s="251">
        <v>0</v>
      </c>
      <c r="U7" s="631">
        <v>410</v>
      </c>
      <c r="V7" s="250">
        <v>0</v>
      </c>
      <c r="W7" s="251">
        <v>0</v>
      </c>
      <c r="X7" s="631">
        <v>975</v>
      </c>
      <c r="Y7" s="250">
        <v>0</v>
      </c>
      <c r="Z7" s="251">
        <v>0</v>
      </c>
      <c r="AA7" s="629">
        <v>795</v>
      </c>
      <c r="AB7" s="247">
        <v>0</v>
      </c>
      <c r="AC7" s="248">
        <v>0</v>
      </c>
      <c r="AD7" s="249">
        <v>0</v>
      </c>
      <c r="AE7" s="247">
        <v>0</v>
      </c>
      <c r="AF7" s="248">
        <v>0</v>
      </c>
      <c r="AG7" s="629">
        <v>439</v>
      </c>
      <c r="AH7" s="247">
        <v>0</v>
      </c>
      <c r="AI7" s="248">
        <v>0</v>
      </c>
      <c r="AJ7" s="630">
        <v>2480</v>
      </c>
      <c r="AK7" s="247">
        <v>0</v>
      </c>
      <c r="AL7" s="248">
        <v>0</v>
      </c>
      <c r="AM7" s="629">
        <v>1082</v>
      </c>
      <c r="AN7" s="247">
        <v>0</v>
      </c>
      <c r="AO7" s="248">
        <v>0</v>
      </c>
    </row>
    <row r="8" spans="1:62" s="5" customFormat="1" ht="23.25" customHeight="1" x14ac:dyDescent="0.25">
      <c r="A8" s="120">
        <v>42657</v>
      </c>
      <c r="B8" s="121" t="s">
        <v>285</v>
      </c>
      <c r="C8" s="121" t="s">
        <v>285</v>
      </c>
      <c r="D8" s="121" t="s">
        <v>7</v>
      </c>
      <c r="E8" s="121" t="s">
        <v>598</v>
      </c>
      <c r="F8" s="122" t="s">
        <v>1083</v>
      </c>
      <c r="G8" s="19"/>
      <c r="H8" s="123"/>
      <c r="I8" s="122">
        <v>501</v>
      </c>
      <c r="J8" s="19"/>
      <c r="K8" s="123"/>
      <c r="L8" s="122">
        <v>374</v>
      </c>
      <c r="M8" s="19"/>
      <c r="N8" s="123"/>
      <c r="O8" s="19"/>
      <c r="P8" s="19"/>
      <c r="Q8" s="19"/>
      <c r="R8" s="628">
        <v>999</v>
      </c>
      <c r="S8" s="297">
        <v>0</v>
      </c>
      <c r="T8" s="248">
        <v>0</v>
      </c>
      <c r="U8" s="628">
        <v>981</v>
      </c>
      <c r="V8" s="297">
        <v>0</v>
      </c>
      <c r="W8" s="248">
        <v>0</v>
      </c>
      <c r="X8" s="628">
        <v>1039</v>
      </c>
      <c r="Y8" s="297">
        <v>0</v>
      </c>
      <c r="Z8" s="248">
        <v>0</v>
      </c>
      <c r="AA8" s="629">
        <v>628</v>
      </c>
      <c r="AB8" s="295">
        <v>0</v>
      </c>
      <c r="AC8" s="248">
        <v>0</v>
      </c>
      <c r="AD8" s="249">
        <v>0</v>
      </c>
      <c r="AE8" s="295">
        <v>0</v>
      </c>
      <c r="AF8" s="248">
        <v>0</v>
      </c>
      <c r="AG8" s="629">
        <v>553</v>
      </c>
      <c r="AH8" s="295">
        <v>0</v>
      </c>
      <c r="AI8" s="248">
        <v>0</v>
      </c>
      <c r="AJ8" s="630">
        <v>2515</v>
      </c>
      <c r="AK8" s="247">
        <v>0</v>
      </c>
      <c r="AL8" s="248">
        <v>0</v>
      </c>
      <c r="AM8" s="629">
        <v>1081</v>
      </c>
      <c r="AN8" s="295">
        <v>0</v>
      </c>
      <c r="AO8" s="248">
        <v>0</v>
      </c>
    </row>
    <row r="9" spans="1:62" s="5" customFormat="1" ht="23.25" customHeight="1" x14ac:dyDescent="0.25">
      <c r="A9" s="120">
        <v>42809</v>
      </c>
      <c r="B9" s="121" t="s">
        <v>285</v>
      </c>
      <c r="C9" s="121" t="s">
        <v>285</v>
      </c>
      <c r="D9" s="121" t="s">
        <v>7</v>
      </c>
      <c r="E9" s="121" t="s">
        <v>19</v>
      </c>
      <c r="F9" s="122">
        <v>68</v>
      </c>
      <c r="G9" s="19"/>
      <c r="H9" s="123"/>
      <c r="I9" s="122"/>
      <c r="J9" s="19"/>
      <c r="K9" s="123"/>
      <c r="L9" s="122">
        <v>21</v>
      </c>
      <c r="M9" s="19"/>
      <c r="N9" s="123"/>
      <c r="O9" s="19">
        <v>24563</v>
      </c>
      <c r="P9" s="19"/>
      <c r="Q9" s="19"/>
      <c r="R9" s="296">
        <v>0</v>
      </c>
      <c r="S9" s="247">
        <v>0</v>
      </c>
      <c r="T9" s="248">
        <v>0</v>
      </c>
      <c r="U9" s="296">
        <v>244</v>
      </c>
      <c r="V9" s="247">
        <v>0</v>
      </c>
      <c r="W9" s="248">
        <v>0</v>
      </c>
      <c r="X9" s="296">
        <v>0</v>
      </c>
      <c r="Y9" s="247">
        <v>0</v>
      </c>
      <c r="Z9" s="248">
        <v>0</v>
      </c>
      <c r="AA9" s="295">
        <v>419</v>
      </c>
      <c r="AB9" s="247">
        <v>0</v>
      </c>
      <c r="AC9" s="248">
        <v>0</v>
      </c>
      <c r="AD9" s="249">
        <v>8</v>
      </c>
      <c r="AE9" s="247">
        <v>0</v>
      </c>
      <c r="AF9" s="248">
        <v>0</v>
      </c>
      <c r="AG9" s="295">
        <v>1859</v>
      </c>
      <c r="AH9" s="247">
        <v>0</v>
      </c>
      <c r="AI9" s="248">
        <v>0</v>
      </c>
      <c r="AJ9" s="979">
        <v>0</v>
      </c>
      <c r="AK9" s="247">
        <v>0</v>
      </c>
      <c r="AL9" s="248">
        <v>0</v>
      </c>
      <c r="AM9" s="295">
        <v>1859</v>
      </c>
      <c r="AN9" s="247">
        <v>0</v>
      </c>
      <c r="AO9" s="248">
        <v>0</v>
      </c>
    </row>
    <row r="10" spans="1:62" s="90" customFormat="1" ht="23.25" customHeight="1" x14ac:dyDescent="0.25">
      <c r="A10" s="120"/>
      <c r="B10" s="121"/>
      <c r="C10" s="121"/>
      <c r="D10" s="121"/>
      <c r="E10" s="121"/>
      <c r="F10" s="57"/>
      <c r="G10" s="1"/>
      <c r="H10" s="58"/>
      <c r="I10" s="57"/>
      <c r="J10" s="1"/>
      <c r="K10" s="58"/>
      <c r="L10" s="57"/>
      <c r="M10" s="1"/>
      <c r="N10" s="58"/>
      <c r="O10" s="1"/>
      <c r="P10" s="1"/>
      <c r="Q10" s="1"/>
      <c r="R10" s="298"/>
      <c r="S10" s="299"/>
      <c r="T10" s="300"/>
      <c r="U10" s="298"/>
      <c r="V10" s="297"/>
      <c r="W10" s="300"/>
      <c r="X10" s="298"/>
      <c r="Y10" s="297"/>
      <c r="Z10" s="300"/>
      <c r="AA10" s="298"/>
      <c r="AB10" s="297"/>
      <c r="AC10" s="300"/>
      <c r="AD10" s="298"/>
      <c r="AE10" s="297"/>
      <c r="AF10" s="300"/>
      <c r="AG10" s="298"/>
      <c r="AH10" s="297"/>
      <c r="AI10" s="300"/>
      <c r="AJ10" s="298"/>
      <c r="AK10" s="299"/>
      <c r="AL10" s="300"/>
      <c r="AM10" s="298"/>
      <c r="AN10" s="297"/>
      <c r="AO10" s="300"/>
    </row>
    <row r="11" spans="1:62" ht="23.25" customHeight="1" x14ac:dyDescent="0.25">
      <c r="A11" s="70" t="s">
        <v>774</v>
      </c>
      <c r="B11" s="70"/>
      <c r="C11" s="70"/>
      <c r="D11" s="70"/>
      <c r="E11" s="70"/>
      <c r="T11" s="58"/>
      <c r="X11" s="57"/>
      <c r="Y11" s="1"/>
      <c r="Z11" s="58"/>
      <c r="AA11" s="1"/>
      <c r="AJ11" s="978"/>
    </row>
    <row r="12" spans="1:62" ht="23.25" customHeight="1" x14ac:dyDescent="0.25">
      <c r="A12" s="70"/>
      <c r="B12" s="70"/>
      <c r="C12" s="70"/>
      <c r="D12" s="70"/>
      <c r="E12" s="70"/>
      <c r="T12" s="58"/>
      <c r="X12" s="57"/>
      <c r="Y12" s="1"/>
      <c r="Z12" s="58"/>
      <c r="AA12" s="1"/>
    </row>
    <row r="13" spans="1:62" ht="23.25" customHeight="1" x14ac:dyDescent="0.25">
      <c r="A13" s="70"/>
      <c r="B13" s="70"/>
      <c r="C13" s="70"/>
      <c r="D13" s="70"/>
      <c r="E13" s="70"/>
      <c r="T13" s="58"/>
      <c r="X13" s="57"/>
      <c r="Y13" s="1"/>
      <c r="Z13" s="58"/>
      <c r="AA13" s="1"/>
    </row>
    <row r="14" spans="1:62" ht="23.25" customHeight="1" x14ac:dyDescent="0.25">
      <c r="A14" s="70"/>
      <c r="B14" s="70"/>
      <c r="C14" s="70"/>
      <c r="D14" s="70"/>
      <c r="E14" s="70"/>
      <c r="T14" s="58"/>
      <c r="X14" s="57"/>
      <c r="Y14" s="1"/>
      <c r="Z14" s="58"/>
      <c r="AA14" s="1"/>
    </row>
    <row r="15" spans="1:62" ht="23.25" customHeight="1" x14ac:dyDescent="0.25">
      <c r="A15" s="70"/>
      <c r="B15" s="70"/>
      <c r="C15" s="70"/>
      <c r="D15" s="70"/>
      <c r="E15" s="70"/>
      <c r="T15" s="58"/>
      <c r="X15" s="57"/>
      <c r="Y15" s="1"/>
      <c r="Z15" s="58"/>
      <c r="AA15" s="1"/>
    </row>
    <row r="16" spans="1:62" ht="23.25" customHeight="1" x14ac:dyDescent="0.25">
      <c r="A16" s="70"/>
      <c r="B16" s="70"/>
      <c r="C16" s="70"/>
      <c r="D16" s="70"/>
      <c r="E16" s="70"/>
      <c r="T16" s="58"/>
      <c r="X16" s="57"/>
      <c r="Y16" s="1"/>
      <c r="Z16" s="58"/>
      <c r="AA16" s="1"/>
    </row>
    <row r="17" spans="1:27" ht="23.25" customHeight="1" x14ac:dyDescent="0.25">
      <c r="A17" s="70"/>
      <c r="B17" s="70"/>
      <c r="C17" s="70"/>
      <c r="D17" s="70"/>
      <c r="E17" s="70"/>
      <c r="T17" s="58"/>
      <c r="X17" s="57"/>
      <c r="Y17" s="1"/>
      <c r="Z17" s="58"/>
      <c r="AA17" s="1"/>
    </row>
    <row r="18" spans="1:27" ht="23.25" customHeight="1" x14ac:dyDescent="0.25">
      <c r="A18" s="70"/>
      <c r="B18" s="70"/>
      <c r="C18" s="70"/>
      <c r="D18" s="70"/>
      <c r="E18" s="70"/>
      <c r="T18" s="58"/>
      <c r="X18" s="57"/>
      <c r="Y18" s="1"/>
      <c r="Z18" s="58"/>
      <c r="AA18" s="1"/>
    </row>
    <row r="19" spans="1:27" ht="51.75" customHeight="1" x14ac:dyDescent="0.25">
      <c r="A19" s="70"/>
      <c r="B19" s="70"/>
      <c r="C19" s="70"/>
      <c r="D19" s="70"/>
      <c r="E19" s="70"/>
      <c r="T19" s="58"/>
      <c r="X19" s="57"/>
      <c r="Y19" s="1"/>
      <c r="Z19" s="58"/>
      <c r="AA19" s="1"/>
    </row>
    <row r="20" spans="1:27" ht="51.75" customHeight="1" x14ac:dyDescent="0.25">
      <c r="A20" s="70"/>
      <c r="B20" s="70"/>
      <c r="C20" s="70"/>
      <c r="D20" s="70"/>
      <c r="E20" s="70"/>
      <c r="T20" s="58"/>
      <c r="X20" s="57"/>
      <c r="Y20" s="1"/>
      <c r="Z20" s="58"/>
      <c r="AA20" s="1"/>
    </row>
    <row r="21" spans="1:27" ht="51.75" customHeight="1" x14ac:dyDescent="0.25">
      <c r="A21" s="70"/>
      <c r="B21" s="70"/>
      <c r="C21" s="70"/>
      <c r="D21" s="70"/>
      <c r="E21" s="70"/>
      <c r="T21" s="58"/>
      <c r="X21" s="57"/>
      <c r="Y21" s="1"/>
      <c r="Z21" s="58"/>
      <c r="AA21" s="1"/>
    </row>
    <row r="22" spans="1:27" ht="51.75" customHeight="1" x14ac:dyDescent="0.25">
      <c r="A22" s="70"/>
      <c r="B22" s="70"/>
      <c r="C22" s="70"/>
      <c r="D22" s="70"/>
      <c r="E22" s="70"/>
      <c r="T22" s="58"/>
      <c r="X22" s="57"/>
      <c r="Y22" s="1"/>
      <c r="Z22" s="58"/>
      <c r="AA22" s="1"/>
    </row>
    <row r="23" spans="1:27" ht="51.75" customHeight="1" x14ac:dyDescent="0.25">
      <c r="A23" s="70"/>
      <c r="B23" s="70"/>
      <c r="C23" s="70"/>
      <c r="D23" s="70"/>
      <c r="E23" s="70"/>
      <c r="T23" s="58"/>
      <c r="X23" s="57"/>
      <c r="Y23" s="1"/>
      <c r="Z23" s="58"/>
      <c r="AA23" s="1"/>
    </row>
    <row r="24" spans="1:27" ht="51.75" customHeight="1" x14ac:dyDescent="0.25">
      <c r="T24" s="58"/>
      <c r="X24" s="57"/>
      <c r="Y24" s="1"/>
      <c r="Z24" s="58"/>
      <c r="AA24" s="1"/>
    </row>
    <row r="25" spans="1:27" ht="51.75" customHeight="1" x14ac:dyDescent="0.25">
      <c r="T25" s="58"/>
      <c r="X25" s="57"/>
      <c r="Y25" s="1"/>
      <c r="Z25" s="58"/>
      <c r="AA25" s="1"/>
    </row>
    <row r="26" spans="1:27" ht="51.75" customHeight="1" x14ac:dyDescent="0.25">
      <c r="T26" s="58"/>
      <c r="X26" s="57"/>
      <c r="Y26" s="1"/>
      <c r="Z26" s="58"/>
      <c r="AA26" s="1"/>
    </row>
    <row r="27" spans="1:27" ht="51.75" customHeight="1" x14ac:dyDescent="0.25">
      <c r="T27" s="58"/>
      <c r="X27" s="57"/>
      <c r="Y27" s="1"/>
      <c r="Z27" s="58"/>
      <c r="AA27" s="1"/>
    </row>
    <row r="28" spans="1:27" ht="51.75" customHeight="1" x14ac:dyDescent="0.25">
      <c r="T28" s="58"/>
      <c r="X28" s="57"/>
      <c r="Y28" s="1"/>
      <c r="Z28" s="58"/>
      <c r="AA28" s="1"/>
    </row>
    <row r="29" spans="1:27" ht="51.75" customHeight="1" x14ac:dyDescent="0.25">
      <c r="T29" s="58"/>
      <c r="X29" s="57"/>
      <c r="Y29" s="1"/>
      <c r="Z29" s="58"/>
      <c r="AA29" s="1"/>
    </row>
    <row r="30" spans="1:27" ht="51.75" customHeight="1" x14ac:dyDescent="0.25">
      <c r="T30" s="58"/>
      <c r="X30" s="57"/>
      <c r="Y30" s="1"/>
      <c r="Z30" s="58"/>
      <c r="AA30" s="1"/>
    </row>
    <row r="31" spans="1:27" ht="51.75" customHeight="1" x14ac:dyDescent="0.25">
      <c r="T31" s="58"/>
      <c r="X31" s="57"/>
      <c r="Y31" s="1"/>
      <c r="Z31" s="58"/>
      <c r="AA31" s="1"/>
    </row>
    <row r="32" spans="1:27" ht="51.75" customHeight="1" x14ac:dyDescent="0.25">
      <c r="T32" s="58"/>
      <c r="X32" s="57"/>
      <c r="Y32" s="1"/>
      <c r="Z32" s="58"/>
      <c r="AA32" s="1"/>
    </row>
    <row r="33" spans="20:27" ht="51.75" customHeight="1" x14ac:dyDescent="0.25">
      <c r="T33" s="58"/>
      <c r="X33" s="57"/>
      <c r="Y33" s="1"/>
      <c r="Z33" s="58"/>
      <c r="AA33" s="1"/>
    </row>
    <row r="34" spans="20:27" ht="51.75" customHeight="1" x14ac:dyDescent="0.25">
      <c r="T34" s="58"/>
      <c r="X34" s="57"/>
      <c r="Y34" s="1"/>
      <c r="Z34" s="58"/>
      <c r="AA34" s="1"/>
    </row>
    <row r="35" spans="20:27" ht="51.75" customHeight="1" x14ac:dyDescent="0.25">
      <c r="T35" s="58"/>
      <c r="X35" s="57"/>
      <c r="Y35" s="1"/>
      <c r="Z35" s="58"/>
      <c r="AA35" s="1"/>
    </row>
    <row r="36" spans="20:27" ht="51.75" customHeight="1" x14ac:dyDescent="0.25">
      <c r="T36" s="58"/>
      <c r="X36" s="57"/>
      <c r="Y36" s="1"/>
      <c r="Z36" s="58"/>
      <c r="AA36" s="1"/>
    </row>
    <row r="37" spans="20:27" ht="51.75" customHeight="1" x14ac:dyDescent="0.25">
      <c r="T37" s="58"/>
      <c r="X37" s="57"/>
      <c r="Y37" s="1"/>
      <c r="Z37" s="58"/>
      <c r="AA37" s="1"/>
    </row>
    <row r="38" spans="20:27" ht="51.75" customHeight="1" x14ac:dyDescent="0.25">
      <c r="T38" s="58"/>
      <c r="X38" s="57"/>
      <c r="Y38" s="1"/>
      <c r="Z38" s="58"/>
      <c r="AA38" s="1"/>
    </row>
    <row r="39" spans="20:27" ht="51.75" customHeight="1" x14ac:dyDescent="0.25">
      <c r="T39" s="58"/>
      <c r="X39" s="57"/>
      <c r="Y39" s="1"/>
      <c r="Z39" s="58"/>
      <c r="AA39" s="1"/>
    </row>
    <row r="40" spans="20:27" ht="51.75" customHeight="1" x14ac:dyDescent="0.25">
      <c r="T40" s="58"/>
      <c r="X40" s="57"/>
      <c r="Y40" s="1"/>
      <c r="Z40" s="58"/>
      <c r="AA40" s="1"/>
    </row>
    <row r="41" spans="20:27" ht="51.75" customHeight="1" x14ac:dyDescent="0.25">
      <c r="T41" s="58"/>
      <c r="X41" s="57"/>
      <c r="Y41" s="1"/>
      <c r="Z41" s="58"/>
      <c r="AA41" s="1"/>
    </row>
    <row r="42" spans="20:27" ht="51.75" customHeight="1" x14ac:dyDescent="0.25">
      <c r="T42" s="58"/>
      <c r="X42" s="57"/>
      <c r="Y42" s="1"/>
      <c r="Z42" s="58"/>
      <c r="AA42" s="1"/>
    </row>
    <row r="43" spans="20:27" ht="51.75" customHeight="1" x14ac:dyDescent="0.25">
      <c r="T43" s="58"/>
      <c r="X43" s="57"/>
      <c r="Y43" s="1"/>
      <c r="Z43" s="58"/>
      <c r="AA43" s="1"/>
    </row>
    <row r="44" spans="20:27" ht="51.75" customHeight="1" x14ac:dyDescent="0.25">
      <c r="T44" s="58"/>
      <c r="X44" s="57"/>
      <c r="Y44" s="1"/>
      <c r="Z44" s="58"/>
      <c r="AA44" s="1"/>
    </row>
    <row r="45" spans="20:27" ht="51.75" customHeight="1" x14ac:dyDescent="0.25">
      <c r="T45" s="58"/>
      <c r="X45" s="57"/>
      <c r="Y45" s="1"/>
      <c r="Z45" s="58"/>
      <c r="AA45" s="1"/>
    </row>
    <row r="46" spans="20:27" ht="51.75" customHeight="1" x14ac:dyDescent="0.25">
      <c r="T46" s="58"/>
      <c r="X46" s="57"/>
      <c r="Y46" s="1"/>
      <c r="Z46" s="58"/>
      <c r="AA46" s="1"/>
    </row>
    <row r="47" spans="20:27" ht="51.75" customHeight="1" x14ac:dyDescent="0.25">
      <c r="T47" s="58"/>
      <c r="X47" s="57"/>
      <c r="Y47" s="1"/>
      <c r="Z47" s="58"/>
      <c r="AA47" s="1"/>
    </row>
    <row r="48" spans="20:27" ht="51.75" customHeight="1" x14ac:dyDescent="0.25">
      <c r="T48" s="58"/>
      <c r="X48" s="57"/>
      <c r="Y48" s="1"/>
      <c r="Z48" s="58"/>
      <c r="AA48" s="1"/>
    </row>
    <row r="49" spans="20:27" ht="51.75" customHeight="1" x14ac:dyDescent="0.25">
      <c r="T49" s="58"/>
      <c r="X49" s="57"/>
      <c r="Y49" s="1"/>
      <c r="Z49" s="58"/>
      <c r="AA49" s="1"/>
    </row>
    <row r="50" spans="20:27" ht="51.75" customHeight="1" x14ac:dyDescent="0.25">
      <c r="T50" s="58"/>
      <c r="X50" s="57"/>
      <c r="Y50" s="1"/>
      <c r="Z50" s="58"/>
      <c r="AA50" s="1"/>
    </row>
    <row r="51" spans="20:27" ht="51.75" customHeight="1" x14ac:dyDescent="0.25">
      <c r="T51" s="58"/>
      <c r="X51" s="57"/>
      <c r="Y51" s="1"/>
      <c r="Z51" s="58"/>
      <c r="AA51" s="1"/>
    </row>
    <row r="52" spans="20:27" ht="51.75" customHeight="1" x14ac:dyDescent="0.25">
      <c r="T52" s="58"/>
      <c r="X52" s="57"/>
      <c r="Y52" s="1"/>
      <c r="Z52" s="58"/>
      <c r="AA52" s="1"/>
    </row>
    <row r="53" spans="20:27" ht="51.75" customHeight="1" x14ac:dyDescent="0.25">
      <c r="T53" s="58"/>
      <c r="X53" s="57"/>
      <c r="Y53" s="1"/>
      <c r="Z53" s="58"/>
      <c r="AA53" s="1"/>
    </row>
    <row r="54" spans="20:27" ht="51.75" customHeight="1" x14ac:dyDescent="0.25">
      <c r="T54" s="58"/>
      <c r="X54" s="57"/>
      <c r="Y54" s="1"/>
      <c r="Z54" s="58"/>
      <c r="AA54" s="1"/>
    </row>
    <row r="55" spans="20:27" ht="51.75" customHeight="1" x14ac:dyDescent="0.25">
      <c r="T55" s="58"/>
      <c r="X55" s="57"/>
      <c r="Y55" s="1"/>
      <c r="Z55" s="58"/>
      <c r="AA55" s="1"/>
    </row>
    <row r="56" spans="20:27" ht="51.75" customHeight="1" x14ac:dyDescent="0.25">
      <c r="T56" s="58"/>
      <c r="X56" s="57"/>
      <c r="Y56" s="1"/>
      <c r="Z56" s="58"/>
      <c r="AA56" s="1"/>
    </row>
    <row r="57" spans="20:27" ht="51.75" customHeight="1" x14ac:dyDescent="0.25">
      <c r="T57" s="58"/>
      <c r="X57" s="57"/>
      <c r="Y57" s="1"/>
      <c r="Z57" s="58"/>
      <c r="AA57" s="1"/>
    </row>
    <row r="58" spans="20:27" ht="51.75" customHeight="1" x14ac:dyDescent="0.25">
      <c r="T58" s="58"/>
      <c r="X58" s="57"/>
      <c r="Y58" s="1"/>
      <c r="Z58" s="58"/>
      <c r="AA58" s="1"/>
    </row>
    <row r="59" spans="20:27" ht="51.75" customHeight="1" x14ac:dyDescent="0.25">
      <c r="T59" s="58"/>
      <c r="X59" s="57"/>
      <c r="Y59" s="1"/>
      <c r="Z59" s="58"/>
      <c r="AA59" s="1"/>
    </row>
    <row r="60" spans="20:27" ht="51.75" customHeight="1" x14ac:dyDescent="0.25">
      <c r="T60" s="58"/>
      <c r="X60" s="57"/>
      <c r="Y60" s="1"/>
      <c r="Z60" s="58"/>
      <c r="AA60" s="1"/>
    </row>
    <row r="61" spans="20:27" ht="51.75" customHeight="1" x14ac:dyDescent="0.25">
      <c r="T61" s="58"/>
      <c r="X61" s="57"/>
      <c r="Y61" s="1"/>
      <c r="Z61" s="58"/>
      <c r="AA61" s="1"/>
    </row>
    <row r="62" spans="20:27" ht="51.75" customHeight="1" x14ac:dyDescent="0.25">
      <c r="T62" s="58"/>
      <c r="X62" s="57"/>
      <c r="Y62" s="1"/>
      <c r="Z62" s="58"/>
      <c r="AA62" s="1"/>
    </row>
    <row r="63" spans="20:27" ht="51.75" customHeight="1" x14ac:dyDescent="0.25">
      <c r="T63" s="58"/>
      <c r="X63" s="57"/>
      <c r="Y63" s="1"/>
      <c r="Z63" s="58"/>
      <c r="AA63" s="1"/>
    </row>
    <row r="64" spans="20:27" ht="51.75" customHeight="1" x14ac:dyDescent="0.25">
      <c r="T64" s="58"/>
      <c r="X64" s="57"/>
      <c r="Y64" s="1"/>
      <c r="Z64" s="58"/>
      <c r="AA64" s="1"/>
    </row>
    <row r="65" spans="20:27" ht="51.75" customHeight="1" x14ac:dyDescent="0.25">
      <c r="T65" s="58"/>
      <c r="X65" s="57"/>
      <c r="Y65" s="1"/>
      <c r="Z65" s="58"/>
      <c r="AA65" s="1"/>
    </row>
    <row r="66" spans="20:27" ht="51.75" customHeight="1" x14ac:dyDescent="0.25">
      <c r="T66" s="58"/>
      <c r="X66" s="57"/>
      <c r="Y66" s="1"/>
      <c r="Z66" s="58"/>
      <c r="AA66" s="1"/>
    </row>
    <row r="67" spans="20:27" ht="51.75" customHeight="1" x14ac:dyDescent="0.25">
      <c r="T67" s="58"/>
      <c r="X67" s="57"/>
      <c r="Y67" s="1"/>
      <c r="Z67" s="58"/>
      <c r="AA67" s="1"/>
    </row>
    <row r="68" spans="20:27" ht="51.75" customHeight="1" x14ac:dyDescent="0.25">
      <c r="T68" s="58"/>
      <c r="X68" s="57"/>
      <c r="Y68" s="1"/>
      <c r="Z68" s="58"/>
      <c r="AA68" s="1"/>
    </row>
    <row r="69" spans="20:27" ht="51.75" customHeight="1" x14ac:dyDescent="0.25">
      <c r="T69" s="58"/>
      <c r="X69" s="57"/>
      <c r="Y69" s="1"/>
      <c r="Z69" s="58"/>
      <c r="AA69" s="1"/>
    </row>
    <row r="70" spans="20:27" ht="51.75" customHeight="1" x14ac:dyDescent="0.25">
      <c r="T70" s="58"/>
      <c r="X70" s="57"/>
      <c r="Y70" s="1"/>
      <c r="Z70" s="58"/>
      <c r="AA70" s="1"/>
    </row>
    <row r="71" spans="20:27" ht="51.75" customHeight="1" x14ac:dyDescent="0.25">
      <c r="T71" s="58"/>
      <c r="X71" s="57"/>
      <c r="Y71" s="1"/>
      <c r="Z71" s="58"/>
      <c r="AA71" s="1"/>
    </row>
    <row r="72" spans="20:27" ht="51.75" customHeight="1" x14ac:dyDescent="0.25">
      <c r="T72" s="58"/>
      <c r="X72" s="57"/>
      <c r="Y72" s="1"/>
      <c r="Z72" s="58"/>
      <c r="AA72" s="1"/>
    </row>
    <row r="73" spans="20:27" ht="51.75" customHeight="1" x14ac:dyDescent="0.25">
      <c r="T73" s="58"/>
      <c r="X73" s="57"/>
      <c r="Y73" s="1"/>
      <c r="Z73" s="58"/>
      <c r="AA73" s="1"/>
    </row>
    <row r="74" spans="20:27" ht="51.75" customHeight="1" x14ac:dyDescent="0.25">
      <c r="T74" s="58"/>
      <c r="X74" s="57"/>
      <c r="Y74" s="1"/>
      <c r="Z74" s="58"/>
      <c r="AA74" s="1"/>
    </row>
    <row r="75" spans="20:27" ht="51.75" customHeight="1" x14ac:dyDescent="0.25">
      <c r="T75" s="58"/>
      <c r="X75" s="57"/>
      <c r="Y75" s="1"/>
      <c r="Z75" s="58"/>
      <c r="AA75" s="1"/>
    </row>
    <row r="76" spans="20:27" ht="51.75" customHeight="1" x14ac:dyDescent="0.25">
      <c r="T76" s="58"/>
      <c r="X76" s="57"/>
      <c r="Y76" s="1"/>
      <c r="Z76" s="58"/>
      <c r="AA76" s="1"/>
    </row>
    <row r="77" spans="20:27" ht="51.75" customHeight="1" x14ac:dyDescent="0.25">
      <c r="T77" s="58"/>
      <c r="X77" s="57"/>
      <c r="Y77" s="1"/>
      <c r="Z77" s="58"/>
      <c r="AA77" s="1"/>
    </row>
    <row r="78" spans="20:27" ht="51.75" customHeight="1" x14ac:dyDescent="0.25">
      <c r="T78" s="58"/>
      <c r="X78" s="57"/>
      <c r="Y78" s="1"/>
      <c r="Z78" s="58"/>
      <c r="AA78" s="1"/>
    </row>
    <row r="79" spans="20:27" ht="51.75" customHeight="1" x14ac:dyDescent="0.25">
      <c r="T79" s="58"/>
      <c r="X79" s="57"/>
      <c r="Y79" s="1"/>
      <c r="Z79" s="58"/>
      <c r="AA79" s="1"/>
    </row>
    <row r="80" spans="20:27" ht="51.75" customHeight="1" x14ac:dyDescent="0.25">
      <c r="T80" s="58"/>
      <c r="X80" s="57"/>
      <c r="Y80" s="1"/>
      <c r="Z80" s="58"/>
      <c r="AA80" s="1"/>
    </row>
    <row r="81" spans="20:27" ht="51.75" customHeight="1" x14ac:dyDescent="0.25">
      <c r="T81" s="58"/>
      <c r="X81" s="57"/>
      <c r="Y81" s="1"/>
      <c r="Z81" s="58"/>
      <c r="AA81" s="1"/>
    </row>
    <row r="82" spans="20:27" ht="51.75" customHeight="1" x14ac:dyDescent="0.25">
      <c r="T82" s="58"/>
      <c r="X82" s="57"/>
      <c r="Y82" s="1"/>
      <c r="Z82" s="58"/>
      <c r="AA82" s="1"/>
    </row>
    <row r="83" spans="20:27" ht="51.75" customHeight="1" x14ac:dyDescent="0.25">
      <c r="T83" s="58"/>
      <c r="X83" s="57"/>
      <c r="Y83" s="1"/>
      <c r="Z83" s="58"/>
      <c r="AA83" s="1"/>
    </row>
    <row r="84" spans="20:27" ht="51.75" customHeight="1" x14ac:dyDescent="0.25">
      <c r="T84" s="58"/>
      <c r="X84" s="57"/>
      <c r="Y84" s="1"/>
      <c r="Z84" s="58"/>
      <c r="AA84" s="1"/>
    </row>
    <row r="85" spans="20:27" ht="51.75" customHeight="1" x14ac:dyDescent="0.25">
      <c r="T85" s="58"/>
      <c r="X85" s="57"/>
      <c r="Y85" s="1"/>
      <c r="Z85" s="58"/>
      <c r="AA85" s="1"/>
    </row>
    <row r="86" spans="20:27" ht="51.75" customHeight="1" x14ac:dyDescent="0.25">
      <c r="T86" s="58"/>
      <c r="X86" s="57"/>
      <c r="Y86" s="1"/>
      <c r="Z86" s="58"/>
      <c r="AA86" s="1"/>
    </row>
    <row r="87" spans="20:27" ht="51.75" customHeight="1" x14ac:dyDescent="0.25">
      <c r="T87" s="58"/>
      <c r="X87" s="57"/>
      <c r="Y87" s="1"/>
      <c r="Z87" s="58"/>
      <c r="AA87" s="1"/>
    </row>
    <row r="88" spans="20:27" ht="51.75" customHeight="1" x14ac:dyDescent="0.25">
      <c r="T88" s="58"/>
      <c r="X88" s="57"/>
      <c r="Y88" s="1"/>
      <c r="Z88" s="58"/>
      <c r="AA88" s="1"/>
    </row>
    <row r="89" spans="20:27" ht="51.75" customHeight="1" x14ac:dyDescent="0.25">
      <c r="T89" s="58"/>
      <c r="X89" s="57"/>
      <c r="Y89" s="1"/>
      <c r="Z89" s="58"/>
      <c r="AA89" s="1"/>
    </row>
    <row r="90" spans="20:27" ht="51.75" customHeight="1" x14ac:dyDescent="0.25">
      <c r="T90" s="58"/>
      <c r="X90" s="57"/>
      <c r="Y90" s="1"/>
      <c r="Z90" s="58"/>
      <c r="AA90" s="1"/>
    </row>
    <row r="91" spans="20:27" ht="51.75" customHeight="1" x14ac:dyDescent="0.25">
      <c r="T91" s="58"/>
      <c r="X91" s="57"/>
      <c r="Y91" s="1"/>
      <c r="Z91" s="58"/>
      <c r="AA91" s="1"/>
    </row>
    <row r="92" spans="20:27" ht="51.75" customHeight="1" x14ac:dyDescent="0.25">
      <c r="T92" s="58"/>
      <c r="X92" s="57"/>
      <c r="Y92" s="1"/>
      <c r="Z92" s="58"/>
      <c r="AA92" s="1"/>
    </row>
    <row r="93" spans="20:27" ht="51.75" customHeight="1" x14ac:dyDescent="0.25">
      <c r="T93" s="58"/>
      <c r="X93" s="57"/>
      <c r="Y93" s="1"/>
      <c r="Z93" s="58"/>
      <c r="AA93" s="1"/>
    </row>
    <row r="94" spans="20:27" ht="51.75" customHeight="1" x14ac:dyDescent="0.25">
      <c r="T94" s="58"/>
      <c r="X94" s="57"/>
      <c r="Y94" s="1"/>
      <c r="Z94" s="58"/>
      <c r="AA94" s="1"/>
    </row>
    <row r="95" spans="20:27" ht="51.75" customHeight="1" x14ac:dyDescent="0.25">
      <c r="T95" s="58"/>
      <c r="X95" s="57"/>
      <c r="Y95" s="1"/>
      <c r="Z95" s="58"/>
      <c r="AA95" s="1"/>
    </row>
    <row r="96" spans="20:27" ht="51.75" customHeight="1" x14ac:dyDescent="0.25">
      <c r="T96" s="58"/>
      <c r="X96" s="57"/>
      <c r="Y96" s="1"/>
      <c r="Z96" s="58"/>
      <c r="AA96" s="1"/>
    </row>
    <row r="97" spans="18:27" ht="51.75" customHeight="1" x14ac:dyDescent="0.25">
      <c r="T97" s="58"/>
      <c r="X97" s="57"/>
      <c r="Y97" s="1"/>
      <c r="Z97" s="58"/>
      <c r="AA97" s="1"/>
    </row>
    <row r="98" spans="18:27" ht="51.75" customHeight="1" x14ac:dyDescent="0.25">
      <c r="T98" s="58"/>
      <c r="X98" s="57"/>
      <c r="Y98" s="1"/>
      <c r="Z98" s="58"/>
      <c r="AA98" s="1"/>
    </row>
    <row r="99" spans="18:27" ht="51.75" customHeight="1" x14ac:dyDescent="0.25">
      <c r="T99" s="58"/>
      <c r="X99" s="57"/>
      <c r="Y99" s="1"/>
      <c r="Z99" s="58"/>
      <c r="AA99" s="1"/>
    </row>
    <row r="100" spans="18:27" ht="51.75" customHeight="1" x14ac:dyDescent="0.25">
      <c r="T100" s="58"/>
      <c r="X100" s="57"/>
      <c r="Y100" s="1"/>
      <c r="Z100" s="58"/>
      <c r="AA100" s="1"/>
    </row>
    <row r="101" spans="18:27" ht="51.75" customHeight="1" x14ac:dyDescent="0.25">
      <c r="T101" s="58"/>
      <c r="X101" s="57"/>
      <c r="Y101" s="1"/>
      <c r="Z101" s="58"/>
      <c r="AA101" s="1"/>
    </row>
    <row r="102" spans="18:27" ht="51.75" customHeight="1" x14ac:dyDescent="0.25">
      <c r="T102" s="58"/>
      <c r="X102" s="57"/>
      <c r="Y102" s="1"/>
      <c r="Z102" s="58"/>
      <c r="AA102" s="1"/>
    </row>
    <row r="103" spans="18:27" ht="51.75" customHeight="1" x14ac:dyDescent="0.25">
      <c r="T103" s="58"/>
      <c r="X103" s="57"/>
      <c r="Y103" s="1"/>
      <c r="Z103" s="58"/>
      <c r="AA103" s="1"/>
    </row>
    <row r="104" spans="18:27" ht="51.75" customHeight="1" x14ac:dyDescent="0.25">
      <c r="T104" s="58"/>
      <c r="X104" s="57"/>
      <c r="Y104" s="1"/>
      <c r="Z104" s="58"/>
      <c r="AA104" s="1"/>
    </row>
    <row r="105" spans="18:27" ht="51.75" customHeight="1" x14ac:dyDescent="0.25">
      <c r="T105" s="58"/>
      <c r="X105" s="57"/>
      <c r="Y105" s="1"/>
      <c r="Z105" s="58"/>
      <c r="AA105" s="1"/>
    </row>
    <row r="106" spans="18:27" ht="51.75" customHeight="1" thickBot="1" x14ac:dyDescent="0.3">
      <c r="R106" s="252"/>
      <c r="S106" s="253"/>
      <c r="T106" s="254"/>
      <c r="U106" s="252"/>
      <c r="V106" s="253"/>
      <c r="W106" s="254"/>
      <c r="X106" s="252"/>
      <c r="Y106" s="253"/>
      <c r="Z106" s="254"/>
      <c r="AA106" s="1"/>
    </row>
  </sheetData>
  <mergeCells count="17">
    <mergeCell ref="AM5:AO5"/>
    <mergeCell ref="AJ5:AL5"/>
    <mergeCell ref="A3:AI3"/>
    <mergeCell ref="B5:B6"/>
    <mergeCell ref="A5:A6"/>
    <mergeCell ref="U5:W5"/>
    <mergeCell ref="R5:T5"/>
    <mergeCell ref="L5:N5"/>
    <mergeCell ref="F5:H5"/>
    <mergeCell ref="I5:K5"/>
    <mergeCell ref="AA5:AC5"/>
    <mergeCell ref="X5:Z5"/>
    <mergeCell ref="E5:E6"/>
    <mergeCell ref="D5:D6"/>
    <mergeCell ref="AG5:AI5"/>
    <mergeCell ref="AD5:AF5"/>
    <mergeCell ref="O5:Q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D85"/>
  <sheetViews>
    <sheetView showZeros="0" zoomScale="80" zoomScaleNormal="80" workbookViewId="0">
      <pane ySplit="2" topLeftCell="A15" activePane="bottomLeft" state="frozen"/>
      <selection activeCell="L12" sqref="L12"/>
      <selection pane="bottomLeft" activeCell="F35" sqref="F35"/>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8" width="10.42578125" customWidth="1"/>
    <col min="9" max="11" width="13.42578125" customWidth="1"/>
    <col min="12" max="13" width="13.42578125" style="793" customWidth="1"/>
    <col min="14" max="14" width="16" customWidth="1"/>
    <col min="15" max="15" width="3.42578125" customWidth="1"/>
    <col min="16" max="16" width="11.85546875" customWidth="1"/>
    <col min="17" max="24" width="10.5703125" customWidth="1"/>
    <col min="25" max="25" width="16" customWidth="1"/>
    <col min="26" max="26" width="13.28515625" customWidth="1"/>
    <col min="27" max="27" width="18.28515625" customWidth="1"/>
    <col min="28" max="28" width="14" customWidth="1"/>
  </cols>
  <sheetData>
    <row r="1" spans="1:30" s="1" customFormat="1" ht="36" customHeight="1" x14ac:dyDescent="0.25">
      <c r="A1" s="186"/>
      <c r="B1" s="187"/>
      <c r="C1" s="187"/>
      <c r="D1" s="187"/>
      <c r="E1" s="187"/>
      <c r="F1" s="187"/>
      <c r="G1" s="187"/>
      <c r="H1" s="187"/>
      <c r="I1" s="187"/>
      <c r="J1" s="187"/>
      <c r="K1" s="187"/>
      <c r="L1" s="67"/>
      <c r="M1" s="67"/>
    </row>
    <row r="2" spans="1:30" s="1" customFormat="1" ht="32.25" customHeight="1" x14ac:dyDescent="0.35">
      <c r="A2" s="1001" t="s">
        <v>1100</v>
      </c>
      <c r="B2" s="1002"/>
      <c r="C2" s="1002"/>
      <c r="D2" s="1002"/>
      <c r="E2" s="1002"/>
      <c r="F2" s="1002"/>
      <c r="G2" s="1002"/>
      <c r="H2" s="1002"/>
      <c r="I2" s="91"/>
      <c r="J2" s="91"/>
      <c r="K2" s="925"/>
      <c r="L2" s="940"/>
      <c r="M2" s="940"/>
      <c r="O2" s="90"/>
      <c r="P2" s="90"/>
      <c r="Q2" s="90"/>
      <c r="R2" s="90"/>
      <c r="S2" s="90"/>
      <c r="T2" s="90"/>
      <c r="U2" s="90"/>
      <c r="V2" s="90"/>
      <c r="W2" s="90"/>
      <c r="X2" s="90"/>
      <c r="Y2" s="90"/>
      <c r="Z2" s="90"/>
      <c r="AA2" s="90"/>
      <c r="AB2" s="90"/>
      <c r="AC2" s="90"/>
      <c r="AD2" s="90"/>
    </row>
    <row r="3" spans="1:30" s="19" customFormat="1" ht="25.5" hidden="1" customHeight="1" x14ac:dyDescent="0.25">
      <c r="A3" s="1003">
        <f>Report_Date</f>
        <v>42795</v>
      </c>
      <c r="B3" s="1004"/>
      <c r="C3" s="1004"/>
      <c r="D3" s="1004"/>
      <c r="E3" s="1004"/>
      <c r="F3" s="1004"/>
      <c r="G3" s="1004"/>
      <c r="H3" s="1004"/>
      <c r="I3" s="214"/>
      <c r="J3" s="214"/>
      <c r="K3" s="215"/>
      <c r="L3" s="91"/>
      <c r="M3" s="91"/>
      <c r="N3" s="1"/>
      <c r="O3" s="90"/>
      <c r="P3" s="90"/>
      <c r="Q3" s="90"/>
      <c r="R3" s="90"/>
      <c r="S3" s="90"/>
      <c r="T3" s="90"/>
      <c r="U3" s="90"/>
      <c r="V3" s="90"/>
      <c r="W3" s="90"/>
      <c r="X3" s="90"/>
      <c r="Y3" s="90"/>
      <c r="Z3" s="90"/>
      <c r="AA3" s="90"/>
      <c r="AB3" s="90"/>
      <c r="AC3" s="90"/>
      <c r="AD3" s="90"/>
    </row>
    <row r="4" spans="1:30" s="19" customFormat="1" ht="25.5" customHeight="1" x14ac:dyDescent="0.25">
      <c r="A4" s="819"/>
      <c r="B4" s="819"/>
      <c r="C4" s="819"/>
      <c r="D4" s="819"/>
      <c r="E4" s="819"/>
      <c r="F4" s="819"/>
      <c r="G4" s="819"/>
      <c r="H4" s="819"/>
      <c r="I4" s="820"/>
      <c r="J4" s="820"/>
      <c r="K4" s="820"/>
      <c r="L4" s="820"/>
      <c r="M4" s="820"/>
      <c r="N4" s="1"/>
      <c r="O4" s="793"/>
      <c r="P4" s="793"/>
      <c r="Q4" s="793"/>
      <c r="R4" s="793"/>
      <c r="S4" s="793"/>
      <c r="T4" s="793"/>
      <c r="U4" s="793"/>
      <c r="V4" s="793"/>
      <c r="W4" s="793"/>
      <c r="X4" s="793"/>
      <c r="Y4" s="793"/>
      <c r="Z4" s="793"/>
      <c r="AA4" s="793"/>
      <c r="AB4" s="793"/>
      <c r="AC4" s="793"/>
      <c r="AD4" s="793"/>
    </row>
    <row r="5" spans="1:30" s="793" customFormat="1" ht="25.5" customHeight="1" x14ac:dyDescent="0.25">
      <c r="A5" s="1106" t="s">
        <v>1</v>
      </c>
      <c r="B5" s="1106" t="s">
        <v>1091</v>
      </c>
      <c r="C5" s="1107" t="s">
        <v>224</v>
      </c>
      <c r="D5" s="1112" t="s">
        <v>1092</v>
      </c>
      <c r="E5" s="1113"/>
      <c r="F5" s="1113"/>
      <c r="G5" s="1113"/>
      <c r="H5" s="1113"/>
      <c r="I5" s="1113"/>
      <c r="J5" s="1113"/>
      <c r="K5" s="1113"/>
      <c r="L5" s="1113"/>
      <c r="M5" s="1113"/>
      <c r="N5" s="175"/>
    </row>
    <row r="6" spans="1:30" ht="25.5" customHeight="1" x14ac:dyDescent="0.25">
      <c r="A6" s="1106"/>
      <c r="B6" s="1106"/>
      <c r="C6" s="1106"/>
      <c r="D6" s="931" t="s">
        <v>326</v>
      </c>
      <c r="E6" s="931" t="s">
        <v>303</v>
      </c>
      <c r="F6" s="931" t="s">
        <v>228</v>
      </c>
      <c r="G6" s="931" t="s">
        <v>229</v>
      </c>
      <c r="H6" s="931" t="s">
        <v>331</v>
      </c>
      <c r="I6" s="931" t="s">
        <v>580</v>
      </c>
      <c r="J6" s="931" t="s">
        <v>929</v>
      </c>
      <c r="K6" s="931" t="s">
        <v>581</v>
      </c>
      <c r="L6" s="931" t="s">
        <v>1117</v>
      </c>
      <c r="M6" s="931" t="s">
        <v>1118</v>
      </c>
    </row>
    <row r="7" spans="1:30" ht="36.75" customHeight="1" x14ac:dyDescent="0.25">
      <c r="A7" s="1106"/>
      <c r="B7" s="1106"/>
      <c r="C7" s="1106"/>
      <c r="D7" s="94" t="s">
        <v>1089</v>
      </c>
      <c r="E7" s="94" t="s">
        <v>1089</v>
      </c>
      <c r="F7" s="94" t="s">
        <v>1089</v>
      </c>
      <c r="G7" s="94" t="s">
        <v>1089</v>
      </c>
      <c r="H7" s="94" t="s">
        <v>1089</v>
      </c>
      <c r="I7" s="94" t="s">
        <v>1089</v>
      </c>
      <c r="J7" s="94" t="s">
        <v>1090</v>
      </c>
      <c r="K7" s="94" t="s">
        <v>1089</v>
      </c>
      <c r="L7" s="94" t="s">
        <v>1089</v>
      </c>
      <c r="M7" s="94" t="s">
        <v>1089</v>
      </c>
    </row>
    <row r="8" spans="1:30" x14ac:dyDescent="0.25">
      <c r="A8" s="156" t="s">
        <v>608</v>
      </c>
      <c r="B8" s="841">
        <f>SUMIFS(Camplist_HH,Camplist_Township,'NFI Distribution (by Tship)'!$A8,CampList_Status,"Open")</f>
        <v>492</v>
      </c>
      <c r="C8" s="841">
        <f>SUMIFS(Camplist_Popl,Camplist_Township,'NFI Distribution (by Tship)'!$A8,CampList_Status,"Open")</f>
        <v>1601</v>
      </c>
      <c r="D8" s="842">
        <f ca="1">SUMIFS(NFI_Mosquito_Track,NFI_Township,$A8,NFI_CampStatus,"Open")/2</f>
        <v>0</v>
      </c>
      <c r="E8" s="842">
        <f ca="1">SUMIFS(NFI_Tarpaulin_Track,NFI_Township,$A8,NFI_CampStatus,"Open")</f>
        <v>0</v>
      </c>
      <c r="F8" s="842">
        <f t="shared" ref="F8:F17" ca="1" si="0">SUMIFS(NFI_Blanket_Track,NFI_Township,$A8,NFI_CampStatus,"Open")/2</f>
        <v>459.5</v>
      </c>
      <c r="G8" s="842">
        <f t="shared" ref="G8:G17" ca="1" si="1">SUMIFS(NFI_Kitchen_Track,NFI_Township,$A8,NFI_CampStatus,"Open")</f>
        <v>0</v>
      </c>
      <c r="H8" s="842">
        <f ca="1">SUMIFS(NFI_Complementary_Track,NFI_Township,$A8,NFI_CampStatus,"Open")</f>
        <v>0</v>
      </c>
      <c r="I8" s="842">
        <f t="shared" ref="I8:I17" ca="1" si="2">SUMIFS(NFI_Plastic_Bucket_Track,NFI_Township,$A8,NFI_CampStatus,"Open")</f>
        <v>0</v>
      </c>
      <c r="J8" s="842">
        <f t="shared" ref="J8:J17" ca="1" si="3">SUMIFS(NFI_JerryCan_Track,NFI_Township,$A8,NFI_CampStatus,"Open")</f>
        <v>0</v>
      </c>
      <c r="K8" s="842">
        <f ca="1">SUMIFS(NFI_Plastic_Mat_Track,NFI_Township,$A8,NFI_CampStatus,"Open")/5</f>
        <v>0</v>
      </c>
      <c r="L8" s="842">
        <f t="shared" ref="L8:L17" ca="1" si="4">SUMIFS(NFI_Adult_Clothes_Track,NFI_Township,$A8,NFI_CampStatus,"Open")</f>
        <v>0</v>
      </c>
      <c r="M8" s="842">
        <f t="shared" ref="M8:M17" ca="1" si="5">SUMIFS(NFI_Children_Clothes_Track,NFI_Township,$A8,NFI_CampStatus,"Open")</f>
        <v>0</v>
      </c>
    </row>
    <row r="9" spans="1:30" x14ac:dyDescent="0.25">
      <c r="A9" s="156" t="s">
        <v>15</v>
      </c>
      <c r="B9" s="841">
        <f>SUMIFS(Camplist_HH,Camplist_Township,'NFI Distribution (by Tship)'!$A9,CampList_Status,"Open")</f>
        <v>85</v>
      </c>
      <c r="C9" s="841">
        <f>SUMIFS(Camplist_Popl,Camplist_Township,'NFI Distribution (by Tship)'!$A9,CampList_Status,"Open")</f>
        <v>546</v>
      </c>
      <c r="D9" s="842">
        <f t="shared" ref="D9:D17" ca="1" si="6">SUMIFS(NFI_Mosquito_Track,NFI_Township,$A9,NFI_CampStatus,"Open")/2</f>
        <v>0</v>
      </c>
      <c r="E9" s="842">
        <f t="shared" ref="E9:E17" ca="1" si="7">SUMIFS(NFI_Tarpaulin_Track,NFI_Township,$A9,NFI_CampStatus,"Open")</f>
        <v>0</v>
      </c>
      <c r="F9" s="842">
        <f t="shared" ca="1" si="0"/>
        <v>0</v>
      </c>
      <c r="G9" s="842">
        <f t="shared" ca="1" si="1"/>
        <v>0</v>
      </c>
      <c r="H9" s="842">
        <f t="shared" ref="H9:H17" ca="1" si="8">SUMIFS(NFI_Complementary_Track,NFI_Township,$A9,NFI_CampStatus,"Open")</f>
        <v>0</v>
      </c>
      <c r="I9" s="842">
        <f t="shared" ca="1" si="2"/>
        <v>0</v>
      </c>
      <c r="J9" s="842">
        <f t="shared" ca="1" si="3"/>
        <v>0</v>
      </c>
      <c r="K9" s="842">
        <f t="shared" ref="K9:K17" ca="1" si="9">SUMIFS(NFI_Plastic_Mat_Track,NFI_Township,$A9,NFI_CampStatus,"Open")/5</f>
        <v>0</v>
      </c>
      <c r="L9" s="842">
        <f t="shared" ca="1" si="4"/>
        <v>0</v>
      </c>
      <c r="M9" s="842">
        <f t="shared" ca="1" si="5"/>
        <v>0</v>
      </c>
    </row>
    <row r="10" spans="1:30" x14ac:dyDescent="0.25">
      <c r="A10" s="156" t="s">
        <v>20</v>
      </c>
      <c r="B10" s="841">
        <f>SUMIFS(Camplist_HH,Camplist_Township,'NFI Distribution (by Tship)'!$A10,CampList_Status,"Open")</f>
        <v>184</v>
      </c>
      <c r="C10" s="841">
        <f>SUMIFS(Camplist_Popl,Camplist_Township,'NFI Distribution (by Tship)'!$A10,CampList_Status,"Open")</f>
        <v>1148</v>
      </c>
      <c r="D10" s="842">
        <f t="shared" ca="1" si="6"/>
        <v>0</v>
      </c>
      <c r="E10" s="842">
        <f ca="1">SUMIFS(NFI_Tarpaulin_Track,NFI_Township,$A10,NFI_CampStatus,"Open")</f>
        <v>0</v>
      </c>
      <c r="F10" s="842">
        <f t="shared" ca="1" si="0"/>
        <v>0</v>
      </c>
      <c r="G10" s="842">
        <f t="shared" ca="1" si="1"/>
        <v>0</v>
      </c>
      <c r="H10" s="842">
        <f t="shared" ca="1" si="8"/>
        <v>0</v>
      </c>
      <c r="I10" s="842">
        <f t="shared" ca="1" si="2"/>
        <v>0</v>
      </c>
      <c r="J10" s="842">
        <f t="shared" ca="1" si="3"/>
        <v>0</v>
      </c>
      <c r="K10" s="842">
        <f t="shared" ca="1" si="9"/>
        <v>0</v>
      </c>
      <c r="L10" s="842">
        <f t="shared" ca="1" si="4"/>
        <v>0</v>
      </c>
      <c r="M10" s="842">
        <f t="shared" ca="1" si="5"/>
        <v>0</v>
      </c>
    </row>
    <row r="11" spans="1:30" ht="15.75" thickBot="1" x14ac:dyDescent="0.3">
      <c r="A11" s="843" t="s">
        <v>867</v>
      </c>
      <c r="B11" s="841">
        <f>SUMIFS(Camplist_HH,Camplist_Township,'NFI Distribution (by Tship)'!$A11,CampList_Status,"Open")</f>
        <v>662</v>
      </c>
      <c r="C11" s="841">
        <f>SUMIFS(Camplist_Popl,Camplist_Township,'NFI Distribution (by Tship)'!$A11,CampList_Status,"Open")</f>
        <v>2679</v>
      </c>
      <c r="D11" s="842">
        <f t="shared" ca="1" si="6"/>
        <v>345</v>
      </c>
      <c r="E11" s="842">
        <f ca="1">SUMIFS(NFI_Tarpaulin_Track,NFI_Township,$A11,NFI_CampStatus,"Open")</f>
        <v>0</v>
      </c>
      <c r="F11" s="842">
        <f t="shared" ca="1" si="0"/>
        <v>351.5</v>
      </c>
      <c r="G11" s="842">
        <f t="shared" ca="1" si="1"/>
        <v>0</v>
      </c>
      <c r="H11" s="842">
        <f ca="1">SUMIFS(NFI_Complementary_Track,NFI_Township,$A11,NFI_CampStatus,"Open")</f>
        <v>195</v>
      </c>
      <c r="I11" s="934">
        <f t="shared" ca="1" si="2"/>
        <v>0</v>
      </c>
      <c r="J11" s="842">
        <f t="shared" ca="1" si="3"/>
        <v>0</v>
      </c>
      <c r="K11" s="842">
        <f t="shared" ca="1" si="9"/>
        <v>0</v>
      </c>
      <c r="L11" s="842">
        <f t="shared" ca="1" si="4"/>
        <v>628</v>
      </c>
      <c r="M11" s="842">
        <f t="shared" ca="1" si="5"/>
        <v>0</v>
      </c>
    </row>
    <row r="12" spans="1:30" ht="16.5" thickTop="1" thickBot="1" x14ac:dyDescent="0.3">
      <c r="A12" s="156" t="s">
        <v>11</v>
      </c>
      <c r="B12" s="841">
        <f>SUMIFS(Camplist_HH,Camplist_Township,'NFI Distribution (by Tship)'!$A12,CampList_Status,"Open")</f>
        <v>0</v>
      </c>
      <c r="C12" s="841">
        <f>SUMIFS(Camplist_Popl,Camplist_Township,'NFI Distribution (by Tship)'!$A12,CampList_Status,"Open")</f>
        <v>0</v>
      </c>
      <c r="D12" s="842">
        <f t="shared" ca="1" si="6"/>
        <v>0</v>
      </c>
      <c r="E12" s="842">
        <f t="shared" ca="1" si="7"/>
        <v>0</v>
      </c>
      <c r="F12" s="842">
        <f t="shared" ca="1" si="0"/>
        <v>0</v>
      </c>
      <c r="G12" s="842">
        <f t="shared" ca="1" si="1"/>
        <v>0</v>
      </c>
      <c r="H12" s="932">
        <f t="shared" ca="1" si="8"/>
        <v>0</v>
      </c>
      <c r="I12" s="936">
        <f t="shared" ca="1" si="2"/>
        <v>0</v>
      </c>
      <c r="J12" s="933">
        <f t="shared" ca="1" si="3"/>
        <v>0</v>
      </c>
      <c r="K12" s="842">
        <f t="shared" ca="1" si="9"/>
        <v>0</v>
      </c>
      <c r="L12" s="842">
        <f t="shared" ca="1" si="4"/>
        <v>0</v>
      </c>
      <c r="M12" s="842">
        <f t="shared" ca="1" si="5"/>
        <v>0</v>
      </c>
    </row>
    <row r="13" spans="1:30" ht="15.75" thickTop="1" x14ac:dyDescent="0.25">
      <c r="A13" s="156" t="s">
        <v>1003</v>
      </c>
      <c r="B13" s="841">
        <f>SUMIFS(Camplist_HH,Camplist_Township,'NFI Distribution (by Tship)'!$A13,CampList_Status,"Open")</f>
        <v>0</v>
      </c>
      <c r="C13" s="841">
        <f>SUMIFS(Camplist_Popl,Camplist_Township,'NFI Distribution (by Tship)'!$A13,CampList_Status,"Open")</f>
        <v>0</v>
      </c>
      <c r="D13" s="842">
        <f t="shared" ca="1" si="6"/>
        <v>0</v>
      </c>
      <c r="E13" s="842">
        <f t="shared" ca="1" si="7"/>
        <v>0</v>
      </c>
      <c r="F13" s="842">
        <f t="shared" ca="1" si="0"/>
        <v>0</v>
      </c>
      <c r="G13" s="842">
        <f t="shared" ca="1" si="1"/>
        <v>0</v>
      </c>
      <c r="H13" s="842">
        <f t="shared" ca="1" si="8"/>
        <v>0</v>
      </c>
      <c r="I13" s="935">
        <f t="shared" ca="1" si="2"/>
        <v>0</v>
      </c>
      <c r="J13" s="842">
        <f t="shared" ca="1" si="3"/>
        <v>0</v>
      </c>
      <c r="K13" s="842">
        <f t="shared" ca="1" si="9"/>
        <v>0</v>
      </c>
      <c r="L13" s="842">
        <f t="shared" ca="1" si="4"/>
        <v>0</v>
      </c>
      <c r="M13" s="842">
        <f t="shared" ca="1" si="5"/>
        <v>0</v>
      </c>
    </row>
    <row r="14" spans="1:30" x14ac:dyDescent="0.25">
      <c r="A14" s="843" t="s">
        <v>14</v>
      </c>
      <c r="B14" s="841">
        <f>SUMIFS(Camplist_HH,Camplist_Township,'NFI Distribution (by Tship)'!$A14,CampList_Status,"Open")</f>
        <v>3629</v>
      </c>
      <c r="C14" s="841">
        <f>SUMIFS(Camplist_Popl,Camplist_Township,'NFI Distribution (by Tship)'!$A14,CampList_Status,"Open")</f>
        <v>15985</v>
      </c>
      <c r="D14" s="842">
        <f t="shared" ca="1" si="6"/>
        <v>1047</v>
      </c>
      <c r="E14" s="842">
        <f t="shared" ca="1" si="7"/>
        <v>60</v>
      </c>
      <c r="F14" s="842">
        <f t="shared" ca="1" si="0"/>
        <v>0</v>
      </c>
      <c r="G14" s="842">
        <f t="shared" ca="1" si="1"/>
        <v>2084</v>
      </c>
      <c r="H14" s="842">
        <f t="shared" ca="1" si="8"/>
        <v>0</v>
      </c>
      <c r="I14" s="842">
        <f t="shared" ca="1" si="2"/>
        <v>0</v>
      </c>
      <c r="J14" s="842">
        <f t="shared" ca="1" si="3"/>
        <v>0</v>
      </c>
      <c r="K14" s="842">
        <f t="shared" ca="1" si="9"/>
        <v>0</v>
      </c>
      <c r="L14" s="842">
        <f t="shared" ca="1" si="4"/>
        <v>2020</v>
      </c>
      <c r="M14" s="842">
        <f t="shared" ca="1" si="5"/>
        <v>0</v>
      </c>
    </row>
    <row r="15" spans="1:30" x14ac:dyDescent="0.25">
      <c r="A15" s="156" t="s">
        <v>18</v>
      </c>
      <c r="B15" s="841">
        <f>SUMIFS(Camplist_HH,Camplist_Township,'NFI Distribution (by Tship)'!$A15,CampList_Status,"Open")</f>
        <v>75</v>
      </c>
      <c r="C15" s="841">
        <f>SUMIFS(Camplist_Popl,Camplist_Township,'NFI Distribution (by Tship)'!$A15,CampList_Status,"Open")</f>
        <v>264</v>
      </c>
      <c r="D15" s="842">
        <f t="shared" ca="1" si="6"/>
        <v>0</v>
      </c>
      <c r="E15" s="842">
        <f t="shared" ca="1" si="7"/>
        <v>0</v>
      </c>
      <c r="F15" s="842">
        <f t="shared" ca="1" si="0"/>
        <v>0</v>
      </c>
      <c r="G15" s="842">
        <f t="shared" ca="1" si="1"/>
        <v>0</v>
      </c>
      <c r="H15" s="842">
        <f t="shared" ca="1" si="8"/>
        <v>0</v>
      </c>
      <c r="I15" s="842">
        <f t="shared" ca="1" si="2"/>
        <v>0</v>
      </c>
      <c r="J15" s="842">
        <f t="shared" ca="1" si="3"/>
        <v>0</v>
      </c>
      <c r="K15" s="842">
        <f t="shared" ca="1" si="9"/>
        <v>0</v>
      </c>
      <c r="L15" s="842">
        <f t="shared" ca="1" si="4"/>
        <v>0</v>
      </c>
      <c r="M15" s="842">
        <f t="shared" ca="1" si="5"/>
        <v>0</v>
      </c>
    </row>
    <row r="16" spans="1:30" x14ac:dyDescent="0.25">
      <c r="A16" s="156" t="s">
        <v>16</v>
      </c>
      <c r="B16" s="841">
        <f>SUMIFS(Camplist_HH,Camplist_Township,'NFI Distribution (by Tship)'!$A16,CampList_Status,"Open")</f>
        <v>661</v>
      </c>
      <c r="C16" s="841">
        <f>SUMIFS(Camplist_Popl,Camplist_Township,'NFI Distribution (by Tship)'!$A16,CampList_Status,"Open")</f>
        <v>3566</v>
      </c>
      <c r="D16" s="842">
        <f t="shared" ca="1" si="6"/>
        <v>0</v>
      </c>
      <c r="E16" s="842">
        <f t="shared" ca="1" si="7"/>
        <v>0</v>
      </c>
      <c r="F16" s="842">
        <f t="shared" ca="1" si="0"/>
        <v>135</v>
      </c>
      <c r="G16" s="842">
        <f t="shared" ca="1" si="1"/>
        <v>0</v>
      </c>
      <c r="H16" s="842">
        <f t="shared" ca="1" si="8"/>
        <v>0</v>
      </c>
      <c r="I16" s="842">
        <f t="shared" ca="1" si="2"/>
        <v>0</v>
      </c>
      <c r="J16" s="842">
        <f t="shared" ca="1" si="3"/>
        <v>0</v>
      </c>
      <c r="K16" s="842">
        <f t="shared" ca="1" si="9"/>
        <v>0</v>
      </c>
      <c r="L16" s="842">
        <f t="shared" ca="1" si="4"/>
        <v>0</v>
      </c>
      <c r="M16" s="842">
        <f t="shared" ca="1" si="5"/>
        <v>0</v>
      </c>
    </row>
    <row r="17" spans="1:14" x14ac:dyDescent="0.25">
      <c r="A17" s="156" t="s">
        <v>19</v>
      </c>
      <c r="B17" s="841">
        <f>SUMIFS(Camplist_HH,Camplist_Township,'NFI Distribution (by Tship)'!$A17,CampList_Status,"Open")</f>
        <v>17786</v>
      </c>
      <c r="C17" s="841">
        <f>SUMIFS(Camplist_Popl,Camplist_Township,'NFI Distribution (by Tship)'!$A17,CampList_Status,"Open")</f>
        <v>94717</v>
      </c>
      <c r="D17" s="842">
        <f t="shared" ca="1" si="6"/>
        <v>3639.5</v>
      </c>
      <c r="E17" s="842">
        <f t="shared" ca="1" si="7"/>
        <v>424</v>
      </c>
      <c r="F17" s="842">
        <f t="shared" ca="1" si="0"/>
        <v>4332.5</v>
      </c>
      <c r="G17" s="842">
        <f t="shared" ca="1" si="1"/>
        <v>1196</v>
      </c>
      <c r="H17" s="842">
        <f t="shared" ca="1" si="8"/>
        <v>0</v>
      </c>
      <c r="I17" s="842">
        <f t="shared" ca="1" si="2"/>
        <v>4726</v>
      </c>
      <c r="J17" s="842">
        <f t="shared" ca="1" si="3"/>
        <v>7161</v>
      </c>
      <c r="K17" s="842">
        <f t="shared" ca="1" si="9"/>
        <v>8941.5</v>
      </c>
      <c r="L17" s="842">
        <f t="shared" ca="1" si="4"/>
        <v>7205</v>
      </c>
      <c r="M17" s="842">
        <f t="shared" ca="1" si="5"/>
        <v>6363</v>
      </c>
    </row>
    <row r="18" spans="1:14" x14ac:dyDescent="0.25">
      <c r="A18" s="844" t="s">
        <v>5</v>
      </c>
      <c r="B18" s="845">
        <f t="shared" ref="B18:I18" si="10">SUM(B8:B17)</f>
        <v>23574</v>
      </c>
      <c r="C18" s="845">
        <f t="shared" si="10"/>
        <v>120506</v>
      </c>
      <c r="D18" s="846">
        <f ca="1">SUM(D8:D17)</f>
        <v>5031.5</v>
      </c>
      <c r="E18" s="846">
        <f ca="1">SUM(E8:E17)</f>
        <v>484</v>
      </c>
      <c r="F18" s="846">
        <f ca="1">SUM(F8:F17)</f>
        <v>5278.5</v>
      </c>
      <c r="G18" s="846">
        <f t="shared" ca="1" si="10"/>
        <v>3280</v>
      </c>
      <c r="H18" s="846">
        <f t="shared" ca="1" si="10"/>
        <v>195</v>
      </c>
      <c r="I18" s="846">
        <f t="shared" ca="1" si="10"/>
        <v>4726</v>
      </c>
      <c r="J18" s="846">
        <f ca="1">SUM(J8:J17)</f>
        <v>7161</v>
      </c>
      <c r="K18" s="846">
        <f ca="1">SUM(K8:K17)</f>
        <v>8941.5</v>
      </c>
      <c r="L18" s="846">
        <f ca="1">SUM(L8:L17)</f>
        <v>9853</v>
      </c>
      <c r="M18" s="846">
        <f ca="1">SUM(M8:M17)</f>
        <v>6363</v>
      </c>
    </row>
    <row r="19" spans="1:14" ht="15" hidden="1" customHeight="1" x14ac:dyDescent="0.25">
      <c r="A19" s="102"/>
      <c r="B19" s="102"/>
      <c r="C19" s="102"/>
      <c r="D19" s="102"/>
      <c r="E19" s="102"/>
      <c r="F19" s="102"/>
      <c r="G19" s="102"/>
      <c r="H19" s="102"/>
      <c r="I19" s="102"/>
      <c r="J19" s="102"/>
      <c r="K19" s="90"/>
    </row>
    <row r="20" spans="1:14" s="90" customFormat="1" ht="31.5" hidden="1" customHeight="1" x14ac:dyDescent="0.5">
      <c r="A20" s="103" t="s">
        <v>7</v>
      </c>
      <c r="B20" s="104"/>
      <c r="C20" s="104"/>
      <c r="D20" s="104"/>
      <c r="E20" s="104"/>
      <c r="F20" s="104"/>
      <c r="G20" s="104"/>
      <c r="H20" s="104"/>
      <c r="I20" s="104"/>
      <c r="J20" s="104"/>
      <c r="L20" s="793"/>
      <c r="M20" s="793"/>
      <c r="N20" s="66"/>
    </row>
    <row r="21" spans="1:14" s="90" customFormat="1" ht="24" hidden="1" customHeight="1" x14ac:dyDescent="0.25">
      <c r="A21" s="1108" t="s">
        <v>1</v>
      </c>
      <c r="B21" s="1108" t="s">
        <v>223</v>
      </c>
      <c r="C21" s="1108" t="s">
        <v>224</v>
      </c>
      <c r="D21" s="1109" t="s">
        <v>301</v>
      </c>
      <c r="E21" s="1110"/>
      <c r="F21" s="1110"/>
      <c r="G21" s="1111"/>
      <c r="H21" s="105" t="s">
        <v>202</v>
      </c>
      <c r="I21" s="106"/>
      <c r="J21" s="106"/>
      <c r="L21" s="793"/>
      <c r="M21" s="793"/>
      <c r="N21" s="815" t="s">
        <v>302</v>
      </c>
    </row>
    <row r="22" spans="1:14" s="90" customFormat="1" ht="15" hidden="1" customHeight="1" x14ac:dyDescent="0.25">
      <c r="A22" s="1108"/>
      <c r="B22" s="1108"/>
      <c r="C22" s="1108"/>
      <c r="D22" s="96" t="s">
        <v>230</v>
      </c>
      <c r="E22" s="96" t="s">
        <v>233</v>
      </c>
      <c r="F22" s="96" t="s">
        <v>208</v>
      </c>
      <c r="G22" s="107" t="s">
        <v>231</v>
      </c>
      <c r="H22" s="96" t="s">
        <v>230</v>
      </c>
      <c r="I22" s="96" t="s">
        <v>233</v>
      </c>
      <c r="J22" s="96" t="s">
        <v>208</v>
      </c>
      <c r="L22" s="793"/>
      <c r="M22" s="793"/>
      <c r="N22" s="94" t="s">
        <v>230</v>
      </c>
    </row>
    <row r="23" spans="1:14" s="90" customFormat="1" ht="15" hidden="1" customHeight="1" x14ac:dyDescent="0.25">
      <c r="A23" s="97" t="s">
        <v>17</v>
      </c>
      <c r="B23" s="108">
        <f>SUMIF(Camplist_Township,'NFI Distribution (by Tship)'!$A23,Camplist_HH)</f>
        <v>0</v>
      </c>
      <c r="C23" s="108">
        <f>SUMIF(Camplist_Township,'NFI Distribution (by Tship)'!$A23,Camplist_Popl)</f>
        <v>0</v>
      </c>
      <c r="D23" s="108">
        <f t="shared" ref="D23:D32" si="11">SUMIF(NFI_Township,$A23,NFI_Hygiene_Track)</f>
        <v>0</v>
      </c>
      <c r="E23" s="108">
        <f t="shared" ref="E23:E32" si="12">SUMIF(NFI_Pipeline_Township,$A23,NFI_Hygiene_Stock)</f>
        <v>0</v>
      </c>
      <c r="F23" s="108">
        <f>SUMIF(NFI_Pipeline_Township,$A21,NFI_Hygiene_Pipeline)</f>
        <v>0</v>
      </c>
      <c r="G23" s="109">
        <f t="shared" ref="G23:G32" si="13">IF(B23-(D23+E23+F23)&lt;0,0,B23-(D23+E23+F23))</f>
        <v>0</v>
      </c>
      <c r="H23" s="97">
        <f t="shared" ref="H23:H32" si="14">SUMIF(NFI_Township,$A23,NFI_Core_Track)</f>
        <v>0</v>
      </c>
      <c r="I23" s="97">
        <f t="shared" ref="I23:I32" si="15">SUMIF(NFI_Pipeline_Township,$A23,NFI_Core_Stock)</f>
        <v>0</v>
      </c>
      <c r="J23" s="97">
        <f>SUMIF(NFI_Pipeline_Township,$A21,NFI_Core_Pipeline)</f>
        <v>0</v>
      </c>
      <c r="L23" s="793"/>
      <c r="M23" s="793"/>
      <c r="N23" s="12">
        <f t="shared" ref="N23:N32" si="16">SUMIF(NFI_Township,$A23,NFI_Sanitary_Track)</f>
        <v>0</v>
      </c>
    </row>
    <row r="24" spans="1:14" s="90" customFormat="1" ht="15" hidden="1" customHeight="1" x14ac:dyDescent="0.25">
      <c r="A24" s="98" t="s">
        <v>15</v>
      </c>
      <c r="B24" s="108">
        <f>SUMIF(Camplist_Township,'NFI Distribution (by Tship)'!$A24,Camplist_HH)</f>
        <v>1001</v>
      </c>
      <c r="C24" s="108">
        <f>SUMIF(Camplist_Township,'NFI Distribution (by Tship)'!$A24,Camplist_Popl)</f>
        <v>6527</v>
      </c>
      <c r="D24" s="108">
        <f t="shared" si="11"/>
        <v>0</v>
      </c>
      <c r="E24" s="108">
        <f t="shared" si="12"/>
        <v>0</v>
      </c>
      <c r="F24" s="108">
        <f>SUMIF(NFI_Pipeline_Township,$A23,NFI_Hygiene_Pipeline)</f>
        <v>0</v>
      </c>
      <c r="G24" s="109">
        <f t="shared" si="13"/>
        <v>1001</v>
      </c>
      <c r="H24" s="97">
        <f t="shared" si="14"/>
        <v>0</v>
      </c>
      <c r="I24" s="97">
        <f t="shared" si="15"/>
        <v>0</v>
      </c>
      <c r="J24" s="97">
        <f>SUMIF(NFI_Pipeline_Township,$A23,NFI_Core_Pipeline)</f>
        <v>0</v>
      </c>
      <c r="L24" s="793"/>
      <c r="M24" s="793"/>
      <c r="N24" s="12">
        <f t="shared" si="16"/>
        <v>0</v>
      </c>
    </row>
    <row r="25" spans="1:14" s="90" customFormat="1" ht="15" hidden="1" customHeight="1" x14ac:dyDescent="0.25">
      <c r="A25" s="98" t="s">
        <v>20</v>
      </c>
      <c r="B25" s="108">
        <f>SUMIF(Camplist_Township,'NFI Distribution (by Tship)'!$A25,Camplist_HH)</f>
        <v>201</v>
      </c>
      <c r="C25" s="108">
        <f>SUMIF(Camplist_Township,'NFI Distribution (by Tship)'!$A25,Camplist_Popl)</f>
        <v>1257</v>
      </c>
      <c r="D25" s="108">
        <f t="shared" si="11"/>
        <v>0</v>
      </c>
      <c r="E25" s="108">
        <f t="shared" si="12"/>
        <v>0</v>
      </c>
      <c r="F25" s="108">
        <f>SUMIF(NFI_Pipeline_Township,#REF!,NFI_Hygiene_Pipeline)</f>
        <v>0</v>
      </c>
      <c r="G25" s="109">
        <f t="shared" si="13"/>
        <v>201</v>
      </c>
      <c r="H25" s="97">
        <f t="shared" si="14"/>
        <v>0</v>
      </c>
      <c r="I25" s="97">
        <f t="shared" si="15"/>
        <v>494</v>
      </c>
      <c r="J25" s="97">
        <f>SUMIF(NFI_Pipeline_Township,#REF!,NFI_Core_Pipeline)</f>
        <v>0</v>
      </c>
      <c r="L25" s="793"/>
      <c r="M25" s="793"/>
      <c r="N25" s="12">
        <f t="shared" si="16"/>
        <v>0</v>
      </c>
    </row>
    <row r="26" spans="1:14" s="90" customFormat="1" ht="15" hidden="1" customHeight="1" x14ac:dyDescent="0.25">
      <c r="A26" s="99" t="s">
        <v>13</v>
      </c>
      <c r="B26" s="108">
        <f>SUMIF(Camplist_Township,'NFI Distribution (by Tship)'!$A26,Camplist_HH)</f>
        <v>0</v>
      </c>
      <c r="C26" s="108">
        <f>SUMIF(Camplist_Township,'NFI Distribution (by Tship)'!$A26,Camplist_Popl)</f>
        <v>0</v>
      </c>
      <c r="D26" s="108">
        <f t="shared" si="11"/>
        <v>0</v>
      </c>
      <c r="E26" s="108">
        <f t="shared" si="12"/>
        <v>0</v>
      </c>
      <c r="F26" s="108">
        <f>SUMIF(NFI_Pipeline_Township,$A25,NFI_Hygiene_Pipeline)</f>
        <v>0</v>
      </c>
      <c r="G26" s="109">
        <f t="shared" si="13"/>
        <v>0</v>
      </c>
      <c r="H26" s="97">
        <f t="shared" si="14"/>
        <v>0</v>
      </c>
      <c r="I26" s="97">
        <f t="shared" si="15"/>
        <v>0</v>
      </c>
      <c r="J26" s="97">
        <f>SUMIF(NFI_Pipeline_Township,$A25,NFI_Core_Pipeline)</f>
        <v>0</v>
      </c>
      <c r="L26" s="793"/>
      <c r="M26" s="793"/>
      <c r="N26" s="12">
        <f t="shared" si="16"/>
        <v>0</v>
      </c>
    </row>
    <row r="27" spans="1:14" s="90" customFormat="1" ht="15" hidden="1" customHeight="1" x14ac:dyDescent="0.25">
      <c r="A27" s="98" t="s">
        <v>11</v>
      </c>
      <c r="B27" s="108">
        <f>SUMIF(Camplist_Township,'NFI Distribution (by Tship)'!$A27,Camplist_HH)</f>
        <v>911</v>
      </c>
      <c r="C27" s="108">
        <f>SUMIF(Camplist_Township,'NFI Distribution (by Tship)'!$A27,Camplist_Popl)</f>
        <v>5638</v>
      </c>
      <c r="D27" s="108">
        <f t="shared" si="11"/>
        <v>0</v>
      </c>
      <c r="E27" s="108">
        <f t="shared" si="12"/>
        <v>0</v>
      </c>
      <c r="F27" s="108">
        <f>SUMIF(NFI_Pipeline_Township,#REF!,NFI_Hygiene_Pipeline)</f>
        <v>0</v>
      </c>
      <c r="G27" s="109">
        <f t="shared" si="13"/>
        <v>911</v>
      </c>
      <c r="H27" s="97">
        <f t="shared" si="14"/>
        <v>0</v>
      </c>
      <c r="I27" s="97">
        <f t="shared" si="15"/>
        <v>0</v>
      </c>
      <c r="J27" s="97">
        <f>SUMIF(NFI_Pipeline_Township,#REF!,NFI_Core_Pipeline)</f>
        <v>0</v>
      </c>
      <c r="L27" s="793"/>
      <c r="M27" s="793"/>
      <c r="N27" s="12">
        <f t="shared" si="16"/>
        <v>0</v>
      </c>
    </row>
    <row r="28" spans="1:14" s="90" customFormat="1" ht="15" hidden="1" customHeight="1" x14ac:dyDescent="0.25">
      <c r="A28" s="98" t="s">
        <v>12</v>
      </c>
      <c r="B28" s="108">
        <f>SUMIF(Camplist_Township,'NFI Distribution (by Tship)'!$A28,Camplist_HH)</f>
        <v>0</v>
      </c>
      <c r="C28" s="108">
        <f>SUMIF(Camplist_Township,'NFI Distribution (by Tship)'!$A28,Camplist_Popl)</f>
        <v>0</v>
      </c>
      <c r="D28" s="108">
        <f t="shared" si="11"/>
        <v>0</v>
      </c>
      <c r="E28" s="108">
        <f t="shared" si="12"/>
        <v>0</v>
      </c>
      <c r="F28" s="108">
        <f>SUMIF(NFI_Pipeline_Township,$A26,NFI_Hygiene_Pipeline)</f>
        <v>0</v>
      </c>
      <c r="G28" s="109">
        <f t="shared" si="13"/>
        <v>0</v>
      </c>
      <c r="H28" s="97">
        <f t="shared" si="14"/>
        <v>0</v>
      </c>
      <c r="I28" s="97">
        <f t="shared" si="15"/>
        <v>0</v>
      </c>
      <c r="J28" s="97">
        <f>SUMIF(NFI_Pipeline_Township,$A26,NFI_Core_Pipeline)</f>
        <v>0</v>
      </c>
      <c r="L28" s="793"/>
      <c r="M28" s="793"/>
      <c r="N28" s="12">
        <f t="shared" si="16"/>
        <v>0</v>
      </c>
    </row>
    <row r="29" spans="1:14" s="90" customFormat="1" ht="15" hidden="1" customHeight="1" x14ac:dyDescent="0.25">
      <c r="A29" s="99" t="s">
        <v>14</v>
      </c>
      <c r="B29" s="108">
        <f>SUMIF(Camplist_Township,'NFI Distribution (by Tship)'!$A29,Camplist_HH)</f>
        <v>4541</v>
      </c>
      <c r="C29" s="108">
        <f>SUMIF(Camplist_Township,'NFI Distribution (by Tship)'!$A29,Camplist_Popl)</f>
        <v>20346</v>
      </c>
      <c r="D29" s="108">
        <f t="shared" si="11"/>
        <v>0</v>
      </c>
      <c r="E29" s="108">
        <f t="shared" si="12"/>
        <v>0</v>
      </c>
      <c r="F29" s="108">
        <f>SUMIF(NFI_Pipeline_Township,$A27,NFI_Hygiene_Pipeline)</f>
        <v>0</v>
      </c>
      <c r="G29" s="109">
        <f t="shared" si="13"/>
        <v>4541</v>
      </c>
      <c r="H29" s="97">
        <f t="shared" si="14"/>
        <v>0</v>
      </c>
      <c r="I29" s="97">
        <f t="shared" si="15"/>
        <v>0</v>
      </c>
      <c r="J29" s="97">
        <f>SUMIF(NFI_Pipeline_Township,$A27,NFI_Core_Pipeline)</f>
        <v>0</v>
      </c>
      <c r="L29" s="793"/>
      <c r="M29" s="793"/>
      <c r="N29" s="12">
        <f t="shared" si="16"/>
        <v>0</v>
      </c>
    </row>
    <row r="30" spans="1:14" s="90" customFormat="1" ht="15" hidden="1" customHeight="1" x14ac:dyDescent="0.25">
      <c r="A30" s="98" t="s">
        <v>18</v>
      </c>
      <c r="B30" s="108">
        <f>SUMIF(Camplist_Township,'NFI Distribution (by Tship)'!$A30,Camplist_HH)</f>
        <v>75</v>
      </c>
      <c r="C30" s="108">
        <f>SUMIF(Camplist_Township,'NFI Distribution (by Tship)'!$A30,Camplist_Popl)</f>
        <v>264</v>
      </c>
      <c r="D30" s="108">
        <f t="shared" si="11"/>
        <v>0</v>
      </c>
      <c r="E30" s="108">
        <f t="shared" si="12"/>
        <v>0</v>
      </c>
      <c r="F30" s="108">
        <f>SUMIF(NFI_Pipeline_Township,$A28,NFI_Hygiene_Pipeline)</f>
        <v>0</v>
      </c>
      <c r="G30" s="109">
        <f t="shared" si="13"/>
        <v>75</v>
      </c>
      <c r="H30" s="97">
        <f t="shared" si="14"/>
        <v>0</v>
      </c>
      <c r="I30" s="97">
        <f t="shared" si="15"/>
        <v>0</v>
      </c>
      <c r="J30" s="97">
        <f>SUMIF(NFI_Pipeline_Township,$A28,NFI_Core_Pipeline)</f>
        <v>0</v>
      </c>
      <c r="L30" s="793"/>
      <c r="M30" s="793"/>
      <c r="N30" s="12">
        <f t="shared" si="16"/>
        <v>0</v>
      </c>
    </row>
    <row r="31" spans="1:14" s="90" customFormat="1" ht="15" hidden="1" customHeight="1" x14ac:dyDescent="0.25">
      <c r="A31" s="98" t="s">
        <v>16</v>
      </c>
      <c r="B31" s="108">
        <f>SUMIF(Camplist_Township,'NFI Distribution (by Tship)'!$A31,Camplist_HH)</f>
        <v>747</v>
      </c>
      <c r="C31" s="108">
        <f>SUMIF(Camplist_Township,'NFI Distribution (by Tship)'!$A31,Camplist_Popl)</f>
        <v>4055</v>
      </c>
      <c r="D31" s="108">
        <f t="shared" si="11"/>
        <v>0</v>
      </c>
      <c r="E31" s="108">
        <f t="shared" si="12"/>
        <v>0</v>
      </c>
      <c r="F31" s="108">
        <f>SUMIF(NFI_Pipeline_Township,$A29,NFI_Hygiene_Pipeline)</f>
        <v>0</v>
      </c>
      <c r="G31" s="109">
        <f t="shared" si="13"/>
        <v>747</v>
      </c>
      <c r="H31" s="97">
        <f t="shared" si="14"/>
        <v>270</v>
      </c>
      <c r="I31" s="97">
        <f t="shared" si="15"/>
        <v>0</v>
      </c>
      <c r="J31" s="97">
        <f>SUMIF(NFI_Pipeline_Township,$A29,NFI_Core_Pipeline)</f>
        <v>0</v>
      </c>
      <c r="L31" s="793"/>
      <c r="M31" s="793"/>
      <c r="N31" s="12">
        <f t="shared" si="16"/>
        <v>0</v>
      </c>
    </row>
    <row r="32" spans="1:14" s="90" customFormat="1" ht="15" hidden="1" customHeight="1" x14ac:dyDescent="0.25">
      <c r="A32" s="100" t="s">
        <v>19</v>
      </c>
      <c r="B32" s="108">
        <f>SUMIF(Camplist_Township,'NFI Distribution (by Tship)'!$A32,Camplist_HH)</f>
        <v>18676</v>
      </c>
      <c r="C32" s="108">
        <f>SUMIF(Camplist_Township,'NFI Distribution (by Tship)'!$A32,Camplist_Popl)</f>
        <v>99315</v>
      </c>
      <c r="D32" s="108">
        <f t="shared" si="11"/>
        <v>1000</v>
      </c>
      <c r="E32" s="108">
        <f t="shared" si="12"/>
        <v>68</v>
      </c>
      <c r="F32" s="108">
        <f>SUMIF(NFI_Pipeline_Township,$A30,NFI_Hygiene_Pipeline)</f>
        <v>0</v>
      </c>
      <c r="G32" s="109">
        <f t="shared" si="13"/>
        <v>17608</v>
      </c>
      <c r="H32" s="97">
        <f t="shared" si="14"/>
        <v>1979</v>
      </c>
      <c r="I32" s="97">
        <f t="shared" si="15"/>
        <v>0</v>
      </c>
      <c r="J32" s="97">
        <f>SUMIF(NFI_Pipeline_Township,$A30,NFI_Core_Pipeline)</f>
        <v>0</v>
      </c>
      <c r="L32" s="793"/>
      <c r="M32" s="793"/>
      <c r="N32" s="12">
        <f t="shared" si="16"/>
        <v>2276</v>
      </c>
    </row>
    <row r="33" spans="1:28" s="90" customFormat="1" ht="15" hidden="1" customHeight="1" x14ac:dyDescent="0.25">
      <c r="A33" s="101" t="s">
        <v>5</v>
      </c>
      <c r="B33" s="101">
        <f t="shared" ref="B33:J33" si="17">SUM(B23:B32)</f>
        <v>26152</v>
      </c>
      <c r="C33" s="101">
        <f t="shared" si="17"/>
        <v>137402</v>
      </c>
      <c r="D33" s="101">
        <f t="shared" si="17"/>
        <v>1000</v>
      </c>
      <c r="E33" s="101">
        <f t="shared" si="17"/>
        <v>68</v>
      </c>
      <c r="F33" s="101">
        <f t="shared" si="17"/>
        <v>0</v>
      </c>
      <c r="G33" s="110">
        <f t="shared" si="17"/>
        <v>25084</v>
      </c>
      <c r="H33" s="101">
        <f t="shared" si="17"/>
        <v>2249</v>
      </c>
      <c r="I33" s="101">
        <f t="shared" si="17"/>
        <v>494</v>
      </c>
      <c r="J33" s="101">
        <f t="shared" si="17"/>
        <v>0</v>
      </c>
      <c r="L33" s="793"/>
      <c r="M33" s="793"/>
      <c r="N33" s="13">
        <f>SUM(N23:N32)</f>
        <v>2276</v>
      </c>
    </row>
    <row r="34" spans="1:28" x14ac:dyDescent="0.25">
      <c r="A34" s="102"/>
      <c r="B34" s="102"/>
      <c r="C34" s="102"/>
      <c r="D34" s="102"/>
      <c r="E34" s="102"/>
      <c r="F34" s="102"/>
      <c r="G34" s="102"/>
      <c r="H34" s="102"/>
      <c r="I34" s="102"/>
      <c r="J34" s="102"/>
      <c r="K34" s="90"/>
    </row>
    <row r="35" spans="1:28" s="793" customFormat="1" x14ac:dyDescent="0.25">
      <c r="A35" s="102"/>
      <c r="B35" s="102"/>
      <c r="C35" s="102"/>
      <c r="D35" s="102"/>
      <c r="E35" s="102"/>
      <c r="F35" s="102"/>
      <c r="G35" s="102"/>
      <c r="H35" s="102"/>
      <c r="I35" s="102"/>
      <c r="J35" s="102"/>
    </row>
    <row r="36" spans="1:28" s="793" customFormat="1" x14ac:dyDescent="0.25">
      <c r="A36" s="102"/>
      <c r="B36" s="102"/>
      <c r="C36" s="102"/>
      <c r="D36" s="102"/>
      <c r="E36" s="102"/>
      <c r="F36" s="102"/>
      <c r="G36" s="102"/>
      <c r="H36" s="102"/>
      <c r="I36" s="102"/>
      <c r="J36" s="102"/>
    </row>
    <row r="37" spans="1:28" s="793" customFormat="1" x14ac:dyDescent="0.25">
      <c r="A37" s="102"/>
      <c r="B37" s="102"/>
      <c r="C37" s="102"/>
      <c r="D37" s="102"/>
      <c r="E37" s="102"/>
      <c r="F37" s="102"/>
      <c r="G37" s="102"/>
      <c r="H37" s="102"/>
      <c r="I37" s="102"/>
      <c r="J37" s="102"/>
    </row>
    <row r="38" spans="1:28" s="793" customFormat="1" x14ac:dyDescent="0.25">
      <c r="A38" s="102"/>
      <c r="B38" s="102"/>
      <c r="C38" s="102"/>
      <c r="D38" s="102"/>
      <c r="E38" s="102"/>
      <c r="F38" s="102"/>
      <c r="G38" s="102"/>
      <c r="H38" s="102"/>
      <c r="I38" s="102"/>
      <c r="J38" s="102"/>
    </row>
    <row r="39" spans="1:28" s="793" customFormat="1" ht="15.75" thickBot="1" x14ac:dyDescent="0.3">
      <c r="A39" s="102"/>
      <c r="B39" s="102"/>
      <c r="C39" s="102"/>
      <c r="D39" s="102"/>
      <c r="E39" s="102"/>
      <c r="F39" s="102"/>
      <c r="G39" s="102"/>
      <c r="H39" s="102"/>
      <c r="I39" s="102"/>
      <c r="J39" s="102"/>
      <c r="P39" s="847" t="s">
        <v>10</v>
      </c>
      <c r="Q39" s="156" t="s">
        <v>653</v>
      </c>
    </row>
    <row r="40" spans="1:28" ht="15" customHeight="1" x14ac:dyDescent="0.25">
      <c r="A40" s="1114" t="s">
        <v>1093</v>
      </c>
      <c r="B40" s="1115"/>
      <c r="C40" s="1115"/>
      <c r="D40" s="1115"/>
      <c r="E40" s="1115"/>
      <c r="F40" s="1115"/>
      <c r="G40" s="1115"/>
      <c r="H40" s="1115"/>
      <c r="I40" s="1115"/>
      <c r="J40" s="1115"/>
      <c r="K40" s="1115"/>
      <c r="L40" s="1115"/>
      <c r="M40" s="1116"/>
      <c r="P40" s="847" t="s">
        <v>232</v>
      </c>
      <c r="Q40" s="156" t="s">
        <v>768</v>
      </c>
      <c r="R40" s="1122" t="s">
        <v>1094</v>
      </c>
      <c r="S40" s="1123"/>
      <c r="T40" s="1123"/>
      <c r="U40" s="1123"/>
      <c r="V40" s="1123"/>
      <c r="W40" s="1123"/>
      <c r="X40" s="1123"/>
      <c r="Y40" s="1123"/>
      <c r="Z40" s="1123"/>
      <c r="AA40" s="1123"/>
      <c r="AB40" s="1123"/>
    </row>
    <row r="41" spans="1:28" s="90" customFormat="1" ht="15.75" customHeight="1" thickBot="1" x14ac:dyDescent="0.3">
      <c r="A41" s="1117"/>
      <c r="B41" s="1118"/>
      <c r="C41" s="1118"/>
      <c r="D41" s="1118"/>
      <c r="E41" s="1118"/>
      <c r="F41" s="1118"/>
      <c r="G41" s="1118"/>
      <c r="H41" s="1118"/>
      <c r="I41" s="1118"/>
      <c r="J41" s="1118"/>
      <c r="K41" s="1118"/>
      <c r="L41" s="1118"/>
      <c r="M41" s="1119"/>
      <c r="P41" s="847" t="s">
        <v>346</v>
      </c>
      <c r="Q41" s="156" t="s">
        <v>348</v>
      </c>
      <c r="R41" s="1122"/>
      <c r="S41" s="1123"/>
      <c r="T41" s="1123"/>
      <c r="U41" s="1123"/>
      <c r="V41" s="1123"/>
      <c r="W41" s="1123"/>
      <c r="X41" s="1123"/>
      <c r="Y41" s="1123"/>
      <c r="Z41" s="1123"/>
      <c r="AA41" s="1123"/>
      <c r="AB41" s="1123"/>
    </row>
    <row r="42" spans="1:28" x14ac:dyDescent="0.25">
      <c r="J42" s="102"/>
      <c r="K42" s="4"/>
      <c r="L42" s="4"/>
      <c r="M42" s="4"/>
      <c r="N42" s="4"/>
      <c r="P42" s="102"/>
      <c r="Q42" s="102"/>
      <c r="R42" s="102"/>
      <c r="S42" s="102"/>
      <c r="T42" s="102"/>
      <c r="U42" s="102"/>
      <c r="V42" s="102"/>
      <c r="W42" s="102"/>
      <c r="X42" s="102"/>
    </row>
    <row r="43" spans="1:28" x14ac:dyDescent="0.25">
      <c r="A43" s="816" t="s">
        <v>1</v>
      </c>
      <c r="B43" s="115" t="s">
        <v>302</v>
      </c>
      <c r="C43" s="115" t="s">
        <v>909</v>
      </c>
      <c r="D43" s="115" t="s">
        <v>910</v>
      </c>
      <c r="E43" s="115" t="s">
        <v>911</v>
      </c>
      <c r="F43" s="115" t="s">
        <v>912</v>
      </c>
      <c r="G43" s="115" t="s">
        <v>913</v>
      </c>
      <c r="H43" s="115" t="s">
        <v>914</v>
      </c>
      <c r="I43" s="184" t="s">
        <v>937</v>
      </c>
      <c r="J43" s="115" t="s">
        <v>915</v>
      </c>
      <c r="K43" s="115" t="s">
        <v>1117</v>
      </c>
      <c r="L43" s="115" t="s">
        <v>1118</v>
      </c>
      <c r="M43" s="115" t="s">
        <v>1119</v>
      </c>
      <c r="N43" s="4"/>
      <c r="P43" s="847" t="s">
        <v>212</v>
      </c>
      <c r="Q43" s="156" t="s">
        <v>1142</v>
      </c>
      <c r="R43" s="156" t="s">
        <v>909</v>
      </c>
      <c r="S43" s="156" t="s">
        <v>910</v>
      </c>
      <c r="T43" s="156" t="s">
        <v>911</v>
      </c>
      <c r="U43" s="156" t="s">
        <v>912</v>
      </c>
      <c r="V43" s="156" t="s">
        <v>913</v>
      </c>
      <c r="W43" s="156" t="s">
        <v>914</v>
      </c>
      <c r="X43" s="156" t="s">
        <v>937</v>
      </c>
      <c r="Y43" s="156" t="s">
        <v>915</v>
      </c>
      <c r="Z43" s="156" t="s">
        <v>1130</v>
      </c>
      <c r="AA43" s="156" t="s">
        <v>1129</v>
      </c>
      <c r="AB43" s="156" t="s">
        <v>1128</v>
      </c>
    </row>
    <row r="44" spans="1:28" x14ac:dyDescent="0.25">
      <c r="A44" s="196" t="str">
        <f>P44</f>
        <v>Pauktaw</v>
      </c>
      <c r="B44" s="242">
        <f>GETPIVOTDATA("Sanitary Kit ",$P$43,"Township","Pauktaw")</f>
        <v>0</v>
      </c>
      <c r="C44" s="242">
        <f>GETPIVOTDATA(" Mosquito net",$P$43,"Township","Pauktaw")/2</f>
        <v>1047</v>
      </c>
      <c r="D44" s="242">
        <f>GETPIVOTDATA(" Tarpaulin",$P$43,"Township","Pauktaw")</f>
        <v>60</v>
      </c>
      <c r="E44" s="242">
        <f>GETPIVOTDATA(" Blanket",$P$43,"Township","Pauktaw")</f>
        <v>0</v>
      </c>
      <c r="F44" s="242">
        <f>GETPIVOTDATA(" Kitchen Set",$P$43,"Township","Pauktaw")</f>
        <v>2084</v>
      </c>
      <c r="G44" s="242">
        <f>GETPIVOTDATA(" Complementary Kit",$P$43,"Township","Pauktaw")</f>
        <v>0</v>
      </c>
      <c r="H44" s="242">
        <f>GETPIVOTDATA(" Plastic Bucket",$P$43,"Township","Pauktaw")</f>
        <v>0</v>
      </c>
      <c r="I44" s="821">
        <f>GETPIVOTDATA(" Jerry Can",$P$43,"Township","Pauktaw")</f>
        <v>0</v>
      </c>
      <c r="J44" s="929">
        <f>GETPIVOTDATA(" Plastic  Mat",$P$43,"Township","Pauktaw")</f>
        <v>0</v>
      </c>
      <c r="K44" s="930">
        <f>GETPIVOTDATA("Adult Clothes ",$P$43,"Township","Pauktaw")</f>
        <v>2020</v>
      </c>
      <c r="L44" s="930">
        <f>GETPIVOTDATA("Children Clothes ",$P$43,"Township","Pauktaw")</f>
        <v>0</v>
      </c>
      <c r="M44" s="930">
        <f>GETPIVOTDATA("Sewing Kit ",$P$43,"Township","Pauktaw")</f>
        <v>0</v>
      </c>
      <c r="N44" s="4"/>
      <c r="P44" s="843" t="s">
        <v>14</v>
      </c>
      <c r="Q44" s="848">
        <v>0</v>
      </c>
      <c r="R44" s="848">
        <v>2094</v>
      </c>
      <c r="S44" s="848">
        <v>60</v>
      </c>
      <c r="T44" s="848">
        <v>0</v>
      </c>
      <c r="U44" s="848">
        <v>2084</v>
      </c>
      <c r="V44" s="848">
        <v>0</v>
      </c>
      <c r="W44" s="848">
        <v>0</v>
      </c>
      <c r="X44" s="848">
        <v>0</v>
      </c>
      <c r="Y44" s="848">
        <v>0</v>
      </c>
      <c r="Z44" s="848">
        <v>2020</v>
      </c>
      <c r="AA44" s="848">
        <v>0</v>
      </c>
      <c r="AB44" s="848">
        <v>0</v>
      </c>
    </row>
    <row r="45" spans="1:28" x14ac:dyDescent="0.25">
      <c r="A45" s="196" t="str">
        <f>P45</f>
        <v>Rathedaung</v>
      </c>
      <c r="B45" s="242">
        <f>GETPIVOTDATA("Sanitary Kit ",$P$43,"Township","Rathedaung")</f>
        <v>0</v>
      </c>
      <c r="C45" s="242">
        <f>GETPIVOTDATA(" Mosquito net",$P$43,"Township","Rathedaung")</f>
        <v>0</v>
      </c>
      <c r="D45" s="242">
        <f>GETPIVOTDATA(" Tarpaulin",$P$43,"Township","Rathedaung")</f>
        <v>0</v>
      </c>
      <c r="E45" s="242">
        <f>GETPIVOTDATA(" Blanket",$P$43,"Township","Rathedaung")/2</f>
        <v>135</v>
      </c>
      <c r="F45" s="242">
        <f>GETPIVOTDATA(" Kitchen Set",$P$43,"Township","Rathedaung")</f>
        <v>0</v>
      </c>
      <c r="G45" s="242">
        <f>GETPIVOTDATA(" Complementary Kit",$P$43,"Township","Rathedaung")</f>
        <v>0</v>
      </c>
      <c r="H45" s="242">
        <f>GETPIVOTDATA(" Plastic Bucket",$P$43,"Township","Rathedaung")</f>
        <v>0</v>
      </c>
      <c r="I45" s="821">
        <f>GETPIVOTDATA(" Jerry Can",$P$43,"Township","Rathedaung")</f>
        <v>0</v>
      </c>
      <c r="J45" s="929">
        <f>GETPIVOTDATA(" Plastic  Mat",$P$43,"Township","Rathedaung")</f>
        <v>0</v>
      </c>
      <c r="K45" s="242">
        <f>GETPIVOTDATA("Adult Clothes ",$P$43,"Township","Rathedaung")</f>
        <v>0</v>
      </c>
      <c r="L45" s="242">
        <f>GETPIVOTDATA("Children Clothes ",$P$43,"Township","Rathedaung")</f>
        <v>0</v>
      </c>
      <c r="M45" s="242">
        <f>GETPIVOTDATA("Sewing Kit ",$P$43,"Township","Rathedaung")</f>
        <v>0</v>
      </c>
      <c r="N45" s="4"/>
      <c r="P45" s="843" t="s">
        <v>16</v>
      </c>
      <c r="Q45" s="848">
        <v>0</v>
      </c>
      <c r="R45" s="848">
        <v>0</v>
      </c>
      <c r="S45" s="848">
        <v>0</v>
      </c>
      <c r="T45" s="848">
        <v>270</v>
      </c>
      <c r="U45" s="848">
        <v>0</v>
      </c>
      <c r="V45" s="848">
        <v>0</v>
      </c>
      <c r="W45" s="848">
        <v>0</v>
      </c>
      <c r="X45" s="848">
        <v>0</v>
      </c>
      <c r="Y45" s="848">
        <v>0</v>
      </c>
      <c r="Z45" s="848">
        <v>0</v>
      </c>
      <c r="AA45" s="848">
        <v>0</v>
      </c>
      <c r="AB45" s="848">
        <v>0</v>
      </c>
    </row>
    <row r="46" spans="1:28" x14ac:dyDescent="0.25">
      <c r="A46" s="196" t="str">
        <f>P46</f>
        <v>Sittwe</v>
      </c>
      <c r="B46" s="242">
        <f>GETPIVOTDATA("Sanitary Kit ",$P$43,"Township","Sittwe")</f>
        <v>2276</v>
      </c>
      <c r="C46" s="242">
        <f>GETPIVOTDATA(" Mosquito net",$P$43,"Township","Sittwe")/2</f>
        <v>3639.5</v>
      </c>
      <c r="D46" s="242">
        <f>GETPIVOTDATA(" Tarpaulin",$P$43,"Township","Sittwe")</f>
        <v>424</v>
      </c>
      <c r="E46" s="242">
        <f>GETPIVOTDATA(" Blanket",$P$43,"Township","Sittwe")/2</f>
        <v>4332.5</v>
      </c>
      <c r="F46" s="242">
        <f>GETPIVOTDATA(" Kitchen Set",$P$43,"Township","Sittwe")</f>
        <v>1196</v>
      </c>
      <c r="G46" s="242">
        <f>GETPIVOTDATA(" Complementary Kit",$P$43,"Township","Pauktaw")</f>
        <v>0</v>
      </c>
      <c r="H46" s="242">
        <f>GETPIVOTDATA(" Plastic Bucket",$P$43,"Township","Sittwe")</f>
        <v>4726</v>
      </c>
      <c r="I46" s="821">
        <f>GETPIVOTDATA(" Jerry Can",$P$43,"Township","Sittwe")</f>
        <v>7161</v>
      </c>
      <c r="J46" s="929">
        <f>GETPIVOTDATA(" Plastic  Mat",$P$43,"Township","Sittwe")/5</f>
        <v>8941.5</v>
      </c>
      <c r="K46" s="242">
        <f>GETPIVOTDATA("Adult Clothes ",$P$43,"Township","Sittwe")</f>
        <v>7205</v>
      </c>
      <c r="L46" s="242">
        <f>GETPIVOTDATA("Children Clothes ",$P$43,"Township","Sittwe")</f>
        <v>6363</v>
      </c>
      <c r="M46" s="242"/>
      <c r="N46" s="4"/>
      <c r="P46" s="843" t="s">
        <v>19</v>
      </c>
      <c r="Q46" s="848">
        <v>2276</v>
      </c>
      <c r="R46" s="848">
        <v>7279</v>
      </c>
      <c r="S46" s="848">
        <v>424</v>
      </c>
      <c r="T46" s="848">
        <v>8665</v>
      </c>
      <c r="U46" s="848">
        <v>1196</v>
      </c>
      <c r="V46" s="848">
        <v>0</v>
      </c>
      <c r="W46" s="848">
        <v>4726</v>
      </c>
      <c r="X46" s="848">
        <v>7161</v>
      </c>
      <c r="Y46" s="848">
        <v>44707.5</v>
      </c>
      <c r="Z46" s="848">
        <v>7205</v>
      </c>
      <c r="AA46" s="848">
        <v>6363</v>
      </c>
      <c r="AB46" s="848">
        <v>0</v>
      </c>
    </row>
    <row r="47" spans="1:28" x14ac:dyDescent="0.25">
      <c r="A47" s="196" t="str">
        <f>P47</f>
        <v>Myebon</v>
      </c>
      <c r="B47" s="242">
        <f>GETPIVOTDATA("Sanitary Kit ",$P$43,"Township","Myebon")</f>
        <v>1325</v>
      </c>
      <c r="C47" s="242">
        <f>GETPIVOTDATA(" Mosquito net",$P$43,"Township","Myebon")/2</f>
        <v>345</v>
      </c>
      <c r="D47" s="242"/>
      <c r="E47" s="242">
        <f>GETPIVOTDATA(" Blanket",$P$43,"Township","Myebon")/2</f>
        <v>351.5</v>
      </c>
      <c r="F47" s="242">
        <f>GETPIVOTDATA(" Kitchen Set",$P$43,"Township","Myebon")</f>
        <v>0</v>
      </c>
      <c r="G47" s="242">
        <f>GETPIVOTDATA(" Complementary Kit",$P$43,"Township","Myebon")</f>
        <v>195</v>
      </c>
      <c r="H47" s="242"/>
      <c r="I47" s="821"/>
      <c r="J47" s="242"/>
      <c r="K47" s="242">
        <f>GETPIVOTDATA("Adult Clothes ",$P$43,"Township","Myebon")</f>
        <v>628</v>
      </c>
      <c r="L47" s="242"/>
      <c r="M47" s="242">
        <f>GETPIVOTDATA("Sewing Kit ",$P$43,"Township","Myebon")</f>
        <v>628</v>
      </c>
      <c r="N47" s="4"/>
      <c r="P47" s="843" t="s">
        <v>867</v>
      </c>
      <c r="Q47" s="848">
        <v>1325</v>
      </c>
      <c r="R47" s="848">
        <v>690</v>
      </c>
      <c r="S47" s="848">
        <v>0</v>
      </c>
      <c r="T47" s="848">
        <v>703</v>
      </c>
      <c r="U47" s="848">
        <v>0</v>
      </c>
      <c r="V47" s="848">
        <v>195</v>
      </c>
      <c r="W47" s="848">
        <v>0</v>
      </c>
      <c r="X47" s="848">
        <v>0</v>
      </c>
      <c r="Y47" s="848">
        <v>0</v>
      </c>
      <c r="Z47" s="848">
        <v>628</v>
      </c>
      <c r="AA47" s="848">
        <v>0</v>
      </c>
      <c r="AB47" s="848">
        <v>628</v>
      </c>
    </row>
    <row r="48" spans="1:28" x14ac:dyDescent="0.25">
      <c r="A48" s="196" t="str">
        <f>P48</f>
        <v xml:space="preserve">Kyaukpyu </v>
      </c>
      <c r="B48" s="242"/>
      <c r="C48" s="242"/>
      <c r="D48" s="242"/>
      <c r="E48" s="242">
        <f>GETPIVOTDATA(" Blanket",$P$43,"Township","Kyaukpyu ")/2</f>
        <v>459.5</v>
      </c>
      <c r="F48" s="242"/>
      <c r="G48" s="242"/>
      <c r="H48" s="242"/>
      <c r="I48" s="821"/>
      <c r="J48" s="242"/>
      <c r="K48" s="242"/>
      <c r="L48" s="242"/>
      <c r="M48" s="242"/>
      <c r="N48" s="4"/>
      <c r="P48" s="843" t="s">
        <v>1145</v>
      </c>
      <c r="Q48" s="848">
        <v>0</v>
      </c>
      <c r="R48" s="848">
        <v>0</v>
      </c>
      <c r="S48" s="848">
        <v>0</v>
      </c>
      <c r="T48" s="848">
        <v>919</v>
      </c>
      <c r="U48" s="848">
        <v>0</v>
      </c>
      <c r="V48" s="848">
        <v>0</v>
      </c>
      <c r="W48" s="848">
        <v>0</v>
      </c>
      <c r="X48" s="848">
        <v>0</v>
      </c>
      <c r="Y48" s="848">
        <v>0</v>
      </c>
      <c r="Z48" s="848">
        <v>0</v>
      </c>
      <c r="AA48" s="848">
        <v>0</v>
      </c>
      <c r="AB48" s="848">
        <v>0</v>
      </c>
    </row>
    <row r="49" spans="1:28" x14ac:dyDescent="0.25">
      <c r="A49" s="196"/>
      <c r="B49" s="242"/>
      <c r="C49" s="242"/>
      <c r="D49" s="242"/>
      <c r="E49" s="242"/>
      <c r="F49" s="242"/>
      <c r="G49" s="242"/>
      <c r="H49" s="242"/>
      <c r="I49" s="821"/>
      <c r="J49" s="242"/>
      <c r="K49" s="242"/>
      <c r="L49" s="242"/>
      <c r="M49" s="242"/>
      <c r="N49" s="4"/>
      <c r="P49" s="843" t="s">
        <v>213</v>
      </c>
      <c r="Q49" s="848">
        <v>3601</v>
      </c>
      <c r="R49" s="848">
        <v>10063</v>
      </c>
      <c r="S49" s="848">
        <v>484</v>
      </c>
      <c r="T49" s="848">
        <v>10557</v>
      </c>
      <c r="U49" s="848">
        <v>3280</v>
      </c>
      <c r="V49" s="848">
        <v>195</v>
      </c>
      <c r="W49" s="848">
        <v>4726</v>
      </c>
      <c r="X49" s="848">
        <v>7161</v>
      </c>
      <c r="Y49" s="848">
        <v>44707.5</v>
      </c>
      <c r="Z49" s="848">
        <v>9853</v>
      </c>
      <c r="AA49" s="848">
        <v>6363</v>
      </c>
      <c r="AB49" s="848">
        <v>628</v>
      </c>
    </row>
    <row r="50" spans="1:28" x14ac:dyDescent="0.25">
      <c r="A50" s="987" t="s">
        <v>213</v>
      </c>
      <c r="B50" s="980">
        <f t="shared" ref="B50:M50" si="18">SUBTOTAL(109,B44:B49)</f>
        <v>3601</v>
      </c>
      <c r="C50" s="980">
        <f t="shared" si="18"/>
        <v>5031.5</v>
      </c>
      <c r="D50" s="980">
        <f t="shared" si="18"/>
        <v>484</v>
      </c>
      <c r="E50" s="980">
        <f t="shared" si="18"/>
        <v>5278.5</v>
      </c>
      <c r="F50" s="980">
        <f t="shared" si="18"/>
        <v>3280</v>
      </c>
      <c r="G50" s="980">
        <f t="shared" si="18"/>
        <v>195</v>
      </c>
      <c r="H50" s="980">
        <f t="shared" si="18"/>
        <v>4726</v>
      </c>
      <c r="I50" s="981">
        <f t="shared" si="18"/>
        <v>7161</v>
      </c>
      <c r="J50" s="980">
        <f t="shared" si="18"/>
        <v>8941.5</v>
      </c>
      <c r="K50" s="980">
        <f t="shared" si="18"/>
        <v>9853</v>
      </c>
      <c r="L50" s="980">
        <f t="shared" si="18"/>
        <v>6363</v>
      </c>
      <c r="M50" s="980">
        <f t="shared" si="18"/>
        <v>628</v>
      </c>
      <c r="N50" s="4"/>
    </row>
    <row r="51" spans="1:28" x14ac:dyDescent="0.25">
      <c r="J51" s="4"/>
      <c r="K51" s="4"/>
      <c r="L51" s="4"/>
      <c r="M51" s="4"/>
      <c r="N51" s="4"/>
    </row>
    <row r="52" spans="1:28" s="90" customFormat="1" ht="15.75" thickBot="1" x14ac:dyDescent="0.3">
      <c r="D52" s="48"/>
      <c r="E52" s="4"/>
      <c r="F52" s="4"/>
      <c r="G52" s="4"/>
      <c r="H52" s="4"/>
      <c r="I52" s="4"/>
      <c r="J52" s="4"/>
      <c r="K52" s="4"/>
      <c r="L52" s="4"/>
      <c r="M52" s="4"/>
      <c r="N52" s="4"/>
      <c r="P52" s="847" t="s">
        <v>232</v>
      </c>
      <c r="Q52" s="156" t="s">
        <v>768</v>
      </c>
    </row>
    <row r="53" spans="1:28" ht="15" customHeight="1" x14ac:dyDescent="0.25">
      <c r="A53" s="1100" t="s">
        <v>1144</v>
      </c>
      <c r="B53" s="1101"/>
      <c r="C53" s="1101"/>
      <c r="D53" s="1101"/>
      <c r="E53" s="1101"/>
      <c r="F53" s="1101"/>
      <c r="G53" s="1101"/>
      <c r="H53" s="1101"/>
      <c r="I53" s="1101"/>
      <c r="J53" s="1101"/>
      <c r="K53" s="1101"/>
      <c r="L53" s="1101"/>
      <c r="M53" s="1102"/>
      <c r="N53" s="4"/>
      <c r="P53" s="847" t="s">
        <v>10</v>
      </c>
      <c r="Q53" s="156" t="s">
        <v>653</v>
      </c>
      <c r="R53" s="1124" t="s">
        <v>1095</v>
      </c>
      <c r="S53" s="1123"/>
      <c r="T53" s="1123"/>
      <c r="U53" s="1123"/>
      <c r="V53" s="1123"/>
      <c r="W53" s="1123"/>
      <c r="X53" s="1123"/>
      <c r="Y53" s="1123"/>
      <c r="Z53" s="1123"/>
      <c r="AA53" s="1123"/>
      <c r="AB53" s="1123"/>
    </row>
    <row r="54" spans="1:28" ht="15.75" customHeight="1" thickBot="1" x14ac:dyDescent="0.3">
      <c r="A54" s="1103"/>
      <c r="B54" s="1104"/>
      <c r="C54" s="1104"/>
      <c r="D54" s="1104"/>
      <c r="E54" s="1104"/>
      <c r="F54" s="1104"/>
      <c r="G54" s="1104"/>
      <c r="H54" s="1104"/>
      <c r="I54" s="1104"/>
      <c r="J54" s="1104"/>
      <c r="K54" s="1104"/>
      <c r="L54" s="1104"/>
      <c r="M54" s="1105"/>
      <c r="N54" s="4"/>
      <c r="P54" s="847" t="s">
        <v>346</v>
      </c>
      <c r="Q54" s="156" t="s">
        <v>348</v>
      </c>
      <c r="R54" s="1124"/>
      <c r="S54" s="1123"/>
      <c r="T54" s="1123"/>
      <c r="U54" s="1123"/>
      <c r="V54" s="1123"/>
      <c r="W54" s="1123"/>
      <c r="X54" s="1123"/>
      <c r="Y54" s="1123"/>
      <c r="Z54" s="1123"/>
      <c r="AA54" s="1123"/>
      <c r="AB54" s="1123"/>
    </row>
    <row r="55" spans="1:28" x14ac:dyDescent="0.25">
      <c r="J55" s="4"/>
      <c r="K55" s="4"/>
      <c r="L55" s="4"/>
      <c r="M55" s="4"/>
      <c r="N55" s="4"/>
      <c r="P55" s="102"/>
      <c r="Q55" s="102"/>
      <c r="R55" s="937"/>
      <c r="S55" s="937"/>
      <c r="T55" s="937"/>
      <c r="U55" s="102"/>
      <c r="V55" s="102"/>
      <c r="W55" s="102"/>
      <c r="X55" s="102"/>
    </row>
    <row r="56" spans="1:28" x14ac:dyDescent="0.25">
      <c r="A56" s="816" t="s">
        <v>200</v>
      </c>
      <c r="B56" s="115" t="s">
        <v>302</v>
      </c>
      <c r="C56" s="115" t="s">
        <v>909</v>
      </c>
      <c r="D56" s="115" t="s">
        <v>910</v>
      </c>
      <c r="E56" s="115" t="s">
        <v>911</v>
      </c>
      <c r="F56" s="115" t="s">
        <v>912</v>
      </c>
      <c r="G56" s="115" t="s">
        <v>913</v>
      </c>
      <c r="H56" s="115" t="s">
        <v>914</v>
      </c>
      <c r="I56" s="184" t="s">
        <v>937</v>
      </c>
      <c r="J56" s="115" t="s">
        <v>915</v>
      </c>
      <c r="K56" s="115" t="s">
        <v>1117</v>
      </c>
      <c r="L56" s="115" t="s">
        <v>1118</v>
      </c>
      <c r="M56" s="911" t="s">
        <v>1119</v>
      </c>
      <c r="N56" s="4"/>
      <c r="P56" s="847" t="s">
        <v>212</v>
      </c>
      <c r="Q56" s="156" t="s">
        <v>1142</v>
      </c>
      <c r="R56" s="156" t="s">
        <v>909</v>
      </c>
      <c r="S56" s="156" t="s">
        <v>910</v>
      </c>
      <c r="T56" s="156" t="s">
        <v>911</v>
      </c>
      <c r="U56" s="156" t="s">
        <v>912</v>
      </c>
      <c r="V56" s="156" t="s">
        <v>913</v>
      </c>
      <c r="W56" s="156" t="s">
        <v>914</v>
      </c>
      <c r="X56" s="156" t="s">
        <v>937</v>
      </c>
      <c r="Y56" s="156" t="s">
        <v>915</v>
      </c>
      <c r="Z56" s="156" t="s">
        <v>1130</v>
      </c>
      <c r="AA56" s="156" t="s">
        <v>1129</v>
      </c>
      <c r="AB56" s="156" t="s">
        <v>1128</v>
      </c>
    </row>
    <row r="57" spans="1:28" x14ac:dyDescent="0.25">
      <c r="A57" s="196" t="str">
        <f>P57</f>
        <v>CDN</v>
      </c>
      <c r="B57" s="242">
        <f>GETPIVOTDATA("Sanitary Kit ",$P$56,"Organization","CDN")</f>
        <v>799</v>
      </c>
      <c r="C57" s="242"/>
      <c r="D57" s="242"/>
      <c r="E57" s="242"/>
      <c r="F57" s="242"/>
      <c r="G57" s="242"/>
      <c r="H57" s="242"/>
      <c r="I57" s="821"/>
      <c r="J57" s="930"/>
      <c r="K57" s="930">
        <f>GETPIVOTDATA("Children Clothes ",$P$56,"Organization","SI")</f>
        <v>0</v>
      </c>
      <c r="L57" s="930"/>
      <c r="M57" s="794"/>
      <c r="P57" s="843" t="s">
        <v>519</v>
      </c>
      <c r="Q57" s="848">
        <v>799</v>
      </c>
      <c r="R57" s="848">
        <v>0</v>
      </c>
      <c r="S57" s="848">
        <v>0</v>
      </c>
      <c r="T57" s="848">
        <v>0</v>
      </c>
      <c r="U57" s="848">
        <v>0</v>
      </c>
      <c r="V57" s="848">
        <v>0</v>
      </c>
      <c r="W57" s="848">
        <v>0</v>
      </c>
      <c r="X57" s="848">
        <v>0</v>
      </c>
      <c r="Y57" s="848">
        <v>0</v>
      </c>
      <c r="Z57" s="848">
        <v>0</v>
      </c>
      <c r="AA57" s="848">
        <v>0</v>
      </c>
      <c r="AB57" s="848">
        <v>0</v>
      </c>
    </row>
    <row r="58" spans="1:28" x14ac:dyDescent="0.25">
      <c r="A58" s="196" t="str">
        <f t="shared" ref="A58:A63" si="19">P58</f>
        <v>DRC</v>
      </c>
      <c r="B58" s="242">
        <f>GETPIVOTDATA("Sanitary Kit ",$P$56,"Organization","DRC")</f>
        <v>424</v>
      </c>
      <c r="C58" s="242"/>
      <c r="D58" s="242">
        <f>GETPIVOTDATA(" Tarpaulin",$P$56,"Organization","DRC")</f>
        <v>424</v>
      </c>
      <c r="E58" s="242">
        <f>GETPIVOTDATA(" Complementary Kit",$P$56,"Organization","CDN")</f>
        <v>0</v>
      </c>
      <c r="F58" s="242"/>
      <c r="G58" s="242">
        <f>GETPIVOTDATA(" Plastic Bucket",$P$56,"Organization","CDN")</f>
        <v>0</v>
      </c>
      <c r="H58" s="242">
        <f>GETPIVOTDATA(" Jerry Can",$P$56,"Organization","CDN")</f>
        <v>0</v>
      </c>
      <c r="I58" s="821"/>
      <c r="J58" s="242">
        <f>GETPIVOTDATA(" Plastic  Mat",$P$56,"Organization","DRC")/5</f>
        <v>424</v>
      </c>
      <c r="K58" s="794"/>
      <c r="L58" s="242"/>
      <c r="M58" s="794"/>
      <c r="P58" s="843" t="s">
        <v>288</v>
      </c>
      <c r="Q58" s="848">
        <v>424</v>
      </c>
      <c r="R58" s="848">
        <v>0</v>
      </c>
      <c r="S58" s="848">
        <v>424</v>
      </c>
      <c r="T58" s="848">
        <v>0</v>
      </c>
      <c r="U58" s="848">
        <v>0</v>
      </c>
      <c r="V58" s="848">
        <v>0</v>
      </c>
      <c r="W58" s="848">
        <v>0</v>
      </c>
      <c r="X58" s="848">
        <v>0</v>
      </c>
      <c r="Y58" s="848">
        <v>2120</v>
      </c>
      <c r="Z58" s="848">
        <v>0</v>
      </c>
      <c r="AA58" s="848">
        <v>0</v>
      </c>
      <c r="AB58" s="848">
        <v>0</v>
      </c>
    </row>
    <row r="59" spans="1:28" x14ac:dyDescent="0.25">
      <c r="A59" s="196" t="str">
        <f t="shared" si="19"/>
        <v>NRC</v>
      </c>
      <c r="B59" s="242">
        <f>GETPIVOTDATA("Sanitary Kit ",$P$56,"Organization","NRC")</f>
        <v>656</v>
      </c>
      <c r="C59" s="242">
        <f>GETPIVOTDATA(" Mosquito net",$P$56,"Organization","NRC")/2</f>
        <v>1126.5</v>
      </c>
      <c r="D59" s="242">
        <f>GETPIVOTDATA(" Kitchen Set",$P$56,"Organization","DRC")</f>
        <v>0</v>
      </c>
      <c r="E59" s="242">
        <f>GETPIVOTDATA(" Blanket",$P$56,"Organization","NRC")/2</f>
        <v>965.5</v>
      </c>
      <c r="F59" s="242"/>
      <c r="G59" s="242">
        <f>GETPIVOTDATA(" Plastic Bucket",$P$56,"Organization","DRC")</f>
        <v>0</v>
      </c>
      <c r="H59" s="821">
        <f>GETPIVOTDATA(" Plastic Bucket",$P$56,"Organization","NRC")</f>
        <v>3276</v>
      </c>
      <c r="I59" s="242">
        <f>GETPIVOTDATA(" Jerry Can",$P$56,"Organization","NRC")</f>
        <v>3276</v>
      </c>
      <c r="J59" s="242">
        <f>GETPIVOTDATA(" Plastic  Mat",$P$56,"Organization","NRC")/5</f>
        <v>1638</v>
      </c>
      <c r="K59" s="794"/>
      <c r="L59" s="242"/>
      <c r="M59" s="794"/>
      <c r="P59" s="843" t="s">
        <v>971</v>
      </c>
      <c r="Q59" s="848">
        <v>656</v>
      </c>
      <c r="R59" s="848">
        <v>2253</v>
      </c>
      <c r="S59" s="848">
        <v>0</v>
      </c>
      <c r="T59" s="848">
        <v>1931</v>
      </c>
      <c r="U59" s="848">
        <v>0</v>
      </c>
      <c r="V59" s="848">
        <v>0</v>
      </c>
      <c r="W59" s="848">
        <v>3276</v>
      </c>
      <c r="X59" s="848">
        <v>3276</v>
      </c>
      <c r="Y59" s="848">
        <v>8190</v>
      </c>
      <c r="Z59" s="848">
        <v>0</v>
      </c>
      <c r="AA59" s="848">
        <v>0</v>
      </c>
      <c r="AB59" s="848">
        <v>0</v>
      </c>
    </row>
    <row r="60" spans="1:28" x14ac:dyDescent="0.25">
      <c r="A60" s="196" t="str">
        <f t="shared" si="19"/>
        <v>RI</v>
      </c>
      <c r="B60" s="242">
        <f>GETPIVOTDATA("Sanitary Kit ",$P$56,"Organization","RI")</f>
        <v>1325</v>
      </c>
      <c r="C60" s="242"/>
      <c r="D60" s="242"/>
      <c r="E60" s="242">
        <f>GETPIVOTDATA(" Blanket",$P$56,"Organization","RI")/2</f>
        <v>351.5</v>
      </c>
      <c r="F60" s="242"/>
      <c r="G60" s="242">
        <f>GETPIVOTDATA(" Complementary Kit",$P$56,"Organization","RI")</f>
        <v>195</v>
      </c>
      <c r="I60" s="821"/>
      <c r="J60" s="242"/>
      <c r="K60" s="242">
        <f>GETPIVOTDATA("Adult Clothes ",$P$56,"Organization","RI")</f>
        <v>628</v>
      </c>
      <c r="M60" s="794">
        <f>GETPIVOTDATA("Sewing Kit ",$P$56,"Organization","RI")</f>
        <v>628</v>
      </c>
      <c r="P60" s="843" t="s">
        <v>707</v>
      </c>
      <c r="Q60" s="848">
        <v>1325</v>
      </c>
      <c r="R60" s="848">
        <v>0</v>
      </c>
      <c r="S60" s="848">
        <v>0</v>
      </c>
      <c r="T60" s="848">
        <v>703</v>
      </c>
      <c r="U60" s="848">
        <v>0</v>
      </c>
      <c r="V60" s="848">
        <v>195</v>
      </c>
      <c r="W60" s="848">
        <v>0</v>
      </c>
      <c r="X60" s="848">
        <v>0</v>
      </c>
      <c r="Y60" s="848">
        <v>0</v>
      </c>
      <c r="Z60" s="848">
        <v>628</v>
      </c>
      <c r="AA60" s="848">
        <v>0</v>
      </c>
      <c r="AB60" s="848">
        <v>628</v>
      </c>
    </row>
    <row r="61" spans="1:28" x14ac:dyDescent="0.25">
      <c r="A61" s="196" t="str">
        <f t="shared" si="19"/>
        <v>SCI</v>
      </c>
      <c r="B61" s="242">
        <f>GETPIVOTDATA("Sanitary Kit ",$P$56,"Organization","SCI")</f>
        <v>397</v>
      </c>
      <c r="C61" s="242"/>
      <c r="D61" s="242"/>
      <c r="E61" s="242"/>
      <c r="F61" s="242"/>
      <c r="G61" s="242"/>
      <c r="H61" s="242"/>
      <c r="I61" s="821"/>
      <c r="J61" s="242"/>
      <c r="K61" s="242"/>
      <c r="L61" s="242"/>
      <c r="M61" s="794"/>
      <c r="P61" s="843" t="s">
        <v>1140</v>
      </c>
      <c r="Q61" s="848">
        <v>397</v>
      </c>
      <c r="R61" s="848">
        <v>0</v>
      </c>
      <c r="S61" s="848">
        <v>0</v>
      </c>
      <c r="T61" s="848">
        <v>0</v>
      </c>
      <c r="U61" s="848">
        <v>0</v>
      </c>
      <c r="V61" s="848">
        <v>0</v>
      </c>
      <c r="W61" s="848">
        <v>0</v>
      </c>
      <c r="X61" s="848">
        <v>0</v>
      </c>
      <c r="Y61" s="848">
        <v>0</v>
      </c>
      <c r="Z61" s="848">
        <v>0</v>
      </c>
      <c r="AA61" s="848">
        <v>0</v>
      </c>
      <c r="AB61" s="848">
        <v>0</v>
      </c>
    </row>
    <row r="62" spans="1:28" x14ac:dyDescent="0.25">
      <c r="A62" s="196" t="str">
        <f t="shared" si="19"/>
        <v>UNHCR</v>
      </c>
      <c r="B62" s="242"/>
      <c r="C62" s="242">
        <f>GETPIVOTDATA(" Mosquito net",$P$56,"Organization","UNHCR")/2</f>
        <v>2835</v>
      </c>
      <c r="D62" s="242">
        <f>GETPIVOTDATA(" Tarpaulin",$P$56,"Organization","UNHCR")</f>
        <v>60</v>
      </c>
      <c r="E62" s="242">
        <f>GETPIVOTDATA(" Blanket",$P$56,"Organization","UNHCR")/2</f>
        <v>3236.5</v>
      </c>
      <c r="F62" s="242">
        <f>GETPIVOTDATA(" Kitchen Set",$P$56,"Organization","UNHCR")</f>
        <v>1196</v>
      </c>
      <c r="G62" s="242">
        <f>GETPIVOTDATA(" Complementary Kit",$P$56,"Organization","UNHCR")</f>
        <v>0</v>
      </c>
      <c r="H62" s="242">
        <f>GETPIVOTDATA(" Plastic Bucket",$P$56,"Organization","UNHCR")</f>
        <v>0</v>
      </c>
      <c r="I62" s="821">
        <f>GETPIVOTDATA(" Jerry Can",$P$56,"Organization","UNHCR")</f>
        <v>0</v>
      </c>
      <c r="J62" s="242">
        <f>GETPIVOTDATA(" Plastic  Mat",$P$56,"Organization","UNHCR")/5</f>
        <v>6879.5</v>
      </c>
      <c r="K62" s="242">
        <f>GETPIVOTDATA("Adult Clothes ",$P$56,"Organization","UNHCR")</f>
        <v>0</v>
      </c>
      <c r="L62" s="242">
        <f>GETPIVOTDATA("Children Clothes ",$P$56,"Organization","UNHCR")</f>
        <v>0</v>
      </c>
      <c r="M62" s="794">
        <f>GETPIVOTDATA("Sewing Kit ",$P$56,"Organization","UNHCR")</f>
        <v>0</v>
      </c>
      <c r="P62" s="843" t="s">
        <v>285</v>
      </c>
      <c r="Q62" s="848">
        <v>0</v>
      </c>
      <c r="R62" s="848">
        <v>5670</v>
      </c>
      <c r="S62" s="848">
        <v>60</v>
      </c>
      <c r="T62" s="848">
        <v>6473</v>
      </c>
      <c r="U62" s="848">
        <v>1196</v>
      </c>
      <c r="V62" s="848">
        <v>0</v>
      </c>
      <c r="W62" s="848">
        <v>0</v>
      </c>
      <c r="X62" s="848">
        <v>0</v>
      </c>
      <c r="Y62" s="848">
        <v>34397.5</v>
      </c>
      <c r="Z62" s="848">
        <v>0</v>
      </c>
      <c r="AA62" s="848">
        <v>0</v>
      </c>
      <c r="AB62" s="848">
        <v>0</v>
      </c>
    </row>
    <row r="63" spans="1:28" x14ac:dyDescent="0.25">
      <c r="A63" s="196" t="str">
        <f t="shared" si="19"/>
        <v>SI</v>
      </c>
      <c r="B63" s="242"/>
      <c r="C63" s="242"/>
      <c r="D63" s="242"/>
      <c r="E63" s="242"/>
      <c r="F63" s="242">
        <f>GETPIVOTDATA(" Kitchen Set",$P$56,"Organization","SI")</f>
        <v>2084</v>
      </c>
      <c r="H63" s="242"/>
      <c r="I63" s="242">
        <f>GETPIVOTDATA(" Jerry Can",$P$56,"Organization","SI")</f>
        <v>985</v>
      </c>
      <c r="K63" s="242"/>
      <c r="L63" s="242"/>
      <c r="M63" s="794"/>
      <c r="P63" s="843" t="s">
        <v>1120</v>
      </c>
      <c r="Q63" s="848">
        <v>0</v>
      </c>
      <c r="R63" s="848">
        <v>0</v>
      </c>
      <c r="S63" s="848">
        <v>0</v>
      </c>
      <c r="T63" s="848">
        <v>0</v>
      </c>
      <c r="U63" s="848">
        <v>2084</v>
      </c>
      <c r="V63" s="848">
        <v>0</v>
      </c>
      <c r="W63" s="848">
        <v>0</v>
      </c>
      <c r="X63" s="848">
        <v>985</v>
      </c>
      <c r="Y63" s="848">
        <v>0</v>
      </c>
      <c r="Z63" s="848">
        <v>0</v>
      </c>
      <c r="AA63" s="848">
        <v>0</v>
      </c>
      <c r="AB63" s="848">
        <v>0</v>
      </c>
    </row>
    <row r="64" spans="1:28" x14ac:dyDescent="0.25">
      <c r="A64" s="196" t="str">
        <f>P64</f>
        <v>Gov</v>
      </c>
      <c r="B64" s="242"/>
      <c r="C64" s="242"/>
      <c r="D64" s="242"/>
      <c r="E64" s="242"/>
      <c r="F64" s="242"/>
      <c r="G64" s="242"/>
      <c r="H64" s="242"/>
      <c r="I64" s="821"/>
      <c r="J64" s="242"/>
      <c r="K64" s="242">
        <f>GETPIVOTDATA("Children Clothes ",$P$56,"Organization","SI")</f>
        <v>0</v>
      </c>
      <c r="L64" s="242">
        <f>GETPIVOTDATA("Sewing Kit ",$P$56,"Organization","NRC")</f>
        <v>0</v>
      </c>
      <c r="M64" s="794"/>
      <c r="P64" s="843" t="s">
        <v>1133</v>
      </c>
      <c r="Q64" s="848">
        <v>0</v>
      </c>
      <c r="R64" s="848">
        <v>0</v>
      </c>
      <c r="S64" s="848">
        <v>0</v>
      </c>
      <c r="T64" s="848">
        <v>0</v>
      </c>
      <c r="U64" s="848">
        <v>0</v>
      </c>
      <c r="V64" s="848">
        <v>0</v>
      </c>
      <c r="W64" s="848">
        <v>0</v>
      </c>
      <c r="X64" s="848">
        <v>0</v>
      </c>
      <c r="Y64" s="848">
        <v>0</v>
      </c>
      <c r="Z64" s="848">
        <v>0</v>
      </c>
      <c r="AA64" s="848">
        <v>0</v>
      </c>
      <c r="AB64" s="848">
        <v>0</v>
      </c>
    </row>
    <row r="65" spans="1:28" x14ac:dyDescent="0.25">
      <c r="A65" s="196" t="str">
        <f t="shared" ref="A65:A68" si="20">P65</f>
        <v>MHAA</v>
      </c>
      <c r="B65" s="522">
        <f>GETPIVOTDATA(" Mosquito net",$P$56,"Organization","RI")/2</f>
        <v>0</v>
      </c>
      <c r="C65" s="522">
        <f>GETPIVOTDATA(" Mosquito net",$P$56,"Organization","MHAA")/2</f>
        <v>345</v>
      </c>
      <c r="D65" s="522"/>
      <c r="E65" s="522"/>
      <c r="F65" s="522"/>
      <c r="G65" s="522"/>
      <c r="H65" s="522"/>
      <c r="I65" s="822"/>
      <c r="J65" s="242"/>
      <c r="K65" s="242"/>
      <c r="L65" s="242"/>
      <c r="M65" s="911"/>
      <c r="P65" s="843" t="s">
        <v>1132</v>
      </c>
      <c r="Q65" s="848">
        <v>0</v>
      </c>
      <c r="R65" s="848">
        <v>690</v>
      </c>
      <c r="S65" s="848">
        <v>0</v>
      </c>
      <c r="T65" s="848">
        <v>0</v>
      </c>
      <c r="U65" s="848">
        <v>0</v>
      </c>
      <c r="V65" s="848">
        <v>0</v>
      </c>
      <c r="W65" s="848">
        <v>0</v>
      </c>
      <c r="X65" s="848">
        <v>0</v>
      </c>
      <c r="Y65" s="848">
        <v>0</v>
      </c>
      <c r="Z65" s="848">
        <v>0</v>
      </c>
      <c r="AA65" s="848">
        <v>0</v>
      </c>
      <c r="AB65" s="848">
        <v>0</v>
      </c>
    </row>
    <row r="66" spans="1:28" x14ac:dyDescent="0.25">
      <c r="A66" s="196" t="str">
        <f t="shared" si="20"/>
        <v>MAUK</v>
      </c>
      <c r="B66" s="823"/>
      <c r="C66" s="823"/>
      <c r="D66" s="823"/>
      <c r="E66" s="823"/>
      <c r="F66" s="823"/>
      <c r="G66" s="823"/>
      <c r="H66" s="823"/>
      <c r="I66" s="824"/>
      <c r="J66" s="242">
        <f>GETPIVOTDATA(" Plastic  Mat",$P$56,"Organization","RI")/5</f>
        <v>0</v>
      </c>
      <c r="K66" s="242">
        <f>GETPIVOTDATA("Children Clothes ",$P$56,"Organization","SI")</f>
        <v>0</v>
      </c>
      <c r="L66" s="242">
        <v>2009</v>
      </c>
      <c r="M66" s="794"/>
      <c r="P66" s="843" t="s">
        <v>295</v>
      </c>
      <c r="Q66" s="848">
        <v>0</v>
      </c>
      <c r="R66" s="848">
        <v>0</v>
      </c>
      <c r="S66" s="848">
        <v>0</v>
      </c>
      <c r="T66" s="848">
        <v>0</v>
      </c>
      <c r="U66" s="848">
        <v>0</v>
      </c>
      <c r="V66" s="848">
        <v>0</v>
      </c>
      <c r="W66" s="848">
        <v>0</v>
      </c>
      <c r="X66" s="848">
        <v>0</v>
      </c>
      <c r="Y66" s="848">
        <v>0</v>
      </c>
      <c r="Z66" s="848">
        <v>0</v>
      </c>
      <c r="AA66" s="848">
        <v>2009</v>
      </c>
      <c r="AB66" s="848">
        <v>0</v>
      </c>
    </row>
    <row r="67" spans="1:28" x14ac:dyDescent="0.25">
      <c r="A67" s="196" t="str">
        <f t="shared" si="20"/>
        <v>UNIQLO</v>
      </c>
      <c r="B67" s="823"/>
      <c r="C67" s="823"/>
      <c r="D67" s="823"/>
      <c r="E67" s="823"/>
      <c r="F67" s="823"/>
      <c r="G67" s="823"/>
      <c r="H67" s="823"/>
      <c r="I67" s="824"/>
      <c r="J67" s="242">
        <f>GETPIVOTDATA(" Plastic  Mat",$P$56,"Organization","RI")/5</f>
        <v>0</v>
      </c>
      <c r="K67" s="242">
        <f>GETPIVOTDATA("Adult Clothes ",$P$56,"Organization","UNIQLO")</f>
        <v>7050</v>
      </c>
      <c r="L67" s="242">
        <f>GETPIVOTDATA("Children Clothes ",$P$56,"Organization","UNIQLO")</f>
        <v>3629</v>
      </c>
      <c r="M67" s="794"/>
      <c r="P67" s="843" t="s">
        <v>1143</v>
      </c>
      <c r="Q67" s="848">
        <v>0</v>
      </c>
      <c r="R67" s="848">
        <v>0</v>
      </c>
      <c r="S67" s="848">
        <v>0</v>
      </c>
      <c r="T67" s="848">
        <v>0</v>
      </c>
      <c r="U67" s="848">
        <v>0</v>
      </c>
      <c r="V67" s="848">
        <v>0</v>
      </c>
      <c r="W67" s="848">
        <v>0</v>
      </c>
      <c r="X67" s="848">
        <v>0</v>
      </c>
      <c r="Y67" s="848">
        <v>0</v>
      </c>
      <c r="Z67" s="848">
        <v>7050</v>
      </c>
      <c r="AA67" s="848">
        <v>3629</v>
      </c>
      <c r="AB67" s="848">
        <v>0</v>
      </c>
    </row>
    <row r="68" spans="1:28" x14ac:dyDescent="0.25">
      <c r="A68" s="196" t="str">
        <f t="shared" si="20"/>
        <v>MRF</v>
      </c>
      <c r="B68" s="823">
        <f>GETPIVOTDATA("Sanitary Kit ",$P$56,"Organization","MRF")</f>
        <v>0</v>
      </c>
      <c r="C68" s="823">
        <f>GETPIVOTDATA(" Mosquito net",$P$56,"Organization","MRF")/2</f>
        <v>725</v>
      </c>
      <c r="D68" s="823">
        <f>GETPIVOTDATA(" Tarpaulin",$P$56,"Organization","MRF")</f>
        <v>0</v>
      </c>
      <c r="E68" s="823">
        <f>GETPIVOTDATA(" Blanket",$P$56,"Organization","MRF")/2</f>
        <v>725</v>
      </c>
      <c r="F68" s="823">
        <f>GETPIVOTDATA(" Kitchen Set",$P$56,"Organization","MRF")</f>
        <v>0</v>
      </c>
      <c r="G68" s="823">
        <f>GETPIVOTDATA(" Complementary Kit",$P$56,"Organization","MRF")</f>
        <v>0</v>
      </c>
      <c r="H68" s="823">
        <f>GETPIVOTDATA(" Plastic Bucket",$P$56,"Organization","MRF")</f>
        <v>1450</v>
      </c>
      <c r="I68" s="824">
        <f>GETPIVOTDATA(" Jerry Can",$P$56,"Organization","MRF")</f>
        <v>2900</v>
      </c>
      <c r="J68" s="242">
        <f>GETPIVOTDATA(" Plastic  Mat",$P$56,"Organization","MRF")</f>
        <v>0</v>
      </c>
      <c r="K68" s="242">
        <f>GETPIVOTDATA("Adult Clothes ",$P$56,"Organization","MRF")</f>
        <v>2175</v>
      </c>
      <c r="L68" s="242">
        <f>GETPIVOTDATA("Children Clothes ",$P$56,"Organization","MRF")</f>
        <v>725</v>
      </c>
      <c r="M68" s="794">
        <f>GETPIVOTDATA("Sewing Kit ",$P$56,"Organization","MRF")</f>
        <v>0</v>
      </c>
      <c r="P68" s="843" t="s">
        <v>623</v>
      </c>
      <c r="Q68" s="848">
        <v>0</v>
      </c>
      <c r="R68" s="848">
        <v>1450</v>
      </c>
      <c r="S68" s="848">
        <v>0</v>
      </c>
      <c r="T68" s="848">
        <v>1450</v>
      </c>
      <c r="U68" s="848">
        <v>0</v>
      </c>
      <c r="V68" s="848">
        <v>0</v>
      </c>
      <c r="W68" s="848">
        <v>1450</v>
      </c>
      <c r="X68" s="848">
        <v>2900</v>
      </c>
      <c r="Y68" s="848">
        <v>0</v>
      </c>
      <c r="Z68" s="848">
        <v>2175</v>
      </c>
      <c r="AA68" s="848">
        <v>725</v>
      </c>
      <c r="AB68" s="848">
        <v>0</v>
      </c>
    </row>
    <row r="69" spans="1:28" x14ac:dyDescent="0.25">
      <c r="A69" s="983" t="s">
        <v>213</v>
      </c>
      <c r="B69" s="984">
        <f t="shared" ref="B69:M69" si="21">SUBTOTAL(109,B57:B68)</f>
        <v>3601</v>
      </c>
      <c r="C69" s="984">
        <f t="shared" si="21"/>
        <v>5031.5</v>
      </c>
      <c r="D69" s="984">
        <f t="shared" si="21"/>
        <v>484</v>
      </c>
      <c r="E69" s="984">
        <f t="shared" si="21"/>
        <v>5278.5</v>
      </c>
      <c r="F69" s="984">
        <f t="shared" si="21"/>
        <v>3280</v>
      </c>
      <c r="G69" s="984">
        <f t="shared" si="21"/>
        <v>195</v>
      </c>
      <c r="H69" s="984">
        <f t="shared" si="21"/>
        <v>4726</v>
      </c>
      <c r="I69" s="984">
        <f t="shared" si="21"/>
        <v>7161</v>
      </c>
      <c r="J69" s="984">
        <f t="shared" si="21"/>
        <v>8941.5</v>
      </c>
      <c r="K69" s="984">
        <f t="shared" si="21"/>
        <v>9853</v>
      </c>
      <c r="L69" s="984">
        <f t="shared" si="21"/>
        <v>6363</v>
      </c>
      <c r="M69" s="983">
        <f t="shared" si="21"/>
        <v>628</v>
      </c>
      <c r="P69" s="843" t="s">
        <v>213</v>
      </c>
      <c r="Q69" s="848">
        <v>3601</v>
      </c>
      <c r="R69" s="848">
        <v>10063</v>
      </c>
      <c r="S69" s="848">
        <v>484</v>
      </c>
      <c r="T69" s="848">
        <v>10557</v>
      </c>
      <c r="U69" s="848">
        <v>3280</v>
      </c>
      <c r="V69" s="848">
        <v>195</v>
      </c>
      <c r="W69" s="848">
        <v>4726</v>
      </c>
      <c r="X69" s="848">
        <v>7161</v>
      </c>
      <c r="Y69" s="848">
        <v>44707.5</v>
      </c>
      <c r="Z69" s="848">
        <v>9853</v>
      </c>
      <c r="AA69" s="848">
        <v>6363</v>
      </c>
      <c r="AB69" s="848">
        <v>628</v>
      </c>
    </row>
    <row r="82" spans="1:27" s="793" customFormat="1" x14ac:dyDescent="0.25">
      <c r="A82"/>
      <c r="B82"/>
      <c r="C82"/>
      <c r="D82"/>
      <c r="E82"/>
      <c r="F82"/>
      <c r="G82"/>
      <c r="H82"/>
      <c r="I82"/>
      <c r="J82"/>
      <c r="K82"/>
      <c r="P82"/>
      <c r="Q82"/>
      <c r="R82"/>
      <c r="S82"/>
      <c r="T82"/>
      <c r="U82"/>
      <c r="V82"/>
      <c r="W82"/>
      <c r="X82"/>
      <c r="Y82"/>
      <c r="Z82"/>
      <c r="AA82"/>
    </row>
    <row r="84" spans="1:27" x14ac:dyDescent="0.25">
      <c r="B84" s="65"/>
      <c r="C84" s="65"/>
      <c r="D84" s="65"/>
      <c r="E84" s="65"/>
      <c r="F84" s="65"/>
      <c r="G84" s="65"/>
      <c r="H84" s="65"/>
      <c r="I84" s="65"/>
    </row>
    <row r="85" spans="1:27" x14ac:dyDescent="0.25">
      <c r="A85" s="793"/>
      <c r="B85" s="793"/>
      <c r="C85" s="793"/>
      <c r="D85" s="793"/>
      <c r="E85" s="793"/>
      <c r="F85" s="793"/>
      <c r="G85" s="793"/>
      <c r="H85" s="793"/>
      <c r="I85" s="793"/>
      <c r="J85" s="793"/>
      <c r="K85" s="793"/>
    </row>
  </sheetData>
  <mergeCells count="14">
    <mergeCell ref="A3:H3"/>
    <mergeCell ref="A53:M54"/>
    <mergeCell ref="A2:H2"/>
    <mergeCell ref="A5:A7"/>
    <mergeCell ref="B5:B7"/>
    <mergeCell ref="C5:C7"/>
    <mergeCell ref="A21:A22"/>
    <mergeCell ref="B21:B22"/>
    <mergeCell ref="C21:C22"/>
    <mergeCell ref="D21:G21"/>
    <mergeCell ref="D5:M5"/>
    <mergeCell ref="A40:M41"/>
    <mergeCell ref="R40:AB41"/>
    <mergeCell ref="R53:AB54"/>
  </mergeCells>
  <pageMargins left="0.23622047244094491" right="0.23622047244094491" top="0.15748031496062992" bottom="0.55118110236220474" header="0" footer="0"/>
  <pageSetup paperSize="9" orientation="portrait" r:id="rId3"/>
  <drawing r:id="rId4"/>
  <tableParts count="2">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activeCell="W27" sqref="W27"/>
    </sheetView>
  </sheetViews>
  <sheetFormatPr defaultColWidth="11.42578125" defaultRowHeight="15" x14ac:dyDescent="0.2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x14ac:dyDescent="0.3">
      <c r="C1" s="40"/>
      <c r="Q1" s="40"/>
      <c r="R1" s="40"/>
      <c r="S1" s="40"/>
      <c r="T1" s="40"/>
      <c r="U1" s="40"/>
      <c r="V1" s="40"/>
      <c r="W1" s="40"/>
      <c r="X1" s="40"/>
      <c r="Y1" s="40"/>
      <c r="Z1" s="40"/>
      <c r="AA1" s="40"/>
      <c r="AB1" s="40"/>
    </row>
    <row r="2" spans="2:61" s="90" customFormat="1" ht="6.75" customHeight="1" x14ac:dyDescent="0.25">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x14ac:dyDescent="0.35">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x14ac:dyDescent="0.35">
      <c r="B4" s="411"/>
      <c r="C4" s="1120" t="s">
        <v>1099</v>
      </c>
      <c r="D4" s="1120"/>
      <c r="E4" s="1120"/>
      <c r="F4" s="1120"/>
      <c r="G4" s="1120"/>
      <c r="H4" s="1120"/>
      <c r="I4" s="1120"/>
      <c r="J4" s="1120"/>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x14ac:dyDescent="0.35">
      <c r="B5" s="411"/>
      <c r="C5" s="1121">
        <f>Report_Date</f>
        <v>42795</v>
      </c>
      <c r="D5" s="1121"/>
      <c r="E5" s="1121"/>
      <c r="F5" s="1121"/>
      <c r="G5" s="1121"/>
      <c r="H5" s="1121"/>
      <c r="I5" s="1121"/>
      <c r="J5" s="1121"/>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x14ac:dyDescent="0.6">
      <c r="B6" s="57"/>
      <c r="C6" s="46"/>
      <c r="D6" s="436" t="s">
        <v>7</v>
      </c>
      <c r="E6" s="437">
        <f>'NFI Distribution (by Tship)'!B18</f>
        <v>23574</v>
      </c>
      <c r="F6" s="438"/>
      <c r="G6" s="46"/>
      <c r="H6" s="46"/>
      <c r="I6" s="46"/>
      <c r="J6" s="46"/>
      <c r="K6" s="46"/>
      <c r="L6" s="46"/>
      <c r="M6" s="46"/>
      <c r="N6" s="46"/>
      <c r="O6" s="46"/>
      <c r="P6" s="46"/>
      <c r="Q6" s="435"/>
      <c r="R6" s="46"/>
      <c r="S6" s="46"/>
      <c r="T6" s="429"/>
    </row>
    <row r="7" spans="2:61" s="90" customFormat="1" ht="33" customHeight="1" x14ac:dyDescent="0.35">
      <c r="B7" s="57"/>
      <c r="C7" s="46"/>
      <c r="D7" s="825" t="s">
        <v>524</v>
      </c>
      <c r="E7" s="826" t="s">
        <v>299</v>
      </c>
      <c r="F7" s="827" t="s">
        <v>1086</v>
      </c>
      <c r="G7" s="828" t="s">
        <v>1085</v>
      </c>
      <c r="H7" s="828" t="s">
        <v>1079</v>
      </c>
      <c r="I7" s="829" t="s">
        <v>1087</v>
      </c>
      <c r="J7" s="829" t="s">
        <v>1082</v>
      </c>
      <c r="K7" s="827" t="s">
        <v>1080</v>
      </c>
      <c r="L7" s="827" t="s">
        <v>1080</v>
      </c>
      <c r="M7" s="830" t="s">
        <v>208</v>
      </c>
      <c r="N7" s="830" t="s">
        <v>208</v>
      </c>
      <c r="O7" s="831" t="s">
        <v>1088</v>
      </c>
      <c r="P7" s="832" t="s">
        <v>1088</v>
      </c>
      <c r="Q7" s="435"/>
      <c r="R7" s="439">
        <v>1</v>
      </c>
      <c r="S7" s="46"/>
      <c r="T7" s="429"/>
      <c r="U7" s="40"/>
      <c r="V7" s="40"/>
      <c r="W7" s="40"/>
      <c r="X7" s="40"/>
      <c r="Y7" s="40"/>
      <c r="Z7" s="40"/>
      <c r="AA7" s="40"/>
      <c r="AB7" s="40"/>
    </row>
    <row r="8" spans="2:61" s="90" customFormat="1" ht="21" x14ac:dyDescent="0.35">
      <c r="B8" s="57"/>
      <c r="C8" s="46"/>
      <c r="D8" s="375" t="s">
        <v>202</v>
      </c>
      <c r="E8" s="376">
        <f>VLOOKUP($D8,NFI,6,0)</f>
        <v>1</v>
      </c>
      <c r="F8" s="41">
        <f>$E$6*E8</f>
        <v>23574</v>
      </c>
      <c r="G8" s="42">
        <f ca="1">SUMIFS(INDIRECT(VLOOKUP($D8,NFI,2,0)),NFI_State,"Rakhine",NFI_CampStatus,"Open")</f>
        <v>2741</v>
      </c>
      <c r="H8" s="809">
        <f ca="1">IF((G8/F8)&gt;100%,100%,(G8/F8))</f>
        <v>0.11627216424874862</v>
      </c>
      <c r="I8" s="42">
        <f ca="1">SUMIFS(INDIRECT(VLOOKUP($D8,NFI,3,0)),NFI_Pipeline_State,$D$6)</f>
        <v>995</v>
      </c>
      <c r="J8" s="43">
        <f ca="1">I8/F8</f>
        <v>4.2207516755747861E-2</v>
      </c>
      <c r="K8" s="42">
        <f ca="1">IF((F8-(G8+I8))&lt;0,0,(F8-(G8+I8)))</f>
        <v>19838</v>
      </c>
      <c r="L8" s="812">
        <f ca="1">K8/F8</f>
        <v>0.8415203189955035</v>
      </c>
      <c r="M8" s="42">
        <f ca="1">SUMIFS(INDIRECT(VLOOKUP($D8,NFI,4,0)),NFI_Pipeline_State,$D$6)</f>
        <v>0</v>
      </c>
      <c r="N8" s="44">
        <f ca="1">M8/F8</f>
        <v>0</v>
      </c>
      <c r="O8" s="45">
        <f ca="1">IF((F8-(G8+I8+M8))&lt;0,0,(F8-(G8+I8+M8)))</f>
        <v>19838</v>
      </c>
      <c r="P8" s="377">
        <f ca="1">O8/F8</f>
        <v>0.8415203189955035</v>
      </c>
      <c r="Q8" s="435"/>
      <c r="R8" s="439">
        <v>1</v>
      </c>
      <c r="S8" s="46"/>
      <c r="T8" s="429"/>
      <c r="U8" s="40"/>
      <c r="V8" s="40"/>
      <c r="W8" s="40"/>
      <c r="X8" s="40"/>
      <c r="Y8" s="40"/>
      <c r="Z8" s="40"/>
      <c r="AA8" s="40"/>
      <c r="AB8" s="40"/>
    </row>
    <row r="9" spans="2:61" s="90" customFormat="1" ht="14.25" customHeight="1" x14ac:dyDescent="0.35">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x14ac:dyDescent="0.25">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x14ac:dyDescent="0.25">
      <c r="B11" s="57"/>
      <c r="C11" s="46"/>
      <c r="D11" s="46"/>
      <c r="E11" s="46"/>
      <c r="F11" s="46"/>
      <c r="G11" s="46"/>
      <c r="H11" s="46"/>
      <c r="I11" s="46"/>
      <c r="J11" s="46"/>
      <c r="K11" s="46"/>
      <c r="L11" s="46"/>
      <c r="M11" s="46"/>
      <c r="N11" s="46"/>
      <c r="O11" s="46"/>
      <c r="P11" s="46"/>
      <c r="Q11" s="46"/>
      <c r="R11" s="439">
        <v>1</v>
      </c>
      <c r="S11" s="46"/>
      <c r="T11" s="429"/>
    </row>
    <row r="12" spans="2:61" ht="27" customHeight="1" x14ac:dyDescent="0.25">
      <c r="B12" s="57"/>
      <c r="C12" s="46"/>
      <c r="D12" s="46"/>
      <c r="E12" s="46"/>
      <c r="F12" s="46"/>
      <c r="G12" s="46"/>
      <c r="H12" s="46"/>
      <c r="I12" s="46"/>
      <c r="J12" s="46"/>
      <c r="K12" s="46"/>
      <c r="L12" s="46"/>
      <c r="M12" s="46"/>
      <c r="N12" s="46"/>
      <c r="O12" s="46"/>
      <c r="P12" s="46"/>
      <c r="Q12" s="46"/>
      <c r="R12" s="439">
        <v>1</v>
      </c>
      <c r="S12" s="46"/>
      <c r="T12" s="429"/>
    </row>
    <row r="13" spans="2:61" s="90" customFormat="1" ht="9.75" customHeight="1" thickBot="1" x14ac:dyDescent="0.3">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x14ac:dyDescent="0.3">
      <c r="B14" s="450"/>
      <c r="C14" s="440"/>
      <c r="D14" s="833" t="s">
        <v>588</v>
      </c>
      <c r="E14" s="834" t="s">
        <v>299</v>
      </c>
      <c r="F14" s="835" t="s">
        <v>1086</v>
      </c>
      <c r="G14" s="836" t="s">
        <v>1085</v>
      </c>
      <c r="H14" s="836" t="s">
        <v>1079</v>
      </c>
      <c r="I14" s="837" t="s">
        <v>1081</v>
      </c>
      <c r="J14" s="837" t="s">
        <v>1082</v>
      </c>
      <c r="K14" s="835" t="s">
        <v>1080</v>
      </c>
      <c r="L14" s="835" t="s">
        <v>1080</v>
      </c>
      <c r="M14" s="838" t="s">
        <v>208</v>
      </c>
      <c r="N14" s="838" t="s">
        <v>208</v>
      </c>
      <c r="O14" s="839" t="s">
        <v>300</v>
      </c>
      <c r="P14" s="840" t="s">
        <v>1088</v>
      </c>
      <c r="Q14" s="440"/>
      <c r="R14" s="439">
        <v>1</v>
      </c>
      <c r="S14" s="440"/>
      <c r="T14" s="441"/>
      <c r="U14" s="367"/>
      <c r="V14" s="367"/>
      <c r="W14" s="367"/>
      <c r="X14" s="367"/>
      <c r="Y14" s="367"/>
      <c r="Z14" s="367"/>
      <c r="AA14" s="367"/>
      <c r="AB14" s="367"/>
    </row>
    <row r="15" spans="2:61" s="264" customFormat="1" x14ac:dyDescent="0.25">
      <c r="B15" s="450"/>
      <c r="C15" s="440"/>
      <c r="D15" s="368" t="s">
        <v>597</v>
      </c>
      <c r="E15" s="369">
        <f t="shared" ref="E15:E22" si="0">VLOOKUP($D15,NFI,6,0)</f>
        <v>2</v>
      </c>
      <c r="F15" s="370">
        <f t="shared" ref="F15:F22" si="1">$E$6</f>
        <v>23574</v>
      </c>
      <c r="G15" s="173">
        <f t="shared" ref="G15:G22" ca="1" si="2">SUMIFS(INDIRECT(VLOOKUP($D15,NFI,2,0)),NFI_State,"Rakhine",NFI_CampStatus,"Open")/E15</f>
        <v>5031.5</v>
      </c>
      <c r="H15" s="808">
        <f ca="1">IF((G15/F15)&gt;100%,100%,(G15/F15))</f>
        <v>0.2134342920166285</v>
      </c>
      <c r="I15" s="173">
        <f ca="1">SUMIFS(INDIRECT(VLOOKUP($D15,NFI,3,0)),NFI_Pipeline_State,$D$6)/E15 + I$8</f>
        <v>1996.5</v>
      </c>
      <c r="J15" s="371">
        <f ca="1">I15/F15</f>
        <v>8.4690761007890053E-2</v>
      </c>
      <c r="K15" s="173">
        <f ca="1">IF((F15-(SUM(G15:I15)))&lt;0,0,(F15-(SUM(G15:I15))))</f>
        <v>16545.786565707982</v>
      </c>
      <c r="L15" s="811">
        <f t="shared" ref="L15:L22" ca="1" si="3">K15/F15</f>
        <v>0.70186589317502257</v>
      </c>
      <c r="M15" s="173">
        <f ca="1">SUMIFS(INDIRECT(VLOOKUP($D15,NFI,4,0)),NFI_Pipeline_State,$D$6)+E15*M$8</f>
        <v>0</v>
      </c>
      <c r="N15" s="372">
        <f ca="1">M15/F15</f>
        <v>0</v>
      </c>
      <c r="O15" s="373">
        <f t="shared" ref="O15:O22" ca="1" si="4">IF((F15-(G15+I15+M15))&lt;0,0,(F15-(G15+I15+M15)))</f>
        <v>16546</v>
      </c>
      <c r="P15" s="374">
        <f t="shared" ref="P15:P22" ca="1" si="5">O15/F15</f>
        <v>0.70187494697548147</v>
      </c>
      <c r="Q15" s="440"/>
      <c r="R15" s="440"/>
      <c r="S15" s="440"/>
      <c r="T15" s="441"/>
      <c r="U15" s="367"/>
      <c r="V15" s="367"/>
      <c r="W15" s="367"/>
      <c r="X15" s="367"/>
      <c r="Y15" s="367"/>
      <c r="Z15" s="367"/>
      <c r="AA15" s="367"/>
      <c r="AB15" s="367"/>
    </row>
    <row r="16" spans="2:61" s="264" customFormat="1" x14ac:dyDescent="0.25">
      <c r="B16" s="450"/>
      <c r="C16" s="440"/>
      <c r="D16" s="375" t="s">
        <v>303</v>
      </c>
      <c r="E16" s="376">
        <f t="shared" si="0"/>
        <v>1</v>
      </c>
      <c r="F16" s="41">
        <f t="shared" si="1"/>
        <v>23574</v>
      </c>
      <c r="G16" s="42">
        <f t="shared" ca="1" si="2"/>
        <v>484</v>
      </c>
      <c r="H16" s="809">
        <f t="shared" ref="H16:H22" ca="1" si="6">IF((G16/F16)&gt;100%,100%,(G16/F16))</f>
        <v>2.0531093577670315E-2</v>
      </c>
      <c r="I16" s="42">
        <f ca="1">SUMIFS(INDIRECT(VLOOKUP($D16,NFI,3,0)),NFI_Pipeline_State,$D$6)/E16 +I$8</f>
        <v>2630</v>
      </c>
      <c r="J16" s="43">
        <f t="shared" ref="J16:J22" ca="1" si="7">I16/F16</f>
        <v>0.11156358700263001</v>
      </c>
      <c r="K16" s="42">
        <f t="shared" ref="K16:K22" ca="1" si="8">IF((F16-(SUM(G16:I16)))&lt;0,0,(F16-(SUM(G16:I16))))</f>
        <v>20459.979468906422</v>
      </c>
      <c r="L16" s="812">
        <f t="shared" ca="1" si="3"/>
        <v>0.86790444849861803</v>
      </c>
      <c r="M16" s="42">
        <f ca="1">SUMIFS(INDIRECT(VLOOKUP($D16,NFI,4,0)),NFI_Pipeline_State,$D$6)+E16*M$8</f>
        <v>0</v>
      </c>
      <c r="N16" s="44">
        <f t="shared" ref="N16:N22" ca="1" si="9">M16/F16</f>
        <v>0</v>
      </c>
      <c r="O16" s="45">
        <f t="shared" ca="1" si="4"/>
        <v>20460</v>
      </c>
      <c r="P16" s="377">
        <f t="shared" ca="1" si="5"/>
        <v>0.86790531941969962</v>
      </c>
      <c r="Q16" s="440"/>
      <c r="R16" s="440"/>
      <c r="S16" s="440"/>
      <c r="T16" s="441"/>
      <c r="U16" s="367"/>
      <c r="V16" s="367"/>
      <c r="W16" s="367"/>
      <c r="X16" s="367"/>
      <c r="Y16" s="367"/>
      <c r="Z16" s="367"/>
      <c r="AA16" s="367"/>
      <c r="AB16" s="367"/>
    </row>
    <row r="17" spans="2:28" s="264" customFormat="1" x14ac:dyDescent="0.25">
      <c r="B17" s="450"/>
      <c r="C17" s="440"/>
      <c r="D17" s="375" t="s">
        <v>228</v>
      </c>
      <c r="E17" s="376">
        <f t="shared" si="0"/>
        <v>2</v>
      </c>
      <c r="F17" s="41">
        <f t="shared" si="1"/>
        <v>23574</v>
      </c>
      <c r="G17" s="42">
        <f t="shared" ca="1" si="2"/>
        <v>5278.5</v>
      </c>
      <c r="H17" s="809">
        <f t="shared" ca="1" si="6"/>
        <v>0.22391193687961314</v>
      </c>
      <c r="I17" s="42">
        <f ca="1">SUMIFS(INDIRECT(VLOOKUP($D17,NFI,3,0)),NFI_Pipeline_State,$D$6)/E17 +I$8</f>
        <v>2002</v>
      </c>
      <c r="J17" s="43">
        <f t="shared" ca="1" si="7"/>
        <v>8.4924068889454488E-2</v>
      </c>
      <c r="K17" s="42">
        <f t="shared" ca="1" si="8"/>
        <v>16293.276088063121</v>
      </c>
      <c r="L17" s="812">
        <f t="shared" ca="1" si="3"/>
        <v>0.6911544959728142</v>
      </c>
      <c r="M17" s="42">
        <f t="shared" ref="M17:M22" ca="1" si="10">SUMIFS(INDIRECT(VLOOKUP($D17,NFI,4,0)),NFI_Pipeline_State,$D$6)+E17*M$8</f>
        <v>0</v>
      </c>
      <c r="N17" s="44">
        <f t="shared" ca="1" si="9"/>
        <v>0</v>
      </c>
      <c r="O17" s="45">
        <f t="shared" ca="1" si="4"/>
        <v>16293.5</v>
      </c>
      <c r="P17" s="377">
        <f t="shared" ca="1" si="5"/>
        <v>0.69116399423093233</v>
      </c>
      <c r="Q17" s="440"/>
      <c r="R17" s="440"/>
      <c r="S17" s="440"/>
      <c r="T17" s="441"/>
      <c r="U17" s="367"/>
      <c r="V17" s="367"/>
      <c r="W17" s="367"/>
      <c r="X17" s="814"/>
      <c r="Y17" s="367"/>
      <c r="Z17" s="367"/>
      <c r="AA17" s="367"/>
      <c r="AB17" s="367"/>
    </row>
    <row r="18" spans="2:28" s="264" customFormat="1" x14ac:dyDescent="0.25">
      <c r="B18" s="450"/>
      <c r="C18" s="440"/>
      <c r="D18" s="375" t="s">
        <v>229</v>
      </c>
      <c r="E18" s="376">
        <f t="shared" si="0"/>
        <v>1</v>
      </c>
      <c r="F18" s="41">
        <f t="shared" si="1"/>
        <v>23574</v>
      </c>
      <c r="G18" s="42">
        <f t="shared" ca="1" si="2"/>
        <v>3280</v>
      </c>
      <c r="H18" s="809">
        <f t="shared" ca="1" si="6"/>
        <v>0.13913633664206329</v>
      </c>
      <c r="I18" s="42">
        <f ca="1">SUMIFS(INDIRECT(VLOOKUP($D18,NFI,3,0)),NFI_Pipeline_State,$D$6)/E18+I$8</f>
        <v>2837</v>
      </c>
      <c r="J18" s="43">
        <f t="shared" ca="1" si="7"/>
        <v>0.12034444727241876</v>
      </c>
      <c r="K18" s="42">
        <f t="shared" ca="1" si="8"/>
        <v>17456.860863663358</v>
      </c>
      <c r="L18" s="812">
        <f t="shared" ca="1" si="3"/>
        <v>0.74051331397570874</v>
      </c>
      <c r="M18" s="42">
        <f ca="1">SUMIFS(INDIRECT(VLOOKUP($D18,NFI,4,0)),NFI_Pipeline_State,$D$6)+E18*M$8</f>
        <v>0</v>
      </c>
      <c r="N18" s="44">
        <f t="shared" ca="1" si="9"/>
        <v>0</v>
      </c>
      <c r="O18" s="45">
        <f t="shared" ca="1" si="4"/>
        <v>17457</v>
      </c>
      <c r="P18" s="377">
        <f t="shared" ca="1" si="5"/>
        <v>0.74051921608551796</v>
      </c>
      <c r="Q18" s="440"/>
      <c r="R18" s="440"/>
      <c r="S18" s="440"/>
      <c r="T18" s="441"/>
      <c r="U18" s="367"/>
      <c r="V18" s="367"/>
      <c r="W18" s="367"/>
      <c r="X18" s="367"/>
      <c r="Y18" s="367"/>
      <c r="Z18" s="367"/>
      <c r="AA18" s="367"/>
      <c r="AB18" s="367"/>
    </row>
    <row r="19" spans="2:28" s="264" customFormat="1" x14ac:dyDescent="0.25">
      <c r="B19" s="450"/>
      <c r="C19" s="440"/>
      <c r="D19" s="375" t="s">
        <v>327</v>
      </c>
      <c r="E19" s="376">
        <f t="shared" si="0"/>
        <v>1</v>
      </c>
      <c r="F19" s="41">
        <f t="shared" si="1"/>
        <v>23574</v>
      </c>
      <c r="G19" s="42">
        <f t="shared" ca="1" si="2"/>
        <v>195</v>
      </c>
      <c r="H19" s="809">
        <f t="shared" ca="1" si="6"/>
        <v>8.2718248918299819E-3</v>
      </c>
      <c r="I19" s="42">
        <f ca="1">SUMIFS(INDIRECT(VLOOKUP($D19,NFI,3,0)),NFI_Pipeline_State,$D$6)/E19+I$8</f>
        <v>1003</v>
      </c>
      <c r="J19" s="43">
        <f t="shared" ca="1" si="7"/>
        <v>4.2546873674387038E-2</v>
      </c>
      <c r="K19" s="42">
        <f t="shared" ca="1" si="8"/>
        <v>22375.991728175108</v>
      </c>
      <c r="L19" s="812">
        <f t="shared" ca="1" si="3"/>
        <v>0.94918095054615714</v>
      </c>
      <c r="M19" s="42">
        <f t="shared" ca="1" si="10"/>
        <v>0</v>
      </c>
      <c r="N19" s="44">
        <f t="shared" ca="1" si="9"/>
        <v>0</v>
      </c>
      <c r="O19" s="45">
        <f t="shared" ca="1" si="4"/>
        <v>22376</v>
      </c>
      <c r="P19" s="377">
        <f t="shared" ca="1" si="5"/>
        <v>0.94918130143378299</v>
      </c>
      <c r="Q19" s="440"/>
      <c r="R19" s="440"/>
      <c r="S19" s="440"/>
      <c r="T19" s="441"/>
      <c r="U19" s="367"/>
      <c r="V19" s="367"/>
      <c r="W19" s="367"/>
      <c r="X19" s="367"/>
      <c r="Y19" s="367"/>
      <c r="Z19" s="367"/>
      <c r="AA19" s="367"/>
      <c r="AB19" s="367"/>
    </row>
    <row r="20" spans="2:28" s="264" customFormat="1" x14ac:dyDescent="0.25">
      <c r="B20" s="450"/>
      <c r="C20" s="440"/>
      <c r="D20" s="375" t="s">
        <v>580</v>
      </c>
      <c r="E20" s="376">
        <f t="shared" si="0"/>
        <v>1</v>
      </c>
      <c r="F20" s="41">
        <f t="shared" si="1"/>
        <v>23574</v>
      </c>
      <c r="G20" s="42">
        <f t="shared" ca="1" si="2"/>
        <v>4726</v>
      </c>
      <c r="H20" s="809">
        <f ca="1">IF((G20/F20)&gt;100%,100%,(G20/F20))</f>
        <v>0.20047509968609484</v>
      </c>
      <c r="I20" s="42">
        <f ca="1">SUMIFS(INDIRECT(VLOOKUP($D20,NFI,3,0)),NFI_Pipeline_State,$D$6)/E20+I$8</f>
        <v>3846</v>
      </c>
      <c r="J20" s="43">
        <f t="shared" ca="1" si="7"/>
        <v>0.16314583863578519</v>
      </c>
      <c r="K20" s="42">
        <f t="shared" ca="1" si="8"/>
        <v>15001.799524900314</v>
      </c>
      <c r="L20" s="812">
        <f t="shared" ca="1" si="3"/>
        <v>0.63637055760160832</v>
      </c>
      <c r="M20" s="42">
        <f t="shared" ca="1" si="10"/>
        <v>0</v>
      </c>
      <c r="N20" s="44">
        <f t="shared" ca="1" si="9"/>
        <v>0</v>
      </c>
      <c r="O20" s="45">
        <f t="shared" ca="1" si="4"/>
        <v>15002</v>
      </c>
      <c r="P20" s="377">
        <f t="shared" ca="1" si="5"/>
        <v>0.63637906167811997</v>
      </c>
      <c r="Q20" s="440"/>
      <c r="R20" s="440"/>
      <c r="S20" s="440"/>
      <c r="T20" s="441"/>
      <c r="U20" s="367"/>
      <c r="V20" s="367"/>
      <c r="W20" s="367"/>
      <c r="X20" s="367"/>
      <c r="Y20" s="367"/>
      <c r="Z20" s="367"/>
      <c r="AA20" s="367"/>
      <c r="AB20" s="367"/>
    </row>
    <row r="21" spans="2:28" s="264" customFormat="1" x14ac:dyDescent="0.25">
      <c r="B21" s="450"/>
      <c r="C21" s="440"/>
      <c r="D21" s="518" t="s">
        <v>929</v>
      </c>
      <c r="E21" s="376">
        <f t="shared" si="0"/>
        <v>1</v>
      </c>
      <c r="F21" s="41">
        <f t="shared" si="1"/>
        <v>23574</v>
      </c>
      <c r="G21" s="42">
        <f t="shared" ca="1" si="2"/>
        <v>7161</v>
      </c>
      <c r="H21" s="809">
        <f ca="1">IF((G21/F21)&gt;100%,100%,(G21/F21))</f>
        <v>0.30376686179689488</v>
      </c>
      <c r="I21" s="42">
        <f ca="1">SUMIFS(INDIRECT(VLOOKUP($D21,NFI,3,0)),NFI_Pipeline_State,$D$6)/E21+I$8</f>
        <v>5017</v>
      </c>
      <c r="J21" s="43">
        <f t="shared" ca="1" si="7"/>
        <v>0.21281920760159498</v>
      </c>
      <c r="K21" s="42">
        <f t="shared" ca="1" si="8"/>
        <v>11395.696233138202</v>
      </c>
      <c r="L21" s="812">
        <f t="shared" ca="1" si="3"/>
        <v>0.4834010449282346</v>
      </c>
      <c r="M21" s="42">
        <f t="shared" ca="1" si="10"/>
        <v>0</v>
      </c>
      <c r="N21" s="44">
        <f t="shared" ca="1" si="9"/>
        <v>0</v>
      </c>
      <c r="O21" s="45">
        <f t="shared" ca="1" si="4"/>
        <v>11396</v>
      </c>
      <c r="P21" s="377">
        <f t="shared" ca="1" si="5"/>
        <v>0.48341393060151011</v>
      </c>
      <c r="Q21" s="440"/>
      <c r="R21" s="440"/>
      <c r="S21" s="440"/>
      <c r="T21" s="441"/>
      <c r="U21" s="367"/>
      <c r="V21" s="367"/>
      <c r="W21" s="367"/>
      <c r="X21" s="367"/>
      <c r="Y21" s="367"/>
      <c r="Z21" s="367"/>
      <c r="AA21" s="367"/>
      <c r="AB21" s="367"/>
    </row>
    <row r="22" spans="2:28" s="264" customFormat="1" ht="15.75" thickBot="1" x14ac:dyDescent="0.3">
      <c r="B22" s="450"/>
      <c r="C22" s="440"/>
      <c r="D22" s="378" t="s">
        <v>581</v>
      </c>
      <c r="E22" s="379">
        <f t="shared" si="0"/>
        <v>5</v>
      </c>
      <c r="F22" s="380">
        <f t="shared" si="1"/>
        <v>23574</v>
      </c>
      <c r="G22" s="174">
        <f t="shared" ca="1" si="2"/>
        <v>8941.5</v>
      </c>
      <c r="H22" s="810">
        <f t="shared" ca="1" si="6"/>
        <v>0.37929498600152711</v>
      </c>
      <c r="I22" s="174">
        <f ca="1">SUMIFS(INDIRECT(VLOOKUP($D22,NFI,3,0)),NFI_Pipeline_State,$D$6)/E22+I$8</f>
        <v>1994</v>
      </c>
      <c r="J22" s="381">
        <f t="shared" ca="1" si="7"/>
        <v>8.458471197081531E-2</v>
      </c>
      <c r="K22" s="174">
        <f t="shared" ca="1" si="8"/>
        <v>12638.120705013998</v>
      </c>
      <c r="L22" s="813">
        <f t="shared" ca="1" si="3"/>
        <v>0.53610421248044449</v>
      </c>
      <c r="M22" s="174">
        <f t="shared" ca="1" si="10"/>
        <v>0</v>
      </c>
      <c r="N22" s="382">
        <f t="shared" ca="1" si="9"/>
        <v>0</v>
      </c>
      <c r="O22" s="383">
        <f t="shared" ca="1" si="4"/>
        <v>12638.5</v>
      </c>
      <c r="P22" s="384">
        <f t="shared" ca="1" si="5"/>
        <v>0.53612030202765759</v>
      </c>
      <c r="Q22" s="440"/>
      <c r="R22" s="440"/>
      <c r="S22" s="440"/>
      <c r="T22" s="441"/>
      <c r="U22" s="367"/>
      <c r="V22" s="367"/>
      <c r="W22" s="367"/>
      <c r="X22" s="367"/>
      <c r="Y22" s="367"/>
      <c r="Z22" s="367"/>
      <c r="AA22" s="367"/>
      <c r="AB22" s="367"/>
    </row>
    <row r="23" spans="2:28" x14ac:dyDescent="0.25">
      <c r="B23" s="57"/>
      <c r="C23" s="46"/>
      <c r="D23" s="46"/>
      <c r="E23" s="46"/>
      <c r="F23" s="46"/>
      <c r="G23" s="46"/>
      <c r="H23" s="46"/>
      <c r="I23" s="46"/>
      <c r="J23" s="46"/>
      <c r="K23" s="46"/>
      <c r="L23" s="46"/>
      <c r="M23" s="46"/>
      <c r="N23" s="46"/>
      <c r="O23" s="46"/>
      <c r="P23" s="46"/>
      <c r="Q23" s="46"/>
      <c r="R23" s="46"/>
      <c r="S23" s="46"/>
      <c r="T23" s="429"/>
    </row>
    <row r="24" spans="2:28" x14ac:dyDescent="0.25">
      <c r="B24" s="57"/>
      <c r="C24" s="46"/>
      <c r="D24" s="46"/>
      <c r="E24" s="46"/>
      <c r="F24" s="46"/>
      <c r="G24" s="46"/>
      <c r="H24" s="46"/>
      <c r="I24" s="46"/>
      <c r="J24" s="46"/>
      <c r="K24" s="46"/>
      <c r="L24" s="46"/>
      <c r="M24" s="46"/>
      <c r="N24" s="46"/>
      <c r="O24" s="46"/>
      <c r="P24" s="46"/>
      <c r="Q24" s="46"/>
      <c r="R24" s="46"/>
      <c r="S24" s="46"/>
      <c r="T24" s="429"/>
    </row>
    <row r="25" spans="2:28" x14ac:dyDescent="0.25">
      <c r="B25" s="57"/>
      <c r="C25" s="46"/>
      <c r="D25" s="46"/>
      <c r="E25" s="46"/>
      <c r="F25" s="46"/>
      <c r="G25" s="46"/>
      <c r="H25" s="46"/>
      <c r="I25" s="46"/>
      <c r="J25" s="46"/>
      <c r="K25" s="46"/>
      <c r="L25" s="46"/>
      <c r="M25" s="46"/>
      <c r="N25" s="46"/>
      <c r="O25" s="46"/>
      <c r="P25" s="46"/>
      <c r="Q25" s="46"/>
      <c r="R25" s="46"/>
      <c r="S25" s="46"/>
      <c r="T25" s="429"/>
    </row>
    <row r="26" spans="2:28" x14ac:dyDescent="0.25">
      <c r="B26" s="57"/>
      <c r="C26" s="46"/>
      <c r="D26" s="46"/>
      <c r="E26" s="46"/>
      <c r="F26" s="46"/>
      <c r="G26" s="46"/>
      <c r="H26" s="46"/>
      <c r="I26" s="46"/>
      <c r="J26" s="46"/>
      <c r="K26" s="46"/>
      <c r="L26" s="46"/>
      <c r="M26" s="46"/>
      <c r="N26" s="46"/>
      <c r="O26" s="46"/>
      <c r="P26" s="46"/>
      <c r="Q26" s="46"/>
      <c r="R26" s="46"/>
      <c r="S26" s="46"/>
      <c r="T26" s="429"/>
    </row>
    <row r="27" spans="2:28" x14ac:dyDescent="0.25">
      <c r="B27" s="57"/>
      <c r="C27" s="46"/>
      <c r="D27" s="46"/>
      <c r="E27" s="46"/>
      <c r="F27" s="46"/>
      <c r="G27" s="46"/>
      <c r="H27" s="46"/>
      <c r="I27" s="46"/>
      <c r="J27" s="46"/>
      <c r="K27" s="46"/>
      <c r="L27" s="46"/>
      <c r="M27" s="46"/>
      <c r="N27" s="46"/>
      <c r="O27" s="46"/>
      <c r="P27" s="46"/>
      <c r="Q27" s="46"/>
      <c r="R27" s="46"/>
      <c r="S27" s="46"/>
      <c r="T27" s="429"/>
    </row>
    <row r="28" spans="2:28" x14ac:dyDescent="0.25">
      <c r="B28" s="57"/>
      <c r="C28" s="46"/>
      <c r="D28" s="46"/>
      <c r="E28" s="46"/>
      <c r="F28" s="46"/>
      <c r="G28" s="46"/>
      <c r="H28" s="46"/>
      <c r="I28" s="46"/>
      <c r="J28" s="46"/>
      <c r="K28" s="46"/>
      <c r="L28" s="46"/>
      <c r="M28" s="46"/>
      <c r="N28" s="46"/>
      <c r="O28" s="46"/>
      <c r="P28" s="46"/>
      <c r="Q28" s="46"/>
      <c r="R28" s="46"/>
      <c r="S28" s="46"/>
      <c r="T28" s="429"/>
    </row>
    <row r="29" spans="2:28" x14ac:dyDescent="0.25">
      <c r="B29" s="57"/>
      <c r="C29" s="46"/>
      <c r="D29" s="46"/>
      <c r="E29" s="46"/>
      <c r="F29" s="46"/>
      <c r="G29" s="46"/>
      <c r="H29" s="46"/>
      <c r="I29" s="46"/>
      <c r="J29" s="46"/>
      <c r="K29" s="46"/>
      <c r="L29" s="46"/>
      <c r="M29" s="46"/>
      <c r="N29" s="46"/>
      <c r="O29" s="46"/>
      <c r="P29" s="46"/>
      <c r="Q29" s="46"/>
      <c r="R29" s="46"/>
      <c r="S29" s="46"/>
      <c r="T29" s="429"/>
    </row>
    <row r="30" spans="2:28" x14ac:dyDescent="0.25">
      <c r="B30" s="57"/>
      <c r="C30" s="46"/>
      <c r="D30" s="46"/>
      <c r="E30" s="46"/>
      <c r="F30" s="46"/>
      <c r="G30" s="46"/>
      <c r="H30" s="46"/>
      <c r="I30" s="46"/>
      <c r="J30" s="46"/>
      <c r="K30" s="46"/>
      <c r="L30" s="46"/>
      <c r="M30" s="46"/>
      <c r="N30" s="46"/>
      <c r="O30" s="46"/>
      <c r="P30" s="46"/>
      <c r="Q30" s="46"/>
      <c r="R30" s="46"/>
      <c r="S30" s="46"/>
      <c r="T30" s="429"/>
    </row>
    <row r="31" spans="2:28" x14ac:dyDescent="0.25">
      <c r="B31" s="57"/>
      <c r="C31" s="46"/>
      <c r="D31" s="46"/>
      <c r="E31" s="46"/>
      <c r="F31" s="46"/>
      <c r="G31" s="46"/>
      <c r="H31" s="46"/>
      <c r="I31" s="46"/>
      <c r="J31" s="46"/>
      <c r="K31" s="46"/>
      <c r="L31" s="46"/>
      <c r="M31" s="46"/>
      <c r="N31" s="46"/>
      <c r="O31" s="46"/>
      <c r="P31" s="46"/>
      <c r="Q31" s="46"/>
      <c r="R31" s="46"/>
      <c r="S31" s="46"/>
      <c r="T31" s="429"/>
    </row>
    <row r="32" spans="2:28" x14ac:dyDescent="0.25">
      <c r="B32" s="57"/>
      <c r="C32" s="46"/>
      <c r="D32" s="46"/>
      <c r="E32" s="46"/>
      <c r="F32" s="46"/>
      <c r="G32" s="46"/>
      <c r="H32" s="46"/>
      <c r="I32" s="46"/>
      <c r="J32" s="46"/>
      <c r="K32" s="46"/>
      <c r="L32" s="46"/>
      <c r="M32" s="46"/>
      <c r="N32" s="46"/>
      <c r="O32" s="46"/>
      <c r="P32" s="46"/>
      <c r="Q32" s="46"/>
      <c r="R32" s="46"/>
      <c r="S32" s="46"/>
      <c r="T32" s="429"/>
    </row>
    <row r="33" spans="2:20" x14ac:dyDescent="0.25">
      <c r="B33" s="57"/>
      <c r="C33" s="46"/>
      <c r="D33" s="46"/>
      <c r="E33" s="46"/>
      <c r="F33" s="46"/>
      <c r="G33" s="46"/>
      <c r="H33" s="46"/>
      <c r="I33" s="46"/>
      <c r="J33" s="46"/>
      <c r="K33" s="46"/>
      <c r="L33" s="46"/>
      <c r="M33" s="46"/>
      <c r="N33" s="46"/>
      <c r="O33" s="46"/>
      <c r="P33" s="46"/>
      <c r="Q33" s="46"/>
      <c r="R33" s="46"/>
      <c r="S33" s="46"/>
      <c r="T33" s="429"/>
    </row>
    <row r="34" spans="2:20" x14ac:dyDescent="0.25">
      <c r="B34" s="57"/>
      <c r="C34" s="46"/>
      <c r="D34" s="46"/>
      <c r="E34" s="46"/>
      <c r="F34" s="46"/>
      <c r="G34" s="46"/>
      <c r="H34" s="46"/>
      <c r="I34" s="46"/>
      <c r="J34" s="46"/>
      <c r="K34" s="46"/>
      <c r="L34" s="46"/>
      <c r="M34" s="46"/>
      <c r="N34" s="46"/>
      <c r="O34" s="46"/>
      <c r="P34" s="46"/>
      <c r="Q34" s="46"/>
      <c r="R34" s="46"/>
      <c r="S34" s="46"/>
      <c r="T34" s="429"/>
    </row>
    <row r="35" spans="2:20" x14ac:dyDescent="0.25">
      <c r="B35" s="57"/>
      <c r="C35" s="46"/>
      <c r="D35" s="46"/>
      <c r="E35" s="46"/>
      <c r="F35" s="46"/>
      <c r="G35" s="46"/>
      <c r="H35" s="46"/>
      <c r="I35" s="46"/>
      <c r="J35" s="46"/>
      <c r="K35" s="46"/>
      <c r="L35" s="46"/>
      <c r="M35" s="46"/>
      <c r="N35" s="46"/>
      <c r="O35" s="46"/>
      <c r="P35" s="46"/>
      <c r="Q35" s="46"/>
      <c r="R35" s="46"/>
      <c r="S35" s="46"/>
      <c r="T35" s="429"/>
    </row>
    <row r="36" spans="2:20" x14ac:dyDescent="0.25">
      <c r="B36" s="57"/>
      <c r="C36" s="46"/>
      <c r="D36" s="46"/>
      <c r="E36" s="46"/>
      <c r="F36" s="46"/>
      <c r="G36" s="46"/>
      <c r="H36" s="46"/>
      <c r="I36" s="46"/>
      <c r="J36" s="46"/>
      <c r="K36" s="46"/>
      <c r="L36" s="46"/>
      <c r="M36" s="46"/>
      <c r="N36" s="46"/>
      <c r="O36" s="46"/>
      <c r="P36" s="46"/>
      <c r="Q36" s="46"/>
      <c r="R36" s="46"/>
      <c r="S36" s="46"/>
      <c r="T36" s="429"/>
    </row>
    <row r="37" spans="2:20" ht="68.25" customHeight="1" x14ac:dyDescent="0.25">
      <c r="B37" s="57"/>
      <c r="C37" s="46"/>
      <c r="D37" s="46"/>
      <c r="E37" s="46"/>
      <c r="F37" s="46"/>
      <c r="G37" s="46"/>
      <c r="H37" s="46"/>
      <c r="I37" s="46"/>
      <c r="J37" s="46"/>
      <c r="K37" s="46"/>
      <c r="L37" s="46"/>
      <c r="M37" s="46"/>
      <c r="N37" s="46"/>
      <c r="O37" s="46"/>
      <c r="P37" s="46"/>
      <c r="Q37" s="46"/>
      <c r="R37" s="46"/>
      <c r="S37" s="46"/>
      <c r="T37" s="429"/>
    </row>
    <row r="38" spans="2:20" x14ac:dyDescent="0.25">
      <c r="B38" s="57"/>
      <c r="C38" s="46"/>
      <c r="D38" s="46"/>
      <c r="E38" s="46"/>
      <c r="F38" s="46"/>
      <c r="G38" s="46"/>
      <c r="H38" s="46"/>
      <c r="I38" s="46"/>
      <c r="J38" s="46"/>
      <c r="K38" s="46"/>
      <c r="L38" s="46"/>
      <c r="M38" s="46"/>
      <c r="N38" s="46"/>
      <c r="O38" s="46"/>
      <c r="P38" s="46"/>
      <c r="Q38" s="46"/>
      <c r="R38" s="46"/>
      <c r="S38" s="46"/>
      <c r="T38" s="429"/>
    </row>
    <row r="39" spans="2:20" x14ac:dyDescent="0.25">
      <c r="B39" s="57"/>
      <c r="C39" s="46"/>
      <c r="D39" s="46"/>
      <c r="E39" s="46"/>
      <c r="F39" s="46"/>
      <c r="G39" s="46"/>
      <c r="H39" s="46"/>
      <c r="I39" s="46"/>
      <c r="J39" s="46"/>
      <c r="K39" s="46"/>
      <c r="L39" s="46"/>
      <c r="M39" s="46"/>
      <c r="N39" s="46"/>
      <c r="O39" s="46"/>
      <c r="P39" s="46"/>
      <c r="Q39" s="46"/>
      <c r="R39" s="46"/>
      <c r="S39" s="46"/>
      <c r="T39" s="429"/>
    </row>
    <row r="40" spans="2:20" ht="15.75" thickBot="1" x14ac:dyDescent="0.3">
      <c r="B40" s="252"/>
      <c r="C40" s="433"/>
      <c r="D40" s="433"/>
      <c r="E40" s="433"/>
      <c r="F40" s="433"/>
      <c r="G40" s="433"/>
      <c r="H40" s="433"/>
      <c r="I40" s="433"/>
      <c r="J40" s="433"/>
      <c r="K40" s="433"/>
      <c r="L40" s="433"/>
      <c r="M40" s="433"/>
      <c r="N40" s="433"/>
      <c r="O40" s="433"/>
      <c r="P40" s="433"/>
      <c r="Q40" s="433"/>
      <c r="R40" s="433"/>
      <c r="S40" s="433"/>
      <c r="T40" s="434"/>
    </row>
    <row r="41" spans="2:20" x14ac:dyDescent="0.25">
      <c r="K41" s="40"/>
    </row>
    <row r="46" spans="2:20" x14ac:dyDescent="0.25">
      <c r="D46"/>
      <c r="E46"/>
      <c r="F46"/>
      <c r="G46"/>
      <c r="H46"/>
      <c r="I46"/>
      <c r="J46"/>
      <c r="K46"/>
    </row>
    <row r="77" spans="4:11" x14ac:dyDescent="0.25">
      <c r="D77"/>
      <c r="E77"/>
      <c r="F77"/>
      <c r="G77"/>
      <c r="H77"/>
      <c r="I77"/>
      <c r="J77"/>
      <c r="K77"/>
    </row>
    <row r="78" spans="4:11" x14ac:dyDescent="0.25">
      <c r="D78"/>
      <c r="E78"/>
      <c r="F78"/>
      <c r="G78"/>
      <c r="H78"/>
      <c r="I78"/>
      <c r="J78"/>
      <c r="K7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6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F69"/>
  <sheetViews>
    <sheetView topLeftCell="A7" zoomScale="85" zoomScaleNormal="85" workbookViewId="0">
      <selection activeCell="M41" sqref="M41:M45"/>
    </sheetView>
  </sheetViews>
  <sheetFormatPr defaultRowHeight="15" x14ac:dyDescent="0.25"/>
  <cols>
    <col min="1" max="1" width="13" style="793" customWidth="1"/>
    <col min="2" max="2" width="15.5703125" style="793" customWidth="1"/>
    <col min="3" max="3" width="11.85546875" style="793" customWidth="1"/>
    <col min="4" max="4" width="11" style="793" customWidth="1"/>
    <col min="5" max="5" width="13.5703125" style="793" customWidth="1"/>
    <col min="6" max="6" width="20.7109375" style="793" customWidth="1"/>
    <col min="7" max="7" width="15.7109375" style="793" customWidth="1"/>
    <col min="8" max="8" width="11.5703125" style="793" customWidth="1"/>
    <col min="9" max="9" width="13.28515625" style="793" customWidth="1"/>
    <col min="10" max="10" width="11.5703125" style="793" customWidth="1"/>
    <col min="11" max="11" width="10.28515625" style="793" customWidth="1"/>
    <col min="12" max="14" width="11.140625" style="793" customWidth="1"/>
    <col min="15" max="15" width="4.42578125" style="5" customWidth="1"/>
    <col min="16" max="16" width="13.28515625" customWidth="1"/>
    <col min="17" max="17" width="11.42578125" customWidth="1"/>
    <col min="18" max="18" width="13.5703125" customWidth="1"/>
    <col min="19" max="19" width="9.7109375" customWidth="1"/>
    <col min="20" max="20" width="8.140625" customWidth="1"/>
    <col min="21" max="21" width="11.42578125" customWidth="1"/>
    <col min="22" max="22" width="18.85546875" customWidth="1"/>
    <col min="23" max="23" width="13.7109375" customWidth="1"/>
    <col min="24" max="24" width="9.42578125" customWidth="1"/>
    <col min="25" max="25" width="11.140625" customWidth="1"/>
    <col min="26" max="26" width="13.5703125" customWidth="1"/>
    <col min="27" max="27" width="16.28515625" customWidth="1"/>
    <col min="28" max="28" width="10.7109375" customWidth="1"/>
    <col min="29" max="29" width="8.7109375" customWidth="1"/>
  </cols>
  <sheetData>
    <row r="1" spans="1:32" s="1" customFormat="1" ht="36" x14ac:dyDescent="0.25">
      <c r="A1" s="186"/>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E1" s="68"/>
      <c r="AF1" s="68"/>
    </row>
    <row r="2" spans="1:32" s="1" customFormat="1" ht="33" customHeight="1" x14ac:dyDescent="0.25">
      <c r="A2" s="1001" t="s">
        <v>1102</v>
      </c>
      <c r="B2" s="1002"/>
      <c r="C2" s="1002"/>
      <c r="D2" s="1002"/>
      <c r="E2" s="1002"/>
      <c r="F2" s="1002"/>
      <c r="G2" s="1002"/>
      <c r="H2" s="1002"/>
      <c r="I2" s="91"/>
      <c r="J2" s="91"/>
      <c r="K2" s="91"/>
      <c r="L2" s="91"/>
      <c r="M2" s="91"/>
      <c r="N2" s="91"/>
      <c r="O2" s="91"/>
      <c r="P2" s="1002" t="s">
        <v>1101</v>
      </c>
      <c r="Q2" s="1002"/>
      <c r="R2" s="1002"/>
      <c r="S2" s="1002"/>
      <c r="T2" s="1002"/>
      <c r="U2" s="1002"/>
      <c r="V2" s="1002"/>
      <c r="W2" s="1002"/>
      <c r="X2" s="67"/>
      <c r="Y2" s="67"/>
      <c r="Z2" s="67"/>
      <c r="AA2" s="67"/>
      <c r="AB2" s="67"/>
    </row>
    <row r="3" spans="1:32" s="19" customFormat="1" ht="36" x14ac:dyDescent="0.25">
      <c r="A3" s="1003">
        <f>Report_Date</f>
        <v>42795</v>
      </c>
      <c r="B3" s="1004"/>
      <c r="C3" s="1004"/>
      <c r="D3" s="1004"/>
      <c r="E3" s="1004"/>
      <c r="F3" s="1004"/>
      <c r="G3" s="1004"/>
      <c r="H3" s="1004"/>
      <c r="I3" s="214"/>
      <c r="J3" s="214"/>
      <c r="K3" s="214"/>
      <c r="L3" s="214"/>
      <c r="M3" s="214"/>
      <c r="N3" s="214"/>
      <c r="O3" s="214"/>
      <c r="P3" s="214"/>
      <c r="Q3" s="214"/>
      <c r="R3" s="214"/>
      <c r="S3" s="214"/>
      <c r="T3" s="214"/>
      <c r="U3" s="214"/>
      <c r="V3" s="214"/>
      <c r="W3" s="205"/>
      <c r="X3" s="205"/>
      <c r="Y3" s="205"/>
      <c r="Z3" s="205"/>
      <c r="AA3" s="205"/>
      <c r="AB3" s="205"/>
    </row>
    <row r="4" spans="1:32" s="793" customFormat="1" x14ac:dyDescent="0.25">
      <c r="O4" s="5"/>
    </row>
    <row r="5" spans="1:32" s="793" customFormat="1" x14ac:dyDescent="0.25">
      <c r="A5" s="18" t="s">
        <v>1103</v>
      </c>
      <c r="O5" s="5"/>
      <c r="P5" s="18" t="s">
        <v>1105</v>
      </c>
    </row>
    <row r="6" spans="1:32" s="793" customFormat="1" x14ac:dyDescent="0.25">
      <c r="A6" s="18"/>
      <c r="O6" s="5"/>
      <c r="P6" s="18"/>
    </row>
    <row r="7" spans="1:32" x14ac:dyDescent="0.25">
      <c r="P7" s="199" t="s">
        <v>10</v>
      </c>
      <c r="Q7" s="794" t="s">
        <v>7</v>
      </c>
    </row>
    <row r="8" spans="1:32" x14ac:dyDescent="0.25">
      <c r="P8" s="199" t="s">
        <v>346</v>
      </c>
      <c r="Q8" s="794" t="s">
        <v>348</v>
      </c>
    </row>
    <row r="10" spans="1:32" x14ac:dyDescent="0.25">
      <c r="A10" s="793" t="s">
        <v>1072</v>
      </c>
      <c r="B10" s="793" t="s">
        <v>302</v>
      </c>
      <c r="C10" s="793" t="s">
        <v>597</v>
      </c>
      <c r="D10" s="793" t="s">
        <v>303</v>
      </c>
      <c r="E10" s="793" t="s">
        <v>228</v>
      </c>
      <c r="F10" s="793" t="s">
        <v>229</v>
      </c>
      <c r="G10" s="793" t="s">
        <v>327</v>
      </c>
      <c r="H10" s="793" t="s">
        <v>580</v>
      </c>
      <c r="I10" s="793" t="s">
        <v>929</v>
      </c>
      <c r="J10" s="793" t="s">
        <v>581</v>
      </c>
      <c r="K10" s="793" t="s">
        <v>1117</v>
      </c>
      <c r="L10" s="793" t="s">
        <v>1118</v>
      </c>
      <c r="M10" s="793" t="s">
        <v>1119</v>
      </c>
      <c r="P10" s="199" t="s">
        <v>212</v>
      </c>
      <c r="Q10" s="794" t="s">
        <v>1142</v>
      </c>
      <c r="R10" s="794" t="s">
        <v>909</v>
      </c>
      <c r="S10" s="794" t="s">
        <v>910</v>
      </c>
      <c r="T10" s="794" t="s">
        <v>911</v>
      </c>
      <c r="U10" s="794" t="s">
        <v>912</v>
      </c>
      <c r="V10" s="794" t="s">
        <v>913</v>
      </c>
      <c r="W10" s="794" t="s">
        <v>914</v>
      </c>
      <c r="X10" s="794" t="s">
        <v>937</v>
      </c>
      <c r="Y10" s="794" t="s">
        <v>1073</v>
      </c>
      <c r="Z10" s="794" t="s">
        <v>1130</v>
      </c>
      <c r="AA10" s="794" t="s">
        <v>1129</v>
      </c>
      <c r="AB10" s="794" t="s">
        <v>1128</v>
      </c>
    </row>
    <row r="11" spans="1:32" x14ac:dyDescent="0.25">
      <c r="A11" s="793">
        <f t="shared" ref="A11:A16" si="0">P11</f>
        <v>2012</v>
      </c>
      <c r="B11" s="65">
        <f t="shared" ref="B11:B16" si="1">Q11/1</f>
        <v>8492</v>
      </c>
      <c r="C11" s="989">
        <f t="shared" ref="C11:C16" si="2">R11/2</f>
        <v>1819.5</v>
      </c>
      <c r="D11" s="65">
        <f t="shared" ref="D11:D16" si="3">S11/1</f>
        <v>7773</v>
      </c>
      <c r="E11" s="65">
        <f t="shared" ref="E11:E16" si="4">T11/2</f>
        <v>2374</v>
      </c>
      <c r="F11" s="65">
        <f t="shared" ref="F11:I16" si="5">U11/1</f>
        <v>2465</v>
      </c>
      <c r="G11" s="65">
        <f t="shared" si="5"/>
        <v>785</v>
      </c>
      <c r="H11" s="65">
        <f t="shared" si="5"/>
        <v>0</v>
      </c>
      <c r="I11" s="65">
        <f t="shared" si="5"/>
        <v>0</v>
      </c>
      <c r="J11" s="65">
        <f t="shared" ref="J11:J16" si="6">Y11/5</f>
        <v>0</v>
      </c>
      <c r="K11" s="65">
        <f t="shared" ref="K11:M15" si="7">Z11</f>
        <v>0</v>
      </c>
      <c r="L11" s="65">
        <f t="shared" si="7"/>
        <v>0</v>
      </c>
      <c r="M11" s="65">
        <f t="shared" si="7"/>
        <v>0</v>
      </c>
      <c r="N11" s="65"/>
      <c r="P11" s="520">
        <v>2012</v>
      </c>
      <c r="Q11" s="229">
        <v>8492</v>
      </c>
      <c r="R11" s="229">
        <v>3639</v>
      </c>
      <c r="S11" s="229">
        <v>7773</v>
      </c>
      <c r="T11" s="229">
        <v>4748</v>
      </c>
      <c r="U11" s="229">
        <v>2465</v>
      </c>
      <c r="V11" s="229">
        <v>785</v>
      </c>
      <c r="W11" s="229"/>
      <c r="X11" s="229"/>
      <c r="Y11" s="229"/>
      <c r="Z11" s="229"/>
      <c r="AA11" s="229"/>
      <c r="AB11" s="229"/>
    </row>
    <row r="12" spans="1:32" x14ac:dyDescent="0.25">
      <c r="A12" s="793">
        <f t="shared" si="0"/>
        <v>2013</v>
      </c>
      <c r="B12" s="65">
        <f t="shared" si="1"/>
        <v>691</v>
      </c>
      <c r="C12" s="65">
        <f t="shared" si="2"/>
        <v>7972</v>
      </c>
      <c r="D12" s="65">
        <f t="shared" si="3"/>
        <v>6530</v>
      </c>
      <c r="E12" s="65">
        <f t="shared" si="4"/>
        <v>6545</v>
      </c>
      <c r="F12" s="65">
        <f t="shared" si="5"/>
        <v>4775</v>
      </c>
      <c r="G12" s="65">
        <f t="shared" si="5"/>
        <v>4760</v>
      </c>
      <c r="H12" s="65">
        <f t="shared" si="5"/>
        <v>8315</v>
      </c>
      <c r="I12" s="65">
        <f t="shared" si="5"/>
        <v>0</v>
      </c>
      <c r="J12" s="65">
        <f t="shared" si="6"/>
        <v>3189.4</v>
      </c>
      <c r="K12" s="65">
        <f t="shared" si="7"/>
        <v>0</v>
      </c>
      <c r="L12" s="65">
        <f t="shared" si="7"/>
        <v>0</v>
      </c>
      <c r="M12" s="65">
        <f t="shared" si="7"/>
        <v>0</v>
      </c>
      <c r="N12" s="65"/>
      <c r="P12" s="520">
        <v>2013</v>
      </c>
      <c r="Q12" s="229">
        <v>691</v>
      </c>
      <c r="R12" s="229">
        <v>15944</v>
      </c>
      <c r="S12" s="229">
        <v>6530</v>
      </c>
      <c r="T12" s="229">
        <v>13090</v>
      </c>
      <c r="U12" s="229">
        <v>4775</v>
      </c>
      <c r="V12" s="229">
        <v>4760</v>
      </c>
      <c r="W12" s="229">
        <v>8315</v>
      </c>
      <c r="X12" s="229"/>
      <c r="Y12" s="229">
        <v>15947</v>
      </c>
      <c r="Z12" s="229"/>
      <c r="AA12" s="229"/>
      <c r="AB12" s="229"/>
    </row>
    <row r="13" spans="1:32" x14ac:dyDescent="0.25">
      <c r="A13" s="793">
        <f t="shared" si="0"/>
        <v>2014</v>
      </c>
      <c r="B13" s="65">
        <f t="shared" si="1"/>
        <v>1106</v>
      </c>
      <c r="C13" s="65">
        <f t="shared" si="2"/>
        <v>4571.5</v>
      </c>
      <c r="D13" s="65">
        <f t="shared" si="3"/>
        <v>11749</v>
      </c>
      <c r="E13" s="65">
        <f t="shared" si="4"/>
        <v>4487</v>
      </c>
      <c r="F13" s="65">
        <f t="shared" si="5"/>
        <v>3759</v>
      </c>
      <c r="G13" s="65">
        <f t="shared" si="5"/>
        <v>6375</v>
      </c>
      <c r="H13" s="65">
        <f t="shared" si="5"/>
        <v>4433</v>
      </c>
      <c r="I13" s="65">
        <f t="shared" si="5"/>
        <v>0</v>
      </c>
      <c r="J13" s="65">
        <f t="shared" si="6"/>
        <v>2416.1999999999998</v>
      </c>
      <c r="K13" s="65">
        <f t="shared" si="7"/>
        <v>0</v>
      </c>
      <c r="L13" s="65">
        <f t="shared" si="7"/>
        <v>0</v>
      </c>
      <c r="M13" s="65">
        <f t="shared" si="7"/>
        <v>0</v>
      </c>
      <c r="N13" s="65"/>
      <c r="P13" s="520">
        <v>2014</v>
      </c>
      <c r="Q13" s="229">
        <v>1106</v>
      </c>
      <c r="R13" s="229">
        <v>9143</v>
      </c>
      <c r="S13" s="229">
        <v>11749</v>
      </c>
      <c r="T13" s="229">
        <v>8974</v>
      </c>
      <c r="U13" s="229">
        <v>3759</v>
      </c>
      <c r="V13" s="229">
        <v>6375</v>
      </c>
      <c r="W13" s="229">
        <v>4433</v>
      </c>
      <c r="X13" s="229"/>
      <c r="Y13" s="229">
        <v>12081</v>
      </c>
      <c r="Z13" s="229"/>
      <c r="AA13" s="229"/>
      <c r="AB13" s="229"/>
    </row>
    <row r="14" spans="1:32" x14ac:dyDescent="0.25">
      <c r="A14" s="793">
        <f t="shared" si="0"/>
        <v>2015</v>
      </c>
      <c r="B14" s="65">
        <f t="shared" si="1"/>
        <v>102</v>
      </c>
      <c r="C14" s="65">
        <f t="shared" si="2"/>
        <v>8644</v>
      </c>
      <c r="D14" s="65">
        <f t="shared" si="3"/>
        <v>9075</v>
      </c>
      <c r="E14" s="65">
        <f t="shared" si="4"/>
        <v>10060</v>
      </c>
      <c r="F14" s="65">
        <f t="shared" si="5"/>
        <v>8608</v>
      </c>
      <c r="G14" s="65">
        <f t="shared" si="5"/>
        <v>509</v>
      </c>
      <c r="H14" s="65">
        <f t="shared" si="5"/>
        <v>9244</v>
      </c>
      <c r="I14" s="65">
        <f t="shared" si="5"/>
        <v>8645</v>
      </c>
      <c r="J14" s="65">
        <f t="shared" si="6"/>
        <v>9033.2000000000007</v>
      </c>
      <c r="K14" s="65">
        <f t="shared" si="7"/>
        <v>0</v>
      </c>
      <c r="L14" s="65">
        <f t="shared" si="7"/>
        <v>0</v>
      </c>
      <c r="M14" s="65">
        <f t="shared" si="7"/>
        <v>0</v>
      </c>
      <c r="N14" s="65"/>
      <c r="P14" s="520">
        <v>2015</v>
      </c>
      <c r="Q14" s="229">
        <v>102</v>
      </c>
      <c r="R14" s="229">
        <v>17288</v>
      </c>
      <c r="S14" s="229">
        <v>9075</v>
      </c>
      <c r="T14" s="229">
        <v>20120</v>
      </c>
      <c r="U14" s="229">
        <v>8608</v>
      </c>
      <c r="V14" s="229">
        <v>509</v>
      </c>
      <c r="W14" s="229">
        <v>9244</v>
      </c>
      <c r="X14" s="229">
        <v>8645</v>
      </c>
      <c r="Y14" s="229">
        <v>45166</v>
      </c>
      <c r="Z14" s="229"/>
      <c r="AA14" s="229"/>
      <c r="AB14" s="229"/>
    </row>
    <row r="15" spans="1:32" x14ac:dyDescent="0.25">
      <c r="A15" s="793">
        <f t="shared" si="0"/>
        <v>2016</v>
      </c>
      <c r="B15" s="65">
        <f t="shared" si="1"/>
        <v>1080</v>
      </c>
      <c r="C15" s="65">
        <f t="shared" si="2"/>
        <v>3367.5</v>
      </c>
      <c r="D15" s="65">
        <f t="shared" si="3"/>
        <v>3066</v>
      </c>
      <c r="E15" s="65">
        <f t="shared" si="4"/>
        <v>2591.5</v>
      </c>
      <c r="F15" s="65">
        <f t="shared" si="5"/>
        <v>4666</v>
      </c>
      <c r="G15" s="65">
        <f t="shared" si="5"/>
        <v>195</v>
      </c>
      <c r="H15" s="65">
        <f t="shared" si="5"/>
        <v>5176</v>
      </c>
      <c r="I15" s="65">
        <f t="shared" si="5"/>
        <v>6843</v>
      </c>
      <c r="J15" s="65">
        <f t="shared" si="6"/>
        <v>2724.8</v>
      </c>
      <c r="K15" s="65">
        <f t="shared" si="7"/>
        <v>628</v>
      </c>
      <c r="L15" s="65">
        <f t="shared" si="7"/>
        <v>0</v>
      </c>
      <c r="M15" s="65">
        <f t="shared" si="7"/>
        <v>628</v>
      </c>
      <c r="N15" s="65"/>
      <c r="P15" s="520">
        <v>2016</v>
      </c>
      <c r="Q15" s="229">
        <v>1080</v>
      </c>
      <c r="R15" s="229">
        <v>6735</v>
      </c>
      <c r="S15" s="229">
        <v>3066</v>
      </c>
      <c r="T15" s="229">
        <v>5183</v>
      </c>
      <c r="U15" s="229">
        <v>4666</v>
      </c>
      <c r="V15" s="229">
        <v>195</v>
      </c>
      <c r="W15" s="229">
        <v>5176</v>
      </c>
      <c r="X15" s="229">
        <v>6843</v>
      </c>
      <c r="Y15" s="229">
        <v>13624</v>
      </c>
      <c r="Z15" s="229">
        <v>628</v>
      </c>
      <c r="AA15" s="229"/>
      <c r="AB15" s="229">
        <v>628</v>
      </c>
    </row>
    <row r="16" spans="1:32" x14ac:dyDescent="0.25">
      <c r="A16" s="793">
        <f t="shared" si="0"/>
        <v>2017</v>
      </c>
      <c r="B16" s="65">
        <f t="shared" si="1"/>
        <v>2521</v>
      </c>
      <c r="C16" s="65">
        <f t="shared" si="2"/>
        <v>3905</v>
      </c>
      <c r="D16" s="65">
        <f t="shared" si="3"/>
        <v>0</v>
      </c>
      <c r="E16" s="65">
        <f t="shared" si="4"/>
        <v>3637</v>
      </c>
      <c r="F16" s="65">
        <f t="shared" si="5"/>
        <v>1196</v>
      </c>
      <c r="G16" s="65">
        <f t="shared" si="5"/>
        <v>0</v>
      </c>
      <c r="H16" s="65">
        <f t="shared" si="5"/>
        <v>1450</v>
      </c>
      <c r="I16" s="65">
        <f t="shared" si="5"/>
        <v>2900</v>
      </c>
      <c r="J16" s="65">
        <f t="shared" si="6"/>
        <v>2751.8</v>
      </c>
      <c r="K16" s="65">
        <f>Z16</f>
        <v>9225</v>
      </c>
      <c r="L16" s="65">
        <f>AA16/1</f>
        <v>6363</v>
      </c>
      <c r="M16" s="65">
        <f>AB16/1</f>
        <v>0</v>
      </c>
      <c r="N16" s="65"/>
      <c r="P16" s="520">
        <v>2017</v>
      </c>
      <c r="Q16" s="229">
        <v>2521</v>
      </c>
      <c r="R16" s="229">
        <v>7810</v>
      </c>
      <c r="S16" s="229"/>
      <c r="T16" s="229">
        <v>7274</v>
      </c>
      <c r="U16" s="229">
        <v>1196</v>
      </c>
      <c r="V16" s="229"/>
      <c r="W16" s="229">
        <v>1450</v>
      </c>
      <c r="X16" s="229">
        <v>2900</v>
      </c>
      <c r="Y16" s="229">
        <v>13759</v>
      </c>
      <c r="Z16" s="229">
        <v>9225</v>
      </c>
      <c r="AA16" s="229">
        <v>6363</v>
      </c>
      <c r="AB16" s="229"/>
    </row>
    <row r="17" spans="1:29" s="793" customFormat="1" x14ac:dyDescent="0.25">
      <c r="A17" s="951" t="str">
        <f>P17</f>
        <v>Grand Total</v>
      </c>
      <c r="B17" s="952">
        <f>SUBTOTAL(109,Table21[Sanitary Kit])</f>
        <v>13992</v>
      </c>
      <c r="C17" s="952">
        <f>SUBTOTAL(109,Table21[Mosquito net])</f>
        <v>30279.5</v>
      </c>
      <c r="D17" s="952">
        <f>SUBTOTAL(109,Table21[Tarpaulin])</f>
        <v>38193</v>
      </c>
      <c r="E17" s="952">
        <f>SUBTOTAL(109,Table21[Blanket])</f>
        <v>29694.5</v>
      </c>
      <c r="F17" s="952">
        <f>SUBTOTAL(109,Table21[Kitchen Set])</f>
        <v>25469</v>
      </c>
      <c r="G17" s="952">
        <f>SUBTOTAL(109,Table21[Complementary Kit])</f>
        <v>12624</v>
      </c>
      <c r="H17" s="952">
        <f>SUBTOTAL(109,Table21[Plastic Bucket])</f>
        <v>28618</v>
      </c>
      <c r="I17" s="952">
        <f>SUBTOTAL(109,Table21[Jerry Can])</f>
        <v>18388</v>
      </c>
      <c r="J17" s="952">
        <f>SUBTOTAL(109,Table21[Plastic Mat])</f>
        <v>20115.400000000001</v>
      </c>
      <c r="K17" s="952">
        <f>SUBTOTAL(109,Table21[Adult Clothes])</f>
        <v>9853</v>
      </c>
      <c r="L17" s="952">
        <f>SUBTOTAL(109,Table21[Children Clothes])</f>
        <v>6363</v>
      </c>
      <c r="M17" s="952">
        <f>SUBTOTAL(109,Table21[Sewing Kit])</f>
        <v>628</v>
      </c>
      <c r="O17" s="5"/>
      <c r="P17" s="520" t="s">
        <v>213</v>
      </c>
      <c r="Q17" s="229">
        <v>13992</v>
      </c>
      <c r="R17" s="229">
        <v>60559</v>
      </c>
      <c r="S17" s="229">
        <v>38193</v>
      </c>
      <c r="T17" s="229">
        <v>59389</v>
      </c>
      <c r="U17" s="229">
        <v>25469</v>
      </c>
      <c r="V17" s="229">
        <v>12624</v>
      </c>
      <c r="W17" s="229">
        <v>28618</v>
      </c>
      <c r="X17" s="229">
        <v>18388</v>
      </c>
      <c r="Y17" s="229">
        <v>100577</v>
      </c>
      <c r="Z17" s="229">
        <v>9853</v>
      </c>
      <c r="AA17" s="229">
        <v>6363</v>
      </c>
      <c r="AB17" s="229">
        <v>628</v>
      </c>
      <c r="AC17"/>
    </row>
    <row r="18" spans="1:29" s="5" customFormat="1" x14ac:dyDescent="0.25">
      <c r="A18" s="953"/>
      <c r="B18" s="954"/>
      <c r="C18" s="954"/>
      <c r="D18" s="954"/>
      <c r="E18" s="954"/>
      <c r="F18" s="954"/>
      <c r="G18" s="954"/>
      <c r="H18" s="954"/>
      <c r="I18" s="954"/>
      <c r="J18" s="954"/>
      <c r="K18" s="954"/>
      <c r="L18" s="954"/>
      <c r="M18" s="954"/>
      <c r="N18" s="954"/>
      <c r="P18" s="291"/>
      <c r="Q18" s="955"/>
      <c r="R18" s="955"/>
      <c r="S18" s="955"/>
      <c r="T18" s="955"/>
      <c r="U18" s="955"/>
      <c r="V18" s="955"/>
      <c r="W18" s="955"/>
      <c r="X18" s="955"/>
      <c r="Y18" s="955"/>
      <c r="Z18" s="955"/>
      <c r="AA18" s="955"/>
    </row>
    <row r="19" spans="1:29" s="793" customFormat="1" x14ac:dyDescent="0.25">
      <c r="A19" s="807" t="s">
        <v>1104</v>
      </c>
      <c r="B19" s="806"/>
      <c r="C19" s="806"/>
      <c r="D19" s="806"/>
      <c r="E19" s="806"/>
      <c r="F19" s="806"/>
      <c r="G19" s="806"/>
      <c r="H19" s="806"/>
      <c r="I19" s="806"/>
      <c r="J19" s="806"/>
      <c r="K19" s="806"/>
      <c r="L19" s="806"/>
      <c r="M19" s="806"/>
      <c r="N19" s="806"/>
      <c r="O19" s="5"/>
      <c r="P19" s="18" t="s">
        <v>1106</v>
      </c>
      <c r="Q19" s="614"/>
      <c r="R19" s="614"/>
      <c r="S19" s="614"/>
      <c r="T19" s="614"/>
      <c r="U19" s="614"/>
      <c r="V19" s="614"/>
      <c r="W19" s="614"/>
      <c r="X19" s="614"/>
    </row>
    <row r="21" spans="1:29" x14ac:dyDescent="0.25">
      <c r="P21" s="199" t="s">
        <v>10</v>
      </c>
      <c r="Q21" s="794" t="s">
        <v>7</v>
      </c>
      <c r="R21" s="793"/>
      <c r="S21" s="793"/>
      <c r="T21" s="793"/>
      <c r="U21" s="793"/>
      <c r="V21" s="793"/>
      <c r="W21" s="793"/>
      <c r="X21" s="793"/>
    </row>
    <row r="22" spans="1:29" x14ac:dyDescent="0.25">
      <c r="P22" s="199" t="s">
        <v>346</v>
      </c>
      <c r="Q22" s="794" t="s">
        <v>348</v>
      </c>
      <c r="R22" s="793"/>
      <c r="S22" s="793"/>
      <c r="T22" s="793"/>
      <c r="U22" s="793"/>
      <c r="V22" s="793"/>
      <c r="W22" s="793"/>
      <c r="X22" s="793"/>
    </row>
    <row r="23" spans="1:29" x14ac:dyDescent="0.25">
      <c r="P23" s="793"/>
      <c r="Q23" s="793"/>
      <c r="R23" s="793"/>
      <c r="S23" s="793"/>
      <c r="T23" s="793"/>
      <c r="U23" s="793"/>
      <c r="V23" s="793"/>
      <c r="W23" s="793"/>
      <c r="X23" s="793"/>
    </row>
    <row r="24" spans="1:29" x14ac:dyDescent="0.25">
      <c r="A24" s="793" t="s">
        <v>1</v>
      </c>
      <c r="B24" s="793" t="s">
        <v>302</v>
      </c>
      <c r="C24" s="793" t="s">
        <v>597</v>
      </c>
      <c r="D24" s="793" t="s">
        <v>303</v>
      </c>
      <c r="E24" s="793" t="s">
        <v>228</v>
      </c>
      <c r="F24" s="793" t="s">
        <v>229</v>
      </c>
      <c r="G24" s="793" t="s">
        <v>327</v>
      </c>
      <c r="H24" s="793" t="s">
        <v>580</v>
      </c>
      <c r="I24" s="793" t="s">
        <v>929</v>
      </c>
      <c r="J24" s="185" t="s">
        <v>581</v>
      </c>
      <c r="K24" s="185" t="s">
        <v>1117</v>
      </c>
      <c r="L24" s="185" t="s">
        <v>1118</v>
      </c>
      <c r="M24" s="185" t="s">
        <v>1119</v>
      </c>
      <c r="N24" s="1"/>
      <c r="P24" s="199" t="s">
        <v>212</v>
      </c>
      <c r="Q24" s="794" t="s">
        <v>1142</v>
      </c>
      <c r="R24" s="794" t="s">
        <v>909</v>
      </c>
      <c r="S24" s="794" t="s">
        <v>910</v>
      </c>
      <c r="T24" s="794" t="s">
        <v>911</v>
      </c>
      <c r="U24" s="794" t="s">
        <v>912</v>
      </c>
      <c r="V24" s="794" t="s">
        <v>913</v>
      </c>
      <c r="W24" s="794" t="s">
        <v>914</v>
      </c>
      <c r="X24" s="794" t="s">
        <v>937</v>
      </c>
      <c r="Y24" s="794" t="s">
        <v>1073</v>
      </c>
      <c r="Z24" s="794" t="s">
        <v>1130</v>
      </c>
      <c r="AA24" s="794" t="s">
        <v>1129</v>
      </c>
      <c r="AB24" s="794" t="s">
        <v>1128</v>
      </c>
    </row>
    <row r="25" spans="1:29" x14ac:dyDescent="0.25">
      <c r="A25" s="798">
        <v>2012</v>
      </c>
      <c r="B25" s="797"/>
      <c r="C25" s="797"/>
      <c r="D25" s="797"/>
      <c r="E25" s="797"/>
      <c r="F25" s="797"/>
      <c r="G25" s="797"/>
      <c r="H25" s="797"/>
      <c r="I25" s="800"/>
      <c r="J25" s="938"/>
      <c r="K25" s="938"/>
      <c r="L25" s="938"/>
      <c r="M25" s="938"/>
      <c r="N25" s="982"/>
      <c r="P25" s="520">
        <v>2012</v>
      </c>
      <c r="Q25" s="229"/>
      <c r="R25" s="229"/>
      <c r="S25" s="229"/>
      <c r="T25" s="229"/>
      <c r="U25" s="229"/>
      <c r="V25" s="229"/>
      <c r="W25" s="229"/>
      <c r="X25" s="229"/>
      <c r="Y25" s="229"/>
      <c r="Z25" s="229"/>
      <c r="AA25" s="229"/>
      <c r="AB25" s="229"/>
    </row>
    <row r="26" spans="1:29" x14ac:dyDescent="0.25">
      <c r="A26" s="799" t="s">
        <v>608</v>
      </c>
      <c r="B26" s="229">
        <f t="shared" ref="B26:B31" si="8">Q26/1</f>
        <v>0</v>
      </c>
      <c r="C26" s="229">
        <f t="shared" ref="C26:C31" si="9">R26/2</f>
        <v>498</v>
      </c>
      <c r="D26" s="229">
        <f t="shared" ref="D26:D31" si="10">S26/1</f>
        <v>298</v>
      </c>
      <c r="E26" s="229">
        <f t="shared" ref="E26:E31" si="11">T26/2</f>
        <v>498</v>
      </c>
      <c r="F26" s="229">
        <f t="shared" ref="F26:H31" si="12">U26/1</f>
        <v>498</v>
      </c>
      <c r="G26" s="229">
        <f t="shared" si="12"/>
        <v>0</v>
      </c>
      <c r="H26" s="229">
        <f t="shared" si="12"/>
        <v>0</v>
      </c>
      <c r="I26" s="801">
        <f t="shared" ref="I26:I31" si="13">X26/1</f>
        <v>0</v>
      </c>
      <c r="J26" s="229">
        <f t="shared" ref="J26:J31" si="14">Y26/5</f>
        <v>0</v>
      </c>
      <c r="K26" s="229">
        <f>Z26</f>
        <v>0</v>
      </c>
      <c r="L26" s="229">
        <f>AA26</f>
        <v>0</v>
      </c>
      <c r="M26" s="229">
        <f>AB26</f>
        <v>0</v>
      </c>
      <c r="N26" s="614"/>
      <c r="P26" s="198" t="s">
        <v>608</v>
      </c>
      <c r="Q26" s="229"/>
      <c r="R26" s="229">
        <v>996</v>
      </c>
      <c r="S26" s="229">
        <v>298</v>
      </c>
      <c r="T26" s="229">
        <v>996</v>
      </c>
      <c r="U26" s="229">
        <v>498</v>
      </c>
      <c r="V26" s="229"/>
      <c r="W26" s="229"/>
      <c r="X26" s="229"/>
      <c r="Y26" s="229"/>
      <c r="Z26" s="229"/>
      <c r="AA26" s="229"/>
      <c r="AB26" s="229"/>
    </row>
    <row r="27" spans="1:29" x14ac:dyDescent="0.25">
      <c r="A27" s="799" t="s">
        <v>15</v>
      </c>
      <c r="B27" s="229">
        <f t="shared" si="8"/>
        <v>0</v>
      </c>
      <c r="C27" s="229">
        <f t="shared" si="9"/>
        <v>80</v>
      </c>
      <c r="D27" s="229">
        <f t="shared" si="10"/>
        <v>80</v>
      </c>
      <c r="E27" s="229">
        <f t="shared" si="11"/>
        <v>80</v>
      </c>
      <c r="F27" s="229">
        <f t="shared" si="12"/>
        <v>80</v>
      </c>
      <c r="G27" s="229">
        <f t="shared" si="12"/>
        <v>80</v>
      </c>
      <c r="H27" s="229">
        <f t="shared" si="12"/>
        <v>0</v>
      </c>
      <c r="I27" s="801">
        <f t="shared" si="13"/>
        <v>0</v>
      </c>
      <c r="J27" s="229">
        <f t="shared" si="14"/>
        <v>0</v>
      </c>
      <c r="K27" s="229">
        <f>Z27</f>
        <v>0</v>
      </c>
      <c r="L27" s="229">
        <f t="shared" ref="L27:M61" si="15">AA27</f>
        <v>0</v>
      </c>
      <c r="M27" s="229">
        <f>AB27</f>
        <v>0</v>
      </c>
      <c r="N27" s="614"/>
      <c r="P27" s="198" t="s">
        <v>15</v>
      </c>
      <c r="Q27" s="229"/>
      <c r="R27" s="229">
        <v>160</v>
      </c>
      <c r="S27" s="229">
        <v>80</v>
      </c>
      <c r="T27" s="229">
        <v>160</v>
      </c>
      <c r="U27" s="229">
        <v>80</v>
      </c>
      <c r="V27" s="229">
        <v>80</v>
      </c>
      <c r="W27" s="229"/>
      <c r="X27" s="229"/>
      <c r="Y27" s="229"/>
      <c r="Z27" s="229"/>
      <c r="AA27" s="229"/>
      <c r="AB27" s="229"/>
    </row>
    <row r="28" spans="1:29" x14ac:dyDescent="0.25">
      <c r="A28" s="799" t="s">
        <v>867</v>
      </c>
      <c r="B28" s="229">
        <f t="shared" si="8"/>
        <v>0</v>
      </c>
      <c r="C28" s="229">
        <f t="shared" si="9"/>
        <v>316</v>
      </c>
      <c r="D28" s="229">
        <f t="shared" si="10"/>
        <v>146</v>
      </c>
      <c r="E28" s="229">
        <f t="shared" si="11"/>
        <v>316</v>
      </c>
      <c r="F28" s="229">
        <f t="shared" si="12"/>
        <v>146</v>
      </c>
      <c r="G28" s="229">
        <f t="shared" si="12"/>
        <v>705</v>
      </c>
      <c r="H28" s="229">
        <f t="shared" si="12"/>
        <v>0</v>
      </c>
      <c r="I28" s="801">
        <f t="shared" si="13"/>
        <v>0</v>
      </c>
      <c r="J28" s="229">
        <f t="shared" si="14"/>
        <v>0</v>
      </c>
      <c r="K28" s="229">
        <f>Z28</f>
        <v>0</v>
      </c>
      <c r="L28" s="229">
        <f t="shared" si="15"/>
        <v>0</v>
      </c>
      <c r="M28" s="229">
        <f t="shared" si="15"/>
        <v>0</v>
      </c>
      <c r="N28" s="614"/>
      <c r="P28" s="198" t="s">
        <v>867</v>
      </c>
      <c r="Q28" s="229"/>
      <c r="R28" s="229">
        <v>632</v>
      </c>
      <c r="S28" s="229">
        <v>146</v>
      </c>
      <c r="T28" s="229">
        <v>632</v>
      </c>
      <c r="U28" s="229">
        <v>146</v>
      </c>
      <c r="V28" s="229">
        <v>705</v>
      </c>
      <c r="W28" s="229"/>
      <c r="X28" s="229"/>
      <c r="Y28" s="229"/>
      <c r="Z28" s="229"/>
      <c r="AA28" s="229"/>
      <c r="AB28" s="229"/>
    </row>
    <row r="29" spans="1:29" x14ac:dyDescent="0.25">
      <c r="A29" s="799" t="s">
        <v>14</v>
      </c>
      <c r="B29" s="229">
        <f t="shared" si="8"/>
        <v>0</v>
      </c>
      <c r="C29" s="990">
        <f t="shared" si="9"/>
        <v>815.5</v>
      </c>
      <c r="D29" s="229">
        <f t="shared" si="10"/>
        <v>3243</v>
      </c>
      <c r="E29" s="229">
        <f t="shared" si="11"/>
        <v>1274</v>
      </c>
      <c r="F29" s="229">
        <f t="shared" si="12"/>
        <v>1631</v>
      </c>
      <c r="G29" s="229">
        <f t="shared" si="12"/>
        <v>0</v>
      </c>
      <c r="H29" s="229">
        <f t="shared" si="12"/>
        <v>0</v>
      </c>
      <c r="I29" s="801">
        <f t="shared" si="13"/>
        <v>0</v>
      </c>
      <c r="J29" s="229">
        <f t="shared" si="14"/>
        <v>0</v>
      </c>
      <c r="K29" s="229">
        <f>Z29</f>
        <v>0</v>
      </c>
      <c r="L29" s="229">
        <f t="shared" si="15"/>
        <v>0</v>
      </c>
      <c r="M29" s="229">
        <f>AB29</f>
        <v>0</v>
      </c>
      <c r="N29" s="614"/>
      <c r="P29" s="198" t="s">
        <v>14</v>
      </c>
      <c r="Q29" s="229"/>
      <c r="R29" s="229">
        <v>1631</v>
      </c>
      <c r="S29" s="229">
        <v>3243</v>
      </c>
      <c r="T29" s="229">
        <v>2548</v>
      </c>
      <c r="U29" s="229">
        <v>1631</v>
      </c>
      <c r="V29" s="229"/>
      <c r="W29" s="229"/>
      <c r="X29" s="229"/>
      <c r="Y29" s="229"/>
      <c r="Z29" s="229"/>
      <c r="AA29" s="229"/>
      <c r="AB29" s="229"/>
    </row>
    <row r="30" spans="1:29" x14ac:dyDescent="0.25">
      <c r="A30" s="799" t="s">
        <v>18</v>
      </c>
      <c r="B30" s="229">
        <f t="shared" si="8"/>
        <v>0</v>
      </c>
      <c r="C30" s="229">
        <f t="shared" si="9"/>
        <v>110</v>
      </c>
      <c r="D30" s="229">
        <f t="shared" si="10"/>
        <v>110</v>
      </c>
      <c r="E30" s="229">
        <f t="shared" si="11"/>
        <v>110</v>
      </c>
      <c r="F30" s="229">
        <f t="shared" si="12"/>
        <v>110</v>
      </c>
      <c r="G30" s="229">
        <f t="shared" si="12"/>
        <v>0</v>
      </c>
      <c r="H30" s="229">
        <f t="shared" si="12"/>
        <v>0</v>
      </c>
      <c r="I30" s="801">
        <f t="shared" si="13"/>
        <v>0</v>
      </c>
      <c r="J30" s="229">
        <f t="shared" si="14"/>
        <v>0</v>
      </c>
      <c r="K30" s="229">
        <f t="shared" ref="K30:K61" si="16">Z30</f>
        <v>0</v>
      </c>
      <c r="L30" s="229">
        <f t="shared" si="15"/>
        <v>0</v>
      </c>
      <c r="M30" s="229">
        <f>AB30</f>
        <v>0</v>
      </c>
      <c r="N30" s="614"/>
      <c r="P30" s="198" t="s">
        <v>18</v>
      </c>
      <c r="Q30" s="229"/>
      <c r="R30" s="229">
        <v>220</v>
      </c>
      <c r="S30" s="229">
        <v>110</v>
      </c>
      <c r="T30" s="229">
        <v>220</v>
      </c>
      <c r="U30" s="229">
        <v>110</v>
      </c>
      <c r="V30" s="229"/>
      <c r="W30" s="229"/>
      <c r="X30" s="229"/>
      <c r="Y30" s="229"/>
      <c r="Z30" s="229"/>
      <c r="AA30" s="229"/>
      <c r="AB30" s="229"/>
    </row>
    <row r="31" spans="1:29" x14ac:dyDescent="0.25">
      <c r="A31" s="799" t="s">
        <v>19</v>
      </c>
      <c r="B31" s="229">
        <f t="shared" si="8"/>
        <v>8492</v>
      </c>
      <c r="C31" s="229">
        <f t="shared" si="9"/>
        <v>0</v>
      </c>
      <c r="D31" s="229">
        <f t="shared" si="10"/>
        <v>3896</v>
      </c>
      <c r="E31" s="229">
        <f t="shared" si="11"/>
        <v>96</v>
      </c>
      <c r="F31" s="229">
        <f t="shared" si="12"/>
        <v>0</v>
      </c>
      <c r="G31" s="229">
        <f t="shared" si="12"/>
        <v>0</v>
      </c>
      <c r="H31" s="229">
        <f t="shared" si="12"/>
        <v>0</v>
      </c>
      <c r="I31" s="801">
        <f t="shared" si="13"/>
        <v>0</v>
      </c>
      <c r="J31" s="229">
        <f t="shared" si="14"/>
        <v>0</v>
      </c>
      <c r="K31" s="229">
        <f t="shared" si="16"/>
        <v>0</v>
      </c>
      <c r="L31" s="229">
        <f t="shared" si="15"/>
        <v>0</v>
      </c>
      <c r="M31" s="229">
        <f>AB31</f>
        <v>0</v>
      </c>
      <c r="N31" s="614"/>
      <c r="P31" s="198" t="s">
        <v>19</v>
      </c>
      <c r="Q31" s="229">
        <v>8492</v>
      </c>
      <c r="R31" s="229"/>
      <c r="S31" s="229">
        <v>3896</v>
      </c>
      <c r="T31" s="229">
        <v>192</v>
      </c>
      <c r="U31" s="229"/>
      <c r="V31" s="229"/>
      <c r="W31" s="229"/>
      <c r="X31" s="229"/>
      <c r="Y31" s="229"/>
      <c r="Z31" s="229"/>
      <c r="AA31" s="229"/>
      <c r="AB31" s="229"/>
    </row>
    <row r="32" spans="1:29" x14ac:dyDescent="0.25">
      <c r="A32" s="804" t="s">
        <v>1074</v>
      </c>
      <c r="B32" s="805">
        <f>SUM(B26:B31)</f>
        <v>8492</v>
      </c>
      <c r="C32" s="805">
        <f>SUM(C26:C31)</f>
        <v>1819.5</v>
      </c>
      <c r="D32" s="805">
        <f t="shared" ref="D32:J32" si="17">SUM(D26:D31)</f>
        <v>7773</v>
      </c>
      <c r="E32" s="805">
        <f t="shared" si="17"/>
        <v>2374</v>
      </c>
      <c r="F32" s="805">
        <f t="shared" si="17"/>
        <v>2465</v>
      </c>
      <c r="G32" s="805">
        <f t="shared" si="17"/>
        <v>785</v>
      </c>
      <c r="H32" s="805">
        <f t="shared" si="17"/>
        <v>0</v>
      </c>
      <c r="I32" s="805">
        <f t="shared" si="17"/>
        <v>0</v>
      </c>
      <c r="J32" s="805">
        <f t="shared" si="17"/>
        <v>0</v>
      </c>
      <c r="K32" s="805">
        <f>SUM(K26:K31)</f>
        <v>0</v>
      </c>
      <c r="L32" s="805">
        <f>SUM(L26:L31)</f>
        <v>0</v>
      </c>
      <c r="M32" s="805">
        <f>SUM(M26:M31)</f>
        <v>0</v>
      </c>
      <c r="P32" s="520" t="s">
        <v>1074</v>
      </c>
      <c r="Q32" s="229">
        <v>8492</v>
      </c>
      <c r="R32" s="229">
        <v>3639</v>
      </c>
      <c r="S32" s="229">
        <v>7773</v>
      </c>
      <c r="T32" s="229">
        <v>4748</v>
      </c>
      <c r="U32" s="229">
        <v>2465</v>
      </c>
      <c r="V32" s="229">
        <v>785</v>
      </c>
      <c r="W32" s="229"/>
      <c r="X32" s="229"/>
      <c r="Y32" s="229"/>
      <c r="Z32" s="229"/>
      <c r="AA32" s="229"/>
      <c r="AB32" s="229"/>
    </row>
    <row r="33" spans="1:28" x14ac:dyDescent="0.25">
      <c r="A33" s="798">
        <v>2013</v>
      </c>
      <c r="B33" s="797"/>
      <c r="C33" s="797"/>
      <c r="D33" s="797"/>
      <c r="E33" s="797"/>
      <c r="F33" s="797"/>
      <c r="G33" s="797"/>
      <c r="H33" s="797"/>
      <c r="I33" s="800"/>
      <c r="J33" s="229"/>
      <c r="K33" s="229">
        <f t="shared" si="16"/>
        <v>0</v>
      </c>
      <c r="L33" s="229">
        <f t="shared" si="15"/>
        <v>0</v>
      </c>
      <c r="M33" s="229">
        <f>AB33</f>
        <v>0</v>
      </c>
      <c r="P33" s="520">
        <v>2013</v>
      </c>
      <c r="Q33" s="229"/>
      <c r="R33" s="229"/>
      <c r="S33" s="229"/>
      <c r="T33" s="229"/>
      <c r="U33" s="229"/>
      <c r="V33" s="229"/>
      <c r="W33" s="229"/>
      <c r="X33" s="229"/>
      <c r="Y33" s="229"/>
      <c r="Z33" s="229"/>
      <c r="AA33" s="229"/>
      <c r="AB33" s="229"/>
    </row>
    <row r="34" spans="1:28" x14ac:dyDescent="0.25">
      <c r="A34" s="799" t="s">
        <v>608</v>
      </c>
      <c r="B34" s="229">
        <f t="shared" ref="B34:B41" si="18">Q34/1</f>
        <v>0</v>
      </c>
      <c r="C34" s="229">
        <f t="shared" ref="C34:C41" si="19">R34/2</f>
        <v>0</v>
      </c>
      <c r="D34" s="229">
        <f t="shared" ref="D34:H34" si="20">S34/1</f>
        <v>0</v>
      </c>
      <c r="E34" s="229">
        <f t="shared" ref="E34:E41" si="21">T34/2</f>
        <v>0</v>
      </c>
      <c r="F34" s="229">
        <f t="shared" si="20"/>
        <v>0</v>
      </c>
      <c r="G34" s="229">
        <f t="shared" si="20"/>
        <v>0</v>
      </c>
      <c r="H34" s="229">
        <f t="shared" si="20"/>
        <v>0</v>
      </c>
      <c r="I34" s="229">
        <f t="shared" ref="I34:I41" si="22">X34/1</f>
        <v>0</v>
      </c>
      <c r="J34" s="229">
        <f t="shared" ref="J34:J41" si="23">Y34/5</f>
        <v>0</v>
      </c>
      <c r="K34" s="229">
        <f t="shared" si="16"/>
        <v>0</v>
      </c>
      <c r="L34" s="229">
        <f t="shared" si="15"/>
        <v>0</v>
      </c>
      <c r="M34" s="229">
        <f>AB34</f>
        <v>0</v>
      </c>
      <c r="P34" s="198" t="s">
        <v>608</v>
      </c>
      <c r="Q34" s="229"/>
      <c r="R34" s="229"/>
      <c r="S34" s="229"/>
      <c r="T34" s="229"/>
      <c r="U34" s="229"/>
      <c r="V34" s="229"/>
      <c r="W34" s="229"/>
      <c r="X34" s="229"/>
      <c r="Y34" s="229"/>
      <c r="Z34" s="229"/>
      <c r="AA34" s="229"/>
      <c r="AB34" s="229"/>
    </row>
    <row r="35" spans="1:28" x14ac:dyDescent="0.25">
      <c r="A35" s="799" t="s">
        <v>15</v>
      </c>
      <c r="B35" s="229">
        <f t="shared" si="18"/>
        <v>0</v>
      </c>
      <c r="C35" s="229">
        <f t="shared" si="19"/>
        <v>163</v>
      </c>
      <c r="D35" s="229">
        <f t="shared" ref="D35:D41" si="24">S35/1</f>
        <v>326</v>
      </c>
      <c r="E35" s="229">
        <f t="shared" si="21"/>
        <v>163</v>
      </c>
      <c r="F35" s="229">
        <f t="shared" ref="F35:H41" si="25">U35/1</f>
        <v>163</v>
      </c>
      <c r="G35" s="229">
        <f t="shared" si="25"/>
        <v>163</v>
      </c>
      <c r="H35" s="229">
        <f t="shared" si="25"/>
        <v>163</v>
      </c>
      <c r="I35" s="229">
        <f t="shared" si="22"/>
        <v>0</v>
      </c>
      <c r="J35" s="229">
        <f t="shared" si="23"/>
        <v>65.2</v>
      </c>
      <c r="K35" s="229">
        <f t="shared" si="16"/>
        <v>0</v>
      </c>
      <c r="L35" s="229">
        <f t="shared" si="15"/>
        <v>0</v>
      </c>
      <c r="M35" s="229">
        <f t="shared" si="15"/>
        <v>0</v>
      </c>
      <c r="P35" s="198" t="s">
        <v>15</v>
      </c>
      <c r="Q35" s="229"/>
      <c r="R35" s="229">
        <v>326</v>
      </c>
      <c r="S35" s="229">
        <v>326</v>
      </c>
      <c r="T35" s="229">
        <v>326</v>
      </c>
      <c r="U35" s="229">
        <v>163</v>
      </c>
      <c r="V35" s="229">
        <v>163</v>
      </c>
      <c r="W35" s="229">
        <v>163</v>
      </c>
      <c r="X35" s="229"/>
      <c r="Y35" s="229">
        <v>326</v>
      </c>
      <c r="Z35" s="229"/>
      <c r="AA35" s="229"/>
      <c r="AB35" s="229"/>
    </row>
    <row r="36" spans="1:28" x14ac:dyDescent="0.25">
      <c r="A36" s="799" t="s">
        <v>20</v>
      </c>
      <c r="B36" s="229">
        <f t="shared" si="18"/>
        <v>463</v>
      </c>
      <c r="C36" s="229">
        <f t="shared" si="19"/>
        <v>676</v>
      </c>
      <c r="D36" s="229">
        <f t="shared" si="24"/>
        <v>526</v>
      </c>
      <c r="E36" s="229">
        <f t="shared" si="21"/>
        <v>263</v>
      </c>
      <c r="F36" s="229">
        <f t="shared" si="25"/>
        <v>263</v>
      </c>
      <c r="G36" s="229">
        <f t="shared" si="25"/>
        <v>263</v>
      </c>
      <c r="H36" s="229">
        <f t="shared" si="25"/>
        <v>263</v>
      </c>
      <c r="I36" s="229">
        <f t="shared" si="22"/>
        <v>0</v>
      </c>
      <c r="J36" s="229">
        <f t="shared" si="23"/>
        <v>105.2</v>
      </c>
      <c r="K36" s="229">
        <f t="shared" si="16"/>
        <v>0</v>
      </c>
      <c r="L36" s="229">
        <f t="shared" si="15"/>
        <v>0</v>
      </c>
      <c r="M36" s="229">
        <f t="shared" si="15"/>
        <v>0</v>
      </c>
      <c r="P36" s="198" t="s">
        <v>20</v>
      </c>
      <c r="Q36" s="229">
        <v>463</v>
      </c>
      <c r="R36" s="229">
        <v>1352</v>
      </c>
      <c r="S36" s="229">
        <v>526</v>
      </c>
      <c r="T36" s="229">
        <v>526</v>
      </c>
      <c r="U36" s="229">
        <v>263</v>
      </c>
      <c r="V36" s="229">
        <v>263</v>
      </c>
      <c r="W36" s="229">
        <v>263</v>
      </c>
      <c r="X36" s="229"/>
      <c r="Y36" s="229">
        <v>526</v>
      </c>
      <c r="Z36" s="229"/>
      <c r="AA36" s="229"/>
      <c r="AB36" s="229"/>
    </row>
    <row r="37" spans="1:28" x14ac:dyDescent="0.25">
      <c r="A37" s="799" t="s">
        <v>867</v>
      </c>
      <c r="B37" s="229">
        <f t="shared" si="18"/>
        <v>0</v>
      </c>
      <c r="C37" s="990">
        <f t="shared" si="19"/>
        <v>1126.5</v>
      </c>
      <c r="D37" s="229">
        <f t="shared" si="24"/>
        <v>755</v>
      </c>
      <c r="E37" s="990">
        <f t="shared" si="21"/>
        <v>1126.5</v>
      </c>
      <c r="F37" s="229">
        <f t="shared" si="25"/>
        <v>755</v>
      </c>
      <c r="G37" s="229">
        <f t="shared" si="25"/>
        <v>755</v>
      </c>
      <c r="H37" s="229">
        <f t="shared" si="25"/>
        <v>1498</v>
      </c>
      <c r="I37" s="229">
        <f t="shared" si="22"/>
        <v>0</v>
      </c>
      <c r="J37" s="229">
        <f t="shared" si="23"/>
        <v>302</v>
      </c>
      <c r="K37" s="229">
        <f t="shared" si="16"/>
        <v>0</v>
      </c>
      <c r="L37" s="229">
        <f t="shared" si="15"/>
        <v>0</v>
      </c>
      <c r="M37" s="229">
        <f t="shared" si="15"/>
        <v>0</v>
      </c>
      <c r="P37" s="198" t="s">
        <v>867</v>
      </c>
      <c r="Q37" s="229"/>
      <c r="R37" s="229">
        <v>2253</v>
      </c>
      <c r="S37" s="229">
        <v>755</v>
      </c>
      <c r="T37" s="229">
        <v>2253</v>
      </c>
      <c r="U37" s="229">
        <v>755</v>
      </c>
      <c r="V37" s="229">
        <v>755</v>
      </c>
      <c r="W37" s="229">
        <v>1498</v>
      </c>
      <c r="X37" s="229"/>
      <c r="Y37" s="229">
        <v>1510</v>
      </c>
      <c r="Z37" s="229"/>
      <c r="AA37" s="229"/>
      <c r="AB37" s="229"/>
    </row>
    <row r="38" spans="1:28" x14ac:dyDescent="0.25">
      <c r="A38" s="799" t="s">
        <v>14</v>
      </c>
      <c r="B38" s="229">
        <f t="shared" si="18"/>
        <v>0</v>
      </c>
      <c r="C38" s="990">
        <f t="shared" si="19"/>
        <v>2558.5</v>
      </c>
      <c r="D38" s="229">
        <f t="shared" si="24"/>
        <v>1242</v>
      </c>
      <c r="E38" s="229">
        <f t="shared" si="21"/>
        <v>1766</v>
      </c>
      <c r="F38" s="229">
        <f t="shared" si="25"/>
        <v>1766</v>
      </c>
      <c r="G38" s="229">
        <f t="shared" si="25"/>
        <v>3351</v>
      </c>
      <c r="H38" s="229">
        <f t="shared" si="25"/>
        <v>1766</v>
      </c>
      <c r="I38" s="229">
        <f t="shared" si="22"/>
        <v>0</v>
      </c>
      <c r="J38" s="229">
        <f t="shared" si="23"/>
        <v>706.4</v>
      </c>
      <c r="K38" s="229">
        <f t="shared" si="16"/>
        <v>0</v>
      </c>
      <c r="L38" s="229">
        <f t="shared" si="15"/>
        <v>0</v>
      </c>
      <c r="M38" s="229">
        <f t="shared" si="15"/>
        <v>0</v>
      </c>
      <c r="P38" s="198" t="s">
        <v>14</v>
      </c>
      <c r="Q38" s="229"/>
      <c r="R38" s="229">
        <v>5117</v>
      </c>
      <c r="S38" s="229">
        <v>1242</v>
      </c>
      <c r="T38" s="229">
        <v>3532</v>
      </c>
      <c r="U38" s="229">
        <v>1766</v>
      </c>
      <c r="V38" s="229">
        <v>3351</v>
      </c>
      <c r="W38" s="229">
        <v>1766</v>
      </c>
      <c r="X38" s="229"/>
      <c r="Y38" s="229">
        <v>3532</v>
      </c>
      <c r="Z38" s="229"/>
      <c r="AA38" s="229"/>
      <c r="AB38" s="229"/>
    </row>
    <row r="39" spans="1:28" x14ac:dyDescent="0.25">
      <c r="A39" s="799" t="s">
        <v>18</v>
      </c>
      <c r="B39" s="229">
        <f t="shared" si="18"/>
        <v>0</v>
      </c>
      <c r="C39" s="229">
        <f t="shared" si="19"/>
        <v>0</v>
      </c>
      <c r="D39" s="229">
        <f t="shared" si="24"/>
        <v>0</v>
      </c>
      <c r="E39" s="229">
        <f t="shared" si="21"/>
        <v>0</v>
      </c>
      <c r="F39" s="229">
        <f t="shared" si="25"/>
        <v>0</v>
      </c>
      <c r="G39" s="229">
        <f t="shared" si="25"/>
        <v>0</v>
      </c>
      <c r="H39" s="229">
        <f t="shared" si="25"/>
        <v>0</v>
      </c>
      <c r="I39" s="229">
        <f t="shared" si="22"/>
        <v>0</v>
      </c>
      <c r="J39" s="229">
        <f t="shared" si="23"/>
        <v>0</v>
      </c>
      <c r="K39" s="229">
        <f t="shared" si="16"/>
        <v>0</v>
      </c>
      <c r="L39" s="229">
        <f t="shared" si="15"/>
        <v>0</v>
      </c>
      <c r="M39" s="229">
        <f t="shared" si="15"/>
        <v>0</v>
      </c>
      <c r="P39" s="198" t="s">
        <v>18</v>
      </c>
      <c r="Q39" s="229"/>
      <c r="R39" s="229"/>
      <c r="S39" s="229"/>
      <c r="T39" s="229"/>
      <c r="U39" s="229"/>
      <c r="V39" s="229"/>
      <c r="W39" s="229"/>
      <c r="X39" s="229"/>
      <c r="Y39" s="229"/>
      <c r="Z39" s="229"/>
      <c r="AA39" s="229"/>
      <c r="AB39" s="229"/>
    </row>
    <row r="40" spans="1:28" x14ac:dyDescent="0.25">
      <c r="A40" s="799" t="s">
        <v>16</v>
      </c>
      <c r="B40" s="229">
        <f t="shared" si="18"/>
        <v>228</v>
      </c>
      <c r="C40" s="990">
        <f t="shared" si="19"/>
        <v>449.5</v>
      </c>
      <c r="D40" s="229">
        <f t="shared" si="24"/>
        <v>456</v>
      </c>
      <c r="E40" s="229">
        <f t="shared" si="21"/>
        <v>228</v>
      </c>
      <c r="F40" s="229">
        <f t="shared" si="25"/>
        <v>228</v>
      </c>
      <c r="G40" s="229">
        <f t="shared" si="25"/>
        <v>228</v>
      </c>
      <c r="H40" s="229">
        <f t="shared" si="25"/>
        <v>228</v>
      </c>
      <c r="I40" s="229">
        <f t="shared" si="22"/>
        <v>0</v>
      </c>
      <c r="J40" s="229">
        <f t="shared" si="23"/>
        <v>91.2</v>
      </c>
      <c r="K40" s="229">
        <f t="shared" si="16"/>
        <v>0</v>
      </c>
      <c r="L40" s="229">
        <f t="shared" si="15"/>
        <v>0</v>
      </c>
      <c r="M40" s="229">
        <f t="shared" si="15"/>
        <v>0</v>
      </c>
      <c r="P40" s="198" t="s">
        <v>16</v>
      </c>
      <c r="Q40" s="229">
        <v>228</v>
      </c>
      <c r="R40" s="229">
        <v>899</v>
      </c>
      <c r="S40" s="229">
        <v>456</v>
      </c>
      <c r="T40" s="229">
        <v>456</v>
      </c>
      <c r="U40" s="229">
        <v>228</v>
      </c>
      <c r="V40" s="229">
        <v>228</v>
      </c>
      <c r="W40" s="229">
        <v>228</v>
      </c>
      <c r="X40" s="229"/>
      <c r="Y40" s="229">
        <v>456</v>
      </c>
      <c r="Z40" s="229"/>
      <c r="AA40" s="229"/>
      <c r="AB40" s="229"/>
    </row>
    <row r="41" spans="1:28" x14ac:dyDescent="0.25">
      <c r="A41" s="799" t="s">
        <v>19</v>
      </c>
      <c r="B41" s="229">
        <f t="shared" si="18"/>
        <v>0</v>
      </c>
      <c r="C41" s="990">
        <f t="shared" si="19"/>
        <v>2998.5</v>
      </c>
      <c r="D41" s="229">
        <f t="shared" si="24"/>
        <v>3225</v>
      </c>
      <c r="E41" s="990">
        <f t="shared" si="21"/>
        <v>2998.5</v>
      </c>
      <c r="F41" s="229">
        <f t="shared" si="25"/>
        <v>1600</v>
      </c>
      <c r="G41" s="229">
        <f t="shared" si="25"/>
        <v>0</v>
      </c>
      <c r="H41" s="229">
        <f t="shared" si="25"/>
        <v>4397</v>
      </c>
      <c r="I41" s="229">
        <f t="shared" si="22"/>
        <v>0</v>
      </c>
      <c r="J41" s="229">
        <f t="shared" si="23"/>
        <v>1919.4</v>
      </c>
      <c r="K41" s="229">
        <f t="shared" si="16"/>
        <v>0</v>
      </c>
      <c r="L41" s="229">
        <f t="shared" si="15"/>
        <v>0</v>
      </c>
      <c r="M41" s="229">
        <f t="shared" si="15"/>
        <v>0</v>
      </c>
      <c r="P41" s="198" t="s">
        <v>19</v>
      </c>
      <c r="Q41" s="229"/>
      <c r="R41" s="229">
        <v>5997</v>
      </c>
      <c r="S41" s="229">
        <v>3225</v>
      </c>
      <c r="T41" s="229">
        <v>5997</v>
      </c>
      <c r="U41" s="229">
        <v>1600</v>
      </c>
      <c r="V41" s="229"/>
      <c r="W41" s="229">
        <v>4397</v>
      </c>
      <c r="X41" s="229"/>
      <c r="Y41" s="229">
        <v>9597</v>
      </c>
      <c r="Z41" s="229"/>
      <c r="AA41" s="229"/>
      <c r="AB41" s="229"/>
    </row>
    <row r="42" spans="1:28" x14ac:dyDescent="0.25">
      <c r="A42" s="804" t="s">
        <v>1075</v>
      </c>
      <c r="B42" s="805">
        <f>SUM(B34:B41)</f>
        <v>691</v>
      </c>
      <c r="C42" s="805">
        <f t="shared" ref="C42:H42" si="26">SUM(C34:C41)</f>
        <v>7972</v>
      </c>
      <c r="D42" s="805">
        <f t="shared" si="26"/>
        <v>6530</v>
      </c>
      <c r="E42" s="805">
        <f t="shared" si="26"/>
        <v>6545</v>
      </c>
      <c r="F42" s="805">
        <f t="shared" si="26"/>
        <v>4775</v>
      </c>
      <c r="G42" s="805">
        <f t="shared" si="26"/>
        <v>4760</v>
      </c>
      <c r="H42" s="805">
        <f t="shared" si="26"/>
        <v>8315</v>
      </c>
      <c r="I42" s="805">
        <f>SUM(I34:I41)</f>
        <v>0</v>
      </c>
      <c r="J42" s="805">
        <f>SUM(J34:J41)</f>
        <v>3189.4</v>
      </c>
      <c r="K42" s="805">
        <f>SUM(K34:K41)</f>
        <v>0</v>
      </c>
      <c r="L42" s="805">
        <f>SUM(L34:L41)</f>
        <v>0</v>
      </c>
      <c r="M42" s="805">
        <f>SUM(M34:M41)</f>
        <v>0</v>
      </c>
      <c r="P42" s="520" t="s">
        <v>1075</v>
      </c>
      <c r="Q42" s="229">
        <v>691</v>
      </c>
      <c r="R42" s="229">
        <v>15944</v>
      </c>
      <c r="S42" s="229">
        <v>6530</v>
      </c>
      <c r="T42" s="229">
        <v>13090</v>
      </c>
      <c r="U42" s="229">
        <v>4775</v>
      </c>
      <c r="V42" s="229">
        <v>4760</v>
      </c>
      <c r="W42" s="229">
        <v>8315</v>
      </c>
      <c r="X42" s="229"/>
      <c r="Y42" s="229">
        <v>15947</v>
      </c>
      <c r="Z42" s="229"/>
      <c r="AA42" s="229"/>
      <c r="AB42" s="229"/>
    </row>
    <row r="43" spans="1:28" x14ac:dyDescent="0.25">
      <c r="A43" s="798">
        <v>2014</v>
      </c>
      <c r="B43" s="797"/>
      <c r="C43" s="797"/>
      <c r="D43" s="797"/>
      <c r="E43" s="797"/>
      <c r="F43" s="797"/>
      <c r="G43" s="797"/>
      <c r="H43" s="797"/>
      <c r="I43" s="800"/>
      <c r="J43" s="229"/>
      <c r="K43" s="229"/>
      <c r="L43" s="229"/>
      <c r="M43" s="229"/>
      <c r="P43" s="520">
        <v>2014</v>
      </c>
      <c r="Q43" s="229"/>
      <c r="R43" s="229"/>
      <c r="S43" s="229"/>
      <c r="T43" s="229"/>
      <c r="U43" s="229"/>
      <c r="V43" s="229"/>
      <c r="W43" s="229"/>
      <c r="X43" s="229"/>
      <c r="Y43" s="229"/>
      <c r="Z43" s="229"/>
      <c r="AA43" s="229"/>
      <c r="AB43" s="229"/>
    </row>
    <row r="44" spans="1:28" x14ac:dyDescent="0.25">
      <c r="A44" s="799" t="s">
        <v>20</v>
      </c>
      <c r="B44" s="229">
        <f>Q44/1</f>
        <v>757</v>
      </c>
      <c r="C44" s="229">
        <f>R44/2</f>
        <v>756</v>
      </c>
      <c r="D44" s="229">
        <f>S44/1</f>
        <v>0</v>
      </c>
      <c r="E44" s="229">
        <f>T44/2</f>
        <v>756</v>
      </c>
      <c r="F44" s="229">
        <f t="shared" ref="F44:H47" si="27">U44/1</f>
        <v>456</v>
      </c>
      <c r="G44" s="229">
        <f t="shared" si="27"/>
        <v>0</v>
      </c>
      <c r="H44" s="229">
        <f t="shared" si="27"/>
        <v>757</v>
      </c>
      <c r="I44" s="229">
        <f>X44/1</f>
        <v>0</v>
      </c>
      <c r="J44" s="229">
        <f>Y44/5</f>
        <v>456</v>
      </c>
      <c r="K44" s="229">
        <f t="shared" si="16"/>
        <v>0</v>
      </c>
      <c r="L44" s="229">
        <f t="shared" si="15"/>
        <v>0</v>
      </c>
      <c r="M44" s="229">
        <f t="shared" si="15"/>
        <v>0</v>
      </c>
      <c r="P44" s="198" t="s">
        <v>20</v>
      </c>
      <c r="Q44" s="229">
        <v>757</v>
      </c>
      <c r="R44" s="229">
        <v>1512</v>
      </c>
      <c r="S44" s="229">
        <v>0</v>
      </c>
      <c r="T44" s="229">
        <v>1512</v>
      </c>
      <c r="U44" s="229">
        <v>456</v>
      </c>
      <c r="V44" s="229">
        <v>0</v>
      </c>
      <c r="W44" s="229">
        <v>757</v>
      </c>
      <c r="X44" s="229"/>
      <c r="Y44" s="229">
        <v>2280</v>
      </c>
      <c r="Z44" s="229"/>
      <c r="AA44" s="229"/>
      <c r="AB44" s="229"/>
    </row>
    <row r="45" spans="1:28" x14ac:dyDescent="0.25">
      <c r="A45" s="799" t="s">
        <v>14</v>
      </c>
      <c r="B45" s="229">
        <f>Q45/1</f>
        <v>0</v>
      </c>
      <c r="C45" s="990">
        <f>R45/2</f>
        <v>1113.5</v>
      </c>
      <c r="D45" s="229">
        <f>S45/1</f>
        <v>0</v>
      </c>
      <c r="E45" s="229">
        <f>T45/2</f>
        <v>710</v>
      </c>
      <c r="F45" s="229">
        <f t="shared" si="27"/>
        <v>700</v>
      </c>
      <c r="G45" s="229">
        <f t="shared" si="27"/>
        <v>6375</v>
      </c>
      <c r="H45" s="229">
        <f t="shared" si="27"/>
        <v>700</v>
      </c>
      <c r="I45" s="229">
        <f>X45/1</f>
        <v>0</v>
      </c>
      <c r="J45" s="229">
        <f>Y45/5</f>
        <v>304</v>
      </c>
      <c r="K45" s="229">
        <f t="shared" si="16"/>
        <v>0</v>
      </c>
      <c r="L45" s="229">
        <f t="shared" si="15"/>
        <v>0</v>
      </c>
      <c r="M45" s="229">
        <f t="shared" si="15"/>
        <v>0</v>
      </c>
      <c r="P45" s="198" t="s">
        <v>14</v>
      </c>
      <c r="Q45" s="229"/>
      <c r="R45" s="229">
        <v>2227</v>
      </c>
      <c r="S45" s="229"/>
      <c r="T45" s="229">
        <v>1420</v>
      </c>
      <c r="U45" s="229">
        <v>700</v>
      </c>
      <c r="V45" s="229">
        <v>6375</v>
      </c>
      <c r="W45" s="229">
        <v>700</v>
      </c>
      <c r="X45" s="229"/>
      <c r="Y45" s="229">
        <v>1520</v>
      </c>
      <c r="Z45" s="229"/>
      <c r="AA45" s="229"/>
      <c r="AB45" s="229"/>
    </row>
    <row r="46" spans="1:28" x14ac:dyDescent="0.25">
      <c r="A46" s="799" t="s">
        <v>16</v>
      </c>
      <c r="B46" s="229">
        <f>Q46/1</f>
        <v>349</v>
      </c>
      <c r="C46" s="229">
        <f>R46/2</f>
        <v>349</v>
      </c>
      <c r="D46" s="229">
        <f>S46/1</f>
        <v>250</v>
      </c>
      <c r="E46" s="229">
        <f>T46/2</f>
        <v>349</v>
      </c>
      <c r="F46" s="229">
        <f t="shared" si="27"/>
        <v>250</v>
      </c>
      <c r="G46" s="229">
        <f t="shared" si="27"/>
        <v>0</v>
      </c>
      <c r="H46" s="229">
        <f t="shared" si="27"/>
        <v>349</v>
      </c>
      <c r="I46" s="229">
        <f>X46/1</f>
        <v>0</v>
      </c>
      <c r="J46" s="229">
        <f>Y46/5</f>
        <v>250</v>
      </c>
      <c r="K46" s="229">
        <f t="shared" si="16"/>
        <v>0</v>
      </c>
      <c r="L46" s="229">
        <f t="shared" si="15"/>
        <v>0</v>
      </c>
      <c r="M46" s="229">
        <f t="shared" si="15"/>
        <v>0</v>
      </c>
      <c r="P46" s="198" t="s">
        <v>16</v>
      </c>
      <c r="Q46" s="229">
        <v>349</v>
      </c>
      <c r="R46" s="229">
        <v>698</v>
      </c>
      <c r="S46" s="229">
        <v>250</v>
      </c>
      <c r="T46" s="229">
        <v>698</v>
      </c>
      <c r="U46" s="229">
        <v>250</v>
      </c>
      <c r="V46" s="229">
        <v>0</v>
      </c>
      <c r="W46" s="229">
        <v>349</v>
      </c>
      <c r="X46" s="229"/>
      <c r="Y46" s="229">
        <v>1250</v>
      </c>
      <c r="Z46" s="229"/>
      <c r="AA46" s="229"/>
      <c r="AB46" s="229"/>
    </row>
    <row r="47" spans="1:28" x14ac:dyDescent="0.25">
      <c r="A47" s="799" t="s">
        <v>19</v>
      </c>
      <c r="B47" s="229">
        <f>Q47/1</f>
        <v>0</v>
      </c>
      <c r="C47" s="229">
        <f>R47/2</f>
        <v>2353</v>
      </c>
      <c r="D47" s="229">
        <f>S47/1</f>
        <v>11499</v>
      </c>
      <c r="E47" s="229">
        <f>T47/2</f>
        <v>2672</v>
      </c>
      <c r="F47" s="229">
        <f t="shared" si="27"/>
        <v>2353</v>
      </c>
      <c r="G47" s="229">
        <f t="shared" si="27"/>
        <v>0</v>
      </c>
      <c r="H47" s="229">
        <f t="shared" si="27"/>
        <v>2627</v>
      </c>
      <c r="I47" s="229">
        <f>X47/1</f>
        <v>0</v>
      </c>
      <c r="J47" s="229">
        <f>Y47/5</f>
        <v>1406.2</v>
      </c>
      <c r="K47" s="229">
        <f t="shared" si="16"/>
        <v>0</v>
      </c>
      <c r="L47" s="229">
        <f t="shared" si="15"/>
        <v>0</v>
      </c>
      <c r="M47" s="229">
        <f t="shared" si="15"/>
        <v>0</v>
      </c>
      <c r="P47" s="198" t="s">
        <v>19</v>
      </c>
      <c r="Q47" s="229"/>
      <c r="R47" s="229">
        <v>4706</v>
      </c>
      <c r="S47" s="229">
        <v>11499</v>
      </c>
      <c r="T47" s="229">
        <v>5344</v>
      </c>
      <c r="U47" s="229">
        <v>2353</v>
      </c>
      <c r="V47" s="229"/>
      <c r="W47" s="229">
        <v>2627</v>
      </c>
      <c r="X47" s="229"/>
      <c r="Y47" s="229">
        <v>7031</v>
      </c>
      <c r="Z47" s="229"/>
      <c r="AA47" s="229"/>
      <c r="AB47" s="229"/>
    </row>
    <row r="48" spans="1:28" x14ac:dyDescent="0.25">
      <c r="A48" s="804" t="s">
        <v>1076</v>
      </c>
      <c r="B48" s="805">
        <f>SUM(B44:B47)</f>
        <v>1106</v>
      </c>
      <c r="C48" s="805">
        <f t="shared" ref="C48:L48" si="28">SUM(C44:C47)</f>
        <v>4571.5</v>
      </c>
      <c r="D48" s="805">
        <f t="shared" si="28"/>
        <v>11749</v>
      </c>
      <c r="E48" s="805">
        <f t="shared" si="28"/>
        <v>4487</v>
      </c>
      <c r="F48" s="805">
        <f t="shared" si="28"/>
        <v>3759</v>
      </c>
      <c r="G48" s="805">
        <f t="shared" si="28"/>
        <v>6375</v>
      </c>
      <c r="H48" s="805">
        <f t="shared" si="28"/>
        <v>4433</v>
      </c>
      <c r="I48" s="805">
        <f t="shared" si="28"/>
        <v>0</v>
      </c>
      <c r="J48" s="805">
        <f t="shared" si="28"/>
        <v>2416.1999999999998</v>
      </c>
      <c r="K48" s="805">
        <f t="shared" si="28"/>
        <v>0</v>
      </c>
      <c r="L48" s="805">
        <f t="shared" si="28"/>
        <v>0</v>
      </c>
      <c r="M48" s="805">
        <f t="shared" ref="M48" si="29">SUM(M44:M47)</f>
        <v>0</v>
      </c>
      <c r="P48" s="520" t="s">
        <v>1076</v>
      </c>
      <c r="Q48" s="229">
        <v>1106</v>
      </c>
      <c r="R48" s="229">
        <v>9143</v>
      </c>
      <c r="S48" s="229">
        <v>11749</v>
      </c>
      <c r="T48" s="229">
        <v>8974</v>
      </c>
      <c r="U48" s="229">
        <v>3759</v>
      </c>
      <c r="V48" s="229">
        <v>6375</v>
      </c>
      <c r="W48" s="229">
        <v>4433</v>
      </c>
      <c r="X48" s="229"/>
      <c r="Y48" s="229">
        <v>12081</v>
      </c>
      <c r="Z48" s="229"/>
      <c r="AA48" s="229"/>
      <c r="AB48" s="229"/>
    </row>
    <row r="49" spans="1:28" x14ac:dyDescent="0.25">
      <c r="A49" s="798">
        <v>2015</v>
      </c>
      <c r="B49" s="797"/>
      <c r="C49" s="797"/>
      <c r="D49" s="797"/>
      <c r="E49" s="797"/>
      <c r="F49" s="797"/>
      <c r="G49" s="797"/>
      <c r="H49" s="797"/>
      <c r="I49" s="800"/>
      <c r="J49" s="229"/>
      <c r="K49" s="229"/>
      <c r="L49" s="229"/>
      <c r="M49" s="229"/>
      <c r="P49" s="520">
        <v>2015</v>
      </c>
      <c r="Q49" s="229"/>
      <c r="R49" s="229"/>
      <c r="S49" s="229"/>
      <c r="T49" s="229"/>
      <c r="U49" s="229"/>
      <c r="V49" s="229"/>
      <c r="W49" s="229"/>
      <c r="X49" s="229"/>
      <c r="Y49" s="229"/>
      <c r="Z49" s="229"/>
      <c r="AA49" s="229"/>
      <c r="AB49" s="229"/>
    </row>
    <row r="50" spans="1:28" x14ac:dyDescent="0.25">
      <c r="A50" s="799" t="s">
        <v>15</v>
      </c>
      <c r="B50" s="229">
        <f t="shared" ref="B50:B55" si="30">Q50/1</f>
        <v>0</v>
      </c>
      <c r="C50" s="229">
        <f t="shared" ref="C50:C55" si="31">R50/2</f>
        <v>0</v>
      </c>
      <c r="D50" s="229">
        <f t="shared" ref="D50:D55" si="32">S50/1</f>
        <v>85</v>
      </c>
      <c r="E50" s="229">
        <f t="shared" ref="E50:E55" si="33">T50/2</f>
        <v>0</v>
      </c>
      <c r="F50" s="229">
        <f t="shared" ref="F50:H55" si="34">U50/1</f>
        <v>0</v>
      </c>
      <c r="G50" s="229">
        <f t="shared" si="34"/>
        <v>0</v>
      </c>
      <c r="H50" s="229">
        <f t="shared" si="34"/>
        <v>0</v>
      </c>
      <c r="I50" s="229">
        <f t="shared" ref="I50:I55" si="35">X50/1</f>
        <v>0</v>
      </c>
      <c r="J50" s="229">
        <f t="shared" ref="J50:J55" si="36">Y50/5</f>
        <v>0</v>
      </c>
      <c r="K50" s="229">
        <f t="shared" si="16"/>
        <v>0</v>
      </c>
      <c r="L50" s="229">
        <f t="shared" si="15"/>
        <v>0</v>
      </c>
      <c r="M50" s="229">
        <f t="shared" si="15"/>
        <v>0</v>
      </c>
      <c r="P50" s="198" t="s">
        <v>15</v>
      </c>
      <c r="Q50" s="229"/>
      <c r="R50" s="229"/>
      <c r="S50" s="229">
        <v>85</v>
      </c>
      <c r="T50" s="229"/>
      <c r="U50" s="229"/>
      <c r="V50" s="229"/>
      <c r="W50" s="229"/>
      <c r="X50" s="229"/>
      <c r="Y50" s="229"/>
      <c r="Z50" s="229"/>
      <c r="AA50" s="229"/>
      <c r="AB50" s="229"/>
    </row>
    <row r="51" spans="1:28" x14ac:dyDescent="0.25">
      <c r="A51" s="799" t="s">
        <v>20</v>
      </c>
      <c r="B51" s="229">
        <f t="shared" si="30"/>
        <v>95</v>
      </c>
      <c r="C51" s="229">
        <f t="shared" si="31"/>
        <v>95</v>
      </c>
      <c r="D51" s="229">
        <f t="shared" si="32"/>
        <v>0</v>
      </c>
      <c r="E51" s="229">
        <f t="shared" si="33"/>
        <v>95</v>
      </c>
      <c r="F51" s="229">
        <f t="shared" si="34"/>
        <v>60</v>
      </c>
      <c r="G51" s="229">
        <f t="shared" si="34"/>
        <v>0</v>
      </c>
      <c r="H51" s="229">
        <f t="shared" si="34"/>
        <v>95</v>
      </c>
      <c r="I51" s="229">
        <f t="shared" si="35"/>
        <v>95</v>
      </c>
      <c r="J51" s="229">
        <f t="shared" si="36"/>
        <v>60</v>
      </c>
      <c r="K51" s="229">
        <f t="shared" si="16"/>
        <v>0</v>
      </c>
      <c r="L51" s="229">
        <f t="shared" si="15"/>
        <v>0</v>
      </c>
      <c r="M51" s="229">
        <f t="shared" si="15"/>
        <v>0</v>
      </c>
      <c r="P51" s="198" t="s">
        <v>20</v>
      </c>
      <c r="Q51" s="229">
        <v>95</v>
      </c>
      <c r="R51" s="229">
        <v>190</v>
      </c>
      <c r="S51" s="229">
        <v>0</v>
      </c>
      <c r="T51" s="229">
        <v>190</v>
      </c>
      <c r="U51" s="229">
        <v>60</v>
      </c>
      <c r="V51" s="229">
        <v>0</v>
      </c>
      <c r="W51" s="229">
        <v>95</v>
      </c>
      <c r="X51" s="229">
        <v>95</v>
      </c>
      <c r="Y51" s="229">
        <v>300</v>
      </c>
      <c r="Z51" s="229"/>
      <c r="AA51" s="229"/>
      <c r="AB51" s="229"/>
    </row>
    <row r="52" spans="1:28" x14ac:dyDescent="0.25">
      <c r="A52" s="799" t="s">
        <v>867</v>
      </c>
      <c r="B52" s="229">
        <f t="shared" si="30"/>
        <v>0</v>
      </c>
      <c r="C52" s="229">
        <f t="shared" si="31"/>
        <v>0</v>
      </c>
      <c r="D52" s="229">
        <f t="shared" si="32"/>
        <v>0</v>
      </c>
      <c r="E52" s="229">
        <f t="shared" si="33"/>
        <v>0</v>
      </c>
      <c r="F52" s="229">
        <f t="shared" si="34"/>
        <v>0</v>
      </c>
      <c r="G52" s="229">
        <f t="shared" si="34"/>
        <v>0</v>
      </c>
      <c r="H52" s="229">
        <f t="shared" si="34"/>
        <v>0</v>
      </c>
      <c r="I52" s="229">
        <f t="shared" si="35"/>
        <v>0</v>
      </c>
      <c r="J52" s="229">
        <f t="shared" si="36"/>
        <v>0</v>
      </c>
      <c r="K52" s="229">
        <f t="shared" si="16"/>
        <v>0</v>
      </c>
      <c r="L52" s="229">
        <f t="shared" si="15"/>
        <v>0</v>
      </c>
      <c r="M52" s="229">
        <f t="shared" si="15"/>
        <v>0</v>
      </c>
      <c r="P52" s="198" t="s">
        <v>867</v>
      </c>
      <c r="Q52" s="229"/>
      <c r="R52" s="229"/>
      <c r="S52" s="229"/>
      <c r="T52" s="229"/>
      <c r="U52" s="229"/>
      <c r="V52" s="229"/>
      <c r="W52" s="229"/>
      <c r="X52" s="229"/>
      <c r="Y52" s="229"/>
      <c r="Z52" s="229"/>
      <c r="AA52" s="229"/>
      <c r="AB52" s="229"/>
    </row>
    <row r="53" spans="1:28" x14ac:dyDescent="0.25">
      <c r="A53" s="799" t="s">
        <v>14</v>
      </c>
      <c r="B53" s="229">
        <f t="shared" si="30"/>
        <v>0</v>
      </c>
      <c r="C53" s="229">
        <f t="shared" si="31"/>
        <v>1961</v>
      </c>
      <c r="D53" s="229">
        <f t="shared" si="32"/>
        <v>1961</v>
      </c>
      <c r="E53" s="229">
        <f t="shared" si="33"/>
        <v>1961</v>
      </c>
      <c r="F53" s="229">
        <f t="shared" si="34"/>
        <v>1961</v>
      </c>
      <c r="G53" s="229">
        <f t="shared" si="34"/>
        <v>0</v>
      </c>
      <c r="H53" s="229">
        <f t="shared" si="34"/>
        <v>1943</v>
      </c>
      <c r="I53" s="229">
        <f t="shared" si="35"/>
        <v>1961</v>
      </c>
      <c r="J53" s="229">
        <f t="shared" si="36"/>
        <v>1961</v>
      </c>
      <c r="K53" s="229">
        <f t="shared" si="16"/>
        <v>0</v>
      </c>
      <c r="L53" s="229">
        <f t="shared" si="15"/>
        <v>0</v>
      </c>
      <c r="M53" s="229">
        <f t="shared" si="15"/>
        <v>0</v>
      </c>
      <c r="P53" s="198" t="s">
        <v>14</v>
      </c>
      <c r="Q53" s="229"/>
      <c r="R53" s="229">
        <v>3922</v>
      </c>
      <c r="S53" s="229">
        <v>1961</v>
      </c>
      <c r="T53" s="229">
        <v>3922</v>
      </c>
      <c r="U53" s="229">
        <v>1961</v>
      </c>
      <c r="V53" s="229"/>
      <c r="W53" s="229">
        <v>1943</v>
      </c>
      <c r="X53" s="229">
        <v>1961</v>
      </c>
      <c r="Y53" s="229">
        <v>9805</v>
      </c>
      <c r="Z53" s="229"/>
      <c r="AA53" s="229"/>
      <c r="AB53" s="229"/>
    </row>
    <row r="54" spans="1:28" x14ac:dyDescent="0.25">
      <c r="A54" s="799" t="s">
        <v>16</v>
      </c>
      <c r="B54" s="229">
        <f t="shared" si="30"/>
        <v>7</v>
      </c>
      <c r="C54" s="229">
        <f t="shared" si="31"/>
        <v>7</v>
      </c>
      <c r="D54" s="229">
        <f t="shared" si="32"/>
        <v>446</v>
      </c>
      <c r="E54" s="229">
        <f t="shared" si="33"/>
        <v>624</v>
      </c>
      <c r="F54" s="229">
        <f t="shared" si="34"/>
        <v>5</v>
      </c>
      <c r="G54" s="229">
        <f t="shared" si="34"/>
        <v>0</v>
      </c>
      <c r="H54" s="229">
        <f t="shared" si="34"/>
        <v>624</v>
      </c>
      <c r="I54" s="229">
        <f t="shared" si="35"/>
        <v>7</v>
      </c>
      <c r="J54" s="803">
        <f t="shared" si="36"/>
        <v>430.2</v>
      </c>
      <c r="K54" s="229">
        <f t="shared" si="16"/>
        <v>0</v>
      </c>
      <c r="L54" s="229">
        <f t="shared" si="15"/>
        <v>0</v>
      </c>
      <c r="M54" s="229">
        <f t="shared" si="15"/>
        <v>0</v>
      </c>
      <c r="P54" s="198" t="s">
        <v>16</v>
      </c>
      <c r="Q54" s="229">
        <v>7</v>
      </c>
      <c r="R54" s="229">
        <v>14</v>
      </c>
      <c r="S54" s="229">
        <v>446</v>
      </c>
      <c r="T54" s="229">
        <v>1248</v>
      </c>
      <c r="U54" s="229">
        <v>5</v>
      </c>
      <c r="V54" s="229">
        <v>0</v>
      </c>
      <c r="W54" s="229">
        <v>624</v>
      </c>
      <c r="X54" s="229">
        <v>7</v>
      </c>
      <c r="Y54" s="229">
        <v>2151</v>
      </c>
      <c r="Z54" s="229"/>
      <c r="AA54" s="229"/>
      <c r="AB54" s="229"/>
    </row>
    <row r="55" spans="1:28" x14ac:dyDescent="0.25">
      <c r="A55" s="799" t="s">
        <v>19</v>
      </c>
      <c r="B55" s="229">
        <f t="shared" si="30"/>
        <v>0</v>
      </c>
      <c r="C55" s="229">
        <f t="shared" si="31"/>
        <v>6581</v>
      </c>
      <c r="D55" s="229">
        <f t="shared" si="32"/>
        <v>6583</v>
      </c>
      <c r="E55" s="229">
        <f t="shared" si="33"/>
        <v>7380</v>
      </c>
      <c r="F55" s="229">
        <f t="shared" si="34"/>
        <v>6582</v>
      </c>
      <c r="G55" s="229">
        <f t="shared" si="34"/>
        <v>509</v>
      </c>
      <c r="H55" s="229">
        <f t="shared" si="34"/>
        <v>6582</v>
      </c>
      <c r="I55" s="229">
        <f t="shared" si="35"/>
        <v>6582</v>
      </c>
      <c r="J55" s="229">
        <f t="shared" si="36"/>
        <v>6582</v>
      </c>
      <c r="K55" s="229">
        <f t="shared" si="16"/>
        <v>0</v>
      </c>
      <c r="L55" s="229">
        <f t="shared" si="15"/>
        <v>0</v>
      </c>
      <c r="M55" s="229">
        <f t="shared" si="15"/>
        <v>0</v>
      </c>
      <c r="P55" s="198" t="s">
        <v>19</v>
      </c>
      <c r="Q55" s="229">
        <v>0</v>
      </c>
      <c r="R55" s="229">
        <v>13162</v>
      </c>
      <c r="S55" s="229">
        <v>6583</v>
      </c>
      <c r="T55" s="229">
        <v>14760</v>
      </c>
      <c r="U55" s="229">
        <v>6582</v>
      </c>
      <c r="V55" s="229">
        <v>509</v>
      </c>
      <c r="W55" s="229">
        <v>6582</v>
      </c>
      <c r="X55" s="229">
        <v>6582</v>
      </c>
      <c r="Y55" s="229">
        <v>32910</v>
      </c>
      <c r="Z55" s="229"/>
      <c r="AA55" s="229"/>
      <c r="AB55" s="229"/>
    </row>
    <row r="56" spans="1:28" x14ac:dyDescent="0.25">
      <c r="A56" s="804" t="s">
        <v>1077</v>
      </c>
      <c r="B56" s="805">
        <f>SUM(B50:B55)</f>
        <v>102</v>
      </c>
      <c r="C56" s="805">
        <f t="shared" ref="C56:H56" si="37">SUM(C50:C55)</f>
        <v>8644</v>
      </c>
      <c r="D56" s="805">
        <f>SUM(D50:D55)</f>
        <v>9075</v>
      </c>
      <c r="E56" s="805">
        <f>SUM(E50:E55)</f>
        <v>10060</v>
      </c>
      <c r="F56" s="805">
        <f t="shared" si="37"/>
        <v>8608</v>
      </c>
      <c r="G56" s="805">
        <f t="shared" si="37"/>
        <v>509</v>
      </c>
      <c r="H56" s="805">
        <f t="shared" si="37"/>
        <v>9244</v>
      </c>
      <c r="I56" s="805">
        <f>SUM(I50:I55)</f>
        <v>8645</v>
      </c>
      <c r="J56" s="805">
        <f>SUM(J50:J55)</f>
        <v>9033.2000000000007</v>
      </c>
      <c r="K56" s="939">
        <f t="shared" si="16"/>
        <v>0</v>
      </c>
      <c r="L56" s="939">
        <f t="shared" si="15"/>
        <v>0</v>
      </c>
      <c r="M56" s="939">
        <f t="shared" si="15"/>
        <v>0</v>
      </c>
      <c r="P56" s="520" t="s">
        <v>1077</v>
      </c>
      <c r="Q56" s="229">
        <v>102</v>
      </c>
      <c r="R56" s="229">
        <v>17288</v>
      </c>
      <c r="S56" s="229">
        <v>9075</v>
      </c>
      <c r="T56" s="229">
        <v>20120</v>
      </c>
      <c r="U56" s="229">
        <v>8608</v>
      </c>
      <c r="V56" s="229">
        <v>509</v>
      </c>
      <c r="W56" s="229">
        <v>9244</v>
      </c>
      <c r="X56" s="229">
        <v>8645</v>
      </c>
      <c r="Y56" s="229">
        <v>45166</v>
      </c>
      <c r="Z56" s="229"/>
      <c r="AA56" s="229"/>
      <c r="AB56" s="229"/>
    </row>
    <row r="57" spans="1:28" x14ac:dyDescent="0.25">
      <c r="A57" s="798">
        <v>2016</v>
      </c>
      <c r="B57" s="797"/>
      <c r="C57" s="797"/>
      <c r="D57" s="797"/>
      <c r="E57" s="797"/>
      <c r="F57" s="797"/>
      <c r="G57" s="797"/>
      <c r="H57" s="797"/>
      <c r="I57" s="800"/>
      <c r="J57" s="229"/>
      <c r="K57" s="229"/>
      <c r="L57" s="229"/>
      <c r="M57" s="229"/>
      <c r="P57" s="520">
        <v>2016</v>
      </c>
      <c r="Q57" s="229"/>
      <c r="R57" s="229"/>
      <c r="S57" s="229"/>
      <c r="T57" s="229"/>
      <c r="U57" s="229"/>
      <c r="V57" s="229"/>
      <c r="W57" s="229"/>
      <c r="X57" s="229"/>
      <c r="Y57" s="229"/>
      <c r="Z57" s="229"/>
      <c r="AA57" s="229"/>
      <c r="AB57" s="229"/>
    </row>
    <row r="58" spans="1:28" x14ac:dyDescent="0.25">
      <c r="A58" s="799" t="s">
        <v>608</v>
      </c>
      <c r="B58" s="229">
        <f>Q58/1</f>
        <v>0</v>
      </c>
      <c r="C58" s="229">
        <f>R58/2</f>
        <v>0</v>
      </c>
      <c r="D58" s="803">
        <f>S58/1</f>
        <v>0</v>
      </c>
      <c r="E58" s="990">
        <f>T58/2</f>
        <v>459.5</v>
      </c>
      <c r="F58" s="229">
        <f t="shared" ref="F58:H61" si="38">U58/1</f>
        <v>0</v>
      </c>
      <c r="G58" s="229">
        <f t="shared" si="38"/>
        <v>0</v>
      </c>
      <c r="H58" s="229">
        <f t="shared" si="38"/>
        <v>0</v>
      </c>
      <c r="I58" s="229">
        <f>X58/1</f>
        <v>0</v>
      </c>
      <c r="J58" s="229">
        <f>Y58/5</f>
        <v>0</v>
      </c>
      <c r="K58" s="229">
        <f t="shared" si="16"/>
        <v>0</v>
      </c>
      <c r="L58" s="229">
        <f t="shared" si="15"/>
        <v>0</v>
      </c>
      <c r="M58" s="229">
        <f t="shared" si="15"/>
        <v>0</v>
      </c>
      <c r="P58" s="198" t="s">
        <v>608</v>
      </c>
      <c r="Q58" s="229"/>
      <c r="R58" s="229"/>
      <c r="S58" s="229"/>
      <c r="T58" s="229">
        <v>919</v>
      </c>
      <c r="U58" s="229"/>
      <c r="V58" s="229"/>
      <c r="W58" s="229"/>
      <c r="X58" s="229"/>
      <c r="Y58" s="229"/>
      <c r="Z58" s="229"/>
      <c r="AA58" s="229"/>
      <c r="AB58" s="229"/>
    </row>
    <row r="59" spans="1:28" x14ac:dyDescent="0.25">
      <c r="A59" s="799" t="s">
        <v>867</v>
      </c>
      <c r="B59" s="229">
        <f>Q59/1</f>
        <v>0</v>
      </c>
      <c r="C59" s="229">
        <f>R59/2</f>
        <v>341</v>
      </c>
      <c r="D59" s="803">
        <f>S59/1</f>
        <v>682</v>
      </c>
      <c r="E59" s="990">
        <f>T59/2</f>
        <v>351.5</v>
      </c>
      <c r="F59" s="229">
        <f t="shared" si="38"/>
        <v>682</v>
      </c>
      <c r="G59" s="229">
        <f t="shared" si="38"/>
        <v>195</v>
      </c>
      <c r="H59" s="229">
        <f t="shared" si="38"/>
        <v>0</v>
      </c>
      <c r="I59" s="229">
        <f>X59/1</f>
        <v>682</v>
      </c>
      <c r="J59" s="229">
        <f>Y59/5</f>
        <v>0</v>
      </c>
      <c r="K59" s="229">
        <f t="shared" si="16"/>
        <v>628</v>
      </c>
      <c r="L59" s="229">
        <f t="shared" si="15"/>
        <v>0</v>
      </c>
      <c r="M59" s="229">
        <f t="shared" si="15"/>
        <v>628</v>
      </c>
      <c r="P59" s="198" t="s">
        <v>867</v>
      </c>
      <c r="Q59" s="229"/>
      <c r="R59" s="229">
        <v>682</v>
      </c>
      <c r="S59" s="229">
        <v>682</v>
      </c>
      <c r="T59" s="229">
        <v>703</v>
      </c>
      <c r="U59" s="229">
        <v>682</v>
      </c>
      <c r="V59" s="229">
        <v>195</v>
      </c>
      <c r="W59" s="229"/>
      <c r="X59" s="229">
        <v>682</v>
      </c>
      <c r="Y59" s="229"/>
      <c r="Z59" s="229">
        <v>628</v>
      </c>
      <c r="AA59" s="229"/>
      <c r="AB59" s="229">
        <v>628</v>
      </c>
    </row>
    <row r="60" spans="1:28" x14ac:dyDescent="0.25">
      <c r="A60" s="799" t="s">
        <v>14</v>
      </c>
      <c r="B60" s="229">
        <f>Q60/1</f>
        <v>0</v>
      </c>
      <c r="C60" s="229">
        <f>R60/2</f>
        <v>0</v>
      </c>
      <c r="D60" s="803">
        <f>S60/1</f>
        <v>60</v>
      </c>
      <c r="E60" s="229">
        <f>T60/2</f>
        <v>0</v>
      </c>
      <c r="F60" s="229">
        <f t="shared" si="38"/>
        <v>2084</v>
      </c>
      <c r="G60" s="229">
        <f t="shared" si="38"/>
        <v>0</v>
      </c>
      <c r="H60" s="229">
        <f t="shared" si="38"/>
        <v>0</v>
      </c>
      <c r="I60" s="229">
        <f>X60/1</f>
        <v>0</v>
      </c>
      <c r="J60" s="229">
        <f>Y60/5</f>
        <v>0</v>
      </c>
      <c r="K60" s="229">
        <f t="shared" si="16"/>
        <v>0</v>
      </c>
      <c r="L60" s="229">
        <f t="shared" si="15"/>
        <v>0</v>
      </c>
      <c r="M60" s="229">
        <f t="shared" si="15"/>
        <v>0</v>
      </c>
      <c r="P60" s="198" t="s">
        <v>14</v>
      </c>
      <c r="Q60" s="229"/>
      <c r="R60" s="229"/>
      <c r="S60" s="229">
        <v>60</v>
      </c>
      <c r="T60" s="229"/>
      <c r="U60" s="229">
        <v>2084</v>
      </c>
      <c r="V60" s="229"/>
      <c r="W60" s="229"/>
      <c r="X60" s="229"/>
      <c r="Y60" s="229"/>
      <c r="Z60" s="229"/>
      <c r="AA60" s="229"/>
      <c r="AB60" s="229"/>
    </row>
    <row r="61" spans="1:28" x14ac:dyDescent="0.25">
      <c r="A61" s="799" t="s">
        <v>19</v>
      </c>
      <c r="B61" s="229">
        <f>Q61/1</f>
        <v>1080</v>
      </c>
      <c r="C61" s="229">
        <f>R61/2</f>
        <v>3026.5</v>
      </c>
      <c r="D61" s="803">
        <f>S61/1</f>
        <v>2324</v>
      </c>
      <c r="E61" s="990">
        <f>T61/2</f>
        <v>1780.5</v>
      </c>
      <c r="F61" s="229">
        <f t="shared" si="38"/>
        <v>1900</v>
      </c>
      <c r="G61" s="229">
        <f t="shared" si="38"/>
        <v>0</v>
      </c>
      <c r="H61" s="229">
        <f t="shared" si="38"/>
        <v>5176</v>
      </c>
      <c r="I61" s="229">
        <f>X61/1</f>
        <v>6161</v>
      </c>
      <c r="J61" s="803">
        <f>Y61/5</f>
        <v>2724.8</v>
      </c>
      <c r="K61" s="229">
        <f t="shared" si="16"/>
        <v>0</v>
      </c>
      <c r="L61" s="229">
        <f t="shared" si="15"/>
        <v>0</v>
      </c>
      <c r="M61" s="229">
        <f t="shared" si="15"/>
        <v>0</v>
      </c>
      <c r="P61" s="198" t="s">
        <v>19</v>
      </c>
      <c r="Q61" s="229">
        <v>1080</v>
      </c>
      <c r="R61" s="229">
        <v>6053</v>
      </c>
      <c r="S61" s="229">
        <v>2324</v>
      </c>
      <c r="T61" s="229">
        <v>3561</v>
      </c>
      <c r="U61" s="229">
        <v>1900</v>
      </c>
      <c r="V61" s="229"/>
      <c r="W61" s="229">
        <v>5176</v>
      </c>
      <c r="X61" s="229">
        <v>6161</v>
      </c>
      <c r="Y61" s="229">
        <v>13624</v>
      </c>
      <c r="Z61" s="229"/>
      <c r="AA61" s="229"/>
      <c r="AB61" s="229"/>
    </row>
    <row r="62" spans="1:28" x14ac:dyDescent="0.25">
      <c r="A62" s="804" t="s">
        <v>1078</v>
      </c>
      <c r="B62" s="805">
        <f>SUM(B58:B61)</f>
        <v>1080</v>
      </c>
      <c r="C62" s="805">
        <f t="shared" ref="C62:H62" si="39">SUM(C58:C61)</f>
        <v>3367.5</v>
      </c>
      <c r="D62" s="805">
        <f t="shared" si="39"/>
        <v>3066</v>
      </c>
      <c r="E62" s="805">
        <f t="shared" si="39"/>
        <v>2591.5</v>
      </c>
      <c r="F62" s="805">
        <f t="shared" si="39"/>
        <v>4666</v>
      </c>
      <c r="G62" s="805">
        <f t="shared" si="39"/>
        <v>195</v>
      </c>
      <c r="H62" s="805">
        <f t="shared" si="39"/>
        <v>5176</v>
      </c>
      <c r="I62" s="805">
        <f>SUM(I58:I61)</f>
        <v>6843</v>
      </c>
      <c r="J62" s="805">
        <f>SUM(J58:J61)</f>
        <v>2724.8</v>
      </c>
      <c r="K62" s="805">
        <f>SUM(K58:K61)</f>
        <v>628</v>
      </c>
      <c r="L62" s="805">
        <f>SUM(L58:L61)</f>
        <v>0</v>
      </c>
      <c r="M62" s="805">
        <f>SUM(M58:M61)</f>
        <v>628</v>
      </c>
      <c r="P62" s="520" t="s">
        <v>1078</v>
      </c>
      <c r="Q62" s="229">
        <v>1080</v>
      </c>
      <c r="R62" s="229">
        <v>6735</v>
      </c>
      <c r="S62" s="229">
        <v>3066</v>
      </c>
      <c r="T62" s="229">
        <v>5183</v>
      </c>
      <c r="U62" s="229">
        <v>4666</v>
      </c>
      <c r="V62" s="229">
        <v>195</v>
      </c>
      <c r="W62" s="229">
        <v>5176</v>
      </c>
      <c r="X62" s="229">
        <v>6843</v>
      </c>
      <c r="Y62" s="229">
        <v>13624</v>
      </c>
      <c r="Z62" s="229">
        <v>628</v>
      </c>
      <c r="AA62" s="229"/>
      <c r="AB62" s="229">
        <v>628</v>
      </c>
    </row>
    <row r="63" spans="1:28" x14ac:dyDescent="0.25">
      <c r="A63" s="798">
        <v>2017</v>
      </c>
      <c r="B63" s="957"/>
      <c r="C63" s="957"/>
      <c r="D63" s="957"/>
      <c r="E63" s="957"/>
      <c r="F63" s="957"/>
      <c r="G63" s="957"/>
      <c r="H63" s="957"/>
      <c r="I63" s="958"/>
      <c r="J63" s="957"/>
      <c r="K63" s="957"/>
      <c r="L63" s="957"/>
      <c r="M63" s="957"/>
      <c r="P63" s="520">
        <v>2017</v>
      </c>
      <c r="Q63" s="229"/>
      <c r="R63" s="229"/>
      <c r="S63" s="229"/>
      <c r="T63" s="229"/>
      <c r="U63" s="229"/>
      <c r="V63" s="229"/>
      <c r="W63" s="229"/>
      <c r="X63" s="229"/>
      <c r="Y63" s="229"/>
      <c r="Z63" s="229"/>
      <c r="AA63" s="229"/>
      <c r="AB63" s="229"/>
    </row>
    <row r="64" spans="1:28" x14ac:dyDescent="0.25">
      <c r="A64" s="799" t="s">
        <v>867</v>
      </c>
      <c r="B64" s="229">
        <f>Q64/1</f>
        <v>1325</v>
      </c>
      <c r="C64" s="229">
        <f t="shared" ref="C64:E66" si="40">R64/2</f>
        <v>345</v>
      </c>
      <c r="D64" s="229">
        <f>S64/1</f>
        <v>0</v>
      </c>
      <c r="E64" s="229">
        <f>T64/2</f>
        <v>0</v>
      </c>
      <c r="F64" s="229">
        <f t="shared" ref="F64:I66" si="41">U64/1</f>
        <v>0</v>
      </c>
      <c r="G64" s="229">
        <f t="shared" si="41"/>
        <v>0</v>
      </c>
      <c r="H64" s="229">
        <f t="shared" si="41"/>
        <v>0</v>
      </c>
      <c r="I64" s="229">
        <f t="shared" si="41"/>
        <v>0</v>
      </c>
      <c r="J64" s="229">
        <f>Y64/5</f>
        <v>0</v>
      </c>
      <c r="K64" s="229">
        <f t="shared" ref="K64:M67" si="42">Z64</f>
        <v>0</v>
      </c>
      <c r="L64" s="229">
        <f t="shared" si="42"/>
        <v>0</v>
      </c>
      <c r="M64" s="229">
        <f t="shared" si="42"/>
        <v>0</v>
      </c>
      <c r="P64" s="198" t="s">
        <v>867</v>
      </c>
      <c r="Q64" s="229">
        <v>1325</v>
      </c>
      <c r="R64" s="229">
        <v>690</v>
      </c>
      <c r="S64" s="229"/>
      <c r="T64" s="229"/>
      <c r="U64" s="229"/>
      <c r="V64" s="229"/>
      <c r="W64" s="229"/>
      <c r="X64" s="229"/>
      <c r="Y64" s="229"/>
      <c r="Z64" s="229"/>
      <c r="AA64" s="229"/>
      <c r="AB64" s="229"/>
    </row>
    <row r="65" spans="1:28" x14ac:dyDescent="0.25">
      <c r="A65" s="799" t="s">
        <v>14</v>
      </c>
      <c r="B65" s="229">
        <f>Q65/1</f>
        <v>0</v>
      </c>
      <c r="C65" s="229">
        <f t="shared" si="40"/>
        <v>1047</v>
      </c>
      <c r="D65" s="229">
        <f>S65/1</f>
        <v>0</v>
      </c>
      <c r="E65" s="229">
        <f t="shared" si="40"/>
        <v>0</v>
      </c>
      <c r="F65" s="229">
        <f t="shared" si="41"/>
        <v>0</v>
      </c>
      <c r="G65" s="229">
        <f t="shared" si="41"/>
        <v>0</v>
      </c>
      <c r="H65" s="229">
        <f t="shared" si="41"/>
        <v>0</v>
      </c>
      <c r="I65" s="229">
        <f t="shared" si="41"/>
        <v>0</v>
      </c>
      <c r="J65" s="229">
        <f>Y65/5</f>
        <v>0</v>
      </c>
      <c r="K65" s="229">
        <f t="shared" si="42"/>
        <v>2020</v>
      </c>
      <c r="L65" s="229">
        <f t="shared" si="42"/>
        <v>0</v>
      </c>
      <c r="M65" s="229">
        <f t="shared" si="42"/>
        <v>0</v>
      </c>
      <c r="P65" s="198" t="s">
        <v>14</v>
      </c>
      <c r="Q65" s="229"/>
      <c r="R65" s="229">
        <v>2094</v>
      </c>
      <c r="S65" s="229"/>
      <c r="T65" s="229"/>
      <c r="U65" s="229"/>
      <c r="V65" s="229"/>
      <c r="W65" s="229"/>
      <c r="X65" s="229"/>
      <c r="Y65" s="229"/>
      <c r="Z65" s="229">
        <v>2020</v>
      </c>
      <c r="AA65" s="229"/>
      <c r="AB65" s="229"/>
    </row>
    <row r="66" spans="1:28" x14ac:dyDescent="0.25">
      <c r="A66" s="956" t="s">
        <v>16</v>
      </c>
      <c r="B66" s="229">
        <f>Q66/1</f>
        <v>0</v>
      </c>
      <c r="C66" s="229">
        <f t="shared" si="40"/>
        <v>0</v>
      </c>
      <c r="D66" s="229">
        <f>S66/1</f>
        <v>0</v>
      </c>
      <c r="E66" s="229">
        <f>T66/2</f>
        <v>135</v>
      </c>
      <c r="F66" s="229">
        <f t="shared" si="41"/>
        <v>0</v>
      </c>
      <c r="G66" s="229">
        <f t="shared" si="41"/>
        <v>0</v>
      </c>
      <c r="H66" s="229">
        <f t="shared" si="41"/>
        <v>0</v>
      </c>
      <c r="I66" s="229">
        <f t="shared" si="41"/>
        <v>0</v>
      </c>
      <c r="J66" s="229">
        <f>Y66/5</f>
        <v>0</v>
      </c>
      <c r="K66" s="229">
        <f t="shared" si="42"/>
        <v>0</v>
      </c>
      <c r="L66" s="229">
        <f t="shared" si="42"/>
        <v>0</v>
      </c>
      <c r="M66" s="229">
        <f t="shared" si="42"/>
        <v>0</v>
      </c>
      <c r="P66" s="198" t="s">
        <v>16</v>
      </c>
      <c r="Q66" s="229"/>
      <c r="R66" s="229"/>
      <c r="S66" s="229"/>
      <c r="T66" s="229">
        <v>270</v>
      </c>
      <c r="U66" s="229"/>
      <c r="V66" s="229"/>
      <c r="W66" s="229"/>
      <c r="X66" s="229"/>
      <c r="Y66" s="229"/>
      <c r="Z66" s="229"/>
      <c r="AA66" s="229"/>
      <c r="AB66" s="229"/>
    </row>
    <row r="67" spans="1:28" x14ac:dyDescent="0.25">
      <c r="A67" s="956" t="s">
        <v>19</v>
      </c>
      <c r="B67" s="229">
        <f>Q67/1</f>
        <v>1196</v>
      </c>
      <c r="C67" s="229">
        <f>R67/2</f>
        <v>2513</v>
      </c>
      <c r="D67" s="229">
        <f>S67/1</f>
        <v>0</v>
      </c>
      <c r="E67" s="229">
        <f>T67/2</f>
        <v>3502</v>
      </c>
      <c r="F67" s="229">
        <f>U67/1</f>
        <v>1196</v>
      </c>
      <c r="G67" s="229">
        <f>V67/2</f>
        <v>0</v>
      </c>
      <c r="H67" s="229">
        <f>W67/1</f>
        <v>1450</v>
      </c>
      <c r="I67" s="229">
        <f>X67/1</f>
        <v>2900</v>
      </c>
      <c r="J67" s="803">
        <f>Y67/5</f>
        <v>2751.8</v>
      </c>
      <c r="K67" s="803">
        <f t="shared" si="42"/>
        <v>7205</v>
      </c>
      <c r="L67" s="803">
        <f t="shared" si="42"/>
        <v>6363</v>
      </c>
      <c r="M67" s="803">
        <f t="shared" si="42"/>
        <v>0</v>
      </c>
      <c r="P67" s="198" t="s">
        <v>19</v>
      </c>
      <c r="Q67" s="229">
        <v>1196</v>
      </c>
      <c r="R67" s="229">
        <v>5026</v>
      </c>
      <c r="S67" s="229"/>
      <c r="T67" s="229">
        <v>7004</v>
      </c>
      <c r="U67" s="229">
        <v>1196</v>
      </c>
      <c r="V67" s="229"/>
      <c r="W67" s="229">
        <v>1450</v>
      </c>
      <c r="X67" s="229">
        <v>2900</v>
      </c>
      <c r="Y67" s="229">
        <v>13759</v>
      </c>
      <c r="Z67" s="229">
        <v>7205</v>
      </c>
      <c r="AA67" s="229">
        <v>6363</v>
      </c>
      <c r="AB67" s="229"/>
    </row>
    <row r="68" spans="1:28" x14ac:dyDescent="0.25">
      <c r="A68" s="961" t="s">
        <v>1136</v>
      </c>
      <c r="B68" s="959">
        <f t="shared" ref="B68:M68" si="43">SUM(B64:B67)</f>
        <v>2521</v>
      </c>
      <c r="C68" s="959">
        <f t="shared" si="43"/>
        <v>3905</v>
      </c>
      <c r="D68" s="959">
        <f t="shared" si="43"/>
        <v>0</v>
      </c>
      <c r="E68" s="959">
        <f t="shared" si="43"/>
        <v>3637</v>
      </c>
      <c r="F68" s="959">
        <f t="shared" si="43"/>
        <v>1196</v>
      </c>
      <c r="G68" s="959">
        <f t="shared" si="43"/>
        <v>0</v>
      </c>
      <c r="H68" s="959">
        <f t="shared" si="43"/>
        <v>1450</v>
      </c>
      <c r="I68" s="959">
        <f t="shared" si="43"/>
        <v>2900</v>
      </c>
      <c r="J68" s="959">
        <f t="shared" si="43"/>
        <v>2751.8</v>
      </c>
      <c r="K68" s="959">
        <f t="shared" si="43"/>
        <v>9225</v>
      </c>
      <c r="L68" s="959">
        <f t="shared" si="43"/>
        <v>6363</v>
      </c>
      <c r="M68" s="959">
        <f t="shared" si="43"/>
        <v>0</v>
      </c>
      <c r="P68" s="520" t="s">
        <v>1136</v>
      </c>
      <c r="Q68" s="229">
        <v>2521</v>
      </c>
      <c r="R68" s="229">
        <v>7810</v>
      </c>
      <c r="S68" s="229"/>
      <c r="T68" s="229">
        <v>7274</v>
      </c>
      <c r="U68" s="229">
        <v>1196</v>
      </c>
      <c r="V68" s="229"/>
      <c r="W68" s="229">
        <v>1450</v>
      </c>
      <c r="X68" s="229">
        <v>2900</v>
      </c>
      <c r="Y68" s="229">
        <v>13759</v>
      </c>
      <c r="Z68" s="229">
        <v>9225</v>
      </c>
      <c r="AA68" s="229">
        <v>6363</v>
      </c>
      <c r="AB68" s="229"/>
    </row>
    <row r="69" spans="1:28" x14ac:dyDescent="0.25">
      <c r="A69" s="802" t="s">
        <v>213</v>
      </c>
      <c r="B69" s="960">
        <f t="shared" ref="B69:M69" si="44">B68+B62+B56+B48+B42+B32</f>
        <v>13992</v>
      </c>
      <c r="C69" s="960">
        <f t="shared" si="44"/>
        <v>30279.5</v>
      </c>
      <c r="D69" s="960">
        <f t="shared" si="44"/>
        <v>38193</v>
      </c>
      <c r="E69" s="960">
        <f t="shared" si="44"/>
        <v>29694.5</v>
      </c>
      <c r="F69" s="960">
        <f t="shared" si="44"/>
        <v>25469</v>
      </c>
      <c r="G69" s="960">
        <f t="shared" si="44"/>
        <v>12624</v>
      </c>
      <c r="H69" s="960">
        <f t="shared" si="44"/>
        <v>28618</v>
      </c>
      <c r="I69" s="960">
        <f t="shared" si="44"/>
        <v>18388</v>
      </c>
      <c r="J69" s="960">
        <f t="shared" si="44"/>
        <v>20115.400000000001</v>
      </c>
      <c r="K69" s="960">
        <f t="shared" si="44"/>
        <v>9853</v>
      </c>
      <c r="L69" s="960">
        <f t="shared" si="44"/>
        <v>6363</v>
      </c>
      <c r="M69" s="960">
        <f t="shared" si="44"/>
        <v>628</v>
      </c>
      <c r="P69" s="520" t="s">
        <v>213</v>
      </c>
      <c r="Q69" s="229">
        <v>13992</v>
      </c>
      <c r="R69" s="229">
        <v>60559</v>
      </c>
      <c r="S69" s="229">
        <v>38193</v>
      </c>
      <c r="T69" s="229">
        <v>59389</v>
      </c>
      <c r="U69" s="229">
        <v>25469</v>
      </c>
      <c r="V69" s="229">
        <v>12624</v>
      </c>
      <c r="W69" s="229">
        <v>28618</v>
      </c>
      <c r="X69" s="229">
        <v>18388</v>
      </c>
      <c r="Y69" s="229">
        <v>100577</v>
      </c>
      <c r="Z69" s="229">
        <v>9853</v>
      </c>
      <c r="AA69" s="229">
        <v>6363</v>
      </c>
      <c r="AB69" s="229">
        <v>628</v>
      </c>
    </row>
  </sheetData>
  <mergeCells count="3">
    <mergeCell ref="A2:H2"/>
    <mergeCell ref="A3:H3"/>
    <mergeCell ref="P2:W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00" workbookViewId="0">
      <selection activeCell="H26" sqref="H4:H121"/>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47" t="s">
        <v>346</v>
      </c>
      <c r="B1" s="793" t="s">
        <v>653</v>
      </c>
      <c r="G1" s="47" t="s">
        <v>769</v>
      </c>
      <c r="H1" s="793" t="s">
        <v>653</v>
      </c>
    </row>
    <row r="2" spans="1:10" x14ac:dyDescent="0.25">
      <c r="A2" s="47" t="s">
        <v>769</v>
      </c>
      <c r="B2" s="793" t="s">
        <v>653</v>
      </c>
    </row>
    <row r="3" spans="1:10" x14ac:dyDescent="0.25">
      <c r="G3" s="47" t="s">
        <v>9</v>
      </c>
      <c r="H3" s="47" t="s">
        <v>8</v>
      </c>
      <c r="I3" s="47" t="s">
        <v>346</v>
      </c>
      <c r="J3" t="s">
        <v>654</v>
      </c>
    </row>
    <row r="4" spans="1:10" x14ac:dyDescent="0.25">
      <c r="A4" s="47" t="s">
        <v>0</v>
      </c>
      <c r="B4" s="47" t="s">
        <v>9</v>
      </c>
      <c r="C4" t="s">
        <v>652</v>
      </c>
      <c r="G4" s="793" t="s">
        <v>57</v>
      </c>
      <c r="H4" s="793" t="s">
        <v>144</v>
      </c>
      <c r="I4" s="793" t="s">
        <v>348</v>
      </c>
      <c r="J4" s="4">
        <v>251</v>
      </c>
    </row>
    <row r="5" spans="1:10" x14ac:dyDescent="0.25">
      <c r="A5" s="793" t="s">
        <v>608</v>
      </c>
      <c r="B5" s="793" t="s">
        <v>474</v>
      </c>
      <c r="C5" s="4">
        <v>1</v>
      </c>
      <c r="G5" s="793" t="s">
        <v>46</v>
      </c>
      <c r="H5" s="793" t="s">
        <v>132</v>
      </c>
      <c r="I5" s="793" t="s">
        <v>1006</v>
      </c>
      <c r="J5" s="4">
        <v>24</v>
      </c>
    </row>
    <row r="6" spans="1:10" x14ac:dyDescent="0.25">
      <c r="A6" s="793" t="s">
        <v>608</v>
      </c>
      <c r="B6" s="793" t="s">
        <v>58</v>
      </c>
      <c r="C6" s="4">
        <v>1</v>
      </c>
      <c r="G6" s="793" t="s">
        <v>49</v>
      </c>
      <c r="H6" s="793" t="s">
        <v>135</v>
      </c>
      <c r="I6" s="793" t="s">
        <v>1006</v>
      </c>
      <c r="J6" s="4">
        <v>14</v>
      </c>
    </row>
    <row r="7" spans="1:10" x14ac:dyDescent="0.25">
      <c r="A7" s="793" t="s">
        <v>15</v>
      </c>
      <c r="B7" s="793" t="s">
        <v>46</v>
      </c>
      <c r="C7" s="4">
        <v>1</v>
      </c>
      <c r="G7" s="793" t="s">
        <v>56</v>
      </c>
      <c r="H7" s="793" t="s">
        <v>142</v>
      </c>
      <c r="I7" s="793" t="s">
        <v>1006</v>
      </c>
      <c r="J7" s="4">
        <v>32</v>
      </c>
    </row>
    <row r="8" spans="1:10" x14ac:dyDescent="0.25">
      <c r="A8" s="793" t="s">
        <v>15</v>
      </c>
      <c r="B8" s="793" t="s">
        <v>49</v>
      </c>
      <c r="C8" s="4">
        <v>1</v>
      </c>
      <c r="G8" s="793" t="s">
        <v>40</v>
      </c>
      <c r="H8" s="793" t="s">
        <v>126</v>
      </c>
      <c r="I8" s="793" t="s">
        <v>348</v>
      </c>
      <c r="J8" s="4">
        <v>1238</v>
      </c>
    </row>
    <row r="9" spans="1:10" x14ac:dyDescent="0.25">
      <c r="A9" s="793" t="s">
        <v>15</v>
      </c>
      <c r="B9" s="793" t="s">
        <v>48</v>
      </c>
      <c r="C9" s="4">
        <v>1</v>
      </c>
      <c r="G9" s="793" t="s">
        <v>48</v>
      </c>
      <c r="H9" s="793" t="s">
        <v>134</v>
      </c>
      <c r="I9" s="793" t="s">
        <v>1006</v>
      </c>
      <c r="J9" s="4">
        <v>92</v>
      </c>
    </row>
    <row r="10" spans="1:10" x14ac:dyDescent="0.25">
      <c r="A10" s="793" t="s">
        <v>15</v>
      </c>
      <c r="B10" s="793" t="s">
        <v>51</v>
      </c>
      <c r="C10" s="4">
        <v>1</v>
      </c>
      <c r="G10" s="793" t="s">
        <v>110</v>
      </c>
      <c r="H10" s="793" t="s">
        <v>198</v>
      </c>
      <c r="I10" s="793" t="s">
        <v>349</v>
      </c>
      <c r="J10" s="4"/>
    </row>
    <row r="11" spans="1:10" x14ac:dyDescent="0.25">
      <c r="A11" s="793" t="s">
        <v>15</v>
      </c>
      <c r="B11" s="793" t="s">
        <v>50</v>
      </c>
      <c r="C11" s="4">
        <v>1</v>
      </c>
      <c r="G11" s="793" t="s">
        <v>90</v>
      </c>
      <c r="H11" s="793" t="s">
        <v>178</v>
      </c>
      <c r="I11" s="793" t="s">
        <v>349</v>
      </c>
      <c r="J11" s="4"/>
    </row>
    <row r="12" spans="1:10" x14ac:dyDescent="0.25">
      <c r="A12" s="793" t="s">
        <v>15</v>
      </c>
      <c r="B12" s="793" t="s">
        <v>54</v>
      </c>
      <c r="C12" s="4">
        <v>1</v>
      </c>
      <c r="G12" s="793" t="s">
        <v>30</v>
      </c>
      <c r="H12" s="793" t="s">
        <v>116</v>
      </c>
      <c r="I12" s="793" t="s">
        <v>1006</v>
      </c>
      <c r="J12" s="4">
        <v>86</v>
      </c>
    </row>
    <row r="13" spans="1:10" x14ac:dyDescent="0.25">
      <c r="A13" s="793" t="s">
        <v>15</v>
      </c>
      <c r="B13" s="793" t="s">
        <v>44</v>
      </c>
      <c r="C13" s="4">
        <v>1</v>
      </c>
      <c r="G13" s="793" t="s">
        <v>39</v>
      </c>
      <c r="H13" s="793" t="s">
        <v>125</v>
      </c>
      <c r="I13" s="793" t="s">
        <v>1005</v>
      </c>
      <c r="J13" s="4">
        <v>21</v>
      </c>
    </row>
    <row r="14" spans="1:10" x14ac:dyDescent="0.25">
      <c r="A14" s="793" t="s">
        <v>15</v>
      </c>
      <c r="B14" s="793" t="s">
        <v>47</v>
      </c>
      <c r="C14" s="4">
        <v>1</v>
      </c>
      <c r="G14" s="793" t="s">
        <v>61</v>
      </c>
      <c r="H14" s="793" t="s">
        <v>149</v>
      </c>
      <c r="I14" s="793" t="s">
        <v>348</v>
      </c>
      <c r="J14" s="4">
        <v>397</v>
      </c>
    </row>
    <row r="15" spans="1:10" x14ac:dyDescent="0.25">
      <c r="A15" s="793" t="s">
        <v>15</v>
      </c>
      <c r="B15" s="793" t="s">
        <v>53</v>
      </c>
      <c r="C15" s="4">
        <v>1</v>
      </c>
      <c r="G15" s="793" t="s">
        <v>100</v>
      </c>
      <c r="H15" s="793" t="s">
        <v>188</v>
      </c>
      <c r="I15" s="793" t="s">
        <v>349</v>
      </c>
      <c r="J15" s="4"/>
    </row>
    <row r="16" spans="1:10" x14ac:dyDescent="0.25">
      <c r="A16" s="793" t="s">
        <v>15</v>
      </c>
      <c r="B16" s="793" t="s">
        <v>45</v>
      </c>
      <c r="C16" s="4">
        <v>1</v>
      </c>
      <c r="G16" s="793" t="s">
        <v>62</v>
      </c>
      <c r="H16" s="793" t="s">
        <v>150</v>
      </c>
      <c r="I16" s="793" t="s">
        <v>349</v>
      </c>
      <c r="J16" s="4"/>
    </row>
    <row r="17" spans="1:10" x14ac:dyDescent="0.25">
      <c r="A17" s="793" t="s">
        <v>15</v>
      </c>
      <c r="B17" s="793" t="s">
        <v>52</v>
      </c>
      <c r="C17" s="4">
        <v>1</v>
      </c>
      <c r="G17" s="793" t="s">
        <v>553</v>
      </c>
      <c r="H17" s="793" t="s">
        <v>554</v>
      </c>
      <c r="I17" s="793" t="s">
        <v>348</v>
      </c>
      <c r="J17" s="4">
        <v>41</v>
      </c>
    </row>
    <row r="18" spans="1:10" x14ac:dyDescent="0.25">
      <c r="A18" s="793" t="s">
        <v>20</v>
      </c>
      <c r="B18" s="793" t="s">
        <v>110</v>
      </c>
      <c r="C18" s="4">
        <v>1</v>
      </c>
      <c r="G18" s="793" t="s">
        <v>630</v>
      </c>
      <c r="H18" s="793" t="s">
        <v>632</v>
      </c>
      <c r="I18" s="793" t="s">
        <v>348</v>
      </c>
      <c r="J18" s="4">
        <v>1011</v>
      </c>
    </row>
    <row r="19" spans="1:10" x14ac:dyDescent="0.25">
      <c r="A19" s="793" t="s">
        <v>20</v>
      </c>
      <c r="B19" s="793" t="s">
        <v>100</v>
      </c>
      <c r="C19" s="4">
        <v>1</v>
      </c>
      <c r="G19" s="793" t="s">
        <v>631</v>
      </c>
      <c r="H19" s="793" t="s">
        <v>633</v>
      </c>
      <c r="I19" s="793" t="s">
        <v>348</v>
      </c>
      <c r="J19" s="4">
        <v>1289</v>
      </c>
    </row>
    <row r="20" spans="1:10" x14ac:dyDescent="0.25">
      <c r="A20" s="793" t="s">
        <v>20</v>
      </c>
      <c r="B20" s="793" t="s">
        <v>105</v>
      </c>
      <c r="C20" s="4">
        <v>1</v>
      </c>
      <c r="G20" s="793" t="s">
        <v>105</v>
      </c>
      <c r="H20" s="793" t="s">
        <v>193</v>
      </c>
      <c r="I20" s="793" t="s">
        <v>348</v>
      </c>
      <c r="J20" s="4">
        <v>12</v>
      </c>
    </row>
    <row r="21" spans="1:10" x14ac:dyDescent="0.25">
      <c r="A21" s="793" t="s">
        <v>20</v>
      </c>
      <c r="B21" s="793" t="s">
        <v>614</v>
      </c>
      <c r="C21" s="4">
        <v>1</v>
      </c>
      <c r="G21" s="793" t="s">
        <v>614</v>
      </c>
      <c r="H21" s="793" t="s">
        <v>618</v>
      </c>
      <c r="I21" s="793" t="s">
        <v>349</v>
      </c>
      <c r="J21" s="4"/>
    </row>
    <row r="22" spans="1:10" x14ac:dyDescent="0.25">
      <c r="A22" s="793" t="s">
        <v>20</v>
      </c>
      <c r="B22" s="793" t="s">
        <v>109</v>
      </c>
      <c r="C22" s="4">
        <v>1</v>
      </c>
      <c r="G22" s="793" t="s">
        <v>73</v>
      </c>
      <c r="H22" s="793" t="s">
        <v>161</v>
      </c>
      <c r="I22" s="793" t="s">
        <v>349</v>
      </c>
      <c r="J22" s="4"/>
    </row>
    <row r="23" spans="1:10" x14ac:dyDescent="0.25">
      <c r="A23" s="793" t="s">
        <v>20</v>
      </c>
      <c r="B23" s="793" t="s">
        <v>617</v>
      </c>
      <c r="C23" s="4">
        <v>1</v>
      </c>
      <c r="G23" s="793" t="s">
        <v>74</v>
      </c>
      <c r="H23" s="793" t="s">
        <v>162</v>
      </c>
      <c r="I23" s="793" t="s">
        <v>349</v>
      </c>
      <c r="J23" s="4"/>
    </row>
    <row r="24" spans="1:10" x14ac:dyDescent="0.25">
      <c r="A24" s="793" t="s">
        <v>20</v>
      </c>
      <c r="B24" s="793" t="s">
        <v>102</v>
      </c>
      <c r="C24" s="4">
        <v>1</v>
      </c>
      <c r="G24" s="793" t="s">
        <v>605</v>
      </c>
      <c r="H24" s="793" t="s">
        <v>143</v>
      </c>
      <c r="I24" s="793" t="s">
        <v>348</v>
      </c>
      <c r="J24" s="4">
        <v>217</v>
      </c>
    </row>
    <row r="25" spans="1:10" x14ac:dyDescent="0.25">
      <c r="A25" s="793" t="s">
        <v>20</v>
      </c>
      <c r="B25" s="793" t="s">
        <v>101</v>
      </c>
      <c r="C25" s="4">
        <v>1</v>
      </c>
      <c r="G25" s="793" t="s">
        <v>80</v>
      </c>
      <c r="H25" s="793" t="s">
        <v>168</v>
      </c>
      <c r="I25" s="793" t="s">
        <v>349</v>
      </c>
      <c r="J25" s="4"/>
    </row>
    <row r="26" spans="1:10" x14ac:dyDescent="0.25">
      <c r="A26" s="793" t="s">
        <v>20</v>
      </c>
      <c r="B26" s="793" t="s">
        <v>99</v>
      </c>
      <c r="C26" s="4">
        <v>1</v>
      </c>
      <c r="G26" s="793" t="s">
        <v>81</v>
      </c>
      <c r="H26" s="793" t="s">
        <v>169</v>
      </c>
      <c r="I26" s="793" t="s">
        <v>349</v>
      </c>
      <c r="J26" s="4"/>
    </row>
    <row r="27" spans="1:10" x14ac:dyDescent="0.25">
      <c r="A27" s="793" t="s">
        <v>20</v>
      </c>
      <c r="B27" s="793" t="s">
        <v>108</v>
      </c>
      <c r="C27" s="4">
        <v>1</v>
      </c>
      <c r="G27" s="793" t="s">
        <v>77</v>
      </c>
      <c r="H27" s="793" t="s">
        <v>165</v>
      </c>
      <c r="I27" s="793" t="s">
        <v>349</v>
      </c>
      <c r="J27" s="4"/>
    </row>
    <row r="28" spans="1:10" x14ac:dyDescent="0.25">
      <c r="A28" s="793" t="s">
        <v>20</v>
      </c>
      <c r="B28" s="793" t="s">
        <v>97</v>
      </c>
      <c r="C28" s="4">
        <v>1</v>
      </c>
      <c r="G28" s="793" t="s">
        <v>63</v>
      </c>
      <c r="H28" s="793" t="s">
        <v>151</v>
      </c>
      <c r="I28" s="793" t="s">
        <v>348</v>
      </c>
      <c r="J28" s="4">
        <v>1431</v>
      </c>
    </row>
    <row r="29" spans="1:10" x14ac:dyDescent="0.25">
      <c r="A29" s="793" t="s">
        <v>20</v>
      </c>
      <c r="B29" s="793" t="s">
        <v>872</v>
      </c>
      <c r="C29" s="4">
        <v>1</v>
      </c>
      <c r="G29" s="793" t="s">
        <v>543</v>
      </c>
      <c r="H29" s="793" t="s">
        <v>544</v>
      </c>
      <c r="I29" s="793" t="s">
        <v>348</v>
      </c>
      <c r="J29" s="4">
        <v>518</v>
      </c>
    </row>
    <row r="30" spans="1:10" x14ac:dyDescent="0.25">
      <c r="A30" s="793" t="s">
        <v>20</v>
      </c>
      <c r="B30" s="793" t="s">
        <v>103</v>
      </c>
      <c r="C30" s="4">
        <v>1</v>
      </c>
      <c r="G30" s="793" t="s">
        <v>79</v>
      </c>
      <c r="H30" s="793" t="s">
        <v>167</v>
      </c>
      <c r="I30" s="793" t="s">
        <v>349</v>
      </c>
      <c r="J30" s="4"/>
    </row>
    <row r="31" spans="1:10" x14ac:dyDescent="0.25">
      <c r="A31" s="793" t="s">
        <v>20</v>
      </c>
      <c r="B31" s="793" t="s">
        <v>873</v>
      </c>
      <c r="C31" s="4">
        <v>1</v>
      </c>
      <c r="G31" s="793" t="s">
        <v>109</v>
      </c>
      <c r="H31" s="793" t="s">
        <v>197</v>
      </c>
      <c r="I31" s="793" t="s">
        <v>348</v>
      </c>
      <c r="J31" s="4">
        <v>48</v>
      </c>
    </row>
    <row r="32" spans="1:10" x14ac:dyDescent="0.25">
      <c r="A32" s="793" t="s">
        <v>20</v>
      </c>
      <c r="B32" s="793" t="s">
        <v>98</v>
      </c>
      <c r="C32" s="4">
        <v>1</v>
      </c>
      <c r="G32" s="793" t="s">
        <v>51</v>
      </c>
      <c r="H32" s="793" t="s">
        <v>137</v>
      </c>
      <c r="I32" s="793" t="s">
        <v>1006</v>
      </c>
      <c r="J32" s="4">
        <v>116</v>
      </c>
    </row>
    <row r="33" spans="1:10" x14ac:dyDescent="0.25">
      <c r="A33" s="793" t="s">
        <v>20</v>
      </c>
      <c r="B33" s="793" t="s">
        <v>107</v>
      </c>
      <c r="C33" s="4">
        <v>1</v>
      </c>
      <c r="G33" s="793" t="s">
        <v>94</v>
      </c>
      <c r="H33" s="793" t="s">
        <v>182</v>
      </c>
      <c r="I33" s="793" t="s">
        <v>349</v>
      </c>
      <c r="J33" s="4"/>
    </row>
    <row r="34" spans="1:10" x14ac:dyDescent="0.25">
      <c r="A34" s="793" t="s">
        <v>20</v>
      </c>
      <c r="B34" s="793" t="s">
        <v>874</v>
      </c>
      <c r="C34" s="4">
        <v>1</v>
      </c>
      <c r="G34" s="793" t="s">
        <v>82</v>
      </c>
      <c r="H34" s="793" t="s">
        <v>170</v>
      </c>
      <c r="I34" s="793" t="s">
        <v>349</v>
      </c>
      <c r="J34" s="4"/>
    </row>
    <row r="35" spans="1:10" x14ac:dyDescent="0.25">
      <c r="A35" s="793" t="s">
        <v>20</v>
      </c>
      <c r="B35" s="793" t="s">
        <v>106</v>
      </c>
      <c r="C35" s="4">
        <v>1</v>
      </c>
      <c r="G35" s="793" t="s">
        <v>551</v>
      </c>
      <c r="H35" s="793" t="s">
        <v>552</v>
      </c>
      <c r="I35" s="793" t="s">
        <v>349</v>
      </c>
      <c r="J35" s="4"/>
    </row>
    <row r="36" spans="1:10" x14ac:dyDescent="0.25">
      <c r="A36" s="793" t="s">
        <v>20</v>
      </c>
      <c r="B36" s="793" t="s">
        <v>615</v>
      </c>
      <c r="C36" s="4">
        <v>1</v>
      </c>
      <c r="G36" s="793" t="s">
        <v>71</v>
      </c>
      <c r="H36" s="793" t="s">
        <v>159</v>
      </c>
      <c r="I36" s="793" t="s">
        <v>349</v>
      </c>
      <c r="J36" s="4"/>
    </row>
    <row r="37" spans="1:10" x14ac:dyDescent="0.25">
      <c r="A37" s="793" t="s">
        <v>20</v>
      </c>
      <c r="B37" s="793" t="s">
        <v>616</v>
      </c>
      <c r="C37" s="4">
        <v>1</v>
      </c>
      <c r="G37" s="793" t="s">
        <v>617</v>
      </c>
      <c r="H37" s="793" t="s">
        <v>621</v>
      </c>
      <c r="I37" s="793" t="s">
        <v>348</v>
      </c>
      <c r="J37" s="4">
        <v>59</v>
      </c>
    </row>
    <row r="38" spans="1:10" x14ac:dyDescent="0.25">
      <c r="A38" s="793" t="s">
        <v>11</v>
      </c>
      <c r="B38" s="793" t="s">
        <v>30</v>
      </c>
      <c r="C38" s="4">
        <v>1</v>
      </c>
      <c r="G38" s="793" t="s">
        <v>50</v>
      </c>
      <c r="H38" s="793" t="s">
        <v>136</v>
      </c>
      <c r="I38" s="793" t="s">
        <v>1006</v>
      </c>
      <c r="J38" s="4">
        <v>236</v>
      </c>
    </row>
    <row r="39" spans="1:10" x14ac:dyDescent="0.25">
      <c r="A39" s="793" t="s">
        <v>11</v>
      </c>
      <c r="B39" s="793" t="s">
        <v>28</v>
      </c>
      <c r="C39" s="4">
        <v>1</v>
      </c>
      <c r="G39" s="793" t="s">
        <v>474</v>
      </c>
      <c r="H39" s="793" t="s">
        <v>146</v>
      </c>
      <c r="I39" s="793" t="s">
        <v>348</v>
      </c>
      <c r="J39" s="4">
        <v>65</v>
      </c>
    </row>
    <row r="40" spans="1:10" x14ac:dyDescent="0.25">
      <c r="A40" s="793" t="s">
        <v>11</v>
      </c>
      <c r="B40" s="793" t="s">
        <v>25</v>
      </c>
      <c r="C40" s="4">
        <v>1</v>
      </c>
      <c r="G40" s="793" t="s">
        <v>37</v>
      </c>
      <c r="H40" s="793" t="s">
        <v>123</v>
      </c>
      <c r="I40" s="793" t="s">
        <v>1005</v>
      </c>
      <c r="J40" s="4">
        <v>42</v>
      </c>
    </row>
    <row r="41" spans="1:10" x14ac:dyDescent="0.25">
      <c r="A41" s="793" t="s">
        <v>11</v>
      </c>
      <c r="B41" s="793" t="s">
        <v>32</v>
      </c>
      <c r="C41" s="4">
        <v>1</v>
      </c>
      <c r="G41" s="793" t="s">
        <v>102</v>
      </c>
      <c r="H41" s="793" t="s">
        <v>190</v>
      </c>
      <c r="I41" s="793" t="s">
        <v>349</v>
      </c>
      <c r="J41" s="4"/>
    </row>
    <row r="42" spans="1:10" x14ac:dyDescent="0.25">
      <c r="A42" s="793" t="s">
        <v>11</v>
      </c>
      <c r="B42" s="793" t="s">
        <v>27</v>
      </c>
      <c r="C42" s="4">
        <v>1</v>
      </c>
      <c r="G42" s="793" t="s">
        <v>92</v>
      </c>
      <c r="H42" s="793" t="s">
        <v>180</v>
      </c>
      <c r="I42" s="793" t="s">
        <v>349</v>
      </c>
      <c r="J42" s="4"/>
    </row>
    <row r="43" spans="1:10" x14ac:dyDescent="0.25">
      <c r="A43" s="793" t="s">
        <v>11</v>
      </c>
      <c r="B43" s="793" t="s">
        <v>558</v>
      </c>
      <c r="C43" s="4">
        <v>1</v>
      </c>
      <c r="G43" s="793" t="s">
        <v>64</v>
      </c>
      <c r="H43" s="793" t="s">
        <v>152</v>
      </c>
      <c r="I43" s="793" t="s">
        <v>348</v>
      </c>
      <c r="J43" s="4">
        <v>799</v>
      </c>
    </row>
    <row r="44" spans="1:10" x14ac:dyDescent="0.25">
      <c r="A44" s="793" t="s">
        <v>11</v>
      </c>
      <c r="B44" s="793" t="s">
        <v>26</v>
      </c>
      <c r="C44" s="4">
        <v>1</v>
      </c>
      <c r="G44" s="793" t="s">
        <v>54</v>
      </c>
      <c r="H44" s="793" t="s">
        <v>140</v>
      </c>
      <c r="I44" s="793" t="s">
        <v>1005</v>
      </c>
      <c r="J44" s="4">
        <v>97</v>
      </c>
    </row>
    <row r="45" spans="1:10" x14ac:dyDescent="0.25">
      <c r="A45" s="793" t="s">
        <v>11</v>
      </c>
      <c r="B45" s="793" t="s">
        <v>29</v>
      </c>
      <c r="C45" s="4">
        <v>1</v>
      </c>
      <c r="G45" s="793" t="s">
        <v>101</v>
      </c>
      <c r="H45" s="793" t="s">
        <v>189</v>
      </c>
      <c r="I45" s="793" t="s">
        <v>349</v>
      </c>
      <c r="J45" s="4"/>
    </row>
    <row r="46" spans="1:10" x14ac:dyDescent="0.25">
      <c r="A46" s="793" t="s">
        <v>11</v>
      </c>
      <c r="B46" s="793" t="s">
        <v>31</v>
      </c>
      <c r="C46" s="4">
        <v>1</v>
      </c>
      <c r="G46" s="793" t="s">
        <v>400</v>
      </c>
      <c r="H46" s="793" t="s">
        <v>606</v>
      </c>
      <c r="I46" s="793" t="s">
        <v>348</v>
      </c>
      <c r="J46" s="4">
        <v>193</v>
      </c>
    </row>
    <row r="47" spans="1:10" x14ac:dyDescent="0.25">
      <c r="A47" s="793" t="s">
        <v>1003</v>
      </c>
      <c r="B47" s="793" t="s">
        <v>35</v>
      </c>
      <c r="C47" s="4">
        <v>1</v>
      </c>
      <c r="G47" s="793" t="s">
        <v>99</v>
      </c>
      <c r="H47" s="793" t="s">
        <v>187</v>
      </c>
      <c r="I47" s="793" t="s">
        <v>349</v>
      </c>
      <c r="J47" s="4"/>
    </row>
    <row r="48" spans="1:10" x14ac:dyDescent="0.25">
      <c r="A48" s="793" t="s">
        <v>1003</v>
      </c>
      <c r="B48" s="793" t="s">
        <v>33</v>
      </c>
      <c r="C48" s="4">
        <v>1</v>
      </c>
      <c r="G48" s="793" t="s">
        <v>58</v>
      </c>
      <c r="H48" s="793" t="s">
        <v>145</v>
      </c>
      <c r="I48" s="793" t="s">
        <v>348</v>
      </c>
      <c r="J48" s="4">
        <v>427</v>
      </c>
    </row>
    <row r="49" spans="1:10" x14ac:dyDescent="0.25">
      <c r="A49" s="793" t="s">
        <v>1003</v>
      </c>
      <c r="B49" s="793" t="s">
        <v>36</v>
      </c>
      <c r="C49" s="4">
        <v>1</v>
      </c>
      <c r="G49" s="793" t="s">
        <v>42</v>
      </c>
      <c r="H49" s="793" t="s">
        <v>128</v>
      </c>
      <c r="I49" s="793" t="s">
        <v>348</v>
      </c>
      <c r="J49" s="4">
        <v>1012</v>
      </c>
    </row>
    <row r="50" spans="1:10" x14ac:dyDescent="0.25">
      <c r="A50" s="793" t="s">
        <v>1003</v>
      </c>
      <c r="B50" s="793" t="s">
        <v>627</v>
      </c>
      <c r="C50" s="4">
        <v>1</v>
      </c>
      <c r="G50" s="793" t="s">
        <v>108</v>
      </c>
      <c r="H50" s="793" t="s">
        <v>196</v>
      </c>
      <c r="I50" s="793" t="s">
        <v>349</v>
      </c>
      <c r="J50" s="4"/>
    </row>
    <row r="51" spans="1:10" x14ac:dyDescent="0.25">
      <c r="A51" s="793" t="s">
        <v>1003</v>
      </c>
      <c r="B51" s="793" t="s">
        <v>34</v>
      </c>
      <c r="C51" s="4">
        <v>1</v>
      </c>
      <c r="G51" s="793" t="s">
        <v>83</v>
      </c>
      <c r="H51" s="793" t="s">
        <v>171</v>
      </c>
      <c r="I51" s="793" t="s">
        <v>349</v>
      </c>
      <c r="J51" s="4"/>
    </row>
    <row r="52" spans="1:10" x14ac:dyDescent="0.25">
      <c r="A52" s="793" t="s">
        <v>867</v>
      </c>
      <c r="B52" s="793" t="s">
        <v>37</v>
      </c>
      <c r="C52" s="4">
        <v>1</v>
      </c>
      <c r="G52" s="793" t="s">
        <v>44</v>
      </c>
      <c r="H52" s="793" t="s">
        <v>130</v>
      </c>
      <c r="I52" s="793" t="s">
        <v>1006</v>
      </c>
      <c r="J52" s="4">
        <v>18</v>
      </c>
    </row>
    <row r="53" spans="1:10" x14ac:dyDescent="0.25">
      <c r="A53" s="793" t="s">
        <v>867</v>
      </c>
      <c r="B53" s="793" t="s">
        <v>38</v>
      </c>
      <c r="C53" s="4">
        <v>1</v>
      </c>
      <c r="G53" s="793" t="s">
        <v>75</v>
      </c>
      <c r="H53" s="793" t="s">
        <v>163</v>
      </c>
      <c r="I53" s="793" t="s">
        <v>349</v>
      </c>
      <c r="J53" s="4"/>
    </row>
    <row r="54" spans="1:10" x14ac:dyDescent="0.25">
      <c r="A54" s="793" t="s">
        <v>14</v>
      </c>
      <c r="B54" s="793" t="s">
        <v>40</v>
      </c>
      <c r="C54" s="4">
        <v>1</v>
      </c>
      <c r="G54" s="793" t="s">
        <v>93</v>
      </c>
      <c r="H54" s="793" t="s">
        <v>181</v>
      </c>
      <c r="I54" s="793" t="s">
        <v>349</v>
      </c>
      <c r="J54" s="4"/>
    </row>
    <row r="55" spans="1:10" x14ac:dyDescent="0.25">
      <c r="A55" s="793" t="s">
        <v>14</v>
      </c>
      <c r="B55" s="793" t="s">
        <v>39</v>
      </c>
      <c r="C55" s="4">
        <v>1</v>
      </c>
      <c r="G55" s="793" t="s">
        <v>629</v>
      </c>
      <c r="H55" s="793" t="s">
        <v>281</v>
      </c>
      <c r="I55" s="793" t="s">
        <v>348</v>
      </c>
      <c r="J55" s="4">
        <v>622</v>
      </c>
    </row>
    <row r="56" spans="1:10" x14ac:dyDescent="0.25">
      <c r="A56" s="793" t="s">
        <v>14</v>
      </c>
      <c r="B56" s="793" t="s">
        <v>42</v>
      </c>
      <c r="C56" s="4">
        <v>1</v>
      </c>
      <c r="G56" s="793" t="s">
        <v>97</v>
      </c>
      <c r="H56" s="793" t="s">
        <v>185</v>
      </c>
      <c r="I56" s="793" t="s">
        <v>349</v>
      </c>
      <c r="J56" s="4"/>
    </row>
    <row r="57" spans="1:10" x14ac:dyDescent="0.25">
      <c r="A57" s="793" t="s">
        <v>14</v>
      </c>
      <c r="B57" s="793" t="s">
        <v>1069</v>
      </c>
      <c r="C57" s="4">
        <v>1</v>
      </c>
      <c r="G57" s="793" t="s">
        <v>76</v>
      </c>
      <c r="H57" s="793" t="s">
        <v>164</v>
      </c>
      <c r="I57" s="793" t="s">
        <v>349</v>
      </c>
      <c r="J57" s="4"/>
    </row>
    <row r="58" spans="1:10" x14ac:dyDescent="0.25">
      <c r="A58" s="793" t="s">
        <v>14</v>
      </c>
      <c r="B58" s="793" t="s">
        <v>1070</v>
      </c>
      <c r="C58" s="4">
        <v>1</v>
      </c>
      <c r="G58" s="793" t="s">
        <v>35</v>
      </c>
      <c r="H58" s="793" t="s">
        <v>121</v>
      </c>
      <c r="I58" s="793" t="s">
        <v>349</v>
      </c>
      <c r="J58" s="4"/>
    </row>
    <row r="59" spans="1:10" x14ac:dyDescent="0.25">
      <c r="A59" s="793" t="s">
        <v>14</v>
      </c>
      <c r="B59" s="793" t="s">
        <v>43</v>
      </c>
      <c r="C59" s="4">
        <v>1</v>
      </c>
      <c r="G59" s="793" t="s">
        <v>84</v>
      </c>
      <c r="H59" s="793" t="s">
        <v>172</v>
      </c>
      <c r="I59" s="793" t="s">
        <v>349</v>
      </c>
      <c r="J59" s="4"/>
    </row>
    <row r="60" spans="1:10" x14ac:dyDescent="0.25">
      <c r="A60" s="793" t="s">
        <v>14</v>
      </c>
      <c r="B60" s="793" t="s">
        <v>542</v>
      </c>
      <c r="C60" s="4">
        <v>1</v>
      </c>
      <c r="G60" s="793" t="s">
        <v>872</v>
      </c>
      <c r="H60" s="793" t="s">
        <v>192</v>
      </c>
      <c r="I60" s="793" t="s">
        <v>348</v>
      </c>
      <c r="J60" s="4">
        <v>8</v>
      </c>
    </row>
    <row r="61" spans="1:10" x14ac:dyDescent="0.25">
      <c r="A61" s="793" t="s">
        <v>18</v>
      </c>
      <c r="B61" s="793" t="s">
        <v>60</v>
      </c>
      <c r="C61" s="4">
        <v>1</v>
      </c>
      <c r="G61" s="793" t="s">
        <v>28</v>
      </c>
      <c r="H61" s="793" t="s">
        <v>114</v>
      </c>
      <c r="I61" s="793" t="s">
        <v>349</v>
      </c>
      <c r="J61" s="4"/>
    </row>
    <row r="62" spans="1:10" x14ac:dyDescent="0.25">
      <c r="A62" s="793" t="s">
        <v>18</v>
      </c>
      <c r="B62" s="793" t="s">
        <v>59</v>
      </c>
      <c r="C62" s="4">
        <v>1</v>
      </c>
      <c r="G62" s="793" t="s">
        <v>1069</v>
      </c>
      <c r="H62" s="793" t="s">
        <v>127</v>
      </c>
      <c r="I62" s="793" t="s">
        <v>1005</v>
      </c>
      <c r="J62" s="4">
        <v>891</v>
      </c>
    </row>
    <row r="63" spans="1:10" x14ac:dyDescent="0.25">
      <c r="A63" s="793" t="s">
        <v>16</v>
      </c>
      <c r="B63" s="793" t="s">
        <v>57</v>
      </c>
      <c r="C63" s="4">
        <v>1</v>
      </c>
      <c r="G63" s="793" t="s">
        <v>1070</v>
      </c>
      <c r="H63" s="793" t="s">
        <v>127</v>
      </c>
      <c r="I63" s="793" t="s">
        <v>348</v>
      </c>
      <c r="J63" s="4">
        <v>856</v>
      </c>
    </row>
    <row r="64" spans="1:10" x14ac:dyDescent="0.25">
      <c r="A64" s="793" t="s">
        <v>16</v>
      </c>
      <c r="B64" s="793" t="s">
        <v>56</v>
      </c>
      <c r="C64" s="4">
        <v>1</v>
      </c>
      <c r="G64" s="793" t="s">
        <v>47</v>
      </c>
      <c r="H64" s="793" t="s">
        <v>133</v>
      </c>
      <c r="I64" s="793" t="s">
        <v>348</v>
      </c>
      <c r="J64" s="4">
        <v>85</v>
      </c>
    </row>
    <row r="65" spans="1:10" x14ac:dyDescent="0.25">
      <c r="A65" s="793" t="s">
        <v>16</v>
      </c>
      <c r="B65" s="793" t="s">
        <v>605</v>
      </c>
      <c r="C65" s="4">
        <v>1</v>
      </c>
      <c r="G65" s="793" t="s">
        <v>55</v>
      </c>
      <c r="H65" s="793" t="s">
        <v>141</v>
      </c>
      <c r="I65" s="793" t="s">
        <v>1006</v>
      </c>
      <c r="J65" s="4">
        <v>54</v>
      </c>
    </row>
    <row r="66" spans="1:10" x14ac:dyDescent="0.25">
      <c r="A66" s="793" t="s">
        <v>16</v>
      </c>
      <c r="B66" s="793" t="s">
        <v>400</v>
      </c>
      <c r="C66" s="4">
        <v>1</v>
      </c>
      <c r="G66" s="793" t="s">
        <v>103</v>
      </c>
      <c r="H66" s="793" t="s">
        <v>191</v>
      </c>
      <c r="I66" s="793" t="s">
        <v>1006</v>
      </c>
      <c r="J66" s="4">
        <v>17</v>
      </c>
    </row>
    <row r="67" spans="1:10" x14ac:dyDescent="0.25">
      <c r="A67" s="793" t="s">
        <v>16</v>
      </c>
      <c r="B67" s="793" t="s">
        <v>55</v>
      </c>
      <c r="C67" s="4">
        <v>1</v>
      </c>
      <c r="G67" s="793" t="s">
        <v>634</v>
      </c>
      <c r="H67" s="793" t="s">
        <v>546</v>
      </c>
      <c r="I67" s="793" t="s">
        <v>348</v>
      </c>
      <c r="J67" s="4">
        <v>681</v>
      </c>
    </row>
    <row r="68" spans="1:10" x14ac:dyDescent="0.25">
      <c r="A68" s="793" t="s">
        <v>19</v>
      </c>
      <c r="B68" s="793" t="s">
        <v>90</v>
      </c>
      <c r="C68" s="4">
        <v>1</v>
      </c>
      <c r="G68" s="793" t="s">
        <v>635</v>
      </c>
      <c r="H68" s="793" t="s">
        <v>637</v>
      </c>
      <c r="I68" s="793" t="s">
        <v>348</v>
      </c>
      <c r="J68" s="4">
        <v>2640</v>
      </c>
    </row>
    <row r="69" spans="1:10" x14ac:dyDescent="0.25">
      <c r="A69" s="793" t="s">
        <v>19</v>
      </c>
      <c r="B69" s="793" t="s">
        <v>61</v>
      </c>
      <c r="C69" s="4">
        <v>1</v>
      </c>
      <c r="G69" s="793" t="s">
        <v>636</v>
      </c>
      <c r="H69" s="793" t="s">
        <v>638</v>
      </c>
      <c r="I69" s="793" t="s">
        <v>348</v>
      </c>
      <c r="J69" s="4">
        <v>2222</v>
      </c>
    </row>
    <row r="70" spans="1:10" x14ac:dyDescent="0.25">
      <c r="A70" s="793" t="s">
        <v>19</v>
      </c>
      <c r="B70" s="793" t="s">
        <v>62</v>
      </c>
      <c r="C70" s="4">
        <v>1</v>
      </c>
      <c r="G70" s="793" t="s">
        <v>65</v>
      </c>
      <c r="H70" s="793" t="s">
        <v>153</v>
      </c>
      <c r="I70" s="793" t="s">
        <v>349</v>
      </c>
      <c r="J70" s="4"/>
    </row>
    <row r="71" spans="1:10" x14ac:dyDescent="0.25">
      <c r="A71" s="793" t="s">
        <v>19</v>
      </c>
      <c r="B71" s="793" t="s">
        <v>553</v>
      </c>
      <c r="C71" s="4">
        <v>1</v>
      </c>
      <c r="G71" s="793" t="s">
        <v>244</v>
      </c>
      <c r="H71" s="793" t="s">
        <v>279</v>
      </c>
      <c r="I71" s="793" t="s">
        <v>349</v>
      </c>
      <c r="J71" s="4"/>
    </row>
    <row r="72" spans="1:10" x14ac:dyDescent="0.25">
      <c r="A72" s="793" t="s">
        <v>19</v>
      </c>
      <c r="B72" s="793" t="s">
        <v>630</v>
      </c>
      <c r="C72" s="4">
        <v>1</v>
      </c>
      <c r="G72" s="793" t="s">
        <v>275</v>
      </c>
      <c r="H72" s="793" t="s">
        <v>547</v>
      </c>
      <c r="I72" s="793" t="s">
        <v>349</v>
      </c>
      <c r="J72" s="4"/>
    </row>
    <row r="73" spans="1:10" x14ac:dyDescent="0.25">
      <c r="A73" s="793" t="s">
        <v>19</v>
      </c>
      <c r="B73" s="793" t="s">
        <v>631</v>
      </c>
      <c r="C73" s="4">
        <v>1</v>
      </c>
      <c r="G73" s="793" t="s">
        <v>276</v>
      </c>
      <c r="H73" s="793" t="s">
        <v>548</v>
      </c>
      <c r="I73" s="793" t="s">
        <v>349</v>
      </c>
      <c r="J73" s="4"/>
    </row>
    <row r="74" spans="1:10" x14ac:dyDescent="0.25">
      <c r="A74" s="793" t="s">
        <v>19</v>
      </c>
      <c r="B74" s="793" t="s">
        <v>73</v>
      </c>
      <c r="C74" s="4">
        <v>1</v>
      </c>
      <c r="G74" s="793" t="s">
        <v>72</v>
      </c>
      <c r="H74" s="793" t="s">
        <v>160</v>
      </c>
      <c r="I74" s="793" t="s">
        <v>349</v>
      </c>
      <c r="J74" s="4"/>
    </row>
    <row r="75" spans="1:10" x14ac:dyDescent="0.25">
      <c r="A75" s="793" t="s">
        <v>19</v>
      </c>
      <c r="B75" s="793" t="s">
        <v>74</v>
      </c>
      <c r="C75" s="4">
        <v>1</v>
      </c>
      <c r="G75" s="793" t="s">
        <v>33</v>
      </c>
      <c r="H75" s="793" t="s">
        <v>119</v>
      </c>
      <c r="I75" s="793" t="s">
        <v>1006</v>
      </c>
      <c r="J75" s="4">
        <v>204</v>
      </c>
    </row>
    <row r="76" spans="1:10" x14ac:dyDescent="0.25">
      <c r="A76" s="793" t="s">
        <v>19</v>
      </c>
      <c r="B76" s="793" t="s">
        <v>80</v>
      </c>
      <c r="C76" s="4">
        <v>1</v>
      </c>
      <c r="G76" s="793" t="s">
        <v>25</v>
      </c>
      <c r="H76" s="793" t="s">
        <v>111</v>
      </c>
      <c r="I76" s="793" t="s">
        <v>1006</v>
      </c>
      <c r="J76" s="4">
        <v>19</v>
      </c>
    </row>
    <row r="77" spans="1:10" x14ac:dyDescent="0.25">
      <c r="A77" s="793" t="s">
        <v>19</v>
      </c>
      <c r="B77" s="793" t="s">
        <v>81</v>
      </c>
      <c r="C77" s="4">
        <v>1</v>
      </c>
      <c r="G77" s="793" t="s">
        <v>66</v>
      </c>
      <c r="H77" s="793" t="s">
        <v>154</v>
      </c>
      <c r="I77" s="793" t="s">
        <v>349</v>
      </c>
      <c r="J77" s="4"/>
    </row>
    <row r="78" spans="1:10" x14ac:dyDescent="0.25">
      <c r="A78" s="793" t="s">
        <v>19</v>
      </c>
      <c r="B78" s="793" t="s">
        <v>77</v>
      </c>
      <c r="C78" s="4">
        <v>1</v>
      </c>
      <c r="G78" s="793" t="s">
        <v>85</v>
      </c>
      <c r="H78" s="793" t="s">
        <v>173</v>
      </c>
      <c r="I78" s="793" t="s">
        <v>349</v>
      </c>
      <c r="J78" s="4"/>
    </row>
    <row r="79" spans="1:10" x14ac:dyDescent="0.25">
      <c r="A79" s="793" t="s">
        <v>19</v>
      </c>
      <c r="B79" s="793" t="s">
        <v>63</v>
      </c>
      <c r="C79" s="4">
        <v>1</v>
      </c>
      <c r="G79" s="793" t="s">
        <v>60</v>
      </c>
      <c r="H79" s="793" t="s">
        <v>148</v>
      </c>
      <c r="I79" s="793" t="s">
        <v>348</v>
      </c>
      <c r="J79" s="4">
        <v>18</v>
      </c>
    </row>
    <row r="80" spans="1:10" x14ac:dyDescent="0.25">
      <c r="A80" s="793" t="s">
        <v>19</v>
      </c>
      <c r="B80" s="793" t="s">
        <v>543</v>
      </c>
      <c r="C80" s="4">
        <v>1</v>
      </c>
      <c r="G80" s="793" t="s">
        <v>59</v>
      </c>
      <c r="H80" s="793" t="s">
        <v>147</v>
      </c>
      <c r="I80" s="793" t="s">
        <v>348</v>
      </c>
      <c r="J80" s="4">
        <v>57</v>
      </c>
    </row>
    <row r="81" spans="1:10" x14ac:dyDescent="0.25">
      <c r="A81" s="793" t="s">
        <v>19</v>
      </c>
      <c r="B81" s="793" t="s">
        <v>79</v>
      </c>
      <c r="C81" s="4">
        <v>1</v>
      </c>
      <c r="G81" s="793" t="s">
        <v>36</v>
      </c>
      <c r="H81" s="793" t="s">
        <v>122</v>
      </c>
      <c r="I81" s="793" t="s">
        <v>1005</v>
      </c>
      <c r="J81" s="4">
        <v>10</v>
      </c>
    </row>
    <row r="82" spans="1:10" x14ac:dyDescent="0.25">
      <c r="A82" s="793" t="s">
        <v>19</v>
      </c>
      <c r="B82" s="793" t="s">
        <v>94</v>
      </c>
      <c r="C82" s="4">
        <v>1</v>
      </c>
      <c r="G82" s="793" t="s">
        <v>32</v>
      </c>
      <c r="H82" s="793" t="s">
        <v>118</v>
      </c>
      <c r="I82" s="793" t="s">
        <v>1006</v>
      </c>
      <c r="J82" s="4">
        <v>225</v>
      </c>
    </row>
    <row r="83" spans="1:10" x14ac:dyDescent="0.25">
      <c r="A83" s="793" t="s">
        <v>19</v>
      </c>
      <c r="B83" s="793" t="s">
        <v>82</v>
      </c>
      <c r="C83" s="4">
        <v>1</v>
      </c>
      <c r="G83" s="793" t="s">
        <v>27</v>
      </c>
      <c r="H83" s="793" t="s">
        <v>113</v>
      </c>
      <c r="I83" s="793" t="s">
        <v>1006</v>
      </c>
      <c r="J83" s="4">
        <v>86</v>
      </c>
    </row>
    <row r="84" spans="1:10" x14ac:dyDescent="0.25">
      <c r="A84" s="793" t="s">
        <v>19</v>
      </c>
      <c r="B84" s="793" t="s">
        <v>551</v>
      </c>
      <c r="C84" s="4">
        <v>1</v>
      </c>
      <c r="G84" s="793" t="s">
        <v>563</v>
      </c>
      <c r="H84" s="793" t="s">
        <v>564</v>
      </c>
      <c r="I84" s="793" t="s">
        <v>349</v>
      </c>
      <c r="J84" s="4"/>
    </row>
    <row r="85" spans="1:10" x14ac:dyDescent="0.25">
      <c r="A85" s="793" t="s">
        <v>19</v>
      </c>
      <c r="B85" s="793" t="s">
        <v>71</v>
      </c>
      <c r="C85" s="4">
        <v>1</v>
      </c>
      <c r="G85" s="793" t="s">
        <v>639</v>
      </c>
      <c r="H85" s="793" t="s">
        <v>641</v>
      </c>
      <c r="I85" s="793" t="s">
        <v>1005</v>
      </c>
      <c r="J85" s="4">
        <v>249</v>
      </c>
    </row>
    <row r="86" spans="1:10" x14ac:dyDescent="0.25">
      <c r="A86" s="793" t="s">
        <v>19</v>
      </c>
      <c r="B86" s="793" t="s">
        <v>92</v>
      </c>
      <c r="C86" s="4">
        <v>1</v>
      </c>
      <c r="G86" s="793" t="s">
        <v>640</v>
      </c>
      <c r="H86" s="793" t="s">
        <v>642</v>
      </c>
      <c r="I86" s="793" t="s">
        <v>1005</v>
      </c>
      <c r="J86" s="4">
        <v>418</v>
      </c>
    </row>
    <row r="87" spans="1:10" x14ac:dyDescent="0.25">
      <c r="A87" s="793" t="s">
        <v>19</v>
      </c>
      <c r="B87" s="793" t="s">
        <v>64</v>
      </c>
      <c r="C87" s="4">
        <v>1</v>
      </c>
      <c r="G87" s="793" t="s">
        <v>67</v>
      </c>
      <c r="H87" s="793" t="s">
        <v>155</v>
      </c>
      <c r="I87" s="793" t="s">
        <v>348</v>
      </c>
      <c r="J87" s="4">
        <v>2497</v>
      </c>
    </row>
    <row r="88" spans="1:10" x14ac:dyDescent="0.25">
      <c r="A88" s="793" t="s">
        <v>19</v>
      </c>
      <c r="B88" s="793" t="s">
        <v>83</v>
      </c>
      <c r="C88" s="4">
        <v>1</v>
      </c>
      <c r="G88" s="793" t="s">
        <v>558</v>
      </c>
      <c r="H88" s="793" t="s">
        <v>559</v>
      </c>
      <c r="I88" s="793" t="s">
        <v>1006</v>
      </c>
      <c r="J88" s="4">
        <v>17</v>
      </c>
    </row>
    <row r="89" spans="1:10" x14ac:dyDescent="0.25">
      <c r="A89" s="793" t="s">
        <v>19</v>
      </c>
      <c r="B89" s="793" t="s">
        <v>75</v>
      </c>
      <c r="C89" s="4">
        <v>1</v>
      </c>
      <c r="G89" s="793" t="s">
        <v>78</v>
      </c>
      <c r="H89" s="793" t="s">
        <v>166</v>
      </c>
      <c r="I89" s="793" t="s">
        <v>1005</v>
      </c>
      <c r="J89" s="4">
        <v>72</v>
      </c>
    </row>
    <row r="90" spans="1:10" x14ac:dyDescent="0.25">
      <c r="A90" s="793" t="s">
        <v>19</v>
      </c>
      <c r="B90" s="793" t="s">
        <v>93</v>
      </c>
      <c r="C90" s="4">
        <v>1</v>
      </c>
      <c r="G90" s="793" t="s">
        <v>245</v>
      </c>
      <c r="H90" s="793" t="s">
        <v>282</v>
      </c>
      <c r="I90" s="793" t="s">
        <v>1005</v>
      </c>
      <c r="J90" s="4">
        <v>151</v>
      </c>
    </row>
    <row r="91" spans="1:10" x14ac:dyDescent="0.25">
      <c r="A91" s="793" t="s">
        <v>19</v>
      </c>
      <c r="B91" s="793" t="s">
        <v>629</v>
      </c>
      <c r="C91" s="4">
        <v>1</v>
      </c>
      <c r="G91" s="793" t="s">
        <v>53</v>
      </c>
      <c r="H91" s="793" t="s">
        <v>139</v>
      </c>
      <c r="I91" s="793" t="s">
        <v>1006</v>
      </c>
      <c r="J91" s="4">
        <v>144</v>
      </c>
    </row>
    <row r="92" spans="1:10" x14ac:dyDescent="0.25">
      <c r="A92" s="793" t="s">
        <v>19</v>
      </c>
      <c r="B92" s="793" t="s">
        <v>76</v>
      </c>
      <c r="C92" s="4">
        <v>1</v>
      </c>
      <c r="G92" s="793" t="s">
        <v>86</v>
      </c>
      <c r="H92" s="793" t="s">
        <v>174</v>
      </c>
      <c r="I92" s="793" t="s">
        <v>349</v>
      </c>
      <c r="J92" s="4"/>
    </row>
    <row r="93" spans="1:10" x14ac:dyDescent="0.25">
      <c r="A93" s="793" t="s">
        <v>19</v>
      </c>
      <c r="B93" s="793" t="s">
        <v>84</v>
      </c>
      <c r="C93" s="4">
        <v>1</v>
      </c>
      <c r="G93" s="793" t="s">
        <v>89</v>
      </c>
      <c r="H93" s="793" t="s">
        <v>177</v>
      </c>
      <c r="I93" s="793" t="s">
        <v>349</v>
      </c>
      <c r="J93" s="4"/>
    </row>
    <row r="94" spans="1:10" x14ac:dyDescent="0.25">
      <c r="A94" s="793" t="s">
        <v>19</v>
      </c>
      <c r="B94" s="793" t="s">
        <v>634</v>
      </c>
      <c r="C94" s="4">
        <v>1</v>
      </c>
      <c r="G94" s="793" t="s">
        <v>43</v>
      </c>
      <c r="H94" s="793" t="s">
        <v>129</v>
      </c>
      <c r="I94" s="793" t="s">
        <v>348</v>
      </c>
      <c r="J94" s="4">
        <v>523</v>
      </c>
    </row>
    <row r="95" spans="1:10" x14ac:dyDescent="0.25">
      <c r="A95" s="793" t="s">
        <v>19</v>
      </c>
      <c r="B95" s="793" t="s">
        <v>635</v>
      </c>
      <c r="C95" s="4">
        <v>1</v>
      </c>
      <c r="G95" s="793" t="s">
        <v>542</v>
      </c>
      <c r="H95" s="793" t="s">
        <v>278</v>
      </c>
      <c r="I95" s="793" t="s">
        <v>349</v>
      </c>
      <c r="J95" s="4"/>
    </row>
    <row r="96" spans="1:10" x14ac:dyDescent="0.25">
      <c r="A96" s="793" t="s">
        <v>19</v>
      </c>
      <c r="B96" s="793" t="s">
        <v>636</v>
      </c>
      <c r="C96" s="4">
        <v>1</v>
      </c>
      <c r="G96" s="793" t="s">
        <v>873</v>
      </c>
      <c r="H96" s="793" t="s">
        <v>283</v>
      </c>
      <c r="I96" s="793" t="s">
        <v>348</v>
      </c>
      <c r="J96" s="4">
        <v>8</v>
      </c>
    </row>
    <row r="97" spans="1:10" x14ac:dyDescent="0.25">
      <c r="A97" s="793" t="s">
        <v>19</v>
      </c>
      <c r="B97" s="793" t="s">
        <v>65</v>
      </c>
      <c r="C97" s="4">
        <v>1</v>
      </c>
      <c r="G97" s="793" t="s">
        <v>87</v>
      </c>
      <c r="H97" s="793" t="s">
        <v>175</v>
      </c>
      <c r="I97" s="793" t="s">
        <v>349</v>
      </c>
      <c r="J97" s="4"/>
    </row>
    <row r="98" spans="1:10" x14ac:dyDescent="0.25">
      <c r="A98" s="793" t="s">
        <v>19</v>
      </c>
      <c r="B98" s="793" t="s">
        <v>244</v>
      </c>
      <c r="C98" s="4">
        <v>1</v>
      </c>
      <c r="G98" s="793" t="s">
        <v>45</v>
      </c>
      <c r="H98" s="793" t="s">
        <v>131</v>
      </c>
      <c r="I98" s="793" t="s">
        <v>1006</v>
      </c>
      <c r="J98" s="4">
        <v>63</v>
      </c>
    </row>
    <row r="99" spans="1:10" x14ac:dyDescent="0.25">
      <c r="A99" s="793" t="s">
        <v>19</v>
      </c>
      <c r="B99" s="793" t="s">
        <v>275</v>
      </c>
      <c r="C99" s="4">
        <v>1</v>
      </c>
      <c r="G99" s="793" t="s">
        <v>38</v>
      </c>
      <c r="H99" s="793" t="s">
        <v>124</v>
      </c>
      <c r="I99" s="793" t="s">
        <v>348</v>
      </c>
      <c r="J99" s="4">
        <v>662</v>
      </c>
    </row>
    <row r="100" spans="1:10" x14ac:dyDescent="0.25">
      <c r="A100" s="793" t="s">
        <v>19</v>
      </c>
      <c r="B100" s="793" t="s">
        <v>276</v>
      </c>
      <c r="C100" s="4">
        <v>1</v>
      </c>
      <c r="G100" s="793" t="s">
        <v>26</v>
      </c>
      <c r="H100" s="793" t="s">
        <v>112</v>
      </c>
      <c r="I100" s="793" t="s">
        <v>1006</v>
      </c>
      <c r="J100" s="4">
        <v>203</v>
      </c>
    </row>
    <row r="101" spans="1:10" x14ac:dyDescent="0.25">
      <c r="A101" s="793" t="s">
        <v>19</v>
      </c>
      <c r="B101" s="793" t="s">
        <v>72</v>
      </c>
      <c r="C101" s="4">
        <v>1</v>
      </c>
      <c r="G101" s="793" t="s">
        <v>98</v>
      </c>
      <c r="H101" s="793" t="s">
        <v>186</v>
      </c>
      <c r="I101" s="793" t="s">
        <v>349</v>
      </c>
      <c r="J101" s="4"/>
    </row>
    <row r="102" spans="1:10" x14ac:dyDescent="0.25">
      <c r="A102" s="793" t="s">
        <v>19</v>
      </c>
      <c r="B102" s="793" t="s">
        <v>66</v>
      </c>
      <c r="C102" s="4">
        <v>1</v>
      </c>
      <c r="G102" s="793" t="s">
        <v>29</v>
      </c>
      <c r="H102" s="793" t="s">
        <v>115</v>
      </c>
      <c r="I102" s="793" t="s">
        <v>1006</v>
      </c>
      <c r="J102" s="4">
        <v>275</v>
      </c>
    </row>
    <row r="103" spans="1:10" x14ac:dyDescent="0.25">
      <c r="A103" s="793" t="s">
        <v>19</v>
      </c>
      <c r="B103" s="793" t="s">
        <v>85</v>
      </c>
      <c r="C103" s="4">
        <v>1</v>
      </c>
      <c r="G103" s="793" t="s">
        <v>68</v>
      </c>
      <c r="H103" s="793" t="s">
        <v>156</v>
      </c>
      <c r="I103" s="793" t="s">
        <v>348</v>
      </c>
      <c r="J103" s="4">
        <v>2145</v>
      </c>
    </row>
    <row r="104" spans="1:10" x14ac:dyDescent="0.25">
      <c r="A104" s="793" t="s">
        <v>19</v>
      </c>
      <c r="B104" s="793" t="s">
        <v>563</v>
      </c>
      <c r="C104" s="4">
        <v>1</v>
      </c>
      <c r="G104" s="793" t="s">
        <v>549</v>
      </c>
      <c r="H104" s="793" t="s">
        <v>550</v>
      </c>
      <c r="I104" s="793" t="s">
        <v>349</v>
      </c>
      <c r="J104" s="4"/>
    </row>
    <row r="105" spans="1:10" x14ac:dyDescent="0.25">
      <c r="A105" s="793" t="s">
        <v>19</v>
      </c>
      <c r="B105" s="793" t="s">
        <v>639</v>
      </c>
      <c r="C105" s="4">
        <v>1</v>
      </c>
      <c r="G105" s="793" t="s">
        <v>69</v>
      </c>
      <c r="H105" s="793" t="s">
        <v>157</v>
      </c>
      <c r="I105" s="793" t="s">
        <v>349</v>
      </c>
      <c r="J105" s="4"/>
    </row>
    <row r="106" spans="1:10" x14ac:dyDescent="0.25">
      <c r="A106" s="793" t="s">
        <v>19</v>
      </c>
      <c r="B106" s="793" t="s">
        <v>640</v>
      </c>
      <c r="C106" s="4">
        <v>1</v>
      </c>
      <c r="G106" s="793" t="s">
        <v>91</v>
      </c>
      <c r="H106" s="793" t="s">
        <v>179</v>
      </c>
      <c r="I106" s="793" t="s">
        <v>349</v>
      </c>
      <c r="J106" s="4"/>
    </row>
    <row r="107" spans="1:10" x14ac:dyDescent="0.25">
      <c r="A107" s="793" t="s">
        <v>19</v>
      </c>
      <c r="B107" s="793" t="s">
        <v>67</v>
      </c>
      <c r="C107" s="4">
        <v>1</v>
      </c>
      <c r="G107" s="793" t="s">
        <v>107</v>
      </c>
      <c r="H107" s="793" t="s">
        <v>195</v>
      </c>
      <c r="I107" s="793" t="s">
        <v>348</v>
      </c>
      <c r="J107" s="4">
        <v>10</v>
      </c>
    </row>
    <row r="108" spans="1:10" x14ac:dyDescent="0.25">
      <c r="A108" s="793" t="s">
        <v>19</v>
      </c>
      <c r="B108" s="793" t="s">
        <v>78</v>
      </c>
      <c r="C108" s="4">
        <v>1</v>
      </c>
      <c r="G108" s="793" t="s">
        <v>31</v>
      </c>
      <c r="H108" s="793" t="s">
        <v>117</v>
      </c>
      <c r="I108" s="793" t="s">
        <v>349</v>
      </c>
      <c r="J108" s="4"/>
    </row>
    <row r="109" spans="1:10" x14ac:dyDescent="0.25">
      <c r="A109" s="793" t="s">
        <v>19</v>
      </c>
      <c r="B109" s="793" t="s">
        <v>245</v>
      </c>
      <c r="C109" s="4">
        <v>1</v>
      </c>
      <c r="G109" s="793" t="s">
        <v>88</v>
      </c>
      <c r="H109" s="793" t="s">
        <v>176</v>
      </c>
      <c r="I109" s="793" t="s">
        <v>349</v>
      </c>
      <c r="J109" s="4"/>
    </row>
    <row r="110" spans="1:10" x14ac:dyDescent="0.25">
      <c r="A110" s="793" t="s">
        <v>19</v>
      </c>
      <c r="B110" s="793" t="s">
        <v>86</v>
      </c>
      <c r="C110" s="4">
        <v>1</v>
      </c>
      <c r="G110" s="793" t="s">
        <v>70</v>
      </c>
      <c r="H110" s="793" t="s">
        <v>158</v>
      </c>
      <c r="I110" s="793" t="s">
        <v>348</v>
      </c>
      <c r="J110" s="4">
        <v>997</v>
      </c>
    </row>
    <row r="111" spans="1:10" x14ac:dyDescent="0.25">
      <c r="A111" s="793" t="s">
        <v>19</v>
      </c>
      <c r="B111" s="793" t="s">
        <v>89</v>
      </c>
      <c r="C111" s="4">
        <v>1</v>
      </c>
      <c r="G111" s="793" t="s">
        <v>541</v>
      </c>
      <c r="H111" s="793" t="s">
        <v>280</v>
      </c>
      <c r="I111" s="793" t="s">
        <v>348</v>
      </c>
      <c r="J111" s="4">
        <v>496</v>
      </c>
    </row>
    <row r="112" spans="1:10" x14ac:dyDescent="0.25">
      <c r="A112" s="793" t="s">
        <v>19</v>
      </c>
      <c r="B112" s="793" t="s">
        <v>87</v>
      </c>
      <c r="C112" s="4">
        <v>1</v>
      </c>
      <c r="G112" s="793" t="s">
        <v>627</v>
      </c>
      <c r="H112" s="793" t="s">
        <v>628</v>
      </c>
      <c r="I112" s="793" t="s">
        <v>1005</v>
      </c>
      <c r="J112" s="4">
        <v>31</v>
      </c>
    </row>
    <row r="113" spans="1:10" x14ac:dyDescent="0.25">
      <c r="A113" s="793" t="s">
        <v>19</v>
      </c>
      <c r="B113" s="793" t="s">
        <v>68</v>
      </c>
      <c r="C113" s="4">
        <v>1</v>
      </c>
      <c r="G113" s="793" t="s">
        <v>874</v>
      </c>
      <c r="H113" s="793" t="s">
        <v>284</v>
      </c>
      <c r="I113" s="793" t="s">
        <v>348</v>
      </c>
      <c r="J113" s="4">
        <v>35</v>
      </c>
    </row>
    <row r="114" spans="1:10" x14ac:dyDescent="0.25">
      <c r="A114" s="793" t="s">
        <v>19</v>
      </c>
      <c r="B114" s="793" t="s">
        <v>549</v>
      </c>
      <c r="C114" s="4">
        <v>1</v>
      </c>
      <c r="G114" s="793" t="s">
        <v>96</v>
      </c>
      <c r="H114" s="793" t="s">
        <v>184</v>
      </c>
      <c r="I114" s="793" t="s">
        <v>349</v>
      </c>
      <c r="J114" s="4"/>
    </row>
    <row r="115" spans="1:10" x14ac:dyDescent="0.25">
      <c r="A115" s="793" t="s">
        <v>19</v>
      </c>
      <c r="B115" s="793" t="s">
        <v>69</v>
      </c>
      <c r="C115" s="4">
        <v>1</v>
      </c>
      <c r="G115" s="793" t="s">
        <v>95</v>
      </c>
      <c r="H115" s="793" t="s">
        <v>183</v>
      </c>
      <c r="I115" s="793" t="s">
        <v>349</v>
      </c>
      <c r="J115" s="4"/>
    </row>
    <row r="116" spans="1:10" x14ac:dyDescent="0.25">
      <c r="A116" s="793" t="s">
        <v>19</v>
      </c>
      <c r="B116" s="793" t="s">
        <v>91</v>
      </c>
      <c r="C116" s="4">
        <v>1</v>
      </c>
      <c r="G116" s="793" t="s">
        <v>34</v>
      </c>
      <c r="H116" s="793" t="s">
        <v>120</v>
      </c>
      <c r="I116" s="793" t="s">
        <v>1006</v>
      </c>
      <c r="J116" s="4">
        <v>365</v>
      </c>
    </row>
    <row r="117" spans="1:10" x14ac:dyDescent="0.25">
      <c r="A117" s="793" t="s">
        <v>19</v>
      </c>
      <c r="B117" s="793" t="s">
        <v>88</v>
      </c>
      <c r="C117" s="4">
        <v>1</v>
      </c>
      <c r="G117" s="793" t="s">
        <v>52</v>
      </c>
      <c r="H117" s="793" t="s">
        <v>138</v>
      </c>
      <c r="I117" s="793" t="s">
        <v>1006</v>
      </c>
      <c r="J117" s="4">
        <v>112</v>
      </c>
    </row>
    <row r="118" spans="1:10" x14ac:dyDescent="0.25">
      <c r="A118" s="793" t="s">
        <v>19</v>
      </c>
      <c r="B118" s="793" t="s">
        <v>70</v>
      </c>
      <c r="C118" s="4">
        <v>1</v>
      </c>
      <c r="G118" s="793" t="s">
        <v>106</v>
      </c>
      <c r="H118" s="793" t="s">
        <v>194</v>
      </c>
      <c r="I118" s="793" t="s">
        <v>348</v>
      </c>
      <c r="J118" s="4">
        <v>4</v>
      </c>
    </row>
    <row r="119" spans="1:10" x14ac:dyDescent="0.25">
      <c r="A119" s="793" t="s">
        <v>19</v>
      </c>
      <c r="B119" s="793" t="s">
        <v>541</v>
      </c>
      <c r="C119" s="4">
        <v>1</v>
      </c>
      <c r="G119" s="793" t="s">
        <v>615</v>
      </c>
      <c r="H119" s="793" t="s">
        <v>619</v>
      </c>
      <c r="I119" s="793" t="s">
        <v>349</v>
      </c>
      <c r="J119" s="4"/>
    </row>
    <row r="120" spans="1:10" x14ac:dyDescent="0.25">
      <c r="A120" s="793" t="s">
        <v>19</v>
      </c>
      <c r="B120" s="793" t="s">
        <v>96</v>
      </c>
      <c r="C120" s="4">
        <v>1</v>
      </c>
      <c r="G120" s="793" t="s">
        <v>616</v>
      </c>
      <c r="H120" s="793" t="s">
        <v>620</v>
      </c>
      <c r="I120" s="793" t="s">
        <v>349</v>
      </c>
      <c r="J120" s="4"/>
    </row>
    <row r="121" spans="1:10" x14ac:dyDescent="0.25">
      <c r="A121" s="793" t="s">
        <v>19</v>
      </c>
      <c r="B121" s="793" t="s">
        <v>95</v>
      </c>
      <c r="C121" s="4">
        <v>1</v>
      </c>
      <c r="G121" s="793" t="s">
        <v>996</v>
      </c>
      <c r="H121" s="793" t="s">
        <v>996</v>
      </c>
      <c r="I121" s="793" t="s">
        <v>996</v>
      </c>
      <c r="J121" s="4"/>
    </row>
    <row r="122" spans="1:10" x14ac:dyDescent="0.25">
      <c r="A122" s="793" t="s">
        <v>996</v>
      </c>
      <c r="B122" s="793" t="s">
        <v>996</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D1" workbookViewId="0">
      <selection activeCell="I9" sqref="I9"/>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x14ac:dyDescent="0.25">
      <c r="A1" s="50" t="s">
        <v>332</v>
      </c>
      <c r="B1" s="50" t="s">
        <v>334</v>
      </c>
      <c r="C1" s="50" t="s">
        <v>333</v>
      </c>
      <c r="D1" s="50" t="s">
        <v>208</v>
      </c>
      <c r="E1" s="50" t="s">
        <v>336</v>
      </c>
      <c r="F1" s="50" t="s">
        <v>335</v>
      </c>
      <c r="J1" s="3" t="s">
        <v>10</v>
      </c>
      <c r="K1" s="3"/>
      <c r="L1" s="3" t="s">
        <v>7</v>
      </c>
      <c r="M1" s="3"/>
      <c r="N1" s="3" t="s">
        <v>24</v>
      </c>
      <c r="O1" s="3"/>
      <c r="P1" s="3" t="s">
        <v>347</v>
      </c>
      <c r="R1" s="50" t="s">
        <v>731</v>
      </c>
      <c r="T1" s="50" t="s">
        <v>735</v>
      </c>
      <c r="V1" s="50" t="s">
        <v>810</v>
      </c>
      <c r="W1" s="90"/>
      <c r="X1" s="90" t="s">
        <v>819</v>
      </c>
      <c r="Z1" s="50" t="s">
        <v>802</v>
      </c>
      <c r="AA1" s="50" t="s">
        <v>200</v>
      </c>
      <c r="AB1" s="50" t="s">
        <v>800</v>
      </c>
      <c r="AE1" s="50" t="s">
        <v>835</v>
      </c>
      <c r="AF1" s="50" t="s">
        <v>730</v>
      </c>
      <c r="AG1" s="50" t="s">
        <v>836</v>
      </c>
      <c r="AH1" s="50" t="s">
        <v>837</v>
      </c>
    </row>
    <row r="2" spans="1:35" ht="16.5" customHeight="1" x14ac:dyDescent="0.25">
      <c r="A2" t="s">
        <v>228</v>
      </c>
      <c r="B2" t="s">
        <v>319</v>
      </c>
      <c r="C2" t="s">
        <v>309</v>
      </c>
      <c r="D2" t="s">
        <v>312</v>
      </c>
      <c r="E2">
        <v>12</v>
      </c>
      <c r="F2">
        <v>2</v>
      </c>
      <c r="J2" s="56" t="s">
        <v>7</v>
      </c>
      <c r="K2" s="56"/>
      <c r="L2" s="56" t="s">
        <v>608</v>
      </c>
      <c r="M2" s="56"/>
      <c r="N2" s="56" t="s">
        <v>21</v>
      </c>
      <c r="O2" s="56"/>
      <c r="P2" s="56" t="s">
        <v>343</v>
      </c>
      <c r="R2" t="s">
        <v>1151</v>
      </c>
      <c r="T2" t="s">
        <v>884</v>
      </c>
      <c r="V2" t="s">
        <v>756</v>
      </c>
      <c r="X2" s="90" t="s">
        <v>820</v>
      </c>
      <c r="Z2" s="285" t="s">
        <v>774</v>
      </c>
      <c r="AA2" s="285"/>
      <c r="AB2" s="285"/>
      <c r="AE2" t="s">
        <v>838</v>
      </c>
      <c r="AF2" s="301" t="s">
        <v>860</v>
      </c>
      <c r="AG2" s="117">
        <v>0</v>
      </c>
      <c r="AH2">
        <v>0.5</v>
      </c>
    </row>
    <row r="3" spans="1:35" ht="16.5" customHeight="1" x14ac:dyDescent="0.25">
      <c r="A3" t="s">
        <v>327</v>
      </c>
      <c r="B3" t="s">
        <v>328</v>
      </c>
      <c r="C3" t="s">
        <v>329</v>
      </c>
      <c r="D3" t="s">
        <v>330</v>
      </c>
      <c r="E3" s="90">
        <v>12</v>
      </c>
      <c r="F3">
        <v>1</v>
      </c>
      <c r="J3" s="3"/>
      <c r="K3" s="3"/>
      <c r="L3" s="56" t="s">
        <v>15</v>
      </c>
      <c r="M3" s="56"/>
      <c r="N3" s="56" t="s">
        <v>809</v>
      </c>
      <c r="O3" s="56"/>
      <c r="P3" s="56" t="s">
        <v>344</v>
      </c>
      <c r="R3" t="s">
        <v>881</v>
      </c>
      <c r="T3" t="s">
        <v>728</v>
      </c>
      <c r="V3" t="s">
        <v>818</v>
      </c>
      <c r="X3" s="90" t="s">
        <v>821</v>
      </c>
      <c r="Z3" s="283" t="s">
        <v>288</v>
      </c>
      <c r="AA3" s="283" t="s">
        <v>660</v>
      </c>
      <c r="AB3" s="284" t="s">
        <v>1141</v>
      </c>
      <c r="AE3" s="90" t="s">
        <v>839</v>
      </c>
      <c r="AF3" s="301" t="s">
        <v>861</v>
      </c>
      <c r="AG3">
        <v>0.5</v>
      </c>
      <c r="AH3">
        <v>1</v>
      </c>
    </row>
    <row r="4" spans="1:35" ht="16.5" customHeight="1" x14ac:dyDescent="0.25">
      <c r="A4" t="s">
        <v>301</v>
      </c>
      <c r="B4" t="s">
        <v>320</v>
      </c>
      <c r="C4" t="s">
        <v>305</v>
      </c>
      <c r="D4" t="s">
        <v>315</v>
      </c>
      <c r="E4" s="90">
        <v>12</v>
      </c>
      <c r="F4">
        <v>1</v>
      </c>
      <c r="J4" s="56"/>
      <c r="K4" s="56"/>
      <c r="L4" s="56" t="s">
        <v>20</v>
      </c>
      <c r="M4" s="56"/>
      <c r="N4" s="56" t="s">
        <v>987</v>
      </c>
      <c r="O4" s="56"/>
      <c r="P4" s="56" t="s">
        <v>342</v>
      </c>
      <c r="R4" t="s">
        <v>656</v>
      </c>
      <c r="T4" t="s">
        <v>727</v>
      </c>
      <c r="V4" t="s">
        <v>813</v>
      </c>
      <c r="X4" s="90" t="s">
        <v>822</v>
      </c>
      <c r="Z4" s="283" t="s">
        <v>624</v>
      </c>
      <c r="AA4" s="283" t="s">
        <v>801</v>
      </c>
      <c r="AB4" s="284" t="s">
        <v>865</v>
      </c>
      <c r="AE4" s="90" t="s">
        <v>840</v>
      </c>
      <c r="AF4" s="301" t="s">
        <v>851</v>
      </c>
      <c r="AG4">
        <v>1</v>
      </c>
      <c r="AH4">
        <v>2</v>
      </c>
    </row>
    <row r="5" spans="1:35" ht="16.5" customHeight="1" x14ac:dyDescent="0.25">
      <c r="A5" t="s">
        <v>229</v>
      </c>
      <c r="B5" t="s">
        <v>321</v>
      </c>
      <c r="C5" t="s">
        <v>310</v>
      </c>
      <c r="D5" t="s">
        <v>313</v>
      </c>
      <c r="E5" s="90">
        <v>12</v>
      </c>
      <c r="F5">
        <v>1</v>
      </c>
      <c r="J5" s="3"/>
      <c r="K5" s="3"/>
      <c r="L5" s="56" t="s">
        <v>867</v>
      </c>
      <c r="M5" s="56"/>
      <c r="N5" s="56" t="s">
        <v>22</v>
      </c>
      <c r="O5" s="56"/>
      <c r="P5" s="56"/>
      <c r="R5" t="s">
        <v>882</v>
      </c>
      <c r="T5" t="s">
        <v>885</v>
      </c>
      <c r="V5" t="s">
        <v>815</v>
      </c>
      <c r="X5" s="90" t="s">
        <v>823</v>
      </c>
      <c r="Z5" s="283" t="s">
        <v>707</v>
      </c>
      <c r="AA5" s="283" t="s">
        <v>659</v>
      </c>
      <c r="AB5" s="652" t="s">
        <v>1012</v>
      </c>
      <c r="AE5" s="90" t="s">
        <v>841</v>
      </c>
      <c r="AF5" s="301" t="s">
        <v>850</v>
      </c>
      <c r="AG5">
        <v>2</v>
      </c>
      <c r="AH5">
        <v>3</v>
      </c>
    </row>
    <row r="6" spans="1:35" ht="16.5" customHeight="1" x14ac:dyDescent="0.25">
      <c r="A6" t="s">
        <v>597</v>
      </c>
      <c r="B6" t="s">
        <v>322</v>
      </c>
      <c r="C6" t="s">
        <v>314</v>
      </c>
      <c r="D6" t="s">
        <v>318</v>
      </c>
      <c r="E6" s="90">
        <v>12</v>
      </c>
      <c r="F6">
        <v>2</v>
      </c>
      <c r="J6" s="56"/>
      <c r="K6" s="56"/>
      <c r="L6" s="56" t="s">
        <v>11</v>
      </c>
      <c r="M6" s="56"/>
      <c r="N6" s="56" t="s">
        <v>23</v>
      </c>
      <c r="O6" s="56"/>
      <c r="P6" s="56"/>
      <c r="R6" t="s">
        <v>883</v>
      </c>
      <c r="T6" t="s">
        <v>888</v>
      </c>
      <c r="V6" t="s">
        <v>814</v>
      </c>
      <c r="X6" s="90" t="s">
        <v>834</v>
      </c>
      <c r="Z6" s="283" t="s">
        <v>971</v>
      </c>
      <c r="AA6" s="283" t="s">
        <v>972</v>
      </c>
      <c r="AB6" s="652" t="s">
        <v>1011</v>
      </c>
      <c r="AE6" s="90" t="s">
        <v>842</v>
      </c>
      <c r="AF6" s="301" t="s">
        <v>852</v>
      </c>
      <c r="AG6">
        <v>3</v>
      </c>
      <c r="AH6">
        <v>5</v>
      </c>
    </row>
    <row r="7" spans="1:35" ht="16.5" customHeight="1" x14ac:dyDescent="0.25">
      <c r="A7" t="s">
        <v>202</v>
      </c>
      <c r="B7" t="s">
        <v>323</v>
      </c>
      <c r="C7" t="s">
        <v>306</v>
      </c>
      <c r="D7" t="s">
        <v>316</v>
      </c>
      <c r="E7" s="90">
        <v>12</v>
      </c>
      <c r="F7">
        <v>1</v>
      </c>
      <c r="J7" s="56"/>
      <c r="K7" s="56"/>
      <c r="L7" s="56" t="s">
        <v>1003</v>
      </c>
      <c r="M7" s="56"/>
      <c r="N7" s="56"/>
      <c r="O7" s="56"/>
      <c r="P7" s="56"/>
      <c r="R7" t="s">
        <v>859</v>
      </c>
      <c r="T7" t="s">
        <v>886</v>
      </c>
      <c r="V7" t="s">
        <v>816</v>
      </c>
      <c r="X7" s="90" t="s">
        <v>824</v>
      </c>
      <c r="Z7" s="283" t="s">
        <v>285</v>
      </c>
      <c r="AA7" s="283" t="s">
        <v>803</v>
      </c>
      <c r="AB7" s="284" t="s">
        <v>1008</v>
      </c>
      <c r="AE7" s="90" t="s">
        <v>843</v>
      </c>
      <c r="AF7" s="301" t="s">
        <v>853</v>
      </c>
      <c r="AG7">
        <v>5</v>
      </c>
      <c r="AH7">
        <v>11</v>
      </c>
    </row>
    <row r="8" spans="1:35" ht="16.5" customHeight="1" x14ac:dyDescent="0.25">
      <c r="A8" t="s">
        <v>580</v>
      </c>
      <c r="B8" t="s">
        <v>582</v>
      </c>
      <c r="C8" t="s">
        <v>584</v>
      </c>
      <c r="D8" t="s">
        <v>586</v>
      </c>
      <c r="E8" s="90">
        <v>12</v>
      </c>
      <c r="F8">
        <v>1</v>
      </c>
      <c r="J8" s="56"/>
      <c r="K8" s="56"/>
      <c r="L8" s="56" t="s">
        <v>14</v>
      </c>
      <c r="M8" s="56"/>
      <c r="N8" s="56"/>
      <c r="O8" s="56"/>
      <c r="P8" s="56"/>
      <c r="T8" t="s">
        <v>889</v>
      </c>
      <c r="V8" t="s">
        <v>812</v>
      </c>
      <c r="X8" s="90" t="s">
        <v>825</v>
      </c>
      <c r="AE8" s="90" t="s">
        <v>844</v>
      </c>
      <c r="AF8" s="301" t="s">
        <v>854</v>
      </c>
      <c r="AG8">
        <v>11</v>
      </c>
      <c r="AH8">
        <v>15</v>
      </c>
    </row>
    <row r="9" spans="1:35" ht="16.5" customHeight="1" x14ac:dyDescent="0.25">
      <c r="A9" t="s">
        <v>581</v>
      </c>
      <c r="B9" t="s">
        <v>583</v>
      </c>
      <c r="C9" t="s">
        <v>585</v>
      </c>
      <c r="D9" t="s">
        <v>587</v>
      </c>
      <c r="E9" s="90">
        <v>12</v>
      </c>
      <c r="F9">
        <v>5</v>
      </c>
      <c r="J9" s="56"/>
      <c r="K9" s="56"/>
      <c r="L9" s="56" t="s">
        <v>18</v>
      </c>
      <c r="M9" s="56"/>
      <c r="N9" s="56"/>
      <c r="O9" s="56"/>
      <c r="P9" s="56"/>
      <c r="T9" t="s">
        <v>887</v>
      </c>
      <c r="V9" t="s">
        <v>811</v>
      </c>
      <c r="X9" s="90" t="s">
        <v>826</v>
      </c>
      <c r="AE9" s="90" t="s">
        <v>845</v>
      </c>
      <c r="AF9" s="301" t="s">
        <v>855</v>
      </c>
      <c r="AG9">
        <v>15</v>
      </c>
      <c r="AH9">
        <v>18</v>
      </c>
    </row>
    <row r="10" spans="1:35" ht="16.5" customHeight="1" x14ac:dyDescent="0.25">
      <c r="A10" t="s">
        <v>302</v>
      </c>
      <c r="B10" s="90" t="s">
        <v>324</v>
      </c>
      <c r="C10" s="90" t="s">
        <v>307</v>
      </c>
      <c r="D10" s="90" t="s">
        <v>317</v>
      </c>
      <c r="E10" s="90">
        <v>12</v>
      </c>
      <c r="F10" s="90">
        <v>1</v>
      </c>
      <c r="J10" s="56"/>
      <c r="K10" s="56"/>
      <c r="L10" s="56" t="s">
        <v>16</v>
      </c>
      <c r="M10" s="56"/>
      <c r="N10" s="56"/>
      <c r="O10" s="56"/>
      <c r="P10" s="56"/>
      <c r="V10" t="s">
        <v>817</v>
      </c>
      <c r="X10" s="90" t="s">
        <v>827</v>
      </c>
      <c r="AE10" s="90" t="s">
        <v>846</v>
      </c>
      <c r="AF10" s="301" t="s">
        <v>856</v>
      </c>
      <c r="AG10">
        <v>18</v>
      </c>
      <c r="AH10">
        <v>24</v>
      </c>
    </row>
    <row r="11" spans="1:35" ht="16.5" customHeight="1" x14ac:dyDescent="0.25">
      <c r="A11" t="s">
        <v>303</v>
      </c>
      <c r="B11" s="90" t="s">
        <v>325</v>
      </c>
      <c r="C11" s="90" t="s">
        <v>308</v>
      </c>
      <c r="D11" s="90" t="s">
        <v>311</v>
      </c>
      <c r="E11" s="90">
        <v>12</v>
      </c>
      <c r="F11" s="90">
        <v>1</v>
      </c>
      <c r="J11" s="56"/>
      <c r="K11" s="56"/>
      <c r="L11" s="56" t="s">
        <v>19</v>
      </c>
      <c r="M11" s="56"/>
      <c r="N11" s="56"/>
      <c r="O11" s="56"/>
      <c r="P11" s="56"/>
      <c r="X11" s="90" t="s">
        <v>828</v>
      </c>
      <c r="AE11" s="90" t="s">
        <v>847</v>
      </c>
      <c r="AF11" s="301" t="s">
        <v>857</v>
      </c>
      <c r="AG11">
        <v>24</v>
      </c>
      <c r="AH11">
        <v>49</v>
      </c>
    </row>
    <row r="12" spans="1:35" ht="16.5" customHeight="1" x14ac:dyDescent="0.25">
      <c r="A12" s="90" t="s">
        <v>929</v>
      </c>
      <c r="B12" s="90" t="s">
        <v>933</v>
      </c>
      <c r="C12" s="90" t="s">
        <v>934</v>
      </c>
      <c r="D12" s="90" t="s">
        <v>935</v>
      </c>
      <c r="E12" s="90">
        <v>12</v>
      </c>
      <c r="F12" s="90">
        <v>1</v>
      </c>
      <c r="X12" s="90" t="s">
        <v>829</v>
      </c>
      <c r="AE12" s="90" t="s">
        <v>848</v>
      </c>
      <c r="AF12" s="301" t="s">
        <v>858</v>
      </c>
      <c r="AG12">
        <v>49</v>
      </c>
      <c r="AH12">
        <v>60</v>
      </c>
    </row>
    <row r="13" spans="1:35" ht="16.5" customHeight="1" x14ac:dyDescent="0.25">
      <c r="A13" t="s">
        <v>1117</v>
      </c>
      <c r="B13" t="s">
        <v>1125</v>
      </c>
      <c r="E13" s="793">
        <v>12</v>
      </c>
      <c r="F13" s="793">
        <v>1</v>
      </c>
      <c r="X13" s="90" t="s">
        <v>830</v>
      </c>
      <c r="AE13" s="90" t="s">
        <v>849</v>
      </c>
      <c r="AF13" s="301" t="s">
        <v>859</v>
      </c>
      <c r="AG13">
        <v>60</v>
      </c>
    </row>
    <row r="14" spans="1:35" ht="16.5" customHeight="1" x14ac:dyDescent="0.25">
      <c r="A14" t="s">
        <v>1118</v>
      </c>
      <c r="B14" t="s">
        <v>1126</v>
      </c>
      <c r="E14" s="793">
        <v>12</v>
      </c>
      <c r="F14" s="793">
        <v>1</v>
      </c>
      <c r="X14" s="90" t="s">
        <v>833</v>
      </c>
      <c r="AE14" s="90"/>
      <c r="AF14" s="90"/>
      <c r="AG14" s="90"/>
      <c r="AH14" s="90"/>
      <c r="AI14" s="90"/>
    </row>
    <row r="15" spans="1:35" ht="16.5" customHeight="1" x14ac:dyDescent="0.25">
      <c r="A15" t="s">
        <v>1119</v>
      </c>
      <c r="B15" t="s">
        <v>1127</v>
      </c>
      <c r="E15" s="793">
        <v>12</v>
      </c>
      <c r="F15" s="793">
        <v>1</v>
      </c>
      <c r="X15" s="90" t="s">
        <v>831</v>
      </c>
    </row>
    <row r="16" spans="1:35" ht="16.5" customHeight="1" x14ac:dyDescent="0.25">
      <c r="E16" s="793"/>
    </row>
    <row r="17" spans="1:24" ht="16.5" customHeight="1" x14ac:dyDescent="0.25">
      <c r="X17" s="90" t="s">
        <v>832</v>
      </c>
    </row>
    <row r="18" spans="1:24" s="793" customFormat="1" ht="16.5" customHeight="1" x14ac:dyDescent="0.25"/>
    <row r="19" spans="1:24" s="793" customFormat="1" ht="16.5" customHeight="1" x14ac:dyDescent="0.25"/>
    <row r="20" spans="1:24" s="793" customFormat="1" ht="16.5" customHeight="1" x14ac:dyDescent="0.25"/>
    <row r="21" spans="1:24" s="793" customFormat="1" ht="16.5" customHeight="1" x14ac:dyDescent="0.25"/>
    <row r="23" spans="1:24" ht="16.5" customHeight="1" x14ac:dyDescent="0.25">
      <c r="A23" s="74">
        <v>42795</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6" sqref="B36"/>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995" t="s">
        <v>773</v>
      </c>
      <c r="B2" s="997" t="s">
        <v>1116</v>
      </c>
    </row>
    <row r="3" spans="1:2" ht="15.75" hidden="1" customHeight="1" thickBot="1" x14ac:dyDescent="0.3">
      <c r="A3" s="996"/>
      <c r="B3" s="998"/>
    </row>
    <row r="4" spans="1:2" ht="30.75" customHeight="1" x14ac:dyDescent="0.25">
      <c r="A4" s="995" t="s">
        <v>777</v>
      </c>
      <c r="B4" s="997" t="s">
        <v>781</v>
      </c>
    </row>
    <row r="5" spans="1:2" ht="45" customHeight="1" thickBot="1" x14ac:dyDescent="0.3">
      <c r="A5" s="996"/>
      <c r="B5" s="998"/>
    </row>
    <row r="6" spans="1:2" ht="37.5" customHeight="1" thickBot="1" x14ac:dyDescent="0.3">
      <c r="A6" s="178" t="s">
        <v>779</v>
      </c>
      <c r="B6" s="177" t="s">
        <v>782</v>
      </c>
    </row>
    <row r="7" spans="1:2" ht="66.75" customHeight="1" thickBot="1" x14ac:dyDescent="0.3">
      <c r="A7" s="179" t="s">
        <v>778</v>
      </c>
      <c r="B7" s="177" t="s">
        <v>770</v>
      </c>
    </row>
    <row r="8" spans="1:2" ht="38.25" customHeight="1" thickBot="1" x14ac:dyDescent="0.3">
      <c r="A8" s="178" t="s">
        <v>780</v>
      </c>
      <c r="B8" s="177" t="s">
        <v>724</v>
      </c>
    </row>
    <row r="9" spans="1:2" ht="38.25" customHeight="1" thickBot="1" x14ac:dyDescent="0.3">
      <c r="A9" s="180" t="s">
        <v>199</v>
      </c>
      <c r="B9" s="181" t="s">
        <v>722</v>
      </c>
    </row>
    <row r="10" spans="1:2" ht="38.25" customHeight="1" thickBot="1" x14ac:dyDescent="0.3">
      <c r="A10" s="180" t="s">
        <v>21</v>
      </c>
      <c r="B10" s="181" t="s">
        <v>771</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zoomScale="88" zoomScaleNormal="88" workbookViewId="0">
      <selection activeCell="B4" sqref="B4"/>
    </sheetView>
  </sheetViews>
  <sheetFormatPr defaultColWidth="9.140625" defaultRowHeight="15" x14ac:dyDescent="0.2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customWidth="1"/>
    <col min="14" max="14" width="15.140625" style="19" customWidth="1"/>
    <col min="15" max="15" width="14" style="19" customWidth="1"/>
    <col min="16" max="16" width="11" style="19" customWidth="1"/>
    <col min="17" max="17" width="7.7109375" style="323" customWidth="1"/>
    <col min="18" max="18" width="11" style="563" bestFit="1" customWidth="1"/>
    <col min="19" max="19" width="6.85546875" style="893" bestFit="1" customWidth="1"/>
    <col min="20" max="20" width="19.42578125" style="291" customWidth="1"/>
    <col min="21" max="21" width="10.7109375" style="291" customWidth="1"/>
    <col min="22" max="22" width="23.28515625" style="324" customWidth="1"/>
    <col min="23" max="23" width="11.140625" style="324"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1" customWidth="1"/>
    <col min="30" max="30" width="11.7109375" style="714"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x14ac:dyDescent="0.25">
      <c r="A1" s="577"/>
      <c r="B1" s="578"/>
      <c r="C1" s="578"/>
      <c r="D1" s="578"/>
      <c r="E1" s="578"/>
      <c r="F1" s="578"/>
      <c r="G1" s="578"/>
      <c r="H1" s="578"/>
      <c r="I1" s="578"/>
      <c r="J1" s="578"/>
      <c r="K1" s="578"/>
      <c r="L1" s="578"/>
      <c r="M1" s="578"/>
      <c r="N1" s="578"/>
      <c r="O1" s="578"/>
      <c r="P1" s="578"/>
      <c r="Q1" s="578"/>
      <c r="R1" s="579"/>
      <c r="S1" s="884"/>
      <c r="T1" s="578"/>
      <c r="U1" s="578"/>
      <c r="V1" s="578"/>
      <c r="W1" s="578"/>
      <c r="X1" s="578"/>
      <c r="Y1" s="578"/>
      <c r="Z1" s="578"/>
      <c r="AA1" s="578"/>
      <c r="AB1" s="578"/>
      <c r="AC1" s="578"/>
      <c r="AD1" s="579"/>
      <c r="AE1" s="578"/>
      <c r="AF1" s="578"/>
      <c r="AG1" s="578"/>
      <c r="AH1" s="578"/>
      <c r="AI1" s="580"/>
      <c r="AJ1" s="580"/>
      <c r="BJ1" s="69"/>
      <c r="BK1" s="69"/>
      <c r="BL1" s="19"/>
      <c r="BM1" s="19"/>
    </row>
    <row r="2" spans="1:68" ht="18.75" customHeight="1" x14ac:dyDescent="0.25">
      <c r="A2" s="581" t="s">
        <v>783</v>
      </c>
      <c r="B2" s="576"/>
      <c r="C2" s="576"/>
      <c r="D2" s="576"/>
      <c r="E2" s="576"/>
      <c r="F2" s="576"/>
      <c r="G2" s="576"/>
      <c r="H2" s="576"/>
      <c r="I2" s="576"/>
      <c r="J2" s="576"/>
      <c r="K2" s="576"/>
      <c r="L2" s="576"/>
      <c r="M2" s="576"/>
      <c r="N2" s="576"/>
      <c r="O2" s="576"/>
      <c r="P2" s="576"/>
      <c r="Q2" s="576"/>
      <c r="R2" s="562"/>
      <c r="S2" s="885"/>
      <c r="T2" s="576"/>
      <c r="U2" s="576"/>
      <c r="V2" s="576"/>
      <c r="W2" s="576"/>
      <c r="X2" s="576"/>
      <c r="Y2" s="576"/>
      <c r="Z2" s="576"/>
      <c r="AA2" s="576"/>
      <c r="AB2" s="576"/>
      <c r="AC2" s="736"/>
      <c r="AD2" s="562"/>
      <c r="AE2" s="576"/>
      <c r="AF2" s="576"/>
      <c r="AG2" s="694"/>
      <c r="AH2" s="576"/>
      <c r="AI2" s="582"/>
      <c r="AJ2" s="582"/>
      <c r="BH2" s="69"/>
      <c r="BI2" s="69"/>
      <c r="BL2" s="19"/>
      <c r="BM2" s="19"/>
    </row>
    <row r="3" spans="1:68" ht="23.25" customHeight="1" x14ac:dyDescent="0.25">
      <c r="A3" s="999">
        <f>Report_Date</f>
        <v>42795</v>
      </c>
      <c r="B3" s="1000"/>
      <c r="C3" s="583"/>
      <c r="D3" s="583"/>
      <c r="E3" s="583"/>
      <c r="F3" s="583"/>
      <c r="G3" s="583"/>
      <c r="H3" s="583"/>
      <c r="I3" s="583"/>
      <c r="J3" s="583"/>
      <c r="K3" s="583"/>
      <c r="L3" s="583"/>
      <c r="M3" s="583"/>
      <c r="N3" s="583"/>
      <c r="O3" s="583"/>
      <c r="P3" s="583"/>
      <c r="Q3" s="583"/>
      <c r="R3" s="584"/>
      <c r="S3" s="886"/>
      <c r="T3" s="583"/>
      <c r="U3" s="583"/>
      <c r="V3" s="583"/>
      <c r="W3" s="583"/>
      <c r="X3" s="583"/>
      <c r="Y3" s="583"/>
      <c r="Z3" s="583"/>
      <c r="AA3" s="583"/>
      <c r="AB3" s="583"/>
      <c r="AC3" s="583"/>
      <c r="AD3" s="584"/>
      <c r="AE3" s="583"/>
      <c r="AF3" s="583"/>
      <c r="AG3" s="583"/>
      <c r="AH3" s="583"/>
      <c r="AI3" s="585"/>
      <c r="AJ3" s="585"/>
      <c r="BH3" s="69"/>
      <c r="BI3" s="69"/>
      <c r="BL3" s="19"/>
      <c r="BM3" s="19"/>
    </row>
    <row r="4" spans="1:68" s="747" customFormat="1" ht="32.25" customHeight="1" x14ac:dyDescent="0.25">
      <c r="A4" s="739" t="s">
        <v>346</v>
      </c>
      <c r="B4" s="740" t="s">
        <v>10</v>
      </c>
      <c r="C4" s="740" t="s">
        <v>338</v>
      </c>
      <c r="D4" s="740" t="s">
        <v>533</v>
      </c>
      <c r="E4" s="740" t="s">
        <v>534</v>
      </c>
      <c r="F4" s="739" t="s">
        <v>0</v>
      </c>
      <c r="G4" s="740" t="s">
        <v>339</v>
      </c>
      <c r="H4" s="740" t="s">
        <v>530</v>
      </c>
      <c r="I4" s="740" t="s">
        <v>529</v>
      </c>
      <c r="J4" s="740" t="s">
        <v>531</v>
      </c>
      <c r="K4" s="740" t="s">
        <v>532</v>
      </c>
      <c r="L4" s="739" t="s">
        <v>9</v>
      </c>
      <c r="M4" s="739" t="s">
        <v>8</v>
      </c>
      <c r="N4" s="740" t="s">
        <v>2</v>
      </c>
      <c r="O4" s="740" t="s">
        <v>3</v>
      </c>
      <c r="P4" s="739" t="s">
        <v>650</v>
      </c>
      <c r="Q4" s="741" t="s">
        <v>4</v>
      </c>
      <c r="R4" s="742" t="s">
        <v>5</v>
      </c>
      <c r="S4" s="887" t="s">
        <v>337</v>
      </c>
      <c r="T4" s="739" t="s">
        <v>808</v>
      </c>
      <c r="U4" s="739" t="s">
        <v>755</v>
      </c>
      <c r="V4" s="739" t="s">
        <v>24</v>
      </c>
      <c r="W4" s="739" t="s">
        <v>862</v>
      </c>
      <c r="X4" s="739" t="s">
        <v>651</v>
      </c>
      <c r="Y4" s="739" t="s">
        <v>757</v>
      </c>
      <c r="Z4" s="743" t="s">
        <v>758</v>
      </c>
      <c r="AA4" s="743" t="s">
        <v>763</v>
      </c>
      <c r="AB4" s="743" t="s">
        <v>1019</v>
      </c>
      <c r="AC4" s="739" t="s">
        <v>664</v>
      </c>
      <c r="AD4" s="744" t="s">
        <v>663</v>
      </c>
      <c r="AE4" s="739" t="s">
        <v>340</v>
      </c>
      <c r="AF4" s="739" t="s">
        <v>341</v>
      </c>
      <c r="AG4" s="745" t="s">
        <v>350</v>
      </c>
      <c r="AH4" s="744" t="s">
        <v>345</v>
      </c>
      <c r="AI4" s="739" t="s">
        <v>800</v>
      </c>
      <c r="AJ4" s="746" t="s">
        <v>806</v>
      </c>
      <c r="BO4" s="748"/>
      <c r="BP4" s="748"/>
    </row>
    <row r="5" spans="1:68" ht="13.5" customHeight="1" x14ac:dyDescent="0.25">
      <c r="A5" s="358" t="s">
        <v>348</v>
      </c>
      <c r="B5" s="358" t="s">
        <v>7</v>
      </c>
      <c r="C5" s="358" t="s">
        <v>351</v>
      </c>
      <c r="D5" s="358" t="s">
        <v>20</v>
      </c>
      <c r="E5" s="358" t="s">
        <v>622</v>
      </c>
      <c r="F5" s="358" t="s">
        <v>20</v>
      </c>
      <c r="G5" s="358" t="s">
        <v>448</v>
      </c>
      <c r="H5" s="358" t="s">
        <v>449</v>
      </c>
      <c r="I5" s="358" t="s">
        <v>514</v>
      </c>
      <c r="J5" s="358" t="s">
        <v>449</v>
      </c>
      <c r="K5" s="358" t="s">
        <v>450</v>
      </c>
      <c r="L5" s="358" t="s">
        <v>105</v>
      </c>
      <c r="M5" s="358" t="s">
        <v>193</v>
      </c>
      <c r="N5" s="75">
        <v>92.365793999999994</v>
      </c>
      <c r="O5" s="75">
        <v>20.819958</v>
      </c>
      <c r="P5" s="361"/>
      <c r="Q5" s="876">
        <v>12</v>
      </c>
      <c r="R5" s="875">
        <v>87</v>
      </c>
      <c r="S5" s="888">
        <v>6.875</v>
      </c>
      <c r="T5" s="642" t="s">
        <v>343</v>
      </c>
      <c r="U5" s="642" t="s">
        <v>756</v>
      </c>
      <c r="V5" s="642" t="s">
        <v>23</v>
      </c>
      <c r="W5" s="358"/>
      <c r="X5" s="358"/>
      <c r="Y5" s="358"/>
      <c r="Z5" s="358" t="s">
        <v>657</v>
      </c>
      <c r="AA5" s="358" t="str">
        <f>CONCATENATE(Camp_List[[#This Row],[Ethnicity]],"-",Camp_List[[#This Row],[Religion]])</f>
        <v>-Muslim</v>
      </c>
      <c r="AB5" s="289" t="s">
        <v>512</v>
      </c>
      <c r="AC5" s="358" t="s">
        <v>662</v>
      </c>
      <c r="AD5" s="709" t="s">
        <v>285</v>
      </c>
      <c r="AE5" s="358" t="s">
        <v>504</v>
      </c>
      <c r="AF5" s="358" t="s">
        <v>520</v>
      </c>
      <c r="AG5" s="290">
        <v>42766</v>
      </c>
      <c r="AH5" s="706" t="s">
        <v>1023</v>
      </c>
      <c r="AI5" s="75" t="str">
        <f>IFERROR(VLOOKUP(Camp_List[[#This Row],[Responsible Agency]],Organization_t[],3,0),"")</f>
        <v>Richard Tracey, CCCM/NFI Cluster Coordinator, tracey@unhcr.org,09448027896</v>
      </c>
      <c r="AJ5" s="574">
        <f>IF((SUMIFS(Data_Shelter_t[Coverage],Data_Shelter_t[Pcode],Camp_List[[#This Row],[P_Code]]))&gt;1,1,SUMIFS(Data_Shelter_t[Coverage],Data_Shelter_t[Pcode],Camp_List[[#This Row],[P_Code]]))</f>
        <v>0</v>
      </c>
      <c r="BL5" s="19"/>
      <c r="BM5" s="19"/>
      <c r="BO5" s="69"/>
      <c r="BP5" s="69"/>
    </row>
    <row r="6" spans="1:68" ht="13.5" customHeight="1" x14ac:dyDescent="0.25">
      <c r="A6" s="358" t="s">
        <v>348</v>
      </c>
      <c r="B6" s="358" t="s">
        <v>7</v>
      </c>
      <c r="C6" s="358" t="s">
        <v>351</v>
      </c>
      <c r="D6" s="358" t="s">
        <v>20</v>
      </c>
      <c r="E6" s="358" t="s">
        <v>622</v>
      </c>
      <c r="F6" s="358" t="s">
        <v>20</v>
      </c>
      <c r="G6" s="358" t="s">
        <v>448</v>
      </c>
      <c r="H6" s="358" t="s">
        <v>456</v>
      </c>
      <c r="I6" s="358" t="s">
        <v>455</v>
      </c>
      <c r="J6" s="358" t="s">
        <v>470</v>
      </c>
      <c r="K6" s="358">
        <v>197988</v>
      </c>
      <c r="L6" s="358" t="s">
        <v>109</v>
      </c>
      <c r="M6" s="358" t="s">
        <v>197</v>
      </c>
      <c r="N6" s="75">
        <v>92.443427999999997</v>
      </c>
      <c r="O6" s="75">
        <v>20.714846999999999</v>
      </c>
      <c r="P6" s="361"/>
      <c r="Q6" s="876">
        <v>48</v>
      </c>
      <c r="R6" s="875">
        <v>291</v>
      </c>
      <c r="S6" s="888">
        <v>6.020833333333333</v>
      </c>
      <c r="T6" s="642" t="s">
        <v>343</v>
      </c>
      <c r="U6" s="642" t="s">
        <v>756</v>
      </c>
      <c r="V6" s="642" t="s">
        <v>23</v>
      </c>
      <c r="W6" s="358"/>
      <c r="X6" s="358"/>
      <c r="Y6" s="358"/>
      <c r="Z6" s="358" t="s">
        <v>657</v>
      </c>
      <c r="AA6" s="358" t="str">
        <f>CONCATENATE(Camp_List[[#This Row],[Ethnicity]],"-",Camp_List[[#This Row],[Religion]])</f>
        <v>-Muslim</v>
      </c>
      <c r="AB6" s="289" t="s">
        <v>1020</v>
      </c>
      <c r="AC6" s="358" t="s">
        <v>662</v>
      </c>
      <c r="AD6" s="709" t="s">
        <v>285</v>
      </c>
      <c r="AE6" s="358" t="s">
        <v>504</v>
      </c>
      <c r="AF6" s="358" t="s">
        <v>520</v>
      </c>
      <c r="AG6" s="290">
        <v>42766</v>
      </c>
      <c r="AH6" s="706" t="s">
        <v>1024</v>
      </c>
      <c r="AI6" s="75" t="str">
        <f>IFERROR(VLOOKUP(Camp_List[[#This Row],[Responsible Agency]],Organization_t[],3,0),"")</f>
        <v>Richard Tracey, CCCM/NFI Cluster Coordinator, tracey@unhcr.org,09448027896</v>
      </c>
      <c r="AJ6" s="574">
        <f>IF((SUMIFS(Data_Shelter_t[Coverage],Data_Shelter_t[Pcode],Camp_List[[#This Row],[P_Code]]))&gt;1,1,SUMIFS(Data_Shelter_t[Coverage],Data_Shelter_t[Pcode],Camp_List[[#This Row],[P_Code]]))</f>
        <v>0</v>
      </c>
      <c r="BL6" s="19"/>
      <c r="BM6" s="19"/>
      <c r="BO6" s="69"/>
      <c r="BP6" s="69"/>
    </row>
    <row r="7" spans="1:68" ht="13.5" customHeight="1" x14ac:dyDescent="0.25">
      <c r="A7" s="358" t="s">
        <v>348</v>
      </c>
      <c r="B7" s="358" t="s">
        <v>7</v>
      </c>
      <c r="C7" s="358" t="s">
        <v>613</v>
      </c>
      <c r="D7" s="358" t="s">
        <v>20</v>
      </c>
      <c r="E7" s="358" t="s">
        <v>622</v>
      </c>
      <c r="F7" s="358" t="s">
        <v>20</v>
      </c>
      <c r="G7" s="358" t="s">
        <v>448</v>
      </c>
      <c r="H7" s="358" t="s">
        <v>452</v>
      </c>
      <c r="I7" s="358" t="s">
        <v>451</v>
      </c>
      <c r="J7" s="637" t="s">
        <v>461</v>
      </c>
      <c r="K7" s="358">
        <v>198049</v>
      </c>
      <c r="L7" s="358" t="s">
        <v>617</v>
      </c>
      <c r="M7" s="358" t="s">
        <v>621</v>
      </c>
      <c r="N7" s="75">
        <v>92.435378</v>
      </c>
      <c r="O7" s="75">
        <v>20.713882999999999</v>
      </c>
      <c r="P7" s="358"/>
      <c r="Q7" s="876">
        <v>59</v>
      </c>
      <c r="R7" s="875">
        <v>344</v>
      </c>
      <c r="S7" s="888">
        <v>5.7288135593220337</v>
      </c>
      <c r="T7" s="642" t="s">
        <v>343</v>
      </c>
      <c r="U7" s="642" t="s">
        <v>756</v>
      </c>
      <c r="V7" s="642" t="s">
        <v>23</v>
      </c>
      <c r="W7" s="358"/>
      <c r="X7" s="358"/>
      <c r="Y7" s="358"/>
      <c r="Z7" s="358" t="s">
        <v>657</v>
      </c>
      <c r="AA7" s="358" t="str">
        <f>CONCATENATE(Camp_List[[#This Row],[Ethnicity]],"-",Camp_List[[#This Row],[Religion]])</f>
        <v>-Muslim</v>
      </c>
      <c r="AB7" s="289" t="s">
        <v>1020</v>
      </c>
      <c r="AC7" s="358" t="s">
        <v>662</v>
      </c>
      <c r="AD7" s="709" t="s">
        <v>285</v>
      </c>
      <c r="AE7" s="358" t="s">
        <v>504</v>
      </c>
      <c r="AF7" s="358" t="s">
        <v>520</v>
      </c>
      <c r="AG7" s="290">
        <v>42766</v>
      </c>
      <c r="AH7" s="707" t="s">
        <v>1025</v>
      </c>
      <c r="AI7" s="75" t="str">
        <f>IFERROR(VLOOKUP(Camp_List[[#This Row],[Responsible Agency]],Organization_t[],3,0),"")</f>
        <v>Richard Tracey, CCCM/NFI Cluster Coordinator, tracey@unhcr.org,09448027896</v>
      </c>
      <c r="AJ7" s="574">
        <f>IF((SUMIFS(Data_Shelter_t[Coverage],Data_Shelter_t[Pcode],Camp_List[[#This Row],[P_Code]]))&gt;1,1,SUMIFS(Data_Shelter_t[Coverage],Data_Shelter_t[Pcode],Camp_List[[#This Row],[P_Code]]))</f>
        <v>0</v>
      </c>
      <c r="BL7" s="19"/>
      <c r="BM7" s="19"/>
      <c r="BO7" s="69"/>
      <c r="BP7" s="69"/>
    </row>
    <row r="8" spans="1:68" ht="13.5" customHeight="1" x14ac:dyDescent="0.25">
      <c r="A8" s="358" t="s">
        <v>348</v>
      </c>
      <c r="B8" s="358" t="s">
        <v>7</v>
      </c>
      <c r="C8" s="358" t="s">
        <v>351</v>
      </c>
      <c r="D8" s="358" t="s">
        <v>20</v>
      </c>
      <c r="E8" s="358" t="s">
        <v>622</v>
      </c>
      <c r="F8" s="358" t="s">
        <v>20</v>
      </c>
      <c r="G8" s="358" t="s">
        <v>448</v>
      </c>
      <c r="H8" s="358" t="s">
        <v>449</v>
      </c>
      <c r="I8" s="358" t="s">
        <v>514</v>
      </c>
      <c r="J8" s="358" t="s">
        <v>449</v>
      </c>
      <c r="K8" s="358" t="s">
        <v>450</v>
      </c>
      <c r="L8" s="358" t="s">
        <v>872</v>
      </c>
      <c r="M8" s="358" t="s">
        <v>192</v>
      </c>
      <c r="N8" s="75">
        <v>92.362932999999998</v>
      </c>
      <c r="O8" s="75">
        <v>20.827044000000001</v>
      </c>
      <c r="P8" s="361"/>
      <c r="Q8" s="876">
        <v>8</v>
      </c>
      <c r="R8" s="875">
        <v>38</v>
      </c>
      <c r="S8" s="888">
        <v>5.0999999999999996</v>
      </c>
      <c r="T8" s="642" t="s">
        <v>343</v>
      </c>
      <c r="U8" s="642" t="s">
        <v>756</v>
      </c>
      <c r="V8" s="642" t="s">
        <v>23</v>
      </c>
      <c r="W8" s="358"/>
      <c r="X8" s="358"/>
      <c r="Y8" s="358"/>
      <c r="Z8" s="358" t="s">
        <v>657</v>
      </c>
      <c r="AA8" s="358" t="str">
        <f>CONCATENATE(Camp_List[[#This Row],[Ethnicity]],"-",Camp_List[[#This Row],[Religion]])</f>
        <v>-Muslim</v>
      </c>
      <c r="AB8" s="289" t="s">
        <v>512</v>
      </c>
      <c r="AC8" s="358" t="s">
        <v>662</v>
      </c>
      <c r="AD8" s="709" t="s">
        <v>285</v>
      </c>
      <c r="AE8" s="358" t="s">
        <v>504</v>
      </c>
      <c r="AF8" s="358" t="s">
        <v>520</v>
      </c>
      <c r="AG8" s="290">
        <v>42766</v>
      </c>
      <c r="AH8" s="637" t="s">
        <v>1026</v>
      </c>
      <c r="AI8" s="75" t="str">
        <f>IFERROR(VLOOKUP(Camp_List[[#This Row],[Responsible Agency]],Organization_t[],3,0),"")</f>
        <v>Richard Tracey, CCCM/NFI Cluster Coordinator, tracey@unhcr.org,09448027896</v>
      </c>
      <c r="AJ8" s="574">
        <f>IF((SUMIFS(Data_Shelter_t[Coverage],Data_Shelter_t[Pcode],Camp_List[[#This Row],[P_Code]]))&gt;1,1,SUMIFS(Data_Shelter_t[Coverage],Data_Shelter_t[Pcode],Camp_List[[#This Row],[P_Code]]))</f>
        <v>0</v>
      </c>
      <c r="BL8" s="19"/>
      <c r="BM8" s="19"/>
      <c r="BO8" s="69"/>
      <c r="BP8" s="69"/>
    </row>
    <row r="9" spans="1:68" ht="13.5" customHeight="1" x14ac:dyDescent="0.25">
      <c r="A9" s="358" t="s">
        <v>348</v>
      </c>
      <c r="B9" s="358" t="s">
        <v>7</v>
      </c>
      <c r="C9" s="358" t="s">
        <v>351</v>
      </c>
      <c r="D9" s="358" t="s">
        <v>20</v>
      </c>
      <c r="E9" s="358" t="s">
        <v>622</v>
      </c>
      <c r="F9" s="358" t="s">
        <v>20</v>
      </c>
      <c r="G9" s="358" t="s">
        <v>448</v>
      </c>
      <c r="H9" s="358" t="s">
        <v>464</v>
      </c>
      <c r="I9" s="358" t="s">
        <v>463</v>
      </c>
      <c r="J9" s="358" t="s">
        <v>465</v>
      </c>
      <c r="K9" s="358">
        <v>197868</v>
      </c>
      <c r="L9" s="638" t="s">
        <v>873</v>
      </c>
      <c r="M9" s="360" t="s">
        <v>283</v>
      </c>
      <c r="N9" s="75">
        <v>92.338031000000001</v>
      </c>
      <c r="O9" s="75">
        <v>21.066663999999999</v>
      </c>
      <c r="P9" s="638"/>
      <c r="Q9" s="876">
        <v>8</v>
      </c>
      <c r="R9" s="875">
        <v>58</v>
      </c>
      <c r="S9" s="888">
        <v>7.375</v>
      </c>
      <c r="T9" s="360" t="s">
        <v>343</v>
      </c>
      <c r="U9" s="642" t="s">
        <v>756</v>
      </c>
      <c r="V9" s="642" t="s">
        <v>23</v>
      </c>
      <c r="W9" s="358"/>
      <c r="X9" s="358"/>
      <c r="Y9" s="358"/>
      <c r="Z9" s="358" t="s">
        <v>657</v>
      </c>
      <c r="AA9" s="358" t="str">
        <f>CONCATENATE(Camp_List[[#This Row],[Ethnicity]],"-",Camp_List[[#This Row],[Religion]])</f>
        <v>-Muslim</v>
      </c>
      <c r="AB9" s="289" t="s">
        <v>1020</v>
      </c>
      <c r="AC9" s="358" t="s">
        <v>662</v>
      </c>
      <c r="AD9" s="709" t="s">
        <v>285</v>
      </c>
      <c r="AE9" s="358" t="s">
        <v>504</v>
      </c>
      <c r="AF9" s="358" t="s">
        <v>520</v>
      </c>
      <c r="AG9" s="290">
        <v>42766</v>
      </c>
      <c r="AH9" s="708"/>
      <c r="AI9" s="75" t="str">
        <f>IFERROR(VLOOKUP(Camp_List[[#This Row],[Responsible Agency]],Organization_t[],3,0),"")</f>
        <v>Richard Tracey, CCCM/NFI Cluster Coordinator, tracey@unhcr.org,09448027896</v>
      </c>
      <c r="AJ9" s="574">
        <f>IF((SUMIFS(Data_Shelter_t[Coverage],Data_Shelter_t[Pcode],Camp_List[[#This Row],[P_Code]]))&gt;1,1,SUMIFS(Data_Shelter_t[Coverage],Data_Shelter_t[Pcode],Camp_List[[#This Row],[P_Code]]))</f>
        <v>0</v>
      </c>
      <c r="BL9" s="19"/>
      <c r="BM9" s="19"/>
      <c r="BO9" s="69"/>
      <c r="BP9" s="69"/>
    </row>
    <row r="10" spans="1:68" ht="13.5" customHeight="1" x14ac:dyDescent="0.25">
      <c r="A10" s="358" t="s">
        <v>348</v>
      </c>
      <c r="B10" s="358" t="s">
        <v>7</v>
      </c>
      <c r="C10" s="358" t="s">
        <v>351</v>
      </c>
      <c r="D10" s="358" t="s">
        <v>20</v>
      </c>
      <c r="E10" s="358" t="s">
        <v>622</v>
      </c>
      <c r="F10" s="358" t="s">
        <v>20</v>
      </c>
      <c r="G10" s="358" t="s">
        <v>448</v>
      </c>
      <c r="H10" s="358" t="s">
        <v>454</v>
      </c>
      <c r="I10" s="358" t="s">
        <v>453</v>
      </c>
      <c r="J10" s="358" t="s">
        <v>471</v>
      </c>
      <c r="K10" s="358">
        <v>197990</v>
      </c>
      <c r="L10" s="358" t="s">
        <v>107</v>
      </c>
      <c r="M10" s="358" t="s">
        <v>195</v>
      </c>
      <c r="N10" s="75">
        <v>92.401293999999993</v>
      </c>
      <c r="O10" s="75">
        <v>20.824517</v>
      </c>
      <c r="P10" s="361"/>
      <c r="Q10" s="876">
        <v>10</v>
      </c>
      <c r="R10" s="875">
        <v>57</v>
      </c>
      <c r="S10" s="888">
        <v>7</v>
      </c>
      <c r="T10" s="642" t="s">
        <v>343</v>
      </c>
      <c r="U10" s="642" t="s">
        <v>756</v>
      </c>
      <c r="V10" s="642" t="s">
        <v>23</v>
      </c>
      <c r="W10" s="358"/>
      <c r="X10" s="358"/>
      <c r="Y10" s="358"/>
      <c r="Z10" s="358" t="s">
        <v>657</v>
      </c>
      <c r="AA10" s="358" t="str">
        <f>CONCATENATE(Camp_List[[#This Row],[Ethnicity]],"-",Camp_List[[#This Row],[Religion]])</f>
        <v>-Muslim</v>
      </c>
      <c r="AB10" s="289" t="s">
        <v>512</v>
      </c>
      <c r="AC10" s="358" t="s">
        <v>662</v>
      </c>
      <c r="AD10" s="709" t="s">
        <v>285</v>
      </c>
      <c r="AE10" s="358" t="s">
        <v>504</v>
      </c>
      <c r="AF10" s="358" t="s">
        <v>520</v>
      </c>
      <c r="AG10" s="290">
        <v>42766</v>
      </c>
      <c r="AH10" s="707" t="s">
        <v>1028</v>
      </c>
      <c r="AI10" s="75" t="str">
        <f>IFERROR(VLOOKUP(Camp_List[[#This Row],[Responsible Agency]],Organization_t[],3,0),"")</f>
        <v>Richard Tracey, CCCM/NFI Cluster Coordinator, tracey@unhcr.org,09448027896</v>
      </c>
      <c r="AJ10" s="574">
        <f>IF((SUMIFS(Data_Shelter_t[Coverage],Data_Shelter_t[Pcode],Camp_List[[#This Row],[P_Code]]))&gt;1,1,SUMIFS(Data_Shelter_t[Coverage],Data_Shelter_t[Pcode],Camp_List[[#This Row],[P_Code]]))</f>
        <v>0</v>
      </c>
      <c r="BL10" s="19"/>
      <c r="BM10" s="19"/>
      <c r="BO10" s="69"/>
      <c r="BP10" s="69"/>
    </row>
    <row r="11" spans="1:68" ht="13.5" customHeight="1" x14ac:dyDescent="0.25">
      <c r="A11" s="358" t="s">
        <v>348</v>
      </c>
      <c r="B11" s="358" t="s">
        <v>7</v>
      </c>
      <c r="C11" s="358" t="s">
        <v>351</v>
      </c>
      <c r="D11" s="358" t="s">
        <v>20</v>
      </c>
      <c r="E11" s="358" t="s">
        <v>622</v>
      </c>
      <c r="F11" s="358" t="s">
        <v>20</v>
      </c>
      <c r="G11" s="358" t="s">
        <v>448</v>
      </c>
      <c r="H11" s="358" t="s">
        <v>454</v>
      </c>
      <c r="I11" s="358" t="s">
        <v>453</v>
      </c>
      <c r="J11" s="358" t="s">
        <v>1036</v>
      </c>
      <c r="K11" s="358" t="s">
        <v>1037</v>
      </c>
      <c r="L11" s="638" t="s">
        <v>874</v>
      </c>
      <c r="M11" s="360" t="s">
        <v>284</v>
      </c>
      <c r="N11" s="75">
        <v>92.416683000000006</v>
      </c>
      <c r="O11" s="75">
        <v>20.833831</v>
      </c>
      <c r="P11" s="638"/>
      <c r="Q11" s="876">
        <v>35</v>
      </c>
      <c r="R11" s="875">
        <v>243</v>
      </c>
      <c r="S11" s="888">
        <v>7.5384615384615383</v>
      </c>
      <c r="T11" s="360" t="s">
        <v>343</v>
      </c>
      <c r="U11" s="642" t="s">
        <v>756</v>
      </c>
      <c r="V11" s="642" t="s">
        <v>23</v>
      </c>
      <c r="W11" s="358"/>
      <c r="X11" s="358"/>
      <c r="Y11" s="358"/>
      <c r="Z11" s="358" t="s">
        <v>657</v>
      </c>
      <c r="AA11" s="358" t="str">
        <f>CONCATENATE(Camp_List[[#This Row],[Ethnicity]],"-",Camp_List[[#This Row],[Religion]])</f>
        <v>-Muslim</v>
      </c>
      <c r="AB11" s="289" t="s">
        <v>512</v>
      </c>
      <c r="AC11" s="358" t="s">
        <v>662</v>
      </c>
      <c r="AD11" s="709" t="s">
        <v>285</v>
      </c>
      <c r="AE11" s="358" t="s">
        <v>504</v>
      </c>
      <c r="AF11" s="358" t="s">
        <v>520</v>
      </c>
      <c r="AG11" s="290">
        <v>42766</v>
      </c>
      <c r="AH11" s="707" t="s">
        <v>1029</v>
      </c>
      <c r="AI11" s="75" t="str">
        <f>IFERROR(VLOOKUP(Camp_List[[#This Row],[Responsible Agency]],Organization_t[],3,0),"")</f>
        <v>Richard Tracey, CCCM/NFI Cluster Coordinator, tracey@unhcr.org,09448027896</v>
      </c>
      <c r="AJ11" s="574">
        <f>IF((SUMIFS(Data_Shelter_t[Coverage],Data_Shelter_t[Pcode],Camp_List[[#This Row],[P_Code]]))&gt;1,1,SUMIFS(Data_Shelter_t[Coverage],Data_Shelter_t[Pcode],Camp_List[[#This Row],[P_Code]]))</f>
        <v>0</v>
      </c>
      <c r="BL11" s="19"/>
      <c r="BM11" s="19"/>
      <c r="BO11" s="69"/>
      <c r="BP11" s="69"/>
    </row>
    <row r="12" spans="1:68" ht="13.5" customHeight="1" x14ac:dyDescent="0.25">
      <c r="A12" s="358" t="s">
        <v>348</v>
      </c>
      <c r="B12" s="358" t="s">
        <v>7</v>
      </c>
      <c r="C12" s="358" t="s">
        <v>351</v>
      </c>
      <c r="D12" s="358" t="s">
        <v>20</v>
      </c>
      <c r="E12" s="358" t="s">
        <v>622</v>
      </c>
      <c r="F12" s="358" t="s">
        <v>20</v>
      </c>
      <c r="G12" s="358" t="s">
        <v>448</v>
      </c>
      <c r="H12" s="358" t="s">
        <v>459</v>
      </c>
      <c r="I12" s="358" t="s">
        <v>514</v>
      </c>
      <c r="J12" s="358" t="s">
        <v>459</v>
      </c>
      <c r="K12" s="358" t="s">
        <v>460</v>
      </c>
      <c r="L12" s="358" t="s">
        <v>106</v>
      </c>
      <c r="M12" s="358" t="s">
        <v>194</v>
      </c>
      <c r="N12" s="75">
        <v>92.367852999999997</v>
      </c>
      <c r="O12" s="75">
        <v>20.825306000000001</v>
      </c>
      <c r="P12" s="361"/>
      <c r="Q12" s="876">
        <v>4</v>
      </c>
      <c r="R12" s="875">
        <v>30</v>
      </c>
      <c r="S12" s="888">
        <v>7.6</v>
      </c>
      <c r="T12" s="642" t="s">
        <v>343</v>
      </c>
      <c r="U12" s="642" t="s">
        <v>756</v>
      </c>
      <c r="V12" s="642" t="s">
        <v>23</v>
      </c>
      <c r="W12" s="358"/>
      <c r="X12" s="358"/>
      <c r="Y12" s="358"/>
      <c r="Z12" s="358" t="s">
        <v>657</v>
      </c>
      <c r="AA12" s="358" t="str">
        <f>CONCATENATE(Camp_List[[#This Row],[Ethnicity]],"-",Camp_List[[#This Row],[Religion]])</f>
        <v>-Muslim</v>
      </c>
      <c r="AB12" s="289" t="s">
        <v>512</v>
      </c>
      <c r="AC12" s="358" t="s">
        <v>662</v>
      </c>
      <c r="AD12" s="709" t="s">
        <v>285</v>
      </c>
      <c r="AE12" s="358" t="s">
        <v>504</v>
      </c>
      <c r="AF12" s="358" t="s">
        <v>520</v>
      </c>
      <c r="AG12" s="290">
        <v>42766</v>
      </c>
      <c r="AH12" s="707" t="s">
        <v>1018</v>
      </c>
      <c r="AI12" s="75" t="str">
        <f>IFERROR(VLOOKUP(Camp_List[[#This Row],[Responsible Agency]],Organization_t[],3,0),"")</f>
        <v>Richard Tracey, CCCM/NFI Cluster Coordinator, tracey@unhcr.org,09448027896</v>
      </c>
      <c r="AJ12" s="574">
        <f>IF((SUMIFS(Data_Shelter_t[Coverage],Data_Shelter_t[Pcode],Camp_List[[#This Row],[P_Code]]))&gt;1,1,SUMIFS(Data_Shelter_t[Coverage],Data_Shelter_t[Pcode],Camp_List[[#This Row],[P_Code]]))</f>
        <v>0</v>
      </c>
      <c r="BL12" s="19"/>
      <c r="BM12" s="19"/>
      <c r="BO12" s="69"/>
      <c r="BP12" s="69"/>
    </row>
    <row r="13" spans="1:68" ht="13.5" customHeight="1" x14ac:dyDescent="0.25">
      <c r="A13" s="358" t="s">
        <v>348</v>
      </c>
      <c r="B13" s="358" t="s">
        <v>7</v>
      </c>
      <c r="C13" s="358" t="s">
        <v>351</v>
      </c>
      <c r="D13" s="358" t="s">
        <v>19</v>
      </c>
      <c r="E13" s="358" t="s">
        <v>604</v>
      </c>
      <c r="F13" s="358" t="s">
        <v>14</v>
      </c>
      <c r="G13" s="358" t="s">
        <v>372</v>
      </c>
      <c r="H13" s="358" t="s">
        <v>378</v>
      </c>
      <c r="I13" s="358" t="s">
        <v>377</v>
      </c>
      <c r="J13" s="358" t="s">
        <v>490</v>
      </c>
      <c r="K13" s="358">
        <v>197537</v>
      </c>
      <c r="L13" s="358" t="s">
        <v>40</v>
      </c>
      <c r="M13" s="358" t="s">
        <v>126</v>
      </c>
      <c r="N13" s="75">
        <v>92.985095000000001</v>
      </c>
      <c r="O13" s="75">
        <v>20.108101999999999</v>
      </c>
      <c r="P13" s="358"/>
      <c r="Q13" s="876">
        <v>1238</v>
      </c>
      <c r="R13" s="875">
        <v>4252</v>
      </c>
      <c r="S13" s="888">
        <v>3.7019064124783361</v>
      </c>
      <c r="T13" s="642" t="s">
        <v>343</v>
      </c>
      <c r="U13" s="642" t="s">
        <v>756</v>
      </c>
      <c r="V13" s="642" t="s">
        <v>22</v>
      </c>
      <c r="W13" s="360"/>
      <c r="X13" s="358"/>
      <c r="Y13" s="358"/>
      <c r="Z13" s="358" t="s">
        <v>657</v>
      </c>
      <c r="AA13" s="358" t="str">
        <f>CONCATENATE(Camp_List[[#This Row],[Ethnicity]],"-",Camp_List[[#This Row],[Religion]])</f>
        <v>-Muslim</v>
      </c>
      <c r="AB13" s="289" t="s">
        <v>1020</v>
      </c>
      <c r="AC13" s="358" t="s">
        <v>661</v>
      </c>
      <c r="AD13" s="709" t="s">
        <v>624</v>
      </c>
      <c r="AE13" s="358" t="s">
        <v>879</v>
      </c>
      <c r="AF13" s="358" t="s">
        <v>880</v>
      </c>
      <c r="AG13" s="290">
        <v>42825</v>
      </c>
      <c r="AH13" s="648" t="s">
        <v>1150</v>
      </c>
      <c r="AI13" s="75" t="str">
        <f>IFERROR(VLOOKUP(Camp_List[[#This Row],[Responsible Agency]],Organization_t[],3,0),"")</f>
        <v>Yadu Shresk
Emergency Project Coordinator
campro.mmr@lwfdws.org</v>
      </c>
      <c r="AJ13" s="574">
        <f ca="1">IF((SUMIFS(Data_Shelter_t[Coverage],Data_Shelter_t[Pcode],Camp_List[[#This Row],[P_Code]]))&gt;1,1,SUMIFS(Data_Shelter_t[Coverage],Data_Shelter_t[Pcode],Camp_List[[#This Row],[P_Code]]))</f>
        <v>0.62035541195476573</v>
      </c>
      <c r="BL13" s="19"/>
      <c r="BM13" s="19"/>
      <c r="BO13" s="69"/>
      <c r="BP13" s="69"/>
    </row>
    <row r="14" spans="1:68" ht="13.5" customHeight="1" x14ac:dyDescent="0.25">
      <c r="A14" s="358" t="s">
        <v>348</v>
      </c>
      <c r="B14" s="358" t="s">
        <v>7</v>
      </c>
      <c r="C14" s="358" t="s">
        <v>351</v>
      </c>
      <c r="D14" s="358" t="s">
        <v>19</v>
      </c>
      <c r="E14" s="358" t="s">
        <v>604</v>
      </c>
      <c r="F14" s="358" t="s">
        <v>19</v>
      </c>
      <c r="G14" s="358" t="s">
        <v>413</v>
      </c>
      <c r="H14" s="358" t="s">
        <v>501</v>
      </c>
      <c r="I14" s="358" t="s">
        <v>574</v>
      </c>
      <c r="J14" s="358" t="s">
        <v>1040</v>
      </c>
      <c r="K14" s="358" t="s">
        <v>1041</v>
      </c>
      <c r="L14" s="358" t="s">
        <v>61</v>
      </c>
      <c r="M14" s="358" t="s">
        <v>149</v>
      </c>
      <c r="N14" s="75">
        <v>92.875814000000005</v>
      </c>
      <c r="O14" s="75">
        <v>20.128488999999998</v>
      </c>
      <c r="P14" s="358"/>
      <c r="Q14" s="876">
        <v>397</v>
      </c>
      <c r="R14" s="875">
        <v>2175</v>
      </c>
      <c r="S14" s="888">
        <v>5.1612090680100753</v>
      </c>
      <c r="T14" s="642" t="s">
        <v>343</v>
      </c>
      <c r="U14" s="642" t="s">
        <v>756</v>
      </c>
      <c r="V14" s="642" t="s">
        <v>22</v>
      </c>
      <c r="W14" s="358"/>
      <c r="X14" s="358"/>
      <c r="Y14" s="358"/>
      <c r="Z14" s="358" t="s">
        <v>657</v>
      </c>
      <c r="AA14" s="358" t="str">
        <f>CONCATENATE(Camp_List[[#This Row],[Ethnicity]],"-",Camp_List[[#This Row],[Religion]])</f>
        <v>-Muslim</v>
      </c>
      <c r="AB14" s="358" t="s">
        <v>1020</v>
      </c>
      <c r="AC14" s="358" t="s">
        <v>661</v>
      </c>
      <c r="AD14" s="709" t="s">
        <v>624</v>
      </c>
      <c r="AE14" s="358" t="s">
        <v>879</v>
      </c>
      <c r="AF14" s="358" t="s">
        <v>880</v>
      </c>
      <c r="AG14" s="290">
        <v>42825</v>
      </c>
      <c r="AH14" s="648" t="s">
        <v>1150</v>
      </c>
      <c r="AI14" s="75" t="str">
        <f>IFERROR(VLOOKUP(Camp_List[[#This Row],[Responsible Agency]],Organization_t[],3,0),"")</f>
        <v>Yadu Shresk
Emergency Project Coordinator
campro.mmr@lwfdws.org</v>
      </c>
      <c r="AJ14" s="574">
        <f ca="1">IF((SUMIFS(Data_Shelter_t[Coverage],Data_Shelter_t[Pcode],Camp_List[[#This Row],[P_Code]]))&gt;1,1,SUMIFS(Data_Shelter_t[Coverage],Data_Shelter_t[Pcode],Camp_List[[#This Row],[P_Code]]))</f>
        <v>1</v>
      </c>
      <c r="BL14" s="19"/>
      <c r="BM14" s="19"/>
      <c r="BO14" s="69"/>
      <c r="BP14" s="69"/>
    </row>
    <row r="15" spans="1:68" ht="13.5" customHeight="1" x14ac:dyDescent="0.25">
      <c r="A15" s="358" t="s">
        <v>348</v>
      </c>
      <c r="B15" s="358" t="s">
        <v>7</v>
      </c>
      <c r="C15" s="358" t="s">
        <v>351</v>
      </c>
      <c r="D15" s="358" t="s">
        <v>19</v>
      </c>
      <c r="E15" s="358" t="s">
        <v>604</v>
      </c>
      <c r="F15" s="358" t="s">
        <v>19</v>
      </c>
      <c r="G15" s="358" t="s">
        <v>413</v>
      </c>
      <c r="H15" s="358" t="s">
        <v>419</v>
      </c>
      <c r="I15" s="358" t="s">
        <v>418</v>
      </c>
      <c r="J15" s="358" t="s">
        <v>496</v>
      </c>
      <c r="K15" s="358">
        <v>196192</v>
      </c>
      <c r="L15" s="358" t="s">
        <v>553</v>
      </c>
      <c r="M15" s="358" t="s">
        <v>554</v>
      </c>
      <c r="N15" s="75">
        <v>92.804803000000007</v>
      </c>
      <c r="O15" s="75">
        <v>20.182987000000001</v>
      </c>
      <c r="P15" s="358"/>
      <c r="Q15" s="876">
        <v>41</v>
      </c>
      <c r="R15" s="875">
        <v>226</v>
      </c>
      <c r="S15" s="888">
        <v>5.5121951219512191</v>
      </c>
      <c r="T15" s="642" t="s">
        <v>343</v>
      </c>
      <c r="U15" s="642" t="s">
        <v>756</v>
      </c>
      <c r="V15" s="642" t="s">
        <v>809</v>
      </c>
      <c r="W15" s="358"/>
      <c r="X15" s="358"/>
      <c r="Y15" s="358"/>
      <c r="Z15" s="358" t="s">
        <v>657</v>
      </c>
      <c r="AA15" s="358" t="str">
        <f>CONCATENATE(Camp_List[[#This Row],[Ethnicity]],"-",Camp_List[[#This Row],[Religion]])</f>
        <v>-Muslim</v>
      </c>
      <c r="AB15" s="358" t="s">
        <v>1020</v>
      </c>
      <c r="AC15" s="358" t="s">
        <v>662</v>
      </c>
      <c r="AD15" s="709" t="s">
        <v>285</v>
      </c>
      <c r="AE15" s="358" t="s">
        <v>504</v>
      </c>
      <c r="AF15" s="358" t="s">
        <v>520</v>
      </c>
      <c r="AG15" s="290">
        <v>42766</v>
      </c>
      <c r="AH15" s="358"/>
      <c r="AI15" s="75" t="str">
        <f>IFERROR(VLOOKUP(Camp_List[[#This Row],[Responsible Agency]],Organization_t[],3,0),"")</f>
        <v>Richard Tracey, CCCM/NFI Cluster Coordinator, tracey@unhcr.org,09448027896</v>
      </c>
      <c r="AJ15" s="574">
        <f>IF((SUMIFS(Data_Shelter_t[Coverage],Data_Shelter_t[Pcode],Camp_List[[#This Row],[P_Code]]))&gt;1,1,SUMIFS(Data_Shelter_t[Coverage],Data_Shelter_t[Pcode],Camp_List[[#This Row],[P_Code]]))</f>
        <v>0</v>
      </c>
      <c r="BL15" s="19"/>
      <c r="BM15" s="19"/>
      <c r="BO15" s="69"/>
      <c r="BP15" s="69"/>
    </row>
    <row r="16" spans="1:68" ht="13.5" customHeight="1" x14ac:dyDescent="0.25">
      <c r="A16" s="358" t="s">
        <v>348</v>
      </c>
      <c r="B16" s="358" t="s">
        <v>7</v>
      </c>
      <c r="C16" s="358" t="s">
        <v>351</v>
      </c>
      <c r="D16" s="358" t="s">
        <v>19</v>
      </c>
      <c r="E16" s="358" t="s">
        <v>604</v>
      </c>
      <c r="F16" s="358" t="s">
        <v>19</v>
      </c>
      <c r="G16" s="358" t="s">
        <v>413</v>
      </c>
      <c r="H16" s="358" t="s">
        <v>419</v>
      </c>
      <c r="I16" s="358" t="s">
        <v>418</v>
      </c>
      <c r="J16" s="358" t="s">
        <v>496</v>
      </c>
      <c r="K16" s="358">
        <v>196192</v>
      </c>
      <c r="L16" s="358" t="s">
        <v>630</v>
      </c>
      <c r="M16" s="358" t="s">
        <v>632</v>
      </c>
      <c r="N16" s="75">
        <v>92.813028000000003</v>
      </c>
      <c r="O16" s="75">
        <v>20.179417000000001</v>
      </c>
      <c r="P16" s="358"/>
      <c r="Q16" s="876">
        <v>1011</v>
      </c>
      <c r="R16" s="875">
        <v>4879</v>
      </c>
      <c r="S16" s="888">
        <v>4.8655967903711135</v>
      </c>
      <c r="T16" s="642" t="s">
        <v>343</v>
      </c>
      <c r="U16" s="642" t="s">
        <v>756</v>
      </c>
      <c r="V16" s="642" t="s">
        <v>22</v>
      </c>
      <c r="W16" s="358"/>
      <c r="X16" s="358"/>
      <c r="Y16" s="358"/>
      <c r="Z16" s="358" t="s">
        <v>657</v>
      </c>
      <c r="AA16" s="358" t="str">
        <f>CONCATENATE(Camp_List[[#This Row],[Ethnicity]],"-",Camp_List[[#This Row],[Religion]])</f>
        <v>-Muslim</v>
      </c>
      <c r="AB16" s="358" t="s">
        <v>1020</v>
      </c>
      <c r="AC16" s="358" t="s">
        <v>661</v>
      </c>
      <c r="AD16" s="709" t="s">
        <v>288</v>
      </c>
      <c r="AE16" s="358" t="s">
        <v>879</v>
      </c>
      <c r="AF16" s="358" t="s">
        <v>880</v>
      </c>
      <c r="AG16" s="290">
        <v>42825</v>
      </c>
      <c r="AH16" s="648" t="s">
        <v>1146</v>
      </c>
      <c r="AI16" s="75" t="str">
        <f>IFERROR(VLOOKUP(Camp_List[[#This Row],[Responsible Agency]],Organization_t[],3,0),"")</f>
        <v>Sophie Everest, CCCM Project Coordinator,
sophie.everest@drcmm.org,</v>
      </c>
      <c r="AJ16" s="574">
        <f ca="1">IF((SUMIFS(Data_Shelter_t[Coverage],Data_Shelter_t[Pcode],Camp_List[[#This Row],[P_Code]]))&gt;1,1,SUMIFS(Data_Shelter_t[Coverage],Data_Shelter_t[Pcode],Camp_List[[#This Row],[P_Code]]))</f>
        <v>1</v>
      </c>
      <c r="BL16" s="19"/>
      <c r="BM16" s="19"/>
      <c r="BO16" s="69"/>
      <c r="BP16" s="69"/>
    </row>
    <row r="17" spans="1:69" ht="13.5" customHeight="1" x14ac:dyDescent="0.25">
      <c r="A17" s="358" t="s">
        <v>348</v>
      </c>
      <c r="B17" s="358" t="s">
        <v>7</v>
      </c>
      <c r="C17" s="358" t="s">
        <v>351</v>
      </c>
      <c r="D17" s="358" t="s">
        <v>608</v>
      </c>
      <c r="E17" s="358" t="s">
        <v>609</v>
      </c>
      <c r="F17" s="358" t="s">
        <v>18</v>
      </c>
      <c r="G17" s="358" t="s">
        <v>405</v>
      </c>
      <c r="H17" s="358" t="s">
        <v>408</v>
      </c>
      <c r="I17" s="358" t="s">
        <v>407</v>
      </c>
      <c r="J17" s="358" t="s">
        <v>1035</v>
      </c>
      <c r="K17" s="358" t="s">
        <v>1034</v>
      </c>
      <c r="L17" s="358" t="s">
        <v>59</v>
      </c>
      <c r="M17" s="358" t="s">
        <v>147</v>
      </c>
      <c r="N17" s="75">
        <v>93.857592999999994</v>
      </c>
      <c r="O17" s="75">
        <v>19.088283000000001</v>
      </c>
      <c r="P17" s="358"/>
      <c r="Q17" s="876">
        <v>57</v>
      </c>
      <c r="R17" s="875">
        <v>187</v>
      </c>
      <c r="S17" s="888">
        <v>3.1166666666666667</v>
      </c>
      <c r="T17" s="642" t="s">
        <v>343</v>
      </c>
      <c r="U17" s="642" t="s">
        <v>756</v>
      </c>
      <c r="V17" s="642" t="s">
        <v>22</v>
      </c>
      <c r="W17" s="358"/>
      <c r="X17" s="358"/>
      <c r="Y17" s="358"/>
      <c r="Z17" s="358" t="s">
        <v>657</v>
      </c>
      <c r="AA17" s="358" t="str">
        <f>CONCATENATE(Camp_List[[#This Row],[Ethnicity]],"-",Camp_List[[#This Row],[Religion]])</f>
        <v>-Muslim</v>
      </c>
      <c r="AB17" s="289" t="s">
        <v>512</v>
      </c>
      <c r="AC17" s="358" t="s">
        <v>662</v>
      </c>
      <c r="AD17" s="710" t="s">
        <v>285</v>
      </c>
      <c r="AE17" s="358" t="s">
        <v>504</v>
      </c>
      <c r="AF17" s="358" t="s">
        <v>520</v>
      </c>
      <c r="AG17" s="290">
        <v>42766</v>
      </c>
      <c r="AH17" s="646" t="s">
        <v>1021</v>
      </c>
      <c r="AI17" s="75" t="str">
        <f>IFERROR(VLOOKUP(Camp_List[[#This Row],[Responsible Agency]],Organization_t[],3,0),"")</f>
        <v>Richard Tracey, CCCM/NFI Cluster Coordinator, tracey@unhcr.org,09448027896</v>
      </c>
      <c r="AJ17" s="574">
        <f ca="1">IF((SUMIFS(Data_Shelter_t[Coverage],Data_Shelter_t[Pcode],Camp_List[[#This Row],[P_Code]]))&gt;1,1,SUMIFS(Data_Shelter_t[Coverage],Data_Shelter_t[Pcode],Camp_List[[#This Row],[P_Code]]))</f>
        <v>1</v>
      </c>
      <c r="BL17" s="19"/>
      <c r="BM17" s="19"/>
      <c r="BO17" s="69"/>
      <c r="BP17" s="69"/>
    </row>
    <row r="18" spans="1:69" ht="13.5" customHeight="1" x14ac:dyDescent="0.25">
      <c r="A18" s="358" t="s">
        <v>348</v>
      </c>
      <c r="B18" s="358" t="s">
        <v>7</v>
      </c>
      <c r="C18" s="358" t="s">
        <v>351</v>
      </c>
      <c r="D18" s="358" t="s">
        <v>19</v>
      </c>
      <c r="E18" s="358" t="s">
        <v>604</v>
      </c>
      <c r="F18" s="358" t="s">
        <v>19</v>
      </c>
      <c r="G18" s="358" t="s">
        <v>413</v>
      </c>
      <c r="H18" s="358" t="s">
        <v>419</v>
      </c>
      <c r="I18" s="358" t="s">
        <v>418</v>
      </c>
      <c r="J18" s="358" t="s">
        <v>496</v>
      </c>
      <c r="K18" s="358">
        <v>196192</v>
      </c>
      <c r="L18" s="358" t="s">
        <v>631</v>
      </c>
      <c r="M18" s="358" t="s">
        <v>633</v>
      </c>
      <c r="N18" s="75">
        <v>92.807552000000001</v>
      </c>
      <c r="O18" s="75">
        <v>20.181405999999999</v>
      </c>
      <c r="P18" s="358"/>
      <c r="Q18" s="948">
        <v>1289</v>
      </c>
      <c r="R18" s="875">
        <v>6947</v>
      </c>
      <c r="S18" s="889">
        <v>5.3330763299922896</v>
      </c>
      <c r="T18" s="642" t="s">
        <v>343</v>
      </c>
      <c r="U18" s="642" t="s">
        <v>756</v>
      </c>
      <c r="V18" s="642" t="s">
        <v>22</v>
      </c>
      <c r="W18" s="358"/>
      <c r="X18" s="358"/>
      <c r="Y18" s="358"/>
      <c r="Z18" s="358" t="s">
        <v>657</v>
      </c>
      <c r="AA18" s="358" t="str">
        <f>CONCATENATE(Camp_List[[#This Row],[Ethnicity]],"-",Camp_List[[#This Row],[Religion]])</f>
        <v>-Muslim</v>
      </c>
      <c r="AB18" s="358" t="s">
        <v>1020</v>
      </c>
      <c r="AC18" s="358" t="s">
        <v>661</v>
      </c>
      <c r="AD18" s="709" t="s">
        <v>288</v>
      </c>
      <c r="AE18" s="358" t="s">
        <v>879</v>
      </c>
      <c r="AF18" s="358" t="s">
        <v>880</v>
      </c>
      <c r="AG18" s="290">
        <v>42825</v>
      </c>
      <c r="AH18" s="648" t="s">
        <v>1148</v>
      </c>
      <c r="AI18" s="75" t="str">
        <f>IFERROR(VLOOKUP(Camp_List[[#This Row],[Responsible Agency]],Organization_t[],3,0),"")</f>
        <v>Sophie Everest, CCCM Project Coordinator,
sophie.everest@drcmm.org,</v>
      </c>
      <c r="AJ18" s="574">
        <f ca="1">IF((SUMIFS(Data_Shelter_t[Coverage],Data_Shelter_t[Pcode],Camp_List[[#This Row],[P_Code]]))&gt;1,1,SUMIFS(Data_Shelter_t[Coverage],Data_Shelter_t[Pcode],Camp_List[[#This Row],[P_Code]]))</f>
        <v>1</v>
      </c>
      <c r="BL18" s="19"/>
      <c r="BM18" s="19"/>
      <c r="BO18" s="69"/>
      <c r="BP18" s="69"/>
    </row>
    <row r="19" spans="1:69" ht="13.5" customHeight="1" x14ac:dyDescent="0.25">
      <c r="A19" s="358" t="s">
        <v>348</v>
      </c>
      <c r="B19" s="358" t="s">
        <v>7</v>
      </c>
      <c r="C19" s="358" t="s">
        <v>351</v>
      </c>
      <c r="D19" s="358" t="s">
        <v>19</v>
      </c>
      <c r="E19" s="358" t="s">
        <v>604</v>
      </c>
      <c r="F19" s="358" t="s">
        <v>19</v>
      </c>
      <c r="G19" s="358" t="s">
        <v>413</v>
      </c>
      <c r="H19" s="358" t="s">
        <v>417</v>
      </c>
      <c r="I19" s="637" t="s">
        <v>416</v>
      </c>
      <c r="J19" s="358" t="s">
        <v>497</v>
      </c>
      <c r="K19" s="637">
        <v>196206</v>
      </c>
      <c r="L19" s="358" t="s">
        <v>63</v>
      </c>
      <c r="M19" s="358" t="s">
        <v>151</v>
      </c>
      <c r="N19" s="75">
        <v>92.827427</v>
      </c>
      <c r="O19" s="75">
        <v>20.16846</v>
      </c>
      <c r="P19" s="358"/>
      <c r="Q19" s="876">
        <v>1431</v>
      </c>
      <c r="R19" s="875">
        <v>8204</v>
      </c>
      <c r="S19" s="888">
        <v>5.8618468146027203</v>
      </c>
      <c r="T19" s="642" t="s">
        <v>343</v>
      </c>
      <c r="U19" s="642" t="s">
        <v>756</v>
      </c>
      <c r="V19" s="642" t="s">
        <v>22</v>
      </c>
      <c r="W19" s="358"/>
      <c r="X19" s="358"/>
      <c r="Y19" s="358"/>
      <c r="Z19" s="358" t="s">
        <v>657</v>
      </c>
      <c r="AA19" s="358" t="str">
        <f>CONCATENATE(Camp_List[[#This Row],[Ethnicity]],"-",Camp_List[[#This Row],[Religion]])</f>
        <v>-Muslim</v>
      </c>
      <c r="AB19" s="358" t="s">
        <v>1020</v>
      </c>
      <c r="AC19" s="358" t="s">
        <v>661</v>
      </c>
      <c r="AD19" s="709" t="s">
        <v>288</v>
      </c>
      <c r="AE19" s="358" t="s">
        <v>879</v>
      </c>
      <c r="AF19" s="358" t="s">
        <v>880</v>
      </c>
      <c r="AG19" s="290">
        <v>42825</v>
      </c>
      <c r="AH19" s="648" t="s">
        <v>1150</v>
      </c>
      <c r="AI19" s="75" t="str">
        <f>IFERROR(VLOOKUP(Camp_List[[#This Row],[Responsible Agency]],Organization_t[],3,0),"")</f>
        <v>Sophie Everest, CCCM Project Coordinator,
sophie.everest@drcmm.org,</v>
      </c>
      <c r="AJ19" s="574">
        <f ca="1">IF((SUMIFS(Data_Shelter_t[Coverage],Data_Shelter_t[Pcode],Camp_List[[#This Row],[P_Code]]))&gt;1,1,SUMIFS(Data_Shelter_t[Coverage],Data_Shelter_t[Pcode],Camp_List[[#This Row],[P_Code]]))</f>
        <v>1</v>
      </c>
      <c r="BL19" s="19"/>
      <c r="BM19" s="19"/>
      <c r="BO19" s="69"/>
      <c r="BP19" s="69"/>
    </row>
    <row r="20" spans="1:69" ht="13.5" customHeight="1" x14ac:dyDescent="0.25">
      <c r="A20" s="358" t="s">
        <v>348</v>
      </c>
      <c r="B20" s="358" t="s">
        <v>7</v>
      </c>
      <c r="C20" s="358" t="s">
        <v>351</v>
      </c>
      <c r="D20" s="358" t="s">
        <v>19</v>
      </c>
      <c r="E20" s="358" t="s">
        <v>604</v>
      </c>
      <c r="F20" s="358" t="s">
        <v>19</v>
      </c>
      <c r="G20" s="358" t="s">
        <v>413</v>
      </c>
      <c r="H20" s="358" t="s">
        <v>417</v>
      </c>
      <c r="I20" s="358" t="s">
        <v>416</v>
      </c>
      <c r="J20" s="358" t="s">
        <v>497</v>
      </c>
      <c r="K20" s="358">
        <v>196206</v>
      </c>
      <c r="L20" s="358" t="s">
        <v>543</v>
      </c>
      <c r="M20" s="358" t="s">
        <v>544</v>
      </c>
      <c r="N20" s="75">
        <v>92.830074999999994</v>
      </c>
      <c r="O20" s="75">
        <v>20.167421999999998</v>
      </c>
      <c r="P20" s="358"/>
      <c r="Q20" s="876">
        <v>518</v>
      </c>
      <c r="R20" s="874">
        <v>2951</v>
      </c>
      <c r="S20" s="888">
        <v>5.6969111969111967</v>
      </c>
      <c r="T20" s="642" t="s">
        <v>343</v>
      </c>
      <c r="U20" s="642" t="s">
        <v>756</v>
      </c>
      <c r="V20" s="642" t="s">
        <v>809</v>
      </c>
      <c r="W20" s="360"/>
      <c r="X20" s="358"/>
      <c r="Y20" s="358"/>
      <c r="Z20" s="358" t="s">
        <v>657</v>
      </c>
      <c r="AA20" s="358" t="str">
        <f>CONCATENATE(Camp_List[[#This Row],[Ethnicity]],"-",Camp_List[[#This Row],[Religion]])</f>
        <v>-Muslim</v>
      </c>
      <c r="AB20" s="358" t="s">
        <v>1020</v>
      </c>
      <c r="AC20" s="358" t="s">
        <v>662</v>
      </c>
      <c r="AD20" s="709" t="s">
        <v>285</v>
      </c>
      <c r="AE20" s="358" t="s">
        <v>504</v>
      </c>
      <c r="AF20" s="358" t="s">
        <v>520</v>
      </c>
      <c r="AG20" s="290">
        <v>42766</v>
      </c>
      <c r="AH20" s="358"/>
      <c r="AI20" s="75" t="str">
        <f>IFERROR(VLOOKUP(Camp_List[[#This Row],[Responsible Agency]],Organization_t[],3,0),"")</f>
        <v>Richard Tracey, CCCM/NFI Cluster Coordinator, tracey@unhcr.org,09448027896</v>
      </c>
      <c r="AJ20" s="574">
        <f>IF((SUMIFS(Data_Shelter_t[Coverage],Data_Shelter_t[Pcode],Camp_List[[#This Row],[P_Code]]))&gt;1,1,SUMIFS(Data_Shelter_t[Coverage],Data_Shelter_t[Pcode],Camp_List[[#This Row],[P_Code]]))</f>
        <v>0</v>
      </c>
      <c r="BL20" s="19"/>
      <c r="BM20" s="19"/>
      <c r="BO20" s="69"/>
      <c r="BP20" s="69"/>
    </row>
    <row r="21" spans="1:69" ht="13.5" customHeight="1" x14ac:dyDescent="0.25">
      <c r="A21" s="358" t="s">
        <v>348</v>
      </c>
      <c r="B21" s="358" t="s">
        <v>7</v>
      </c>
      <c r="C21" s="358" t="s">
        <v>351</v>
      </c>
      <c r="D21" s="358" t="s">
        <v>19</v>
      </c>
      <c r="E21" s="358" t="s">
        <v>604</v>
      </c>
      <c r="F21" s="358" t="s">
        <v>15</v>
      </c>
      <c r="G21" s="358" t="s">
        <v>381</v>
      </c>
      <c r="H21" s="358" t="s">
        <v>392</v>
      </c>
      <c r="I21" s="358" t="s">
        <v>391</v>
      </c>
      <c r="J21" s="358" t="s">
        <v>478</v>
      </c>
      <c r="K21" s="637">
        <v>196829</v>
      </c>
      <c r="L21" s="358" t="s">
        <v>47</v>
      </c>
      <c r="M21" s="358" t="s">
        <v>133</v>
      </c>
      <c r="N21" s="75">
        <v>92.965980999999999</v>
      </c>
      <c r="O21" s="75">
        <v>20.865687000000001</v>
      </c>
      <c r="P21" s="358"/>
      <c r="Q21" s="876">
        <v>85</v>
      </c>
      <c r="R21" s="875">
        <v>546</v>
      </c>
      <c r="S21" s="888">
        <v>6.8</v>
      </c>
      <c r="T21" s="642" t="s">
        <v>343</v>
      </c>
      <c r="U21" s="642" t="s">
        <v>756</v>
      </c>
      <c r="V21" s="642" t="s">
        <v>23</v>
      </c>
      <c r="W21" s="360" t="s">
        <v>863</v>
      </c>
      <c r="X21" s="358"/>
      <c r="Y21" s="358"/>
      <c r="Z21" s="358" t="s">
        <v>657</v>
      </c>
      <c r="AA21" s="358" t="str">
        <f>CONCATENATE(Camp_List[[#This Row],[Ethnicity]],"-",Camp_List[[#This Row],[Religion]])</f>
        <v>-Muslim</v>
      </c>
      <c r="AB21" s="358" t="s">
        <v>1020</v>
      </c>
      <c r="AC21" s="358" t="s">
        <v>662</v>
      </c>
      <c r="AD21" s="709" t="s">
        <v>285</v>
      </c>
      <c r="AE21" s="358" t="s">
        <v>504</v>
      </c>
      <c r="AF21" s="358" t="s">
        <v>927</v>
      </c>
      <c r="AG21" s="290">
        <v>42766</v>
      </c>
      <c r="AH21" s="634" t="s">
        <v>1022</v>
      </c>
      <c r="AI21" s="75" t="str">
        <f>IFERROR(VLOOKUP(Camp_List[[#This Row],[Responsible Agency]],Organization_t[],3,0),"")</f>
        <v>Richard Tracey, CCCM/NFI Cluster Coordinator, tracey@unhcr.org,09448027896</v>
      </c>
      <c r="AJ21" s="574">
        <f ca="1">IF((SUMIFS(Data_Shelter_t[Coverage],Data_Shelter_t[Pcode],Camp_List[[#This Row],[P_Code]]))&gt;1,1,SUMIFS(Data_Shelter_t[Coverage],Data_Shelter_t[Pcode],Camp_List[[#This Row],[P_Code]]))</f>
        <v>0.84705882352941175</v>
      </c>
      <c r="BL21" s="19"/>
      <c r="BM21" s="19"/>
      <c r="BO21" s="69"/>
      <c r="BP21" s="69"/>
    </row>
    <row r="22" spans="1:69" ht="13.5" customHeight="1" x14ac:dyDescent="0.25">
      <c r="A22" s="358" t="s">
        <v>348</v>
      </c>
      <c r="B22" s="358" t="s">
        <v>7</v>
      </c>
      <c r="C22" s="358" t="s">
        <v>351</v>
      </c>
      <c r="D22" s="358" t="s">
        <v>19</v>
      </c>
      <c r="E22" s="358" t="s">
        <v>604</v>
      </c>
      <c r="F22" s="358" t="s">
        <v>19</v>
      </c>
      <c r="G22" s="358" t="s">
        <v>413</v>
      </c>
      <c r="H22" s="358" t="s">
        <v>419</v>
      </c>
      <c r="I22" s="358" t="s">
        <v>418</v>
      </c>
      <c r="J22" s="358" t="s">
        <v>419</v>
      </c>
      <c r="K22" s="358">
        <v>196191</v>
      </c>
      <c r="L22" s="358" t="s">
        <v>64</v>
      </c>
      <c r="M22" s="358" t="s">
        <v>152</v>
      </c>
      <c r="N22" s="75">
        <v>92.823166999999998</v>
      </c>
      <c r="O22" s="75">
        <v>20.181778000000001</v>
      </c>
      <c r="P22" s="358"/>
      <c r="Q22" s="876">
        <v>799</v>
      </c>
      <c r="R22" s="875">
        <v>4404</v>
      </c>
      <c r="S22" s="888">
        <v>5.4411027568922306</v>
      </c>
      <c r="T22" s="642" t="s">
        <v>343</v>
      </c>
      <c r="U22" s="642" t="s">
        <v>756</v>
      </c>
      <c r="V22" s="642" t="s">
        <v>22</v>
      </c>
      <c r="W22" s="360"/>
      <c r="X22" s="358"/>
      <c r="Y22" s="358"/>
      <c r="Z22" s="358" t="s">
        <v>657</v>
      </c>
      <c r="AA22" s="358" t="str">
        <f>CONCATENATE(Camp_List[[#This Row],[Ethnicity]],"-",Camp_List[[#This Row],[Religion]])</f>
        <v>-Muslim</v>
      </c>
      <c r="AB22" s="358" t="s">
        <v>1020</v>
      </c>
      <c r="AC22" s="358" t="s">
        <v>661</v>
      </c>
      <c r="AD22" s="709" t="s">
        <v>624</v>
      </c>
      <c r="AE22" s="358" t="s">
        <v>879</v>
      </c>
      <c r="AF22" s="358" t="s">
        <v>880</v>
      </c>
      <c r="AG22" s="290">
        <v>42825</v>
      </c>
      <c r="AH22" s="648" t="s">
        <v>1150</v>
      </c>
      <c r="AI22" s="75" t="str">
        <f>IFERROR(VLOOKUP(Camp_List[[#This Row],[Responsible Agency]],Organization_t[],3,0),"")</f>
        <v>Yadu Shresk
Emergency Project Coordinator
campro.mmr@lwfdws.org</v>
      </c>
      <c r="AJ22" s="574">
        <f ca="1">IF((SUMIFS(Data_Shelter_t[Coverage],Data_Shelter_t[Pcode],Camp_List[[#This Row],[P_Code]]))&gt;1,1,SUMIFS(Data_Shelter_t[Coverage],Data_Shelter_t[Pcode],Camp_List[[#This Row],[P_Code]]))</f>
        <v>1</v>
      </c>
      <c r="BL22" s="19"/>
      <c r="BM22" s="19"/>
      <c r="BO22" s="69"/>
      <c r="BP22" s="69"/>
    </row>
    <row r="23" spans="1:69" ht="13.5" customHeight="1" x14ac:dyDescent="0.25">
      <c r="A23" s="358" t="s">
        <v>348</v>
      </c>
      <c r="B23" s="358" t="s">
        <v>7</v>
      </c>
      <c r="C23" s="358" t="s">
        <v>351</v>
      </c>
      <c r="D23" s="358" t="s">
        <v>19</v>
      </c>
      <c r="E23" s="358" t="s">
        <v>604</v>
      </c>
      <c r="F23" s="358" t="s">
        <v>16</v>
      </c>
      <c r="G23" s="358" t="s">
        <v>398</v>
      </c>
      <c r="H23" s="358" t="s">
        <v>400</v>
      </c>
      <c r="I23" s="358" t="s">
        <v>399</v>
      </c>
      <c r="J23" s="358" t="s">
        <v>493</v>
      </c>
      <c r="K23" s="358">
        <v>197651</v>
      </c>
      <c r="L23" s="358" t="s">
        <v>605</v>
      </c>
      <c r="M23" s="358" t="s">
        <v>143</v>
      </c>
      <c r="N23" s="75">
        <v>92.660360999999995</v>
      </c>
      <c r="O23" s="75">
        <v>20.408453000000002</v>
      </c>
      <c r="P23" s="358"/>
      <c r="Q23" s="876">
        <v>217</v>
      </c>
      <c r="R23" s="875">
        <v>1297</v>
      </c>
      <c r="S23" s="888">
        <v>5.8853211009174311</v>
      </c>
      <c r="T23" s="642" t="s">
        <v>343</v>
      </c>
      <c r="U23" s="642" t="s">
        <v>756</v>
      </c>
      <c r="V23" s="642" t="s">
        <v>22</v>
      </c>
      <c r="W23" s="360"/>
      <c r="X23" s="358"/>
      <c r="Y23" s="358"/>
      <c r="Z23" s="358" t="s">
        <v>657</v>
      </c>
      <c r="AA23" s="358" t="str">
        <f>CONCATENATE(Camp_List[[#This Row],[Ethnicity]],"-",Camp_List[[#This Row],[Religion]])</f>
        <v>-Muslim</v>
      </c>
      <c r="AB23" s="703" t="s">
        <v>1020</v>
      </c>
      <c r="AC23" s="358" t="s">
        <v>662</v>
      </c>
      <c r="AD23" s="709" t="s">
        <v>285</v>
      </c>
      <c r="AE23" s="358" t="s">
        <v>504</v>
      </c>
      <c r="AF23" s="358" t="s">
        <v>520</v>
      </c>
      <c r="AG23" s="290">
        <v>42766</v>
      </c>
      <c r="AH23" s="358"/>
      <c r="AI23" s="75" t="str">
        <f>IFERROR(VLOOKUP(Camp_List[[#This Row],[Responsible Agency]],Organization_t[],3,0),"")</f>
        <v>Richard Tracey, CCCM/NFI Cluster Coordinator, tracey@unhcr.org,09448027896</v>
      </c>
      <c r="AJ23" s="574">
        <f ca="1">IF((SUMIFS(Data_Shelter_t[Coverage],Data_Shelter_t[Pcode],Camp_List[[#This Row],[P_Code]]))&gt;1,1,SUMIFS(Data_Shelter_t[Coverage],Data_Shelter_t[Pcode],Camp_List[[#This Row],[P_Code]]))</f>
        <v>0.88479262672811065</v>
      </c>
      <c r="BL23" s="19"/>
      <c r="BM23" s="19"/>
      <c r="BO23" s="69"/>
      <c r="BP23" s="69"/>
    </row>
    <row r="24" spans="1:69" ht="13.5" customHeight="1" x14ac:dyDescent="0.25">
      <c r="A24" s="358" t="s">
        <v>348</v>
      </c>
      <c r="B24" s="358" t="s">
        <v>7</v>
      </c>
      <c r="C24" s="358" t="s">
        <v>351</v>
      </c>
      <c r="D24" s="358" t="s">
        <v>19</v>
      </c>
      <c r="E24" s="358" t="s">
        <v>604</v>
      </c>
      <c r="F24" s="358" t="s">
        <v>16</v>
      </c>
      <c r="G24" s="358" t="s">
        <v>398</v>
      </c>
      <c r="H24" s="358" t="s">
        <v>400</v>
      </c>
      <c r="I24" s="358" t="s">
        <v>399</v>
      </c>
      <c r="J24" s="358" t="s">
        <v>607</v>
      </c>
      <c r="K24" s="358">
        <v>197652</v>
      </c>
      <c r="L24" s="358" t="s">
        <v>400</v>
      </c>
      <c r="M24" s="358" t="s">
        <v>606</v>
      </c>
      <c r="N24" s="75">
        <v>92.639589000000001</v>
      </c>
      <c r="O24" s="75">
        <v>20.447261000000001</v>
      </c>
      <c r="P24" s="358"/>
      <c r="Q24" s="876">
        <v>193</v>
      </c>
      <c r="R24" s="875">
        <v>961</v>
      </c>
      <c r="S24" s="888">
        <v>4.624365482233503</v>
      </c>
      <c r="T24" s="642" t="s">
        <v>343</v>
      </c>
      <c r="U24" s="642" t="s">
        <v>756</v>
      </c>
      <c r="V24" s="642" t="s">
        <v>22</v>
      </c>
      <c r="W24" s="360"/>
      <c r="X24" s="358"/>
      <c r="Y24" s="358"/>
      <c r="Z24" s="358" t="s">
        <v>657</v>
      </c>
      <c r="AA24" s="358" t="str">
        <f>CONCATENATE(Camp_List[[#This Row],[Ethnicity]],"-",Camp_List[[#This Row],[Religion]])</f>
        <v>-Muslim</v>
      </c>
      <c r="AB24" s="703" t="s">
        <v>1020</v>
      </c>
      <c r="AC24" s="358" t="s">
        <v>662</v>
      </c>
      <c r="AD24" s="709" t="s">
        <v>285</v>
      </c>
      <c r="AE24" s="358" t="s">
        <v>504</v>
      </c>
      <c r="AF24" s="358" t="s">
        <v>520</v>
      </c>
      <c r="AG24" s="290">
        <v>42766</v>
      </c>
      <c r="AH24" s="705"/>
      <c r="AI24" s="19" t="str">
        <f>IFERROR(VLOOKUP(Camp_List[[#This Row],[Responsible Agency]],Organization_t[],3,0),"")</f>
        <v>Richard Tracey, CCCM/NFI Cluster Coordinator, tracey@unhcr.org,09448027896</v>
      </c>
      <c r="AJ24" s="574">
        <f ca="1">IF((SUMIFS(Data_Shelter_t[Coverage],Data_Shelter_t[Pcode],Camp_List[[#This Row],[P_Code]]))&gt;1,1,SUMIFS(Data_Shelter_t[Coverage],Data_Shelter_t[Pcode],Camp_List[[#This Row],[P_Code]]))</f>
        <v>1</v>
      </c>
      <c r="BL24" s="19"/>
      <c r="BM24" s="19"/>
      <c r="BO24" s="69"/>
      <c r="BP24" s="69"/>
    </row>
    <row r="25" spans="1:69" ht="13.5" customHeight="1" x14ac:dyDescent="0.25">
      <c r="A25" s="358" t="s">
        <v>348</v>
      </c>
      <c r="B25" s="358" t="s">
        <v>7</v>
      </c>
      <c r="C25" s="358" t="s">
        <v>351</v>
      </c>
      <c r="D25" s="358" t="s">
        <v>19</v>
      </c>
      <c r="E25" s="358" t="s">
        <v>604</v>
      </c>
      <c r="F25" s="358" t="s">
        <v>16</v>
      </c>
      <c r="G25" s="358" t="s">
        <v>398</v>
      </c>
      <c r="H25" s="358" t="s">
        <v>402</v>
      </c>
      <c r="I25" s="358" t="s">
        <v>401</v>
      </c>
      <c r="J25" s="358" t="s">
        <v>402</v>
      </c>
      <c r="K25" s="358">
        <v>197590</v>
      </c>
      <c r="L25" s="358" t="s">
        <v>57</v>
      </c>
      <c r="M25" s="358" t="s">
        <v>144</v>
      </c>
      <c r="N25" s="75">
        <v>92.640022000000002</v>
      </c>
      <c r="O25" s="75">
        <v>20.569219</v>
      </c>
      <c r="P25" s="358"/>
      <c r="Q25" s="876">
        <v>251</v>
      </c>
      <c r="R25" s="875">
        <v>1308</v>
      </c>
      <c r="S25" s="888">
        <v>4.9240000000000004</v>
      </c>
      <c r="T25" s="642" t="s">
        <v>343</v>
      </c>
      <c r="U25" s="642" t="s">
        <v>756</v>
      </c>
      <c r="V25" s="642" t="s">
        <v>23</v>
      </c>
      <c r="W25" s="360"/>
      <c r="X25" s="358"/>
      <c r="Y25" s="358"/>
      <c r="Z25" s="358" t="s">
        <v>657</v>
      </c>
      <c r="AA25" s="358" t="str">
        <f>CONCATENATE(Camp_List[[#This Row],[Ethnicity]],"-",Camp_List[[#This Row],[Religion]])</f>
        <v>-Muslim</v>
      </c>
      <c r="AB25" s="703" t="s">
        <v>1020</v>
      </c>
      <c r="AC25" s="358" t="s">
        <v>662</v>
      </c>
      <c r="AD25" s="709" t="s">
        <v>285</v>
      </c>
      <c r="AE25" s="358" t="s">
        <v>504</v>
      </c>
      <c r="AF25" s="358" t="s">
        <v>520</v>
      </c>
      <c r="AG25" s="290">
        <v>42766</v>
      </c>
      <c r="AH25" s="638"/>
      <c r="AI25" s="19" t="str">
        <f>IFERROR(VLOOKUP(Camp_List[[#This Row],[Responsible Agency]],Organization_t[],3,0),"")</f>
        <v>Richard Tracey, CCCM/NFI Cluster Coordinator, tracey@unhcr.org,09448027896</v>
      </c>
      <c r="AJ25" s="574">
        <f>IF((SUMIFS(Data_Shelter_t[Coverage],Data_Shelter_t[Pcode],Camp_List[[#This Row],[P_Code]]))&gt;1,1,SUMIFS(Data_Shelter_t[Coverage],Data_Shelter_t[Pcode],Camp_List[[#This Row],[P_Code]]))</f>
        <v>0</v>
      </c>
      <c r="BL25" s="19"/>
      <c r="BM25" s="19"/>
      <c r="BO25" s="69"/>
      <c r="BP25" s="69"/>
    </row>
    <row r="26" spans="1:69" ht="13.5" customHeight="1" x14ac:dyDescent="0.25">
      <c r="A26" s="358" t="s">
        <v>348</v>
      </c>
      <c r="B26" s="539" t="s">
        <v>7</v>
      </c>
      <c r="C26" s="539" t="s">
        <v>351</v>
      </c>
      <c r="D26" s="539" t="s">
        <v>19</v>
      </c>
      <c r="E26" s="539" t="s">
        <v>604</v>
      </c>
      <c r="F26" s="539" t="s">
        <v>14</v>
      </c>
      <c r="G26" s="539" t="s">
        <v>372</v>
      </c>
      <c r="H26" s="358" t="s">
        <v>378</v>
      </c>
      <c r="I26" s="358" t="s">
        <v>377</v>
      </c>
      <c r="J26" s="358" t="s">
        <v>42</v>
      </c>
      <c r="K26" s="358" t="s">
        <v>990</v>
      </c>
      <c r="L26" s="539" t="s">
        <v>42</v>
      </c>
      <c r="M26" s="539" t="s">
        <v>128</v>
      </c>
      <c r="N26" s="540">
        <v>93.010368999999997</v>
      </c>
      <c r="O26" s="540">
        <v>20.090183</v>
      </c>
      <c r="P26" s="539"/>
      <c r="Q26" s="876">
        <v>1012</v>
      </c>
      <c r="R26" s="875">
        <v>5115</v>
      </c>
      <c r="S26" s="888">
        <v>4.8249227600411899</v>
      </c>
      <c r="T26" s="642" t="s">
        <v>343</v>
      </c>
      <c r="U26" s="642" t="s">
        <v>756</v>
      </c>
      <c r="V26" s="738" t="s">
        <v>22</v>
      </c>
      <c r="W26" s="539"/>
      <c r="X26" s="539"/>
      <c r="Y26" s="539"/>
      <c r="Z26" s="358" t="s">
        <v>657</v>
      </c>
      <c r="AA26" s="358" t="str">
        <f>CONCATENATE(Camp_List[[#This Row],[Ethnicity]],"-",Camp_List[[#This Row],[Religion]])</f>
        <v>-Muslim</v>
      </c>
      <c r="AB26" s="289" t="s">
        <v>1020</v>
      </c>
      <c r="AC26" s="358" t="s">
        <v>661</v>
      </c>
      <c r="AD26" s="711" t="s">
        <v>288</v>
      </c>
      <c r="AE26" s="539"/>
      <c r="AF26" s="358" t="s">
        <v>880</v>
      </c>
      <c r="AG26" s="290">
        <v>42825</v>
      </c>
      <c r="AH26" s="648" t="s">
        <v>1150</v>
      </c>
      <c r="AI26" s="644" t="str">
        <f>IFERROR(VLOOKUP(Camp_List[[#This Row],[Responsible Agency]],Organization_t[],3,0),"")</f>
        <v>Sophie Everest, CCCM Project Coordinator,
sophie.everest@drcmm.org,</v>
      </c>
      <c r="AJ26" s="650">
        <f ca="1">IF((SUMIFS(Data_Shelter_t[Coverage],Data_Shelter_t[Pcode],Camp_List[[#This Row],[P_Code]]))&gt;1,1,SUMIFS(Data_Shelter_t[Coverage],Data_Shelter_t[Pcode],Camp_List[[#This Row],[P_Code]]))</f>
        <v>0.95652173913043481</v>
      </c>
      <c r="BL26" s="19"/>
      <c r="BM26" s="19"/>
      <c r="BO26" s="69"/>
      <c r="BP26" s="69"/>
    </row>
    <row r="27" spans="1:69" ht="13.5" customHeight="1" x14ac:dyDescent="0.25">
      <c r="A27" s="358" t="s">
        <v>348</v>
      </c>
      <c r="B27" s="358" t="s">
        <v>7</v>
      </c>
      <c r="C27" s="358" t="s">
        <v>351</v>
      </c>
      <c r="D27" s="358" t="s">
        <v>19</v>
      </c>
      <c r="E27" s="358" t="s">
        <v>604</v>
      </c>
      <c r="F27" s="358" t="s">
        <v>19</v>
      </c>
      <c r="G27" s="358" t="s">
        <v>413</v>
      </c>
      <c r="H27" s="358" t="s">
        <v>417</v>
      </c>
      <c r="I27" s="358" t="s">
        <v>416</v>
      </c>
      <c r="J27" s="358" t="s">
        <v>417</v>
      </c>
      <c r="K27" s="358">
        <v>196200</v>
      </c>
      <c r="L27" s="358" t="s">
        <v>629</v>
      </c>
      <c r="M27" s="358" t="s">
        <v>281</v>
      </c>
      <c r="N27" s="75">
        <v>92.831000000000003</v>
      </c>
      <c r="O27" s="75">
        <v>20.185917</v>
      </c>
      <c r="P27" s="358"/>
      <c r="Q27" s="880">
        <v>622</v>
      </c>
      <c r="R27" s="988">
        <v>3423</v>
      </c>
      <c r="S27" s="888">
        <v>5.3717948717948714</v>
      </c>
      <c r="T27" s="642" t="s">
        <v>343</v>
      </c>
      <c r="U27" s="642" t="s">
        <v>756</v>
      </c>
      <c r="V27" s="642" t="s">
        <v>22</v>
      </c>
      <c r="W27" s="360"/>
      <c r="X27" s="358"/>
      <c r="Y27" s="358"/>
      <c r="Z27" s="358" t="s">
        <v>657</v>
      </c>
      <c r="AA27" s="358" t="str">
        <f>CONCATENATE(Camp_List[[#This Row],[Ethnicity]],"-",Camp_List[[#This Row],[Religion]])</f>
        <v>-Muslim</v>
      </c>
      <c r="AB27" s="358" t="s">
        <v>1020</v>
      </c>
      <c r="AC27" s="358" t="s">
        <v>661</v>
      </c>
      <c r="AD27" s="709" t="s">
        <v>971</v>
      </c>
      <c r="AE27" s="358" t="s">
        <v>879</v>
      </c>
      <c r="AF27" s="358" t="s">
        <v>880</v>
      </c>
      <c r="AG27" s="290">
        <v>42825</v>
      </c>
      <c r="AH27" s="648"/>
      <c r="AI27" s="75" t="str">
        <f>IFERROR(VLOOKUP(Camp_List[[#This Row],[Responsible Agency]],Organization_t[],3,0),"")</f>
        <v xml:space="preserve">Helen T Colon Omana, Camp Management Coordinator , helen.omana@nrc.no </v>
      </c>
      <c r="AJ27" s="574">
        <f ca="1">IF((SUMIFS(Data_Shelter_t[Coverage],Data_Shelter_t[Pcode],Camp_List[[#This Row],[P_Code]]))&gt;1,1,SUMIFS(Data_Shelter_t[Coverage],Data_Shelter_t[Pcode],Camp_List[[#This Row],[P_Code]]))</f>
        <v>1</v>
      </c>
      <c r="BL27" s="19"/>
      <c r="BM27" s="19"/>
      <c r="BO27" s="69"/>
      <c r="BP27" s="69"/>
    </row>
    <row r="28" spans="1:69" ht="13.5" customHeight="1" x14ac:dyDescent="0.25">
      <c r="A28" s="358" t="s">
        <v>348</v>
      </c>
      <c r="B28" s="358" t="s">
        <v>7</v>
      </c>
      <c r="C28" s="358" t="s">
        <v>351</v>
      </c>
      <c r="D28" s="358" t="s">
        <v>19</v>
      </c>
      <c r="E28" s="358" t="s">
        <v>604</v>
      </c>
      <c r="F28" s="358" t="s">
        <v>14</v>
      </c>
      <c r="G28" s="358" t="s">
        <v>372</v>
      </c>
      <c r="H28" s="358" t="s">
        <v>375</v>
      </c>
      <c r="I28" s="358" t="s">
        <v>374</v>
      </c>
      <c r="J28" s="358" t="s">
        <v>488</v>
      </c>
      <c r="K28" s="358" t="s">
        <v>991</v>
      </c>
      <c r="L28" s="358" t="s">
        <v>1070</v>
      </c>
      <c r="M28" s="358" t="s">
        <v>127</v>
      </c>
      <c r="N28" s="75">
        <v>93.154551999999995</v>
      </c>
      <c r="O28" s="75">
        <v>20.073437999999999</v>
      </c>
      <c r="P28" s="358"/>
      <c r="Q28" s="878">
        <v>856</v>
      </c>
      <c r="R28" s="875">
        <v>3939</v>
      </c>
      <c r="S28" s="888">
        <v>4.7418321588725201</v>
      </c>
      <c r="T28" s="642" t="s">
        <v>343</v>
      </c>
      <c r="U28" s="642" t="s">
        <v>756</v>
      </c>
      <c r="V28" s="738" t="s">
        <v>22</v>
      </c>
      <c r="W28" s="642"/>
      <c r="X28" s="358"/>
      <c r="Y28" s="358"/>
      <c r="Z28" s="358" t="s">
        <v>657</v>
      </c>
      <c r="AA28" s="358" t="str">
        <f>CONCATENATE(Camp_List[[#This Row],[Ethnicity]],"-",Camp_List[[#This Row],[Religion]])</f>
        <v>-Muslim</v>
      </c>
      <c r="AB28" s="289" t="s">
        <v>1020</v>
      </c>
      <c r="AC28" s="358" t="s">
        <v>661</v>
      </c>
      <c r="AD28" s="711" t="s">
        <v>624</v>
      </c>
      <c r="AE28" s="358"/>
      <c r="AF28" s="358" t="s">
        <v>880</v>
      </c>
      <c r="AG28" s="290">
        <v>42825</v>
      </c>
      <c r="AH28" s="648" t="s">
        <v>1150</v>
      </c>
      <c r="AI28" s="643" t="str">
        <f>IFERROR(VLOOKUP(Camp_List[[#This Row],[Responsible Agency]],Organization_t[],3,0),"")</f>
        <v>Yadu Shresk
Emergency Project Coordinator
campro.mmr@lwfdws.org</v>
      </c>
      <c r="AJ28" s="650">
        <f ca="1">IF((SUMIFS(Data_Shelter_t[Coverage],Data_Shelter_t[Pcode],Camp_List[[#This Row],[P_Code]]))&gt;1,1,SUMIFS(Data_Shelter_t[Coverage],Data_Shelter_t[Pcode],Camp_List[[#This Row],[P_Code]]))</f>
        <v>0</v>
      </c>
      <c r="BL28" s="19"/>
      <c r="BM28" s="19"/>
      <c r="BO28" s="69"/>
      <c r="BP28" s="69"/>
    </row>
    <row r="29" spans="1:69" ht="13.5" customHeight="1" x14ac:dyDescent="0.25">
      <c r="A29" s="358" t="s">
        <v>348</v>
      </c>
      <c r="B29" s="358" t="s">
        <v>7</v>
      </c>
      <c r="C29" s="358" t="s">
        <v>351</v>
      </c>
      <c r="D29" s="358" t="s">
        <v>19</v>
      </c>
      <c r="E29" s="358" t="s">
        <v>604</v>
      </c>
      <c r="F29" s="358" t="s">
        <v>19</v>
      </c>
      <c r="G29" s="358" t="s">
        <v>413</v>
      </c>
      <c r="H29" s="358" t="s">
        <v>415</v>
      </c>
      <c r="I29" s="358" t="s">
        <v>414</v>
      </c>
      <c r="J29" s="358" t="s">
        <v>545</v>
      </c>
      <c r="K29" s="358">
        <v>196158</v>
      </c>
      <c r="L29" s="358" t="s">
        <v>634</v>
      </c>
      <c r="M29" s="358" t="s">
        <v>546</v>
      </c>
      <c r="N29" s="75">
        <v>92.774193999999994</v>
      </c>
      <c r="O29" s="75">
        <v>20.206778</v>
      </c>
      <c r="P29" s="358"/>
      <c r="Q29" s="876">
        <v>681</v>
      </c>
      <c r="R29" s="875">
        <v>3408</v>
      </c>
      <c r="S29" s="888">
        <v>5.221879815100154</v>
      </c>
      <c r="T29" s="642" t="s">
        <v>343</v>
      </c>
      <c r="U29" s="642" t="s">
        <v>756</v>
      </c>
      <c r="V29" s="642" t="s">
        <v>22</v>
      </c>
      <c r="W29" s="360"/>
      <c r="X29" s="358"/>
      <c r="Y29" s="358"/>
      <c r="Z29" s="358" t="s">
        <v>657</v>
      </c>
      <c r="AA29" s="358" t="str">
        <f>CONCATENATE(Camp_List[[#This Row],[Ethnicity]],"-",Camp_List[[#This Row],[Religion]])</f>
        <v>-Muslim</v>
      </c>
      <c r="AB29" s="358" t="s">
        <v>1020</v>
      </c>
      <c r="AC29" s="358" t="s">
        <v>661</v>
      </c>
      <c r="AD29" s="709" t="s">
        <v>288</v>
      </c>
      <c r="AE29" s="358" t="s">
        <v>879</v>
      </c>
      <c r="AF29" s="358" t="s">
        <v>880</v>
      </c>
      <c r="AG29" s="290">
        <v>42825</v>
      </c>
      <c r="AH29" s="634" t="s">
        <v>1150</v>
      </c>
      <c r="AI29" s="75" t="str">
        <f>IFERROR(VLOOKUP(Camp_List[[#This Row],[Responsible Agency]],Organization_t[],3,0),"")</f>
        <v>Sophie Everest, CCCM Project Coordinator,
sophie.everest@drcmm.org,</v>
      </c>
      <c r="AJ29" s="574">
        <f ca="1">IF((SUMIFS(Data_Shelter_t[Coverage],Data_Shelter_t[Pcode],Camp_List[[#This Row],[P_Code]]))&gt;1,1,SUMIFS(Data_Shelter_t[Coverage],Data_Shelter_t[Pcode],Camp_List[[#This Row],[P_Code]]))</f>
        <v>0.9397944199706314</v>
      </c>
      <c r="BL29" s="19"/>
      <c r="BM29" s="19"/>
      <c r="BO29" s="69"/>
      <c r="BP29" s="69"/>
    </row>
    <row r="30" spans="1:69" ht="13.5" customHeight="1" x14ac:dyDescent="0.25">
      <c r="A30" s="358" t="s">
        <v>348</v>
      </c>
      <c r="B30" s="358" t="s">
        <v>7</v>
      </c>
      <c r="C30" s="358" t="s">
        <v>351</v>
      </c>
      <c r="D30" s="358" t="s">
        <v>19</v>
      </c>
      <c r="E30" s="358" t="s">
        <v>604</v>
      </c>
      <c r="F30" s="358" t="s">
        <v>19</v>
      </c>
      <c r="G30" s="358" t="s">
        <v>413</v>
      </c>
      <c r="H30" s="358" t="s">
        <v>419</v>
      </c>
      <c r="I30" s="358" t="s">
        <v>418</v>
      </c>
      <c r="J30" s="358" t="s">
        <v>496</v>
      </c>
      <c r="K30" s="358">
        <v>196192</v>
      </c>
      <c r="L30" s="358" t="s">
        <v>635</v>
      </c>
      <c r="M30" s="358" t="s">
        <v>637</v>
      </c>
      <c r="N30" s="75">
        <v>92.798880999999994</v>
      </c>
      <c r="O30" s="75">
        <v>20.18994</v>
      </c>
      <c r="P30" s="358"/>
      <c r="Q30" s="876">
        <v>2640</v>
      </c>
      <c r="R30" s="875">
        <v>13705</v>
      </c>
      <c r="S30" s="888">
        <v>5.1939901103081016</v>
      </c>
      <c r="T30" s="642" t="s">
        <v>343</v>
      </c>
      <c r="U30" s="642" t="s">
        <v>756</v>
      </c>
      <c r="V30" s="642" t="s">
        <v>22</v>
      </c>
      <c r="W30" s="360"/>
      <c r="X30" s="358"/>
      <c r="Y30" s="358"/>
      <c r="Z30" s="358" t="s">
        <v>657</v>
      </c>
      <c r="AA30" s="358" t="str">
        <f>CONCATENATE(Camp_List[[#This Row],[Ethnicity]],"-",Camp_List[[#This Row],[Religion]])</f>
        <v>-Muslim</v>
      </c>
      <c r="AB30" s="358" t="s">
        <v>1020</v>
      </c>
      <c r="AC30" s="358" t="s">
        <v>661</v>
      </c>
      <c r="AD30" s="709" t="s">
        <v>288</v>
      </c>
      <c r="AE30" s="358" t="s">
        <v>879</v>
      </c>
      <c r="AF30" s="358" t="s">
        <v>880</v>
      </c>
      <c r="AG30" s="290">
        <v>42825</v>
      </c>
      <c r="AH30" s="634" t="s">
        <v>1150</v>
      </c>
      <c r="AI30" s="19" t="str">
        <f>IFERROR(VLOOKUP(Camp_List[[#This Row],[Responsible Agency]],Organization_t[],3,0),"")</f>
        <v>Sophie Everest, CCCM Project Coordinator,
sophie.everest@drcmm.org,</v>
      </c>
      <c r="AJ30" s="574">
        <f ca="1">IF((SUMIFS(Data_Shelter_t[Coverage],Data_Shelter_t[Pcode],Camp_List[[#This Row],[P_Code]]))&gt;1,1,SUMIFS(Data_Shelter_t[Coverage],Data_Shelter_t[Pcode],Camp_List[[#This Row],[P_Code]]))</f>
        <v>1</v>
      </c>
      <c r="BL30" s="19"/>
      <c r="BM30" s="19"/>
      <c r="BP30" s="69"/>
      <c r="BQ30" s="69"/>
    </row>
    <row r="31" spans="1:69" x14ac:dyDescent="0.25">
      <c r="A31" s="358" t="s">
        <v>348</v>
      </c>
      <c r="B31" s="358" t="s">
        <v>7</v>
      </c>
      <c r="C31" s="358" t="s">
        <v>351</v>
      </c>
      <c r="D31" s="358" t="s">
        <v>608</v>
      </c>
      <c r="E31" s="358" t="s">
        <v>609</v>
      </c>
      <c r="F31" s="358" t="s">
        <v>608</v>
      </c>
      <c r="G31" s="358" t="s">
        <v>406</v>
      </c>
      <c r="H31" s="358" t="s">
        <v>410</v>
      </c>
      <c r="I31" s="358" t="s">
        <v>409</v>
      </c>
      <c r="J31" s="358" t="s">
        <v>474</v>
      </c>
      <c r="K31" s="358">
        <v>198469</v>
      </c>
      <c r="L31" s="358" t="s">
        <v>474</v>
      </c>
      <c r="M31" s="358" t="s">
        <v>146</v>
      </c>
      <c r="N31" s="75">
        <v>93.552452000000002</v>
      </c>
      <c r="O31" s="75">
        <v>19.421102000000001</v>
      </c>
      <c r="P31" s="358"/>
      <c r="Q31" s="876">
        <v>65</v>
      </c>
      <c r="R31" s="875">
        <v>327</v>
      </c>
      <c r="S31" s="888">
        <v>5.0307692307692307</v>
      </c>
      <c r="T31" s="642" t="s">
        <v>343</v>
      </c>
      <c r="U31" s="642" t="s">
        <v>756</v>
      </c>
      <c r="V31" s="642" t="s">
        <v>22</v>
      </c>
      <c r="W31" s="360"/>
      <c r="X31" s="358"/>
      <c r="Y31" s="358" t="s">
        <v>7</v>
      </c>
      <c r="Z31" s="358" t="s">
        <v>759</v>
      </c>
      <c r="AA31" s="358" t="str">
        <f>CONCATENATE(Camp_List[[#This Row],[Ethnicity]],"-",Camp_List[[#This Row],[Religion]])</f>
        <v>Rakhine-Buddhist</v>
      </c>
      <c r="AB31" s="358" t="s">
        <v>1020</v>
      </c>
      <c r="AC31" s="358" t="s">
        <v>662</v>
      </c>
      <c r="AD31" s="709" t="s">
        <v>285</v>
      </c>
      <c r="AE31" s="358" t="s">
        <v>504</v>
      </c>
      <c r="AF31" s="358" t="s">
        <v>520</v>
      </c>
      <c r="AG31" s="290">
        <v>42766</v>
      </c>
      <c r="AH31" s="358"/>
      <c r="AI31" s="75" t="str">
        <f>IFERROR(VLOOKUP(Camp_List[[#This Row],[Responsible Agency]],Organization_t[],3,0),"")</f>
        <v>Richard Tracey, CCCM/NFI Cluster Coordinator, tracey@unhcr.org,09448027896</v>
      </c>
      <c r="AJ31" s="574">
        <f ca="1">IF((SUMIFS(Data_Shelter_t[Coverage],Data_Shelter_t[Pcode],Camp_List[[#This Row],[P_Code]]))&gt;1,1,SUMIFS(Data_Shelter_t[Coverage],Data_Shelter_t[Pcode],Camp_List[[#This Row],[P_Code]]))</f>
        <v>0.86153846153846159</v>
      </c>
      <c r="BL31" s="19"/>
      <c r="BM31" s="19"/>
      <c r="BP31" s="69"/>
      <c r="BQ31" s="69"/>
    </row>
    <row r="32" spans="1:69" x14ac:dyDescent="0.25">
      <c r="A32" s="358" t="s">
        <v>348</v>
      </c>
      <c r="B32" s="358" t="s">
        <v>7</v>
      </c>
      <c r="C32" s="358" t="s">
        <v>351</v>
      </c>
      <c r="D32" s="358" t="s">
        <v>608</v>
      </c>
      <c r="E32" s="358" t="s">
        <v>609</v>
      </c>
      <c r="F32" s="358" t="s">
        <v>608</v>
      </c>
      <c r="G32" s="358" t="s">
        <v>406</v>
      </c>
      <c r="H32" s="358" t="s">
        <v>411</v>
      </c>
      <c r="I32" s="358" t="s">
        <v>412</v>
      </c>
      <c r="J32" s="358" t="s">
        <v>473</v>
      </c>
      <c r="K32" s="358">
        <v>198486</v>
      </c>
      <c r="L32" s="358" t="s">
        <v>58</v>
      </c>
      <c r="M32" s="358" t="s">
        <v>145</v>
      </c>
      <c r="N32" s="75">
        <v>93.512326000000002</v>
      </c>
      <c r="O32" s="75">
        <v>19.424576999999999</v>
      </c>
      <c r="P32" s="358"/>
      <c r="Q32" s="876">
        <v>427</v>
      </c>
      <c r="R32" s="875">
        <v>1274</v>
      </c>
      <c r="S32" s="888">
        <v>2.9836065573770494</v>
      </c>
      <c r="T32" s="642" t="s">
        <v>343</v>
      </c>
      <c r="U32" s="642" t="s">
        <v>756</v>
      </c>
      <c r="V32" s="642" t="s">
        <v>22</v>
      </c>
      <c r="W32" s="360"/>
      <c r="X32" s="358"/>
      <c r="Y32" s="358"/>
      <c r="Z32" s="358" t="s">
        <v>657</v>
      </c>
      <c r="AA32" s="358" t="str">
        <f>CONCATENATE(Camp_List[[#This Row],[Ethnicity]],"-",Camp_List[[#This Row],[Religion]])</f>
        <v>-Muslim</v>
      </c>
      <c r="AB32" s="358" t="s">
        <v>1020</v>
      </c>
      <c r="AC32" s="358" t="s">
        <v>662</v>
      </c>
      <c r="AD32" s="709" t="s">
        <v>285</v>
      </c>
      <c r="AE32" s="358" t="s">
        <v>504</v>
      </c>
      <c r="AF32" s="358" t="s">
        <v>520</v>
      </c>
      <c r="AG32" s="290">
        <v>42766</v>
      </c>
      <c r="AH32" s="358"/>
      <c r="AI32" s="75" t="str">
        <f>IFERROR(VLOOKUP(Camp_List[[#This Row],[Responsible Agency]],Organization_t[],3,0),"")</f>
        <v>Richard Tracey, CCCM/NFI Cluster Coordinator, tracey@unhcr.org,09448027896</v>
      </c>
      <c r="AJ32" s="574">
        <f ca="1">IF((SUMIFS(Data_Shelter_t[Coverage],Data_Shelter_t[Pcode],Camp_List[[#This Row],[P_Code]]))&gt;1,1,SUMIFS(Data_Shelter_t[Coverage],Data_Shelter_t[Pcode],Camp_List[[#This Row],[P_Code]]))</f>
        <v>0.99297423887587821</v>
      </c>
      <c r="BL32" s="19"/>
      <c r="BM32" s="19"/>
      <c r="BP32" s="69"/>
      <c r="BQ32" s="69"/>
    </row>
    <row r="33" spans="1:69" ht="13.5" customHeight="1" x14ac:dyDescent="0.25">
      <c r="A33" s="358" t="s">
        <v>348</v>
      </c>
      <c r="B33" s="358" t="s">
        <v>7</v>
      </c>
      <c r="C33" s="358" t="s">
        <v>351</v>
      </c>
      <c r="D33" s="358" t="s">
        <v>608</v>
      </c>
      <c r="E33" s="358" t="s">
        <v>609</v>
      </c>
      <c r="F33" s="358" t="s">
        <v>18</v>
      </c>
      <c r="G33" s="358" t="s">
        <v>405</v>
      </c>
      <c r="H33" s="358" t="s">
        <v>408</v>
      </c>
      <c r="I33" s="358" t="s">
        <v>407</v>
      </c>
      <c r="J33" s="358" t="s">
        <v>1038</v>
      </c>
      <c r="K33" s="358" t="s">
        <v>1039</v>
      </c>
      <c r="L33" s="358" t="s">
        <v>60</v>
      </c>
      <c r="M33" s="358" t="s">
        <v>148</v>
      </c>
      <c r="N33" s="75">
        <v>93.865170000000006</v>
      </c>
      <c r="O33" s="75">
        <v>19.091054</v>
      </c>
      <c r="P33" s="358"/>
      <c r="Q33" s="876">
        <v>18</v>
      </c>
      <c r="R33" s="875">
        <v>77</v>
      </c>
      <c r="S33" s="888">
        <v>4.2777777777777777</v>
      </c>
      <c r="T33" s="642" t="s">
        <v>343</v>
      </c>
      <c r="U33" s="642" t="s">
        <v>756</v>
      </c>
      <c r="V33" s="642" t="s">
        <v>23</v>
      </c>
      <c r="W33" s="360"/>
      <c r="X33" s="358"/>
      <c r="Y33" s="358" t="s">
        <v>7</v>
      </c>
      <c r="Z33" s="358" t="s">
        <v>759</v>
      </c>
      <c r="AA33" s="358" t="str">
        <f>CONCATENATE(Camp_List[[#This Row],[Ethnicity]],"-",Camp_List[[#This Row],[Religion]])</f>
        <v>Rakhine-Buddhist</v>
      </c>
      <c r="AB33" s="358" t="s">
        <v>1020</v>
      </c>
      <c r="AC33" s="358" t="s">
        <v>662</v>
      </c>
      <c r="AD33" s="709" t="s">
        <v>285</v>
      </c>
      <c r="AE33" s="358" t="s">
        <v>504</v>
      </c>
      <c r="AF33" s="358" t="s">
        <v>520</v>
      </c>
      <c r="AG33" s="290">
        <v>42766</v>
      </c>
      <c r="AH33" s="358"/>
      <c r="AI33" s="75" t="str">
        <f>IFERROR(VLOOKUP(Camp_List[[#This Row],[Responsible Agency]],Organization_t[],3,0),"")</f>
        <v>Richard Tracey, CCCM/NFI Cluster Coordinator, tracey@unhcr.org,09448027896</v>
      </c>
      <c r="AJ33" s="574">
        <f ca="1">IF((SUMIFS(Data_Shelter_t[Coverage],Data_Shelter_t[Pcode],Camp_List[[#This Row],[P_Code]]))&gt;1,1,SUMIFS(Data_Shelter_t[Coverage],Data_Shelter_t[Pcode],Camp_List[[#This Row],[P_Code]]))</f>
        <v>0</v>
      </c>
      <c r="BL33" s="19"/>
      <c r="BM33" s="19"/>
      <c r="BP33" s="69"/>
      <c r="BQ33" s="69"/>
    </row>
    <row r="34" spans="1:69" ht="13.5" customHeight="1" x14ac:dyDescent="0.25">
      <c r="A34" s="358" t="s">
        <v>348</v>
      </c>
      <c r="B34" s="358" t="s">
        <v>7</v>
      </c>
      <c r="C34" s="358" t="s">
        <v>351</v>
      </c>
      <c r="D34" s="358" t="s">
        <v>19</v>
      </c>
      <c r="E34" s="358" t="s">
        <v>604</v>
      </c>
      <c r="F34" s="358" t="s">
        <v>19</v>
      </c>
      <c r="G34" s="358" t="s">
        <v>413</v>
      </c>
      <c r="H34" s="358" t="s">
        <v>419</v>
      </c>
      <c r="I34" s="358" t="s">
        <v>418</v>
      </c>
      <c r="J34" s="358" t="s">
        <v>496</v>
      </c>
      <c r="K34" s="358">
        <v>196192</v>
      </c>
      <c r="L34" s="358" t="s">
        <v>636</v>
      </c>
      <c r="M34" s="358" t="s">
        <v>638</v>
      </c>
      <c r="N34" s="75">
        <v>92.802295999999998</v>
      </c>
      <c r="O34" s="75">
        <v>20.185092000000001</v>
      </c>
      <c r="P34" s="358"/>
      <c r="Q34" s="877">
        <v>2222</v>
      </c>
      <c r="R34" s="875">
        <v>11586</v>
      </c>
      <c r="S34" s="888">
        <v>5.2180115916183683</v>
      </c>
      <c r="T34" s="642" t="s">
        <v>343</v>
      </c>
      <c r="U34" s="642" t="s">
        <v>756</v>
      </c>
      <c r="V34" s="642" t="s">
        <v>22</v>
      </c>
      <c r="W34" s="360"/>
      <c r="X34" s="358"/>
      <c r="Y34" s="358"/>
      <c r="Z34" s="358" t="s">
        <v>657</v>
      </c>
      <c r="AA34" s="358" t="str">
        <f>CONCATENATE(Camp_List[[#This Row],[Ethnicity]],"-",Camp_List[[#This Row],[Religion]])</f>
        <v>-Muslim</v>
      </c>
      <c r="AB34" s="358" t="s">
        <v>1020</v>
      </c>
      <c r="AC34" s="358" t="s">
        <v>661</v>
      </c>
      <c r="AD34" s="709" t="s">
        <v>624</v>
      </c>
      <c r="AE34" s="358" t="s">
        <v>879</v>
      </c>
      <c r="AF34" s="358" t="s">
        <v>880</v>
      </c>
      <c r="AG34" s="290">
        <v>42825</v>
      </c>
      <c r="AH34" s="634" t="s">
        <v>1150</v>
      </c>
      <c r="AI34" s="75" t="str">
        <f>IFERROR(VLOOKUP(Camp_List[[#This Row],[Responsible Agency]],Organization_t[],3,0),"")</f>
        <v>Yadu Shresk
Emergency Project Coordinator
campro.mmr@lwfdws.org</v>
      </c>
      <c r="AJ34" s="574">
        <f ca="1">IF((SUMIFS(Data_Shelter_t[Coverage],Data_Shelter_t[Pcode],Camp_List[[#This Row],[P_Code]]))&gt;1,1,SUMIFS(Data_Shelter_t[Coverage],Data_Shelter_t[Pcode],Camp_List[[#This Row],[P_Code]]))</f>
        <v>1</v>
      </c>
      <c r="BL34" s="19"/>
      <c r="BM34" s="19"/>
      <c r="BP34" s="69"/>
      <c r="BQ34" s="69"/>
    </row>
    <row r="35" spans="1:69" ht="13.5" customHeight="1" x14ac:dyDescent="0.25">
      <c r="A35" s="358" t="s">
        <v>348</v>
      </c>
      <c r="B35" s="358" t="s">
        <v>7</v>
      </c>
      <c r="C35" s="358" t="s">
        <v>351</v>
      </c>
      <c r="D35" s="358" t="s">
        <v>19</v>
      </c>
      <c r="E35" s="358" t="s">
        <v>604</v>
      </c>
      <c r="F35" s="358" t="s">
        <v>19</v>
      </c>
      <c r="G35" s="358" t="s">
        <v>413</v>
      </c>
      <c r="H35" s="358" t="s">
        <v>415</v>
      </c>
      <c r="I35" s="358" t="s">
        <v>414</v>
      </c>
      <c r="J35" s="358" t="s">
        <v>67</v>
      </c>
      <c r="K35" s="358">
        <v>196154</v>
      </c>
      <c r="L35" s="358" t="s">
        <v>67</v>
      </c>
      <c r="M35" s="358" t="s">
        <v>155</v>
      </c>
      <c r="N35" s="75">
        <v>92.792479999999998</v>
      </c>
      <c r="O35" s="75">
        <v>20.202525000000001</v>
      </c>
      <c r="P35" s="358"/>
      <c r="Q35" s="876">
        <v>2497</v>
      </c>
      <c r="R35" s="875">
        <v>12273</v>
      </c>
      <c r="S35" s="888">
        <v>4.9991789819376029</v>
      </c>
      <c r="T35" s="642" t="s">
        <v>343</v>
      </c>
      <c r="U35" s="642" t="s">
        <v>756</v>
      </c>
      <c r="V35" s="642" t="s">
        <v>22</v>
      </c>
      <c r="W35" s="360"/>
      <c r="X35" s="358"/>
      <c r="Y35" s="358"/>
      <c r="Z35" s="358" t="s">
        <v>657</v>
      </c>
      <c r="AA35" s="358" t="str">
        <f>CONCATENATE(Camp_List[[#This Row],[Ethnicity]],"-",Camp_List[[#This Row],[Religion]])</f>
        <v>-Muslim</v>
      </c>
      <c r="AB35" s="358" t="s">
        <v>1020</v>
      </c>
      <c r="AC35" s="358" t="s">
        <v>661</v>
      </c>
      <c r="AD35" s="709" t="s">
        <v>288</v>
      </c>
      <c r="AE35" s="358" t="s">
        <v>879</v>
      </c>
      <c r="AF35" s="358" t="s">
        <v>880</v>
      </c>
      <c r="AG35" s="290">
        <v>42825</v>
      </c>
      <c r="AH35" s="634" t="s">
        <v>1149</v>
      </c>
      <c r="AI35" s="19" t="str">
        <f>IFERROR(VLOOKUP(Camp_List[[#This Row],[Responsible Agency]],Organization_t[],3,0),"")</f>
        <v>Sophie Everest, CCCM Project Coordinator,
sophie.everest@drcmm.org,</v>
      </c>
      <c r="AJ35" s="574">
        <f ca="1">IF((SUMIFS(Data_Shelter_t[Coverage],Data_Shelter_t[Pcode],Camp_List[[#This Row],[P_Code]]))&gt;1,1,SUMIFS(Data_Shelter_t[Coverage],Data_Shelter_t[Pcode],Camp_List[[#This Row],[P_Code]]))</f>
        <v>1</v>
      </c>
      <c r="BL35" s="19"/>
      <c r="BM35" s="19"/>
      <c r="BP35" s="69"/>
      <c r="BQ35" s="69"/>
    </row>
    <row r="36" spans="1:69" ht="13.5" customHeight="1" x14ac:dyDescent="0.25">
      <c r="A36" s="358" t="s">
        <v>348</v>
      </c>
      <c r="B36" s="358" t="s">
        <v>7</v>
      </c>
      <c r="C36" s="358" t="s">
        <v>351</v>
      </c>
      <c r="D36" s="358" t="s">
        <v>19</v>
      </c>
      <c r="E36" s="358" t="s">
        <v>604</v>
      </c>
      <c r="F36" s="358" t="s">
        <v>14</v>
      </c>
      <c r="G36" s="358" t="s">
        <v>372</v>
      </c>
      <c r="H36" s="358" t="s">
        <v>43</v>
      </c>
      <c r="I36" s="358" t="s">
        <v>376</v>
      </c>
      <c r="J36" s="358" t="s">
        <v>489</v>
      </c>
      <c r="K36" s="358">
        <v>197548</v>
      </c>
      <c r="L36" s="358" t="s">
        <v>43</v>
      </c>
      <c r="M36" s="358" t="s">
        <v>129</v>
      </c>
      <c r="N36" s="75">
        <v>92.993758999999997</v>
      </c>
      <c r="O36" s="75">
        <v>20.064226000000001</v>
      </c>
      <c r="P36" s="358"/>
      <c r="Q36" s="876">
        <v>523</v>
      </c>
      <c r="R36" s="875">
        <v>2679</v>
      </c>
      <c r="S36" s="888">
        <v>3.7519500780031203</v>
      </c>
      <c r="T36" s="642" t="s">
        <v>343</v>
      </c>
      <c r="U36" s="642" t="s">
        <v>756</v>
      </c>
      <c r="V36" s="642" t="s">
        <v>22</v>
      </c>
      <c r="W36" s="360"/>
      <c r="X36" s="358"/>
      <c r="Y36" s="358" t="s">
        <v>766</v>
      </c>
      <c r="Z36" s="358" t="s">
        <v>657</v>
      </c>
      <c r="AA36" s="358" t="str">
        <f>CONCATENATE(Camp_List[[#This Row],[Ethnicity]],"-",Camp_List[[#This Row],[Religion]])</f>
        <v>Kaman-Muslim</v>
      </c>
      <c r="AB36" s="289" t="s">
        <v>1020</v>
      </c>
      <c r="AC36" s="358" t="s">
        <v>661</v>
      </c>
      <c r="AD36" s="710" t="s">
        <v>288</v>
      </c>
      <c r="AE36" s="358" t="s">
        <v>879</v>
      </c>
      <c r="AF36" s="358" t="s">
        <v>880</v>
      </c>
      <c r="AG36" s="290">
        <v>42825</v>
      </c>
      <c r="AH36" s="634" t="s">
        <v>1150</v>
      </c>
      <c r="AI36" s="75" t="str">
        <f>IFERROR(VLOOKUP(Camp_List[[#This Row],[Responsible Agency]],Organization_t[],3,0),"")</f>
        <v>Sophie Everest, CCCM Project Coordinator,
sophie.everest@drcmm.org,</v>
      </c>
      <c r="AJ36" s="574">
        <f ca="1">IF((SUMIFS(Data_Shelter_t[Coverage],Data_Shelter_t[Pcode],Camp_List[[#This Row],[P_Code]]))&gt;1,1,SUMIFS(Data_Shelter_t[Coverage],Data_Shelter_t[Pcode],Camp_List[[#This Row],[P_Code]]))</f>
        <v>1</v>
      </c>
      <c r="BL36" s="19"/>
      <c r="BM36" s="19"/>
      <c r="BP36" s="69"/>
      <c r="BQ36" s="69"/>
    </row>
    <row r="37" spans="1:69" ht="13.5" customHeight="1" x14ac:dyDescent="0.25">
      <c r="A37" s="358" t="s">
        <v>348</v>
      </c>
      <c r="B37" s="358" t="s">
        <v>7</v>
      </c>
      <c r="C37" s="358" t="s">
        <v>351</v>
      </c>
      <c r="D37" s="358" t="s">
        <v>19</v>
      </c>
      <c r="E37" s="358" t="s">
        <v>604</v>
      </c>
      <c r="F37" s="358" t="s">
        <v>867</v>
      </c>
      <c r="G37" s="358" t="s">
        <v>373</v>
      </c>
      <c r="H37" s="358" t="s">
        <v>380</v>
      </c>
      <c r="I37" s="358" t="s">
        <v>379</v>
      </c>
      <c r="J37" s="637" t="s">
        <v>510</v>
      </c>
      <c r="K37" s="358">
        <v>217973</v>
      </c>
      <c r="L37" s="358" t="s">
        <v>38</v>
      </c>
      <c r="M37" s="358" t="s">
        <v>124</v>
      </c>
      <c r="N37" s="75">
        <v>93.370037999999994</v>
      </c>
      <c r="O37" s="75">
        <v>20.037655000000001</v>
      </c>
      <c r="P37" s="358"/>
      <c r="Q37" s="876">
        <v>662</v>
      </c>
      <c r="R37" s="875">
        <v>2679</v>
      </c>
      <c r="S37" s="888">
        <v>4.043413173652695</v>
      </c>
      <c r="T37" s="642" t="s">
        <v>343</v>
      </c>
      <c r="U37" s="642" t="s">
        <v>756</v>
      </c>
      <c r="V37" s="642" t="s">
        <v>22</v>
      </c>
      <c r="W37" s="360"/>
      <c r="X37" s="358"/>
      <c r="Y37" s="358"/>
      <c r="Z37" s="358" t="s">
        <v>657</v>
      </c>
      <c r="AA37" s="358" t="str">
        <f>CONCATENATE(Camp_List[[#This Row],[Ethnicity]],"-",Camp_List[[#This Row],[Religion]])</f>
        <v>-Muslim</v>
      </c>
      <c r="AB37" s="358" t="s">
        <v>512</v>
      </c>
      <c r="AC37" s="358" t="s">
        <v>662</v>
      </c>
      <c r="AD37" s="709" t="s">
        <v>707</v>
      </c>
      <c r="AE37" s="358" t="s">
        <v>879</v>
      </c>
      <c r="AF37" s="358" t="s">
        <v>880</v>
      </c>
      <c r="AG37" s="290">
        <v>42825</v>
      </c>
      <c r="AH37" s="358" t="s">
        <v>1147</v>
      </c>
      <c r="AI37" s="75" t="str">
        <f>IFERROR(VLOOKUP(Camp_List[[#This Row],[Responsible Agency]],Organization_t[],3,0),"")</f>
        <v>Ann Reiner, Head of Rakhine Programs
ann.reiner@ri.org</v>
      </c>
      <c r="AJ37" s="574">
        <f ca="1">IF((SUMIFS(Data_Shelter_t[Coverage],Data_Shelter_t[Pcode],Camp_List[[#This Row],[P_Code]]))&gt;1,1,SUMIFS(Data_Shelter_t[Coverage],Data_Shelter_t[Pcode],Camp_List[[#This Row],[P_Code]]))</f>
        <v>1</v>
      </c>
      <c r="BL37" s="19"/>
      <c r="BM37" s="19"/>
      <c r="BP37" s="69"/>
      <c r="BQ37" s="69"/>
    </row>
    <row r="38" spans="1:69" ht="13.5" customHeight="1" x14ac:dyDescent="0.25">
      <c r="A38" s="358" t="s">
        <v>348</v>
      </c>
      <c r="B38" s="358" t="s">
        <v>7</v>
      </c>
      <c r="C38" s="358" t="s">
        <v>351</v>
      </c>
      <c r="D38" s="358" t="s">
        <v>19</v>
      </c>
      <c r="E38" s="358" t="s">
        <v>604</v>
      </c>
      <c r="F38" s="358" t="s">
        <v>19</v>
      </c>
      <c r="G38" s="358" t="s">
        <v>413</v>
      </c>
      <c r="H38" s="358" t="s">
        <v>417</v>
      </c>
      <c r="I38" s="358" t="s">
        <v>416</v>
      </c>
      <c r="J38" s="358" t="s">
        <v>495</v>
      </c>
      <c r="K38" s="358">
        <v>196211</v>
      </c>
      <c r="L38" s="358" t="s">
        <v>68</v>
      </c>
      <c r="M38" s="358" t="s">
        <v>156</v>
      </c>
      <c r="N38" s="75">
        <v>92.839416999999997</v>
      </c>
      <c r="O38" s="75">
        <v>20.1585</v>
      </c>
      <c r="P38" s="358"/>
      <c r="Q38" s="877">
        <v>2145</v>
      </c>
      <c r="R38" s="875">
        <v>11764</v>
      </c>
      <c r="S38" s="888">
        <v>5.4372960372960373</v>
      </c>
      <c r="T38" s="642" t="s">
        <v>343</v>
      </c>
      <c r="U38" s="642" t="s">
        <v>756</v>
      </c>
      <c r="V38" s="642" t="s">
        <v>23</v>
      </c>
      <c r="W38" s="360"/>
      <c r="X38" s="358"/>
      <c r="Y38" s="358"/>
      <c r="Z38" s="358" t="s">
        <v>657</v>
      </c>
      <c r="AA38" s="358" t="str">
        <f>CONCATENATE(Camp_List[[#This Row],[Ethnicity]],"-",Camp_List[[#This Row],[Religion]])</f>
        <v>-Muslim</v>
      </c>
      <c r="AB38" s="358" t="s">
        <v>1020</v>
      </c>
      <c r="AC38" s="358" t="s">
        <v>661</v>
      </c>
      <c r="AD38" s="709" t="s">
        <v>624</v>
      </c>
      <c r="AE38" s="358" t="s">
        <v>879</v>
      </c>
      <c r="AF38" s="358" t="s">
        <v>880</v>
      </c>
      <c r="AG38" s="290">
        <v>42825</v>
      </c>
      <c r="AH38" s="634" t="s">
        <v>1150</v>
      </c>
      <c r="AI38" s="19" t="str">
        <f>IFERROR(VLOOKUP(Camp_List[[#This Row],[Responsible Agency]],Organization_t[],3,0),"")</f>
        <v>Yadu Shresk
Emergency Project Coordinator
campro.mmr@lwfdws.org</v>
      </c>
      <c r="AJ38" s="574">
        <f>IF((SUMIFS(Data_Shelter_t[Coverage],Data_Shelter_t[Pcode],Camp_List[[#This Row],[P_Code]]))&gt;1,1,SUMIFS(Data_Shelter_t[Coverage],Data_Shelter_t[Pcode],Camp_List[[#This Row],[P_Code]]))</f>
        <v>0</v>
      </c>
      <c r="BL38" s="19"/>
      <c r="BM38" s="19"/>
      <c r="BP38" s="69"/>
      <c r="BQ38" s="69"/>
    </row>
    <row r="39" spans="1:69" ht="13.5" customHeight="1" x14ac:dyDescent="0.25">
      <c r="A39" s="358" t="s">
        <v>348</v>
      </c>
      <c r="B39" s="358" t="s">
        <v>7</v>
      </c>
      <c r="C39" s="358" t="s">
        <v>351</v>
      </c>
      <c r="D39" s="358" t="s">
        <v>19</v>
      </c>
      <c r="E39" s="358" t="s">
        <v>604</v>
      </c>
      <c r="F39" s="636" t="s">
        <v>19</v>
      </c>
      <c r="G39" s="358" t="s">
        <v>413</v>
      </c>
      <c r="H39" s="358" t="s">
        <v>417</v>
      </c>
      <c r="I39" s="358" t="s">
        <v>416</v>
      </c>
      <c r="J39" s="636" t="s">
        <v>498</v>
      </c>
      <c r="K39" s="358">
        <v>196186</v>
      </c>
      <c r="L39" s="636" t="s">
        <v>70</v>
      </c>
      <c r="M39" s="639" t="s">
        <v>158</v>
      </c>
      <c r="N39" s="75">
        <v>92.831879000000001</v>
      </c>
      <c r="O39" s="75">
        <v>20.179939999999998</v>
      </c>
      <c r="P39" s="640"/>
      <c r="Q39" s="949">
        <v>997</v>
      </c>
      <c r="R39" s="875">
        <v>5830</v>
      </c>
      <c r="S39" s="890">
        <v>5.7479674796747968</v>
      </c>
      <c r="T39" s="642" t="s">
        <v>343</v>
      </c>
      <c r="U39" s="642" t="s">
        <v>756</v>
      </c>
      <c r="V39" s="642" t="s">
        <v>22</v>
      </c>
      <c r="W39" s="360"/>
      <c r="X39" s="358"/>
      <c r="Y39" s="358"/>
      <c r="Z39" s="358" t="s">
        <v>657</v>
      </c>
      <c r="AA39" s="358" t="str">
        <f>CONCATENATE(Camp_List[[#This Row],[Ethnicity]],"-",Camp_List[[#This Row],[Religion]])</f>
        <v>-Muslim</v>
      </c>
      <c r="AB39" s="358" t="s">
        <v>1020</v>
      </c>
      <c r="AC39" s="358" t="s">
        <v>661</v>
      </c>
      <c r="AD39" s="709" t="s">
        <v>971</v>
      </c>
      <c r="AE39" s="358" t="s">
        <v>879</v>
      </c>
      <c r="AF39" s="358" t="s">
        <v>880</v>
      </c>
      <c r="AG39" s="290">
        <v>42825</v>
      </c>
      <c r="AH39" s="358" t="s">
        <v>1146</v>
      </c>
      <c r="AI39" s="649" t="str">
        <f>IFERROR(VLOOKUP(Camp_List[[#This Row],[Responsible Agency]],Organization_t[],3,0),"")</f>
        <v xml:space="preserve">Helen T Colon Omana, Camp Management Coordinator , helen.omana@nrc.no </v>
      </c>
      <c r="AJ39" s="574">
        <f ca="1">IF((SUMIFS(Data_Shelter_t[Coverage],Data_Shelter_t[Pcode],Camp_List[[#This Row],[P_Code]]))&gt;1,1,SUMIFS(Data_Shelter_t[Coverage],Data_Shelter_t[Pcode],Camp_List[[#This Row],[P_Code]]))</f>
        <v>0.9869608826479439</v>
      </c>
      <c r="BL39" s="19"/>
      <c r="BM39" s="19"/>
      <c r="BP39" s="69"/>
      <c r="BQ39" s="69"/>
    </row>
    <row r="40" spans="1:69" ht="13.5" customHeight="1" x14ac:dyDescent="0.25">
      <c r="A40" s="358" t="s">
        <v>348</v>
      </c>
      <c r="B40" s="358" t="s">
        <v>7</v>
      </c>
      <c r="C40" s="358" t="s">
        <v>351</v>
      </c>
      <c r="D40" s="358" t="s">
        <v>19</v>
      </c>
      <c r="E40" s="358" t="s">
        <v>604</v>
      </c>
      <c r="F40" s="358" t="s">
        <v>19</v>
      </c>
      <c r="G40" s="358" t="s">
        <v>413</v>
      </c>
      <c r="H40" s="358" t="s">
        <v>417</v>
      </c>
      <c r="I40" s="358" t="s">
        <v>416</v>
      </c>
      <c r="J40" s="358" t="s">
        <v>498</v>
      </c>
      <c r="K40" s="358">
        <v>196186</v>
      </c>
      <c r="L40" s="358" t="s">
        <v>541</v>
      </c>
      <c r="M40" s="358" t="s">
        <v>280</v>
      </c>
      <c r="N40" s="75">
        <v>92.842230000000001</v>
      </c>
      <c r="O40" s="75">
        <v>20.181742</v>
      </c>
      <c r="P40" s="358"/>
      <c r="Q40" s="876">
        <v>496</v>
      </c>
      <c r="R40" s="875">
        <v>2942</v>
      </c>
      <c r="S40" s="891">
        <v>5.931451612903226</v>
      </c>
      <c r="T40" s="358" t="s">
        <v>343</v>
      </c>
      <c r="U40" s="358" t="s">
        <v>756</v>
      </c>
      <c r="V40" s="358" t="s">
        <v>809</v>
      </c>
      <c r="W40" s="360"/>
      <c r="X40" s="358"/>
      <c r="Y40" s="358"/>
      <c r="Z40" s="358" t="s">
        <v>657</v>
      </c>
      <c r="AA40" s="358" t="str">
        <f>CONCATENATE(Camp_List[[#This Row],[Ethnicity]],"-",Camp_List[[#This Row],[Religion]])</f>
        <v>-Muslim</v>
      </c>
      <c r="AB40" s="358" t="s">
        <v>1020</v>
      </c>
      <c r="AC40" s="358" t="s">
        <v>662</v>
      </c>
      <c r="AD40" s="709" t="s">
        <v>285</v>
      </c>
      <c r="AE40" s="358" t="s">
        <v>504</v>
      </c>
      <c r="AF40" s="358" t="s">
        <v>520</v>
      </c>
      <c r="AG40" s="290">
        <v>42766</v>
      </c>
      <c r="AH40" s="358"/>
      <c r="AI40" s="75" t="str">
        <f>IFERROR(VLOOKUP(Camp_List[[#This Row],[Responsible Agency]],Organization_t[],3,0),"")</f>
        <v>Richard Tracey, CCCM/NFI Cluster Coordinator, tracey@unhcr.org,09448027896</v>
      </c>
      <c r="AJ40" s="574">
        <f>IF((SUMIFS(Data_Shelter_t[Coverage],Data_Shelter_t[Pcode],Camp_List[[#This Row],[P_Code]]))&gt;1,1,SUMIFS(Data_Shelter_t[Coverage],Data_Shelter_t[Pcode],Camp_List[[#This Row],[P_Code]]))</f>
        <v>0</v>
      </c>
      <c r="BL40" s="19"/>
      <c r="BM40" s="19"/>
      <c r="BP40" s="69"/>
      <c r="BQ40" s="69"/>
    </row>
    <row r="41" spans="1:69" ht="13.5" customHeight="1" x14ac:dyDescent="0.25">
      <c r="A41" s="634" t="s">
        <v>1005</v>
      </c>
      <c r="B41" s="358" t="s">
        <v>7</v>
      </c>
      <c r="C41" s="358" t="s">
        <v>351</v>
      </c>
      <c r="D41" s="358" t="s">
        <v>19</v>
      </c>
      <c r="E41" s="358" t="s">
        <v>604</v>
      </c>
      <c r="F41" s="358" t="s">
        <v>14</v>
      </c>
      <c r="G41" s="358" t="s">
        <v>372</v>
      </c>
      <c r="H41" s="358" t="s">
        <v>375</v>
      </c>
      <c r="I41" s="358" t="s">
        <v>374</v>
      </c>
      <c r="J41" s="358" t="s">
        <v>488</v>
      </c>
      <c r="K41" s="358" t="s">
        <v>991</v>
      </c>
      <c r="L41" s="358" t="s">
        <v>1069</v>
      </c>
      <c r="M41" s="358" t="s">
        <v>127</v>
      </c>
      <c r="N41" s="75">
        <v>93.154551999999995</v>
      </c>
      <c r="O41" s="75">
        <v>20.073437999999999</v>
      </c>
      <c r="P41" s="358"/>
      <c r="Q41" s="876">
        <v>891</v>
      </c>
      <c r="R41" s="875">
        <v>4239</v>
      </c>
      <c r="S41" s="888">
        <v>4.7418321588725201</v>
      </c>
      <c r="T41" s="642" t="s">
        <v>343</v>
      </c>
      <c r="U41" s="642"/>
      <c r="V41" s="738" t="s">
        <v>987</v>
      </c>
      <c r="W41" s="642"/>
      <c r="X41" s="358"/>
      <c r="Y41" s="358"/>
      <c r="Z41" s="358" t="s">
        <v>657</v>
      </c>
      <c r="AA41" s="358" t="str">
        <f>CONCATENATE(Camp_List[[#This Row],[Ethnicity]],"-",Camp_List[[#This Row],[Religion]])</f>
        <v>-Muslim</v>
      </c>
      <c r="AB41" s="358" t="s">
        <v>1020</v>
      </c>
      <c r="AC41" s="358"/>
      <c r="AD41" s="712"/>
      <c r="AE41" s="358" t="s">
        <v>879</v>
      </c>
      <c r="AF41" s="358" t="s">
        <v>880</v>
      </c>
      <c r="AG41" s="290">
        <v>42766</v>
      </c>
      <c r="AH41" s="647" t="s">
        <v>1071</v>
      </c>
      <c r="AI41" s="643" t="str">
        <f>IFERROR(VLOOKUP(Camp_List[[#This Row],[Responsible Agency]],Organization_t[],3,0),"")</f>
        <v/>
      </c>
      <c r="AJ41" s="650">
        <f ca="1">IF((SUMIFS(Data_Shelter_t[Coverage],Data_Shelter_t[Pcode],Camp_List[[#This Row],[P_Code]]))&gt;1,1,SUMIFS(Data_Shelter_t[Coverage],Data_Shelter_t[Pcode],Camp_List[[#This Row],[P_Code]]))</f>
        <v>0</v>
      </c>
      <c r="BL41" s="19"/>
      <c r="BM41" s="19"/>
      <c r="BP41" s="69"/>
      <c r="BQ41" s="69"/>
    </row>
    <row r="42" spans="1:69" ht="13.5" customHeight="1" x14ac:dyDescent="0.25">
      <c r="A42" s="634" t="s">
        <v>1005</v>
      </c>
      <c r="B42" s="358" t="s">
        <v>7</v>
      </c>
      <c r="C42" s="358" t="s">
        <v>351</v>
      </c>
      <c r="D42" s="358" t="s">
        <v>19</v>
      </c>
      <c r="E42" s="358" t="s">
        <v>604</v>
      </c>
      <c r="F42" s="358" t="s">
        <v>19</v>
      </c>
      <c r="G42" s="358" t="s">
        <v>413</v>
      </c>
      <c r="H42" s="358" t="s">
        <v>423</v>
      </c>
      <c r="I42" s="358" t="s">
        <v>560</v>
      </c>
      <c r="J42" s="358" t="s">
        <v>423</v>
      </c>
      <c r="K42" s="358" t="s">
        <v>422</v>
      </c>
      <c r="L42" s="358" t="s">
        <v>245</v>
      </c>
      <c r="M42" s="358" t="s">
        <v>282</v>
      </c>
      <c r="N42" s="75">
        <v>92.879138999999995</v>
      </c>
      <c r="O42" s="75">
        <v>20.155805999999998</v>
      </c>
      <c r="P42" s="358"/>
      <c r="Q42" s="877">
        <v>151</v>
      </c>
      <c r="R42" s="875">
        <v>654</v>
      </c>
      <c r="S42" s="888">
        <v>4.2384105960264904</v>
      </c>
      <c r="T42" s="642" t="s">
        <v>343</v>
      </c>
      <c r="U42" s="642"/>
      <c r="V42" s="642" t="s">
        <v>987</v>
      </c>
      <c r="W42" s="360"/>
      <c r="X42" s="358"/>
      <c r="Y42" s="358" t="s">
        <v>7</v>
      </c>
      <c r="Z42" s="358" t="s">
        <v>759</v>
      </c>
      <c r="AA42" s="358" t="str">
        <f>CONCATENATE(Camp_List[[#This Row],[Ethnicity]],"-",Camp_List[[#This Row],[Religion]])</f>
        <v>Rakhine-Buddhist</v>
      </c>
      <c r="AB42" s="358" t="s">
        <v>512</v>
      </c>
      <c r="AC42" s="358"/>
      <c r="AD42" s="709"/>
      <c r="AE42" s="358" t="s">
        <v>879</v>
      </c>
      <c r="AF42" s="358" t="s">
        <v>880</v>
      </c>
      <c r="AG42" s="290">
        <v>42766</v>
      </c>
      <c r="AH42" s="634" t="s">
        <v>1030</v>
      </c>
      <c r="AI42" s="75" t="str">
        <f>IFERROR(VLOOKUP(Camp_List[[#This Row],[Responsible Agency]],Organization_t[],3,0),"")</f>
        <v/>
      </c>
      <c r="AJ42" s="574">
        <f ca="1">IF((SUMIFS(Data_Shelter_t[Coverage],Data_Shelter_t[Pcode],Camp_List[[#This Row],[P_Code]]))&gt;1,1,SUMIFS(Data_Shelter_t[Coverage],Data_Shelter_t[Pcode],Camp_List[[#This Row],[P_Code]]))</f>
        <v>1</v>
      </c>
      <c r="BL42" s="19"/>
      <c r="BM42" s="19"/>
      <c r="BP42" s="69"/>
      <c r="BQ42" s="69"/>
    </row>
    <row r="43" spans="1:69" ht="13.5" customHeight="1" x14ac:dyDescent="0.25">
      <c r="A43" s="634" t="s">
        <v>1005</v>
      </c>
      <c r="B43" s="358" t="s">
        <v>7</v>
      </c>
      <c r="C43" s="358" t="s">
        <v>351</v>
      </c>
      <c r="D43" s="358" t="s">
        <v>19</v>
      </c>
      <c r="E43" s="358" t="s">
        <v>604</v>
      </c>
      <c r="F43" s="358" t="s">
        <v>15</v>
      </c>
      <c r="G43" s="358" t="s">
        <v>381</v>
      </c>
      <c r="H43" s="358" t="s">
        <v>385</v>
      </c>
      <c r="I43" s="358" t="s">
        <v>384</v>
      </c>
      <c r="J43" s="358" t="s">
        <v>475</v>
      </c>
      <c r="K43" s="358">
        <v>196838</v>
      </c>
      <c r="L43" s="358" t="s">
        <v>54</v>
      </c>
      <c r="M43" s="358" t="s">
        <v>140</v>
      </c>
      <c r="N43" s="75">
        <v>93.006497999999993</v>
      </c>
      <c r="O43" s="75">
        <v>20.886997999999998</v>
      </c>
      <c r="P43" s="358"/>
      <c r="Q43" s="876">
        <v>97</v>
      </c>
      <c r="R43" s="875">
        <v>557</v>
      </c>
      <c r="S43" s="888">
        <v>5.9381443298969074</v>
      </c>
      <c r="T43" s="642" t="s">
        <v>343</v>
      </c>
      <c r="U43" s="642"/>
      <c r="V43" s="738" t="s">
        <v>987</v>
      </c>
      <c r="W43" s="642" t="s">
        <v>863</v>
      </c>
      <c r="X43" s="358"/>
      <c r="Y43" s="358"/>
      <c r="Z43" s="358" t="s">
        <v>657</v>
      </c>
      <c r="AA43" s="358" t="str">
        <f>CONCATENATE(Camp_List[[#This Row],[Ethnicity]],"-",Camp_List[[#This Row],[Religion]])</f>
        <v>-Muslim</v>
      </c>
      <c r="AB43" s="358" t="s">
        <v>1020</v>
      </c>
      <c r="AC43" s="358"/>
      <c r="AD43" s="712"/>
      <c r="AE43" s="358" t="s">
        <v>504</v>
      </c>
      <c r="AF43" s="358" t="s">
        <v>927</v>
      </c>
      <c r="AG43" s="290">
        <v>42766</v>
      </c>
      <c r="AH43" s="647" t="s">
        <v>977</v>
      </c>
      <c r="AI43" s="643" t="str">
        <f>IFERROR(VLOOKUP(Camp_List[[#This Row],[Responsible Agency]],Organization_t[],3,0),"")</f>
        <v/>
      </c>
      <c r="AJ43" s="574">
        <f ca="1">IF((SUMIFS(Data_Shelter_t[Coverage],Data_Shelter_t[Pcode],Camp_List[[#This Row],[P_Code]]))&gt;1,1,SUMIFS(Data_Shelter_t[Coverage],Data_Shelter_t[Pcode],Camp_List[[#This Row],[P_Code]]))</f>
        <v>0.82474226804123707</v>
      </c>
      <c r="BL43" s="19"/>
      <c r="BM43" s="19"/>
      <c r="BP43" s="69"/>
      <c r="BQ43" s="69"/>
    </row>
    <row r="44" spans="1:69" ht="13.5" customHeight="1" x14ac:dyDescent="0.25">
      <c r="A44" s="634" t="s">
        <v>1005</v>
      </c>
      <c r="B44" s="358" t="s">
        <v>7</v>
      </c>
      <c r="C44" s="358" t="s">
        <v>351</v>
      </c>
      <c r="D44" s="358" t="s">
        <v>19</v>
      </c>
      <c r="E44" s="358" t="s">
        <v>604</v>
      </c>
      <c r="F44" s="793" t="s">
        <v>1003</v>
      </c>
      <c r="G44" s="358" t="s">
        <v>365</v>
      </c>
      <c r="H44" s="358" t="s">
        <v>371</v>
      </c>
      <c r="I44" s="358" t="s">
        <v>370</v>
      </c>
      <c r="J44" s="358" t="s">
        <v>487</v>
      </c>
      <c r="K44" s="358">
        <v>196441</v>
      </c>
      <c r="L44" s="358" t="s">
        <v>36</v>
      </c>
      <c r="M44" s="358" t="s">
        <v>122</v>
      </c>
      <c r="N44" s="75">
        <v>93.239519999999999</v>
      </c>
      <c r="O44" s="75">
        <v>20.61692</v>
      </c>
      <c r="P44" s="358"/>
      <c r="Q44" s="876">
        <v>10</v>
      </c>
      <c r="R44" s="875">
        <v>64</v>
      </c>
      <c r="S44" s="888">
        <v>6.4</v>
      </c>
      <c r="T44" s="642" t="s">
        <v>343</v>
      </c>
      <c r="U44" s="642"/>
      <c r="V44" s="642" t="s">
        <v>987</v>
      </c>
      <c r="W44" s="360" t="s">
        <v>864</v>
      </c>
      <c r="X44" s="358"/>
      <c r="Y44" s="358" t="s">
        <v>658</v>
      </c>
      <c r="Z44" s="638" t="s">
        <v>759</v>
      </c>
      <c r="AA44" s="638" t="str">
        <f>CONCATENATE(Camp_List[[#This Row],[Ethnicity]],"-",Camp_List[[#This Row],[Religion]])</f>
        <v>Maramargyi-Buddhist</v>
      </c>
      <c r="AB44" s="638" t="s">
        <v>1020</v>
      </c>
      <c r="AC44" s="358"/>
      <c r="AD44" s="709"/>
      <c r="AE44" s="358" t="s">
        <v>504</v>
      </c>
      <c r="AF44" s="358" t="s">
        <v>520</v>
      </c>
      <c r="AG44" s="290">
        <v>42766</v>
      </c>
      <c r="AH44" s="358" t="s">
        <v>977</v>
      </c>
      <c r="AI44" s="75" t="str">
        <f>IFERROR(VLOOKUP(Camp_List[[#This Row],[Responsible Agency]],Organization_t[],3,0),"")</f>
        <v/>
      </c>
      <c r="AJ44" s="574">
        <f ca="1">IF((SUMIFS(Data_Shelter_t[Coverage],Data_Shelter_t[Pcode],Camp_List[[#This Row],[P_Code]]))&gt;1,1,SUMIFS(Data_Shelter_t[Coverage],Data_Shelter_t[Pcode],Camp_List[[#This Row],[P_Code]]))</f>
        <v>1</v>
      </c>
      <c r="BL44" s="19"/>
      <c r="BM44" s="19"/>
      <c r="BP44" s="69"/>
      <c r="BQ44" s="69"/>
    </row>
    <row r="45" spans="1:69" ht="13.5" customHeight="1" x14ac:dyDescent="0.25">
      <c r="A45" s="634" t="s">
        <v>1005</v>
      </c>
      <c r="B45" s="358" t="s">
        <v>7</v>
      </c>
      <c r="C45" s="358" t="s">
        <v>351</v>
      </c>
      <c r="D45" s="358" t="s">
        <v>19</v>
      </c>
      <c r="E45" s="358" t="s">
        <v>604</v>
      </c>
      <c r="F45" s="358" t="s">
        <v>1003</v>
      </c>
      <c r="G45" s="358" t="s">
        <v>365</v>
      </c>
      <c r="H45" s="359" t="s">
        <v>625</v>
      </c>
      <c r="I45" s="358" t="s">
        <v>626</v>
      </c>
      <c r="J45" s="358" t="s">
        <v>627</v>
      </c>
      <c r="K45" s="358">
        <v>196501</v>
      </c>
      <c r="L45" s="358" t="s">
        <v>627</v>
      </c>
      <c r="M45" s="358" t="s">
        <v>628</v>
      </c>
      <c r="N45" s="75">
        <v>93.246863000000005</v>
      </c>
      <c r="O45" s="75">
        <v>20.495086000000001</v>
      </c>
      <c r="P45" s="358"/>
      <c r="Q45" s="876">
        <v>31</v>
      </c>
      <c r="R45" s="875">
        <v>131</v>
      </c>
      <c r="S45" s="888">
        <v>4.225806451612903</v>
      </c>
      <c r="T45" s="642" t="s">
        <v>343</v>
      </c>
      <c r="U45" s="642"/>
      <c r="V45" s="642" t="s">
        <v>987</v>
      </c>
      <c r="W45" s="360" t="s">
        <v>864</v>
      </c>
      <c r="X45" s="358"/>
      <c r="Y45" s="358" t="s">
        <v>7</v>
      </c>
      <c r="Z45" s="358" t="s">
        <v>759</v>
      </c>
      <c r="AA45" s="358" t="str">
        <f>CONCATENATE(Camp_List[[#This Row],[Ethnicity]],"-",Camp_List[[#This Row],[Religion]])</f>
        <v>Rakhine-Buddhist</v>
      </c>
      <c r="AB45" s="638" t="s">
        <v>1020</v>
      </c>
      <c r="AC45" s="358"/>
      <c r="AD45" s="709"/>
      <c r="AE45" s="358" t="s">
        <v>504</v>
      </c>
      <c r="AF45" s="358" t="s">
        <v>520</v>
      </c>
      <c r="AG45" s="290">
        <v>42766</v>
      </c>
      <c r="AH45" s="358" t="s">
        <v>977</v>
      </c>
      <c r="AI45" s="75" t="str">
        <f>IFERROR(VLOOKUP(Camp_List[[#This Row],[Responsible Agency]],Organization_t[],3,0),"")</f>
        <v/>
      </c>
      <c r="AJ45" s="574">
        <f ca="1">IF((SUMIFS(Data_Shelter_t[Coverage],Data_Shelter_t[Pcode],Camp_List[[#This Row],[P_Code]]))&gt;1,1,SUMIFS(Data_Shelter_t[Coverage],Data_Shelter_t[Pcode],Camp_List[[#This Row],[P_Code]]))</f>
        <v>1</v>
      </c>
      <c r="BL45" s="19"/>
      <c r="BM45" s="19"/>
      <c r="BP45" s="69"/>
      <c r="BQ45" s="69"/>
    </row>
    <row r="46" spans="1:69" ht="13.5" customHeight="1" x14ac:dyDescent="0.25">
      <c r="A46" s="634" t="s">
        <v>1005</v>
      </c>
      <c r="B46" s="539" t="s">
        <v>7</v>
      </c>
      <c r="C46" s="539" t="s">
        <v>351</v>
      </c>
      <c r="D46" s="539" t="s">
        <v>19</v>
      </c>
      <c r="E46" s="539" t="s">
        <v>604</v>
      </c>
      <c r="F46" s="539" t="s">
        <v>14</v>
      </c>
      <c r="G46" s="539" t="s">
        <v>372</v>
      </c>
      <c r="H46" s="358" t="s">
        <v>512</v>
      </c>
      <c r="I46" s="358" t="s">
        <v>573</v>
      </c>
      <c r="J46" s="358" t="s">
        <v>491</v>
      </c>
      <c r="K46" s="358" t="s">
        <v>492</v>
      </c>
      <c r="L46" s="358" t="s">
        <v>39</v>
      </c>
      <c r="M46" s="358" t="s">
        <v>125</v>
      </c>
      <c r="N46" s="75">
        <v>93.067891000000003</v>
      </c>
      <c r="O46" s="75">
        <v>20.173468</v>
      </c>
      <c r="P46" s="358"/>
      <c r="Q46" s="876">
        <v>21</v>
      </c>
      <c r="R46" s="875">
        <v>122</v>
      </c>
      <c r="S46" s="888">
        <v>5.8095238095238093</v>
      </c>
      <c r="T46" s="642" t="s">
        <v>343</v>
      </c>
      <c r="U46" s="642"/>
      <c r="V46" s="642" t="s">
        <v>987</v>
      </c>
      <c r="W46" s="360"/>
      <c r="X46" s="358"/>
      <c r="Y46" s="358" t="s">
        <v>7</v>
      </c>
      <c r="Z46" s="358" t="s">
        <v>759</v>
      </c>
      <c r="AA46" s="358" t="str">
        <f>CONCATENATE(Camp_List[[#This Row],[Ethnicity]],"-",Camp_List[[#This Row],[Religion]])</f>
        <v>Rakhine-Buddhist</v>
      </c>
      <c r="AB46" s="358" t="s">
        <v>512</v>
      </c>
      <c r="AC46" s="358"/>
      <c r="AD46" s="709"/>
      <c r="AE46" s="358" t="s">
        <v>879</v>
      </c>
      <c r="AF46" s="358" t="s">
        <v>880</v>
      </c>
      <c r="AG46" s="290">
        <v>42766</v>
      </c>
      <c r="AH46" s="358" t="s">
        <v>993</v>
      </c>
      <c r="AI46" s="75" t="str">
        <f>IFERROR(VLOOKUP(Camp_List[[#This Row],[Responsible Agency]],Organization_t[],3,0),"")</f>
        <v/>
      </c>
      <c r="AJ46" s="574">
        <f ca="1">IF((SUMIFS(Data_Shelter_t[Coverage],Data_Shelter_t[Pcode],Camp_List[[#This Row],[P_Code]]))&gt;1,1,SUMIFS(Data_Shelter_t[Coverage],Data_Shelter_t[Pcode],Camp_List[[#This Row],[P_Code]]))</f>
        <v>1</v>
      </c>
      <c r="BL46" s="19"/>
      <c r="BM46" s="19"/>
      <c r="BP46" s="69"/>
      <c r="BQ46" s="69"/>
    </row>
    <row r="47" spans="1:69" ht="13.5" customHeight="1" x14ac:dyDescent="0.25">
      <c r="A47" s="634" t="s">
        <v>1005</v>
      </c>
      <c r="B47" s="358" t="s">
        <v>7</v>
      </c>
      <c r="C47" s="358" t="s">
        <v>351</v>
      </c>
      <c r="D47" s="358" t="s">
        <v>19</v>
      </c>
      <c r="E47" s="358" t="s">
        <v>604</v>
      </c>
      <c r="F47" s="358" t="s">
        <v>19</v>
      </c>
      <c r="G47" s="358" t="s">
        <v>413</v>
      </c>
      <c r="H47" s="358" t="s">
        <v>512</v>
      </c>
      <c r="I47" s="358" t="s">
        <v>560</v>
      </c>
      <c r="J47" s="358" t="s">
        <v>561</v>
      </c>
      <c r="K47" s="358" t="s">
        <v>562</v>
      </c>
      <c r="L47" s="358" t="s">
        <v>639</v>
      </c>
      <c r="M47" s="358" t="s">
        <v>641</v>
      </c>
      <c r="N47" s="75">
        <v>92.887277999999995</v>
      </c>
      <c r="O47" s="75">
        <v>20.151471999999998</v>
      </c>
      <c r="P47" s="358"/>
      <c r="Q47" s="876">
        <v>249</v>
      </c>
      <c r="R47" s="875">
        <v>1282</v>
      </c>
      <c r="S47" s="888">
        <v>5.1485943775100402</v>
      </c>
      <c r="T47" s="642" t="s">
        <v>343</v>
      </c>
      <c r="U47" s="642"/>
      <c r="V47" s="642" t="s">
        <v>987</v>
      </c>
      <c r="W47" s="360"/>
      <c r="X47" s="358"/>
      <c r="Y47" s="358" t="s">
        <v>7</v>
      </c>
      <c r="Z47" s="358" t="s">
        <v>759</v>
      </c>
      <c r="AA47" s="358" t="str">
        <f>CONCATENATE(Camp_List[[#This Row],[Ethnicity]],"-",Camp_List[[#This Row],[Religion]])</f>
        <v>Rakhine-Buddhist</v>
      </c>
      <c r="AB47" s="358" t="s">
        <v>512</v>
      </c>
      <c r="AC47" s="358"/>
      <c r="AD47" s="709"/>
      <c r="AE47" s="358" t="s">
        <v>879</v>
      </c>
      <c r="AF47" s="358" t="s">
        <v>880</v>
      </c>
      <c r="AG47" s="290">
        <v>42766</v>
      </c>
      <c r="AH47" s="358" t="s">
        <v>977</v>
      </c>
      <c r="AI47" s="19" t="str">
        <f>IFERROR(VLOOKUP(Camp_List[[#This Row],[Responsible Agency]],Organization_t[],3,0),"")</f>
        <v/>
      </c>
      <c r="AJ47" s="574">
        <f ca="1">IF((SUMIFS(Data_Shelter_t[Coverage],Data_Shelter_t[Pcode],Camp_List[[#This Row],[P_Code]]))&gt;1,1,SUMIFS(Data_Shelter_t[Coverage],Data_Shelter_t[Pcode],Camp_List[[#This Row],[P_Code]]))</f>
        <v>1</v>
      </c>
      <c r="BL47" s="19"/>
      <c r="BM47" s="19"/>
      <c r="BP47" s="69"/>
      <c r="BQ47" s="69"/>
    </row>
    <row r="48" spans="1:69" ht="13.5" customHeight="1" x14ac:dyDescent="0.25">
      <c r="A48" s="634" t="s">
        <v>1005</v>
      </c>
      <c r="B48" s="358" t="s">
        <v>7</v>
      </c>
      <c r="C48" s="358" t="s">
        <v>351</v>
      </c>
      <c r="D48" s="358" t="s">
        <v>19</v>
      </c>
      <c r="E48" s="358" t="s">
        <v>604</v>
      </c>
      <c r="F48" s="358" t="s">
        <v>19</v>
      </c>
      <c r="G48" s="358" t="s">
        <v>413</v>
      </c>
      <c r="H48" s="358" t="s">
        <v>512</v>
      </c>
      <c r="I48" s="358" t="s">
        <v>560</v>
      </c>
      <c r="J48" s="358" t="s">
        <v>561</v>
      </c>
      <c r="K48" s="358" t="s">
        <v>562</v>
      </c>
      <c r="L48" s="358" t="s">
        <v>640</v>
      </c>
      <c r="M48" s="358" t="s">
        <v>642</v>
      </c>
      <c r="N48" s="75">
        <v>92.887277999999995</v>
      </c>
      <c r="O48" s="75">
        <v>20.151471999999998</v>
      </c>
      <c r="P48" s="358"/>
      <c r="Q48" s="876">
        <v>418</v>
      </c>
      <c r="R48" s="875">
        <v>2200</v>
      </c>
      <c r="S48" s="888">
        <v>5.2631578947368425</v>
      </c>
      <c r="T48" s="642" t="s">
        <v>343</v>
      </c>
      <c r="U48" s="642"/>
      <c r="V48" s="642" t="s">
        <v>987</v>
      </c>
      <c r="W48" s="360"/>
      <c r="X48" s="358"/>
      <c r="Y48" s="358" t="s">
        <v>7</v>
      </c>
      <c r="Z48" s="358" t="s">
        <v>759</v>
      </c>
      <c r="AA48" s="358" t="str">
        <f>CONCATENATE(Camp_List[[#This Row],[Ethnicity]],"-",Camp_List[[#This Row],[Religion]])</f>
        <v>Rakhine-Buddhist</v>
      </c>
      <c r="AB48" s="358" t="s">
        <v>512</v>
      </c>
      <c r="AC48" s="358"/>
      <c r="AD48" s="709"/>
      <c r="AE48" s="358" t="s">
        <v>879</v>
      </c>
      <c r="AF48" s="358" t="s">
        <v>880</v>
      </c>
      <c r="AG48" s="290">
        <v>42766</v>
      </c>
      <c r="AH48" s="358" t="s">
        <v>977</v>
      </c>
      <c r="AI48" s="19" t="str">
        <f>IFERROR(VLOOKUP(Camp_List[[#This Row],[Responsible Agency]],Organization_t[],3,0),"")</f>
        <v/>
      </c>
      <c r="AJ48" s="574">
        <f ca="1">IF((SUMIFS(Data_Shelter_t[Coverage],Data_Shelter_t[Pcode],Camp_List[[#This Row],[P_Code]]))&gt;1,1,SUMIFS(Data_Shelter_t[Coverage],Data_Shelter_t[Pcode],Camp_List[[#This Row],[P_Code]]))</f>
        <v>1</v>
      </c>
      <c r="BL48" s="19"/>
      <c r="BM48" s="19"/>
      <c r="BP48" s="69"/>
      <c r="BQ48" s="69"/>
    </row>
    <row r="49" spans="1:69" ht="13.5" customHeight="1" x14ac:dyDescent="0.25">
      <c r="A49" s="634" t="s">
        <v>1005</v>
      </c>
      <c r="B49" s="358" t="s">
        <v>7</v>
      </c>
      <c r="C49" s="358" t="s">
        <v>351</v>
      </c>
      <c r="D49" s="358" t="s">
        <v>19</v>
      </c>
      <c r="E49" s="358" t="s">
        <v>604</v>
      </c>
      <c r="F49" s="358" t="s">
        <v>19</v>
      </c>
      <c r="G49" s="358" t="s">
        <v>413</v>
      </c>
      <c r="H49" s="358" t="s">
        <v>423</v>
      </c>
      <c r="I49" s="358" t="s">
        <v>560</v>
      </c>
      <c r="J49" s="358" t="s">
        <v>423</v>
      </c>
      <c r="K49" s="358" t="s">
        <v>422</v>
      </c>
      <c r="L49" s="358" t="s">
        <v>78</v>
      </c>
      <c r="M49" s="358" t="s">
        <v>166</v>
      </c>
      <c r="N49" s="75">
        <v>92.880319999999998</v>
      </c>
      <c r="O49" s="75">
        <v>20.148584</v>
      </c>
      <c r="P49" s="358"/>
      <c r="Q49" s="876">
        <v>72</v>
      </c>
      <c r="R49" s="875">
        <v>462</v>
      </c>
      <c r="S49" s="888">
        <v>6.416666666666667</v>
      </c>
      <c r="T49" s="642" t="s">
        <v>343</v>
      </c>
      <c r="U49" s="642"/>
      <c r="V49" s="642" t="s">
        <v>987</v>
      </c>
      <c r="W49" s="360"/>
      <c r="X49" s="358"/>
      <c r="Y49" s="358" t="s">
        <v>658</v>
      </c>
      <c r="Z49" s="358" t="s">
        <v>759</v>
      </c>
      <c r="AA49" s="358" t="str">
        <f>CONCATENATE(Camp_List[[#This Row],[Ethnicity]],"-",Camp_List[[#This Row],[Religion]])</f>
        <v>Maramargyi-Buddhist</v>
      </c>
      <c r="AB49" s="358" t="s">
        <v>512</v>
      </c>
      <c r="AC49" s="358"/>
      <c r="AD49" s="709"/>
      <c r="AE49" s="358" t="s">
        <v>879</v>
      </c>
      <c r="AF49" s="358" t="s">
        <v>880</v>
      </c>
      <c r="AG49" s="290">
        <v>42766</v>
      </c>
      <c r="AH49" s="358" t="s">
        <v>977</v>
      </c>
      <c r="AI49" s="75" t="str">
        <f>IFERROR(VLOOKUP(Camp_List[[#This Row],[Responsible Agency]],Organization_t[],3,0),"")</f>
        <v/>
      </c>
      <c r="AJ49" s="574">
        <f ca="1">IF((SUMIFS(Data_Shelter_t[Coverage],Data_Shelter_t[Pcode],Camp_List[[#This Row],[P_Code]]))&gt;1,1,SUMIFS(Data_Shelter_t[Coverage],Data_Shelter_t[Pcode],Camp_List[[#This Row],[P_Code]]))</f>
        <v>1</v>
      </c>
      <c r="BL49" s="19"/>
      <c r="BM49" s="19"/>
      <c r="BP49" s="69"/>
      <c r="BQ49" s="69"/>
    </row>
    <row r="50" spans="1:69" ht="13.5" customHeight="1" x14ac:dyDescent="0.25">
      <c r="A50" s="634" t="s">
        <v>1005</v>
      </c>
      <c r="B50" s="358" t="s">
        <v>7</v>
      </c>
      <c r="C50" s="358" t="s">
        <v>351</v>
      </c>
      <c r="D50" s="358" t="s">
        <v>19</v>
      </c>
      <c r="E50" s="358" t="s">
        <v>604</v>
      </c>
      <c r="F50" s="358" t="s">
        <v>867</v>
      </c>
      <c r="G50" s="358" t="s">
        <v>373</v>
      </c>
      <c r="H50" s="358" t="s">
        <v>512</v>
      </c>
      <c r="I50" s="358" t="s">
        <v>540</v>
      </c>
      <c r="J50" s="358" t="s">
        <v>482</v>
      </c>
      <c r="K50" s="358" t="s">
        <v>483</v>
      </c>
      <c r="L50" s="358" t="s">
        <v>37</v>
      </c>
      <c r="M50" s="358" t="s">
        <v>123</v>
      </c>
      <c r="N50" s="75">
        <v>93.373951000000005</v>
      </c>
      <c r="O50" s="75">
        <v>20.041981</v>
      </c>
      <c r="P50" s="358"/>
      <c r="Q50" s="876">
        <v>42</v>
      </c>
      <c r="R50" s="875">
        <v>204</v>
      </c>
      <c r="S50" s="888">
        <v>4.8292682926829267</v>
      </c>
      <c r="T50" s="642" t="s">
        <v>343</v>
      </c>
      <c r="U50" s="642"/>
      <c r="V50" s="642" t="s">
        <v>987</v>
      </c>
      <c r="W50" s="360"/>
      <c r="X50" s="358"/>
      <c r="Y50" s="358" t="s">
        <v>7</v>
      </c>
      <c r="Z50" s="358" t="s">
        <v>759</v>
      </c>
      <c r="AA50" s="358" t="str">
        <f>CONCATENATE(Camp_List[[#This Row],[Ethnicity]],"-",Camp_List[[#This Row],[Religion]])</f>
        <v>Rakhine-Buddhist</v>
      </c>
      <c r="AB50" s="358" t="s">
        <v>512</v>
      </c>
      <c r="AC50" s="651"/>
      <c r="AD50" s="713"/>
      <c r="AE50" s="358" t="s">
        <v>879</v>
      </c>
      <c r="AF50" s="358" t="s">
        <v>880</v>
      </c>
      <c r="AG50" s="290">
        <v>42766</v>
      </c>
      <c r="AH50" s="358" t="s">
        <v>1013</v>
      </c>
      <c r="AI50" s="75" t="str">
        <f>IFERROR(VLOOKUP(Camp_List[[#This Row],[Responsible Agency]],Organization_t[],3,0),"")</f>
        <v/>
      </c>
      <c r="AJ50" s="574">
        <f ca="1">IF((SUMIFS(Data_Shelter_t[Coverage],Data_Shelter_t[Pcode],Camp_List[[#This Row],[P_Code]]))&gt;1,1,SUMIFS(Data_Shelter_t[Coverage],Data_Shelter_t[Pcode],Camp_List[[#This Row],[P_Code]]))</f>
        <v>1</v>
      </c>
      <c r="BL50" s="19"/>
      <c r="BM50" s="19"/>
      <c r="BP50" s="69"/>
      <c r="BQ50" s="69"/>
    </row>
    <row r="51" spans="1:69" ht="13.5" customHeight="1" x14ac:dyDescent="0.25">
      <c r="A51" s="704" t="s">
        <v>1006</v>
      </c>
      <c r="B51" s="358" t="s">
        <v>7</v>
      </c>
      <c r="C51" s="358" t="s">
        <v>351</v>
      </c>
      <c r="D51" s="358" t="s">
        <v>20</v>
      </c>
      <c r="E51" s="358" t="s">
        <v>622</v>
      </c>
      <c r="F51" s="358" t="s">
        <v>20</v>
      </c>
      <c r="G51" s="358" t="s">
        <v>448</v>
      </c>
      <c r="H51" s="358" t="s">
        <v>1042</v>
      </c>
      <c r="I51" s="358" t="s">
        <v>514</v>
      </c>
      <c r="J51" s="358" t="s">
        <v>1042</v>
      </c>
      <c r="K51" s="358" t="s">
        <v>1043</v>
      </c>
      <c r="L51" s="358" t="s">
        <v>103</v>
      </c>
      <c r="M51" s="358" t="s">
        <v>191</v>
      </c>
      <c r="N51" s="75">
        <v>92.362196999999995</v>
      </c>
      <c r="O51" s="75">
        <v>20.824777999999998</v>
      </c>
      <c r="P51" s="361"/>
      <c r="Q51" s="876">
        <v>17</v>
      </c>
      <c r="R51" s="875">
        <v>109</v>
      </c>
      <c r="S51" s="888">
        <v>6.166666666666667</v>
      </c>
      <c r="T51" s="642" t="s">
        <v>343</v>
      </c>
      <c r="U51" s="642" t="s">
        <v>756</v>
      </c>
      <c r="V51" s="642"/>
      <c r="W51" s="358"/>
      <c r="X51" s="358"/>
      <c r="Y51" s="358"/>
      <c r="Z51" s="358" t="s">
        <v>657</v>
      </c>
      <c r="AA51" s="358" t="str">
        <f>CONCATENATE(Camp_List[[#This Row],[Ethnicity]],"-",Camp_List[[#This Row],[Religion]])</f>
        <v>-Muslim</v>
      </c>
      <c r="AB51" s="289" t="s">
        <v>512</v>
      </c>
      <c r="AC51" s="358"/>
      <c r="AD51" s="709" t="s">
        <v>285</v>
      </c>
      <c r="AE51" s="358" t="s">
        <v>504</v>
      </c>
      <c r="AF51" s="358" t="s">
        <v>520</v>
      </c>
      <c r="AG51" s="290">
        <v>42766</v>
      </c>
      <c r="AH51" s="707" t="s">
        <v>1027</v>
      </c>
      <c r="AI51" s="75" t="str">
        <f>IFERROR(VLOOKUP(Camp_List[[#This Row],[Responsible Agency]],Organization_t[],3,0),"")</f>
        <v>Richard Tracey, CCCM/NFI Cluster Coordinator, tracey@unhcr.org,09448027896</v>
      </c>
      <c r="AJ51" s="574">
        <f>IF((SUMIFS(Data_Shelter_t[Coverage],Data_Shelter_t[Pcode],Camp_List[[#This Row],[P_Code]]))&gt;1,1,SUMIFS(Data_Shelter_t[Coverage],Data_Shelter_t[Pcode],Camp_List[[#This Row],[P_Code]]))</f>
        <v>0</v>
      </c>
      <c r="BL51" s="19"/>
      <c r="BM51" s="19"/>
      <c r="BP51" s="69"/>
      <c r="BQ51" s="69"/>
    </row>
    <row r="52" spans="1:69" ht="13.5" customHeight="1" x14ac:dyDescent="0.25">
      <c r="A52" s="635" t="s">
        <v>1006</v>
      </c>
      <c r="B52" s="358" t="s">
        <v>7</v>
      </c>
      <c r="C52" s="358" t="s">
        <v>351</v>
      </c>
      <c r="D52" s="358" t="s">
        <v>19</v>
      </c>
      <c r="E52" s="358" t="s">
        <v>604</v>
      </c>
      <c r="F52" s="358" t="s">
        <v>15</v>
      </c>
      <c r="G52" s="358" t="s">
        <v>381</v>
      </c>
      <c r="H52" s="358" t="s">
        <v>388</v>
      </c>
      <c r="I52" s="358" t="s">
        <v>387</v>
      </c>
      <c r="J52" s="358" t="s">
        <v>388</v>
      </c>
      <c r="K52" s="358">
        <v>196946</v>
      </c>
      <c r="L52" s="358" t="s">
        <v>48</v>
      </c>
      <c r="M52" s="358" t="s">
        <v>134</v>
      </c>
      <c r="N52" s="75">
        <v>92.961841000000007</v>
      </c>
      <c r="O52" s="75">
        <v>20.720213000000001</v>
      </c>
      <c r="P52" s="358"/>
      <c r="Q52" s="876">
        <v>92</v>
      </c>
      <c r="R52" s="875">
        <v>559</v>
      </c>
      <c r="S52" s="888">
        <v>6.0760869565217392</v>
      </c>
      <c r="T52" s="642" t="s">
        <v>343</v>
      </c>
      <c r="U52" s="642"/>
      <c r="V52" s="738" t="s">
        <v>987</v>
      </c>
      <c r="W52" s="642" t="s">
        <v>863</v>
      </c>
      <c r="X52" s="358"/>
      <c r="Y52" s="358"/>
      <c r="Z52" s="358" t="s">
        <v>657</v>
      </c>
      <c r="AA52" s="643" t="str">
        <f>CONCATENATE(Camp_List[[#This Row],[Ethnicity]],"-",Camp_List[[#This Row],[Religion]])</f>
        <v>-Muslim</v>
      </c>
      <c r="AB52" s="358" t="s">
        <v>1020</v>
      </c>
      <c r="AC52" s="358"/>
      <c r="AD52" s="712"/>
      <c r="AE52" s="358" t="s">
        <v>504</v>
      </c>
      <c r="AF52" s="358" t="s">
        <v>927</v>
      </c>
      <c r="AG52" s="290">
        <v>42766</v>
      </c>
      <c r="AH52" s="647" t="s">
        <v>989</v>
      </c>
      <c r="AI52" s="643" t="str">
        <f>IFERROR(VLOOKUP(Camp_List[[#This Row],[Responsible Agency]],Organization_t[],3,0),"")</f>
        <v/>
      </c>
      <c r="AJ52" s="650">
        <f ca="1">IF((SUMIFS(Data_Shelter_t[Coverage],Data_Shelter_t[Pcode],Camp_List[[#This Row],[P_Code]]))&gt;1,1,SUMIFS(Data_Shelter_t[Coverage],Data_Shelter_t[Pcode],Camp_List[[#This Row],[P_Code]]))</f>
        <v>1</v>
      </c>
      <c r="BL52" s="19"/>
      <c r="BM52" s="19"/>
      <c r="BP52" s="69"/>
      <c r="BQ52" s="69"/>
    </row>
    <row r="53" spans="1:69" ht="15" customHeight="1" x14ac:dyDescent="0.25">
      <c r="A53" s="635" t="s">
        <v>1006</v>
      </c>
      <c r="B53" s="358" t="s">
        <v>7</v>
      </c>
      <c r="C53" s="358" t="s">
        <v>351</v>
      </c>
      <c r="D53" s="358" t="s">
        <v>19</v>
      </c>
      <c r="E53" s="358" t="s">
        <v>604</v>
      </c>
      <c r="F53" s="358" t="s">
        <v>15</v>
      </c>
      <c r="G53" s="358" t="s">
        <v>381</v>
      </c>
      <c r="H53" s="358" t="s">
        <v>394</v>
      </c>
      <c r="I53" s="358" t="s">
        <v>393</v>
      </c>
      <c r="J53" s="358" t="s">
        <v>46</v>
      </c>
      <c r="K53" s="358">
        <v>196786</v>
      </c>
      <c r="L53" s="358" t="s">
        <v>46</v>
      </c>
      <c r="M53" s="358" t="s">
        <v>132</v>
      </c>
      <c r="N53" s="75">
        <v>93.003204999999994</v>
      </c>
      <c r="O53" s="75">
        <v>20.921424999999999</v>
      </c>
      <c r="P53" s="358"/>
      <c r="Q53" s="876">
        <v>24</v>
      </c>
      <c r="R53" s="875">
        <v>140</v>
      </c>
      <c r="S53" s="888">
        <v>6.0869565217391308</v>
      </c>
      <c r="T53" s="642" t="s">
        <v>343</v>
      </c>
      <c r="U53" s="642"/>
      <c r="V53" s="738" t="s">
        <v>987</v>
      </c>
      <c r="W53" s="642" t="s">
        <v>863</v>
      </c>
      <c r="X53" s="358"/>
      <c r="Y53" s="358"/>
      <c r="Z53" s="358" t="s">
        <v>657</v>
      </c>
      <c r="AA53" s="643" t="str">
        <f>CONCATENATE(Camp_List[[#This Row],[Ethnicity]],"-",Camp_List[[#This Row],[Religion]])</f>
        <v>-Muslim</v>
      </c>
      <c r="AB53" s="358" t="s">
        <v>1020</v>
      </c>
      <c r="AC53" s="358"/>
      <c r="AD53" s="712"/>
      <c r="AE53" s="358" t="s">
        <v>504</v>
      </c>
      <c r="AF53" s="358" t="s">
        <v>520</v>
      </c>
      <c r="AG53" s="290">
        <v>42766</v>
      </c>
      <c r="AH53" s="647" t="s">
        <v>989</v>
      </c>
      <c r="AI53" s="643" t="str">
        <f>IFERROR(VLOOKUP(Camp_List[[#This Row],[Responsible Agency]],Organization_t[],3,0),"")</f>
        <v/>
      </c>
      <c r="AJ53" s="650">
        <f ca="1">IF((SUMIFS(Data_Shelter_t[Coverage],Data_Shelter_t[Pcode],Camp_List[[#This Row],[P_Code]]))&gt;1,1,SUMIFS(Data_Shelter_t[Coverage],Data_Shelter_t[Pcode],Camp_List[[#This Row],[P_Code]]))</f>
        <v>1</v>
      </c>
      <c r="BL53" s="19"/>
      <c r="BM53" s="19"/>
      <c r="BP53" s="69"/>
      <c r="BQ53" s="69"/>
    </row>
    <row r="54" spans="1:69" ht="15" customHeight="1" x14ac:dyDescent="0.25">
      <c r="A54" s="635" t="s">
        <v>1006</v>
      </c>
      <c r="B54" s="358" t="s">
        <v>7</v>
      </c>
      <c r="C54" s="358" t="s">
        <v>351</v>
      </c>
      <c r="D54" s="358" t="s">
        <v>19</v>
      </c>
      <c r="E54" s="358" t="s">
        <v>604</v>
      </c>
      <c r="F54" s="358" t="s">
        <v>15</v>
      </c>
      <c r="G54" s="358" t="s">
        <v>381</v>
      </c>
      <c r="H54" s="358" t="s">
        <v>49</v>
      </c>
      <c r="I54" s="358" t="s">
        <v>397</v>
      </c>
      <c r="J54" s="358" t="s">
        <v>481</v>
      </c>
      <c r="K54" s="358">
        <v>196842</v>
      </c>
      <c r="L54" s="358" t="s">
        <v>49</v>
      </c>
      <c r="M54" s="358" t="s">
        <v>135</v>
      </c>
      <c r="N54" s="75">
        <v>93.014349999999993</v>
      </c>
      <c r="O54" s="75">
        <v>20.896740000000001</v>
      </c>
      <c r="P54" s="358"/>
      <c r="Q54" s="876">
        <v>14</v>
      </c>
      <c r="R54" s="875">
        <v>84</v>
      </c>
      <c r="S54" s="888">
        <v>6</v>
      </c>
      <c r="T54" s="642" t="s">
        <v>343</v>
      </c>
      <c r="U54" s="642"/>
      <c r="V54" s="738" t="s">
        <v>987</v>
      </c>
      <c r="W54" s="642" t="s">
        <v>863</v>
      </c>
      <c r="X54" s="358"/>
      <c r="Y54" s="358"/>
      <c r="Z54" s="358" t="s">
        <v>657</v>
      </c>
      <c r="AA54" s="643" t="str">
        <f>CONCATENATE(Camp_List[[#This Row],[Ethnicity]],"-",Camp_List[[#This Row],[Religion]])</f>
        <v>-Muslim</v>
      </c>
      <c r="AB54" s="358" t="s">
        <v>1020</v>
      </c>
      <c r="AC54" s="358"/>
      <c r="AD54" s="712"/>
      <c r="AE54" s="358" t="s">
        <v>504</v>
      </c>
      <c r="AF54" s="358" t="s">
        <v>520</v>
      </c>
      <c r="AG54" s="290">
        <v>42766</v>
      </c>
      <c r="AH54" s="647" t="s">
        <v>989</v>
      </c>
      <c r="AI54" s="643" t="str">
        <f>IFERROR(VLOOKUP(Camp_List[[#This Row],[Responsible Agency]],Organization_t[],3,0),"")</f>
        <v/>
      </c>
      <c r="AJ54" s="650">
        <f ca="1">IF((SUMIFS(Data_Shelter_t[Coverage],Data_Shelter_t[Pcode],Camp_List[[#This Row],[P_Code]]))&gt;1,1,SUMIFS(Data_Shelter_t[Coverage],Data_Shelter_t[Pcode],Camp_List[[#This Row],[P_Code]]))</f>
        <v>1</v>
      </c>
      <c r="BL54" s="19"/>
      <c r="BM54" s="19"/>
      <c r="BP54" s="69"/>
      <c r="BQ54" s="69"/>
    </row>
    <row r="55" spans="1:69" ht="15" customHeight="1" x14ac:dyDescent="0.25">
      <c r="A55" s="635" t="s">
        <v>1006</v>
      </c>
      <c r="B55" s="358" t="s">
        <v>7</v>
      </c>
      <c r="C55" s="358" t="s">
        <v>351</v>
      </c>
      <c r="D55" s="358" t="s">
        <v>19</v>
      </c>
      <c r="E55" s="358" t="s">
        <v>604</v>
      </c>
      <c r="F55" s="358" t="s">
        <v>15</v>
      </c>
      <c r="G55" s="358" t="s">
        <v>381</v>
      </c>
      <c r="H55" s="358" t="s">
        <v>51</v>
      </c>
      <c r="I55" s="358" t="s">
        <v>386</v>
      </c>
      <c r="J55" s="358" t="s">
        <v>476</v>
      </c>
      <c r="K55" s="358">
        <v>196972</v>
      </c>
      <c r="L55" s="358" t="s">
        <v>51</v>
      </c>
      <c r="M55" s="358" t="s">
        <v>137</v>
      </c>
      <c r="N55" s="75">
        <v>93.014089999999996</v>
      </c>
      <c r="O55" s="75">
        <v>20.713259999999998</v>
      </c>
      <c r="P55" s="358"/>
      <c r="Q55" s="876">
        <v>116</v>
      </c>
      <c r="R55" s="875">
        <v>802</v>
      </c>
      <c r="S55" s="888">
        <v>6.8879310344827589</v>
      </c>
      <c r="T55" s="642" t="s">
        <v>343</v>
      </c>
      <c r="U55" s="642"/>
      <c r="V55" s="738" t="s">
        <v>987</v>
      </c>
      <c r="W55" s="642" t="s">
        <v>863</v>
      </c>
      <c r="X55" s="358"/>
      <c r="Y55" s="358"/>
      <c r="Z55" s="358" t="s">
        <v>657</v>
      </c>
      <c r="AA55" s="643" t="str">
        <f>CONCATENATE(Camp_List[[#This Row],[Ethnicity]],"-",Camp_List[[#This Row],[Religion]])</f>
        <v>-Muslim</v>
      </c>
      <c r="AB55" s="358" t="s">
        <v>1020</v>
      </c>
      <c r="AC55" s="358"/>
      <c r="AD55" s="712"/>
      <c r="AE55" s="358" t="s">
        <v>504</v>
      </c>
      <c r="AF55" s="358" t="s">
        <v>927</v>
      </c>
      <c r="AG55" s="290">
        <v>42766</v>
      </c>
      <c r="AH55" s="647" t="s">
        <v>989</v>
      </c>
      <c r="AI55" s="643" t="str">
        <f>IFERROR(VLOOKUP(Camp_List[[#This Row],[Responsible Agency]],Organization_t[],3,0),"")</f>
        <v/>
      </c>
      <c r="AJ55" s="650">
        <f ca="1">IF((SUMIFS(Data_Shelter_t[Coverage],Data_Shelter_t[Pcode],Camp_List[[#This Row],[P_Code]]))&gt;1,1,SUMIFS(Data_Shelter_t[Coverage],Data_Shelter_t[Pcode],Camp_List[[#This Row],[P_Code]]))</f>
        <v>0.68965517241379315</v>
      </c>
      <c r="BL55" s="19"/>
      <c r="BM55" s="19"/>
      <c r="BP55" s="69"/>
      <c r="BQ55" s="69"/>
    </row>
    <row r="56" spans="1:69" ht="15" customHeight="1" x14ac:dyDescent="0.25">
      <c r="A56" s="635" t="s">
        <v>1006</v>
      </c>
      <c r="B56" s="358" t="s">
        <v>7</v>
      </c>
      <c r="C56" s="358" t="s">
        <v>351</v>
      </c>
      <c r="D56" s="358" t="s">
        <v>19</v>
      </c>
      <c r="E56" s="358" t="s">
        <v>604</v>
      </c>
      <c r="F56" s="358" t="s">
        <v>15</v>
      </c>
      <c r="G56" s="358" t="s">
        <v>381</v>
      </c>
      <c r="H56" s="358" t="s">
        <v>383</v>
      </c>
      <c r="I56" s="358" t="s">
        <v>382</v>
      </c>
      <c r="J56" s="358" t="s">
        <v>50</v>
      </c>
      <c r="K56" s="358">
        <v>196945</v>
      </c>
      <c r="L56" s="358" t="s">
        <v>50</v>
      </c>
      <c r="M56" s="358" t="s">
        <v>136</v>
      </c>
      <c r="N56" s="75">
        <v>93.009900000000002</v>
      </c>
      <c r="O56" s="75">
        <v>20.696819999999999</v>
      </c>
      <c r="P56" s="358"/>
      <c r="Q56" s="876">
        <v>236</v>
      </c>
      <c r="R56" s="875">
        <v>1524</v>
      </c>
      <c r="S56" s="888">
        <v>6.4576271186440675</v>
      </c>
      <c r="T56" s="642" t="s">
        <v>343</v>
      </c>
      <c r="U56" s="642"/>
      <c r="V56" s="738" t="s">
        <v>987</v>
      </c>
      <c r="W56" s="642" t="s">
        <v>863</v>
      </c>
      <c r="X56" s="358"/>
      <c r="Y56" s="358"/>
      <c r="Z56" s="358" t="s">
        <v>657</v>
      </c>
      <c r="AA56" s="643" t="str">
        <f>CONCATENATE(Camp_List[[#This Row],[Ethnicity]],"-",Camp_List[[#This Row],[Religion]])</f>
        <v>-Muslim</v>
      </c>
      <c r="AB56" s="358" t="s">
        <v>1020</v>
      </c>
      <c r="AC56" s="358"/>
      <c r="AD56" s="712"/>
      <c r="AE56" s="358" t="s">
        <v>504</v>
      </c>
      <c r="AF56" s="358" t="s">
        <v>927</v>
      </c>
      <c r="AG56" s="290">
        <v>42766</v>
      </c>
      <c r="AH56" s="647" t="s">
        <v>989</v>
      </c>
      <c r="AI56" s="643" t="str">
        <f>IFERROR(VLOOKUP(Camp_List[[#This Row],[Responsible Agency]],Organization_t[],3,0),"")</f>
        <v/>
      </c>
      <c r="AJ56" s="650">
        <f ca="1">IF((SUMIFS(Data_Shelter_t[Coverage],Data_Shelter_t[Pcode],Camp_List[[#This Row],[P_Code]]))&gt;1,1,SUMIFS(Data_Shelter_t[Coverage],Data_Shelter_t[Pcode],Camp_List[[#This Row],[P_Code]]))</f>
        <v>0.98305084745762716</v>
      </c>
      <c r="BL56" s="19"/>
      <c r="BM56" s="19"/>
      <c r="BP56" s="69"/>
      <c r="BQ56" s="69"/>
    </row>
    <row r="57" spans="1:69" ht="15" customHeight="1" x14ac:dyDescent="0.25">
      <c r="A57" s="635" t="s">
        <v>1006</v>
      </c>
      <c r="B57" s="358" t="s">
        <v>7</v>
      </c>
      <c r="C57" s="358" t="s">
        <v>351</v>
      </c>
      <c r="D57" s="358" t="s">
        <v>19</v>
      </c>
      <c r="E57" s="358" t="s">
        <v>604</v>
      </c>
      <c r="F57" s="358" t="s">
        <v>15</v>
      </c>
      <c r="G57" s="358" t="s">
        <v>381</v>
      </c>
      <c r="H57" s="358" t="s">
        <v>396</v>
      </c>
      <c r="I57" s="358" t="s">
        <v>395</v>
      </c>
      <c r="J57" s="358" t="s">
        <v>480</v>
      </c>
      <c r="K57" s="358">
        <v>196873</v>
      </c>
      <c r="L57" s="358" t="s">
        <v>44</v>
      </c>
      <c r="M57" s="358" t="s">
        <v>130</v>
      </c>
      <c r="N57" s="75">
        <v>92.982675999999998</v>
      </c>
      <c r="O57" s="75">
        <v>20.805734000000001</v>
      </c>
      <c r="P57" s="358"/>
      <c r="Q57" s="876">
        <v>18</v>
      </c>
      <c r="R57" s="875">
        <v>157</v>
      </c>
      <c r="S57" s="888">
        <v>8.7222222222222214</v>
      </c>
      <c r="T57" s="642" t="s">
        <v>343</v>
      </c>
      <c r="U57" s="642"/>
      <c r="V57" s="738" t="s">
        <v>987</v>
      </c>
      <c r="W57" s="642" t="s">
        <v>863</v>
      </c>
      <c r="X57" s="358"/>
      <c r="Y57" s="358"/>
      <c r="Z57" s="358" t="s">
        <v>657</v>
      </c>
      <c r="AA57" s="643" t="str">
        <f>CONCATENATE(Camp_List[[#This Row],[Ethnicity]],"-",Camp_List[[#This Row],[Religion]])</f>
        <v>-Muslim</v>
      </c>
      <c r="AB57" s="358" t="s">
        <v>1020</v>
      </c>
      <c r="AC57" s="358"/>
      <c r="AD57" s="712"/>
      <c r="AE57" s="358" t="s">
        <v>504</v>
      </c>
      <c r="AF57" s="358" t="s">
        <v>520</v>
      </c>
      <c r="AG57" s="290">
        <v>42766</v>
      </c>
      <c r="AH57" s="647" t="s">
        <v>989</v>
      </c>
      <c r="AI57" s="643" t="str">
        <f>IFERROR(VLOOKUP(Camp_List[[#This Row],[Responsible Agency]],Organization_t[],3,0),"")</f>
        <v/>
      </c>
      <c r="AJ57" s="650">
        <f ca="1">IF((SUMIFS(Data_Shelter_t[Coverage],Data_Shelter_t[Pcode],Camp_List[[#This Row],[P_Code]]))&gt;1,1,SUMIFS(Data_Shelter_t[Coverage],Data_Shelter_t[Pcode],Camp_List[[#This Row],[P_Code]]))</f>
        <v>1</v>
      </c>
      <c r="BL57" s="19"/>
      <c r="BM57" s="19"/>
      <c r="BP57" s="69"/>
      <c r="BQ57" s="69"/>
    </row>
    <row r="58" spans="1:69" ht="15" customHeight="1" x14ac:dyDescent="0.25">
      <c r="A58" s="635" t="s">
        <v>1006</v>
      </c>
      <c r="B58" s="358" t="s">
        <v>7</v>
      </c>
      <c r="C58" s="358" t="s">
        <v>351</v>
      </c>
      <c r="D58" s="358" t="s">
        <v>19</v>
      </c>
      <c r="E58" s="358" t="s">
        <v>604</v>
      </c>
      <c r="F58" s="358" t="s">
        <v>15</v>
      </c>
      <c r="G58" s="358" t="s">
        <v>381</v>
      </c>
      <c r="H58" s="358" t="s">
        <v>390</v>
      </c>
      <c r="I58" s="358" t="s">
        <v>389</v>
      </c>
      <c r="J58" s="358" t="s">
        <v>477</v>
      </c>
      <c r="K58" s="358">
        <v>196868</v>
      </c>
      <c r="L58" s="358" t="s">
        <v>53</v>
      </c>
      <c r="M58" s="358" t="s">
        <v>139</v>
      </c>
      <c r="N58" s="75">
        <v>92.987399999999994</v>
      </c>
      <c r="O58" s="75">
        <v>20.78332</v>
      </c>
      <c r="P58" s="358"/>
      <c r="Q58" s="876">
        <v>144</v>
      </c>
      <c r="R58" s="875">
        <v>1006</v>
      </c>
      <c r="S58" s="888">
        <v>7.1388888888888893</v>
      </c>
      <c r="T58" s="642" t="s">
        <v>343</v>
      </c>
      <c r="U58" s="642"/>
      <c r="V58" s="738" t="s">
        <v>987</v>
      </c>
      <c r="W58" s="642" t="s">
        <v>863</v>
      </c>
      <c r="X58" s="358"/>
      <c r="Y58" s="358"/>
      <c r="Z58" s="358" t="s">
        <v>657</v>
      </c>
      <c r="AA58" s="643" t="str">
        <f>CONCATENATE(Camp_List[[#This Row],[Ethnicity]],"-",Camp_List[[#This Row],[Religion]])</f>
        <v>-Muslim</v>
      </c>
      <c r="AB58" s="358" t="s">
        <v>1020</v>
      </c>
      <c r="AC58" s="358"/>
      <c r="AD58" s="712"/>
      <c r="AE58" s="358" t="s">
        <v>504</v>
      </c>
      <c r="AF58" s="358" t="s">
        <v>927</v>
      </c>
      <c r="AG58" s="290">
        <v>42766</v>
      </c>
      <c r="AH58" s="647" t="s">
        <v>989</v>
      </c>
      <c r="AI58" s="643" t="str">
        <f>IFERROR(VLOOKUP(Camp_List[[#This Row],[Responsible Agency]],Organization_t[],3,0),"")</f>
        <v/>
      </c>
      <c r="AJ58" s="650">
        <f ca="1">IF((SUMIFS(Data_Shelter_t[Coverage],Data_Shelter_t[Pcode],Camp_List[[#This Row],[P_Code]]))&gt;1,1,SUMIFS(Data_Shelter_t[Coverage],Data_Shelter_t[Pcode],Camp_List[[#This Row],[P_Code]]))</f>
        <v>1</v>
      </c>
      <c r="BL58" s="19"/>
      <c r="BM58" s="19"/>
      <c r="BP58" s="69"/>
      <c r="BQ58" s="69"/>
    </row>
    <row r="59" spans="1:69" ht="15" customHeight="1" x14ac:dyDescent="0.25">
      <c r="A59" s="635" t="s">
        <v>1006</v>
      </c>
      <c r="B59" s="358" t="s">
        <v>7</v>
      </c>
      <c r="C59" s="358" t="s">
        <v>351</v>
      </c>
      <c r="D59" s="358" t="s">
        <v>19</v>
      </c>
      <c r="E59" s="358" t="s">
        <v>604</v>
      </c>
      <c r="F59" s="358" t="s">
        <v>15</v>
      </c>
      <c r="G59" s="358" t="s">
        <v>381</v>
      </c>
      <c r="H59" s="358" t="s">
        <v>394</v>
      </c>
      <c r="I59" s="358" t="s">
        <v>393</v>
      </c>
      <c r="J59" s="358" t="s">
        <v>479</v>
      </c>
      <c r="K59" s="358">
        <v>196789</v>
      </c>
      <c r="L59" s="358" t="s">
        <v>45</v>
      </c>
      <c r="M59" s="358" t="s">
        <v>131</v>
      </c>
      <c r="N59" s="75">
        <v>93.000815000000003</v>
      </c>
      <c r="O59" s="75">
        <v>20.929649000000001</v>
      </c>
      <c r="P59" s="358"/>
      <c r="Q59" s="876">
        <v>63</v>
      </c>
      <c r="R59" s="875">
        <v>414</v>
      </c>
      <c r="S59" s="888">
        <v>6.67741935483871</v>
      </c>
      <c r="T59" s="642" t="s">
        <v>343</v>
      </c>
      <c r="U59" s="642"/>
      <c r="V59" s="738" t="s">
        <v>987</v>
      </c>
      <c r="W59" s="642" t="s">
        <v>863</v>
      </c>
      <c r="X59" s="358"/>
      <c r="Y59" s="358"/>
      <c r="Z59" s="358" t="s">
        <v>657</v>
      </c>
      <c r="AA59" s="643" t="str">
        <f>CONCATENATE(Camp_List[[#This Row],[Ethnicity]],"-",Camp_List[[#This Row],[Religion]])</f>
        <v>-Muslim</v>
      </c>
      <c r="AB59" s="358" t="s">
        <v>1020</v>
      </c>
      <c r="AC59" s="358"/>
      <c r="AD59" s="712"/>
      <c r="AE59" s="358" t="s">
        <v>504</v>
      </c>
      <c r="AF59" s="358" t="s">
        <v>520</v>
      </c>
      <c r="AG59" s="290">
        <v>42766</v>
      </c>
      <c r="AH59" s="647" t="s">
        <v>989</v>
      </c>
      <c r="AI59" s="643" t="str">
        <f>IFERROR(VLOOKUP(Camp_List[[#This Row],[Responsible Agency]],Organization_t[],3,0),"")</f>
        <v/>
      </c>
      <c r="AJ59" s="650">
        <f ca="1">IF((SUMIFS(Data_Shelter_t[Coverage],Data_Shelter_t[Pcode],Camp_List[[#This Row],[P_Code]]))&gt;1,1,SUMIFS(Data_Shelter_t[Coverage],Data_Shelter_t[Pcode],Camp_List[[#This Row],[P_Code]]))</f>
        <v>1</v>
      </c>
      <c r="BL59" s="19"/>
      <c r="BM59" s="19"/>
      <c r="BP59" s="69"/>
      <c r="BQ59" s="69"/>
    </row>
    <row r="60" spans="1:69" ht="15" customHeight="1" x14ac:dyDescent="0.25">
      <c r="A60" s="635" t="s">
        <v>1006</v>
      </c>
      <c r="B60" s="358" t="s">
        <v>7</v>
      </c>
      <c r="C60" s="358" t="s">
        <v>351</v>
      </c>
      <c r="D60" s="358" t="s">
        <v>19</v>
      </c>
      <c r="E60" s="358" t="s">
        <v>604</v>
      </c>
      <c r="F60" s="358" t="s">
        <v>15</v>
      </c>
      <c r="G60" s="358" t="s">
        <v>381</v>
      </c>
      <c r="H60" s="358" t="s">
        <v>388</v>
      </c>
      <c r="I60" s="358" t="s">
        <v>387</v>
      </c>
      <c r="J60" s="358" t="s">
        <v>52</v>
      </c>
      <c r="K60" s="358">
        <v>196952</v>
      </c>
      <c r="L60" s="358" t="s">
        <v>52</v>
      </c>
      <c r="M60" s="358" t="s">
        <v>138</v>
      </c>
      <c r="N60" s="75">
        <v>92.969350000000006</v>
      </c>
      <c r="O60" s="75">
        <v>20.727589999999999</v>
      </c>
      <c r="P60" s="358"/>
      <c r="Q60" s="876">
        <v>112</v>
      </c>
      <c r="R60" s="875">
        <v>738</v>
      </c>
      <c r="S60" s="888">
        <v>6.5625</v>
      </c>
      <c r="T60" s="642" t="s">
        <v>343</v>
      </c>
      <c r="U60" s="642"/>
      <c r="V60" s="738" t="s">
        <v>987</v>
      </c>
      <c r="W60" s="642" t="s">
        <v>863</v>
      </c>
      <c r="X60" s="358"/>
      <c r="Y60" s="358"/>
      <c r="Z60" s="358" t="s">
        <v>657</v>
      </c>
      <c r="AA60" s="643" t="str">
        <f>CONCATENATE(Camp_List[[#This Row],[Ethnicity]],"-",Camp_List[[#This Row],[Religion]])</f>
        <v>-Muslim</v>
      </c>
      <c r="AB60" s="358" t="s">
        <v>1020</v>
      </c>
      <c r="AC60" s="358"/>
      <c r="AD60" s="712"/>
      <c r="AE60" s="358" t="s">
        <v>504</v>
      </c>
      <c r="AF60" s="358" t="s">
        <v>927</v>
      </c>
      <c r="AG60" s="290">
        <v>42766</v>
      </c>
      <c r="AH60" s="647" t="s">
        <v>989</v>
      </c>
      <c r="AI60" s="643" t="str">
        <f>IFERROR(VLOOKUP(Camp_List[[#This Row],[Responsible Agency]],Organization_t[],3,0),"")</f>
        <v/>
      </c>
      <c r="AJ60" s="650">
        <f ca="1">IF((SUMIFS(Data_Shelter_t[Coverage],Data_Shelter_t[Pcode],Camp_List[[#This Row],[P_Code]]))&gt;1,1,SUMIFS(Data_Shelter_t[Coverage],Data_Shelter_t[Pcode],Camp_List[[#This Row],[P_Code]]))</f>
        <v>1</v>
      </c>
      <c r="BL60" s="19"/>
      <c r="BM60" s="19"/>
      <c r="BP60" s="69"/>
      <c r="BQ60" s="69"/>
    </row>
    <row r="61" spans="1:69" ht="15" customHeight="1" x14ac:dyDescent="0.25">
      <c r="A61" s="635" t="s">
        <v>1006</v>
      </c>
      <c r="B61" s="358" t="s">
        <v>7</v>
      </c>
      <c r="C61" s="358" t="s">
        <v>351</v>
      </c>
      <c r="D61" s="358" t="s">
        <v>19</v>
      </c>
      <c r="E61" s="358" t="s">
        <v>604</v>
      </c>
      <c r="F61" s="358" t="s">
        <v>11</v>
      </c>
      <c r="G61" s="358" t="s">
        <v>352</v>
      </c>
      <c r="H61" s="358" t="s">
        <v>555</v>
      </c>
      <c r="I61" s="358" t="s">
        <v>556</v>
      </c>
      <c r="J61" s="358" t="s">
        <v>557</v>
      </c>
      <c r="K61" s="358">
        <v>197023</v>
      </c>
      <c r="L61" s="358" t="s">
        <v>558</v>
      </c>
      <c r="M61" s="358" t="s">
        <v>559</v>
      </c>
      <c r="N61" s="75">
        <v>93.314695</v>
      </c>
      <c r="O61" s="75">
        <v>20.409645000000001</v>
      </c>
      <c r="P61" s="358"/>
      <c r="Q61" s="876">
        <v>17</v>
      </c>
      <c r="R61" s="875">
        <v>72</v>
      </c>
      <c r="S61" s="888">
        <v>4</v>
      </c>
      <c r="T61" s="642" t="s">
        <v>343</v>
      </c>
      <c r="U61" s="642"/>
      <c r="V61" s="642" t="s">
        <v>987</v>
      </c>
      <c r="W61" s="360" t="s">
        <v>864</v>
      </c>
      <c r="X61" s="358"/>
      <c r="Y61" s="638" t="s">
        <v>7</v>
      </c>
      <c r="Z61" s="638" t="s">
        <v>759</v>
      </c>
      <c r="AA61" s="638" t="str">
        <f>CONCATENATE(Camp_List[[#This Row],[Ethnicity]],"-",Camp_List[[#This Row],[Religion]])</f>
        <v>Rakhine-Buddhist</v>
      </c>
      <c r="AB61" s="638" t="s">
        <v>1020</v>
      </c>
      <c r="AC61" s="358"/>
      <c r="AD61" s="709"/>
      <c r="AE61" s="358" t="s">
        <v>504</v>
      </c>
      <c r="AF61" s="358" t="s">
        <v>520</v>
      </c>
      <c r="AG61" s="290">
        <v>42766</v>
      </c>
      <c r="AH61" s="358" t="s">
        <v>989</v>
      </c>
      <c r="AI61" s="75" t="str">
        <f>IFERROR(VLOOKUP(Camp_List[[#This Row],[Responsible Agency]],Organization_t[],3,0),"")</f>
        <v/>
      </c>
      <c r="AJ61" s="574">
        <f ca="1">IF((SUMIFS(Data_Shelter_t[Coverage],Data_Shelter_t[Pcode],Camp_List[[#This Row],[P_Code]]))&gt;1,1,SUMIFS(Data_Shelter_t[Coverage],Data_Shelter_t[Pcode],Camp_List[[#This Row],[P_Code]]))</f>
        <v>1</v>
      </c>
      <c r="BL61" s="19"/>
      <c r="BM61" s="19"/>
      <c r="BP61" s="69"/>
      <c r="BQ61" s="69"/>
    </row>
    <row r="62" spans="1:69" ht="15" customHeight="1" x14ac:dyDescent="0.25">
      <c r="A62" s="635" t="s">
        <v>1006</v>
      </c>
      <c r="B62" s="358" t="s">
        <v>7</v>
      </c>
      <c r="C62" s="358" t="s">
        <v>351</v>
      </c>
      <c r="D62" s="358" t="s">
        <v>19</v>
      </c>
      <c r="E62" s="358" t="s">
        <v>604</v>
      </c>
      <c r="F62" s="358" t="s">
        <v>11</v>
      </c>
      <c r="G62" s="358" t="s">
        <v>352</v>
      </c>
      <c r="H62" s="358" t="s">
        <v>362</v>
      </c>
      <c r="I62" s="358" t="s">
        <v>361</v>
      </c>
      <c r="J62" s="358" t="s">
        <v>30</v>
      </c>
      <c r="K62" s="358">
        <v>197150</v>
      </c>
      <c r="L62" s="358" t="s">
        <v>30</v>
      </c>
      <c r="M62" s="358" t="s">
        <v>116</v>
      </c>
      <c r="N62" s="75">
        <v>93.299485000000004</v>
      </c>
      <c r="O62" s="75">
        <v>20.480898</v>
      </c>
      <c r="P62" s="358"/>
      <c r="Q62" s="876">
        <v>86</v>
      </c>
      <c r="R62" s="875">
        <v>444</v>
      </c>
      <c r="S62" s="888">
        <v>5.7674418604651159</v>
      </c>
      <c r="T62" s="642" t="s">
        <v>343</v>
      </c>
      <c r="U62" s="642"/>
      <c r="V62" s="738" t="s">
        <v>987</v>
      </c>
      <c r="W62" s="642" t="s">
        <v>863</v>
      </c>
      <c r="X62" s="358"/>
      <c r="Y62" s="358"/>
      <c r="Z62" s="358" t="s">
        <v>657</v>
      </c>
      <c r="AA62" s="643" t="str">
        <f>CONCATENATE(Camp_List[[#This Row],[Ethnicity]],"-",Camp_List[[#This Row],[Religion]])</f>
        <v>-Muslim</v>
      </c>
      <c r="AB62" s="638" t="s">
        <v>1020</v>
      </c>
      <c r="AC62" s="358"/>
      <c r="AD62" s="712"/>
      <c r="AE62" s="358" t="s">
        <v>504</v>
      </c>
      <c r="AF62" s="358" t="s">
        <v>927</v>
      </c>
      <c r="AG62" s="290">
        <v>42766</v>
      </c>
      <c r="AH62" s="647" t="s">
        <v>989</v>
      </c>
      <c r="AI62" s="643" t="str">
        <f>IFERROR(VLOOKUP(Camp_List[[#This Row],[Responsible Agency]],Organization_t[],3,0),"")</f>
        <v/>
      </c>
      <c r="AJ62" s="650">
        <f ca="1">IF((SUMIFS(Data_Shelter_t[Coverage],Data_Shelter_t[Pcode],Camp_List[[#This Row],[P_Code]]))&gt;1,1,SUMIFS(Data_Shelter_t[Coverage],Data_Shelter_t[Pcode],Camp_List[[#This Row],[P_Code]]))</f>
        <v>1</v>
      </c>
      <c r="BL62" s="19"/>
      <c r="BM62" s="19"/>
      <c r="BP62" s="69"/>
      <c r="BQ62" s="69"/>
    </row>
    <row r="63" spans="1:69" ht="15" customHeight="1" x14ac:dyDescent="0.25">
      <c r="A63" s="635" t="s">
        <v>1006</v>
      </c>
      <c r="B63" s="358" t="s">
        <v>7</v>
      </c>
      <c r="C63" s="358" t="s">
        <v>351</v>
      </c>
      <c r="D63" s="358" t="s">
        <v>19</v>
      </c>
      <c r="E63" s="358" t="s">
        <v>604</v>
      </c>
      <c r="F63" s="358" t="s">
        <v>11</v>
      </c>
      <c r="G63" s="358" t="s">
        <v>352</v>
      </c>
      <c r="H63" s="358" t="s">
        <v>358</v>
      </c>
      <c r="I63" s="358" t="s">
        <v>357</v>
      </c>
      <c r="J63" s="358" t="s">
        <v>358</v>
      </c>
      <c r="K63" s="358">
        <v>196984</v>
      </c>
      <c r="L63" s="358" t="s">
        <v>25</v>
      </c>
      <c r="M63" s="358" t="s">
        <v>111</v>
      </c>
      <c r="N63" s="75">
        <v>93.271642</v>
      </c>
      <c r="O63" s="75">
        <v>20.377523</v>
      </c>
      <c r="P63" s="358"/>
      <c r="Q63" s="876">
        <v>19</v>
      </c>
      <c r="R63" s="875">
        <v>142</v>
      </c>
      <c r="S63" s="888">
        <v>7.4736842105263159</v>
      </c>
      <c r="T63" s="642" t="s">
        <v>343</v>
      </c>
      <c r="U63" s="642"/>
      <c r="V63" s="738" t="s">
        <v>987</v>
      </c>
      <c r="W63" s="642" t="s">
        <v>863</v>
      </c>
      <c r="X63" s="358"/>
      <c r="Y63" s="358"/>
      <c r="Z63" s="358" t="s">
        <v>657</v>
      </c>
      <c r="AA63" s="643" t="str">
        <f>CONCATENATE(Camp_List[[#This Row],[Ethnicity]],"-",Camp_List[[#This Row],[Religion]])</f>
        <v>-Muslim</v>
      </c>
      <c r="AB63" s="638" t="s">
        <v>1020</v>
      </c>
      <c r="AC63" s="358"/>
      <c r="AD63" s="712"/>
      <c r="AE63" s="358" t="s">
        <v>504</v>
      </c>
      <c r="AF63" s="358" t="s">
        <v>520</v>
      </c>
      <c r="AG63" s="290">
        <v>42766</v>
      </c>
      <c r="AH63" s="647" t="s">
        <v>989</v>
      </c>
      <c r="AI63" s="643" t="str">
        <f>IFERROR(VLOOKUP(Camp_List[[#This Row],[Responsible Agency]],Organization_t[],3,0),"")</f>
        <v/>
      </c>
      <c r="AJ63" s="650">
        <f ca="1">IF((SUMIFS(Data_Shelter_t[Coverage],Data_Shelter_t[Pcode],Camp_List[[#This Row],[P_Code]]))&gt;1,1,SUMIFS(Data_Shelter_t[Coverage],Data_Shelter_t[Pcode],Camp_List[[#This Row],[P_Code]]))</f>
        <v>1</v>
      </c>
      <c r="BL63" s="19"/>
      <c r="BM63" s="19"/>
      <c r="BP63" s="69"/>
      <c r="BQ63" s="69"/>
    </row>
    <row r="64" spans="1:69" ht="15" customHeight="1" x14ac:dyDescent="0.25">
      <c r="A64" s="635" t="s">
        <v>1006</v>
      </c>
      <c r="B64" s="358" t="s">
        <v>7</v>
      </c>
      <c r="C64" s="358" t="s">
        <v>351</v>
      </c>
      <c r="D64" s="358" t="s">
        <v>19</v>
      </c>
      <c r="E64" s="358" t="s">
        <v>604</v>
      </c>
      <c r="F64" s="358" t="s">
        <v>11</v>
      </c>
      <c r="G64" s="358" t="s">
        <v>352</v>
      </c>
      <c r="H64" s="358" t="s">
        <v>356</v>
      </c>
      <c r="I64" s="358" t="s">
        <v>355</v>
      </c>
      <c r="J64" s="358" t="s">
        <v>484</v>
      </c>
      <c r="K64" s="358">
        <v>197025</v>
      </c>
      <c r="L64" s="358" t="s">
        <v>32</v>
      </c>
      <c r="M64" s="358" t="s">
        <v>118</v>
      </c>
      <c r="N64" s="75">
        <v>93.313627999999994</v>
      </c>
      <c r="O64" s="75">
        <v>20.407971</v>
      </c>
      <c r="P64" s="358"/>
      <c r="Q64" s="876">
        <v>225</v>
      </c>
      <c r="R64" s="875">
        <v>1377</v>
      </c>
      <c r="S64" s="888">
        <v>5.8577777777777778</v>
      </c>
      <c r="T64" s="642" t="s">
        <v>343</v>
      </c>
      <c r="U64" s="642"/>
      <c r="V64" s="738" t="s">
        <v>987</v>
      </c>
      <c r="W64" s="642" t="s">
        <v>863</v>
      </c>
      <c r="X64" s="358"/>
      <c r="Y64" s="358"/>
      <c r="Z64" s="358" t="s">
        <v>657</v>
      </c>
      <c r="AA64" s="643" t="str">
        <f>CONCATENATE(Camp_List[[#This Row],[Ethnicity]],"-",Camp_List[[#This Row],[Religion]])</f>
        <v>-Muslim</v>
      </c>
      <c r="AB64" s="638" t="s">
        <v>1020</v>
      </c>
      <c r="AC64" s="358"/>
      <c r="AD64" s="712"/>
      <c r="AE64" s="358" t="s">
        <v>504</v>
      </c>
      <c r="AF64" s="358" t="s">
        <v>927</v>
      </c>
      <c r="AG64" s="290">
        <v>42766</v>
      </c>
      <c r="AH64" s="647" t="s">
        <v>989</v>
      </c>
      <c r="AI64" s="643" t="str">
        <f>IFERROR(VLOOKUP(Camp_List[[#This Row],[Responsible Agency]],Organization_t[],3,0),"")</f>
        <v/>
      </c>
      <c r="AJ64" s="650">
        <f ca="1">IF((SUMIFS(Data_Shelter_t[Coverage],Data_Shelter_t[Pcode],Camp_List[[#This Row],[P_Code]]))&gt;1,1,SUMIFS(Data_Shelter_t[Coverage],Data_Shelter_t[Pcode],Camp_List[[#This Row],[P_Code]]))</f>
        <v>1</v>
      </c>
      <c r="BL64" s="19"/>
      <c r="BM64" s="19"/>
      <c r="BP64" s="69"/>
      <c r="BQ64" s="69"/>
    </row>
    <row r="65" spans="1:69" ht="15" customHeight="1" x14ac:dyDescent="0.25">
      <c r="A65" s="635" t="s">
        <v>1006</v>
      </c>
      <c r="B65" s="358" t="s">
        <v>7</v>
      </c>
      <c r="C65" s="358" t="s">
        <v>351</v>
      </c>
      <c r="D65" s="358" t="s">
        <v>19</v>
      </c>
      <c r="E65" s="358" t="s">
        <v>604</v>
      </c>
      <c r="F65" s="358" t="s">
        <v>11</v>
      </c>
      <c r="G65" s="358" t="s">
        <v>352</v>
      </c>
      <c r="H65" s="358" t="s">
        <v>360</v>
      </c>
      <c r="I65" s="358" t="s">
        <v>359</v>
      </c>
      <c r="J65" s="358" t="s">
        <v>27</v>
      </c>
      <c r="K65" s="358">
        <v>196995</v>
      </c>
      <c r="L65" s="358" t="s">
        <v>27</v>
      </c>
      <c r="M65" s="358" t="s">
        <v>113</v>
      </c>
      <c r="N65" s="75">
        <v>93.249669999999995</v>
      </c>
      <c r="O65" s="75">
        <v>20.39902</v>
      </c>
      <c r="P65" s="358"/>
      <c r="Q65" s="876">
        <v>86</v>
      </c>
      <c r="R65" s="875">
        <v>476</v>
      </c>
      <c r="S65" s="888">
        <v>6.058139534883721</v>
      </c>
      <c r="T65" s="642" t="s">
        <v>343</v>
      </c>
      <c r="U65" s="642"/>
      <c r="V65" s="738" t="s">
        <v>987</v>
      </c>
      <c r="W65" s="642" t="s">
        <v>863</v>
      </c>
      <c r="X65" s="358"/>
      <c r="Y65" s="358"/>
      <c r="Z65" s="358" t="s">
        <v>657</v>
      </c>
      <c r="AA65" s="643" t="str">
        <f>CONCATENATE(Camp_List[[#This Row],[Ethnicity]],"-",Camp_List[[#This Row],[Religion]])</f>
        <v>-Muslim</v>
      </c>
      <c r="AB65" s="638" t="s">
        <v>1020</v>
      </c>
      <c r="AC65" s="358"/>
      <c r="AD65" s="712"/>
      <c r="AE65" s="358" t="s">
        <v>504</v>
      </c>
      <c r="AF65" s="358" t="s">
        <v>927</v>
      </c>
      <c r="AG65" s="290">
        <v>42766</v>
      </c>
      <c r="AH65" s="647" t="s">
        <v>989</v>
      </c>
      <c r="AI65" s="643" t="str">
        <f>IFERROR(VLOOKUP(Camp_List[[#This Row],[Responsible Agency]],Organization_t[],3,0),"")</f>
        <v/>
      </c>
      <c r="AJ65" s="650">
        <f ca="1">IF((SUMIFS(Data_Shelter_t[Coverage],Data_Shelter_t[Pcode],Camp_List[[#This Row],[P_Code]]))&gt;1,1,SUMIFS(Data_Shelter_t[Coverage],Data_Shelter_t[Pcode],Camp_List[[#This Row],[P_Code]]))</f>
        <v>1</v>
      </c>
      <c r="BL65" s="19"/>
      <c r="BM65" s="19"/>
      <c r="BP65" s="69"/>
      <c r="BQ65" s="69"/>
    </row>
    <row r="66" spans="1:69" ht="15" customHeight="1" x14ac:dyDescent="0.25">
      <c r="A66" s="635" t="s">
        <v>1006</v>
      </c>
      <c r="B66" s="358" t="s">
        <v>7</v>
      </c>
      <c r="C66" s="358" t="s">
        <v>351</v>
      </c>
      <c r="D66" s="358" t="s">
        <v>19</v>
      </c>
      <c r="E66" s="358" t="s">
        <v>604</v>
      </c>
      <c r="F66" s="358" t="s">
        <v>11</v>
      </c>
      <c r="G66" s="358" t="s">
        <v>352</v>
      </c>
      <c r="H66" s="358" t="s">
        <v>358</v>
      </c>
      <c r="I66" s="358" t="s">
        <v>357</v>
      </c>
      <c r="J66" s="358" t="s">
        <v>485</v>
      </c>
      <c r="K66" s="358">
        <v>196997</v>
      </c>
      <c r="L66" s="358" t="s">
        <v>26</v>
      </c>
      <c r="M66" s="358" t="s">
        <v>112</v>
      </c>
      <c r="N66" s="75">
        <v>93.257272</v>
      </c>
      <c r="O66" s="75">
        <v>20.392137999999999</v>
      </c>
      <c r="P66" s="358"/>
      <c r="Q66" s="876">
        <v>203</v>
      </c>
      <c r="R66" s="875">
        <v>1420</v>
      </c>
      <c r="S66" s="888">
        <v>5.3529411764705879</v>
      </c>
      <c r="T66" s="642" t="s">
        <v>343</v>
      </c>
      <c r="U66" s="642"/>
      <c r="V66" s="738" t="s">
        <v>987</v>
      </c>
      <c r="W66" s="642" t="s">
        <v>863</v>
      </c>
      <c r="X66" s="358"/>
      <c r="Y66" s="358"/>
      <c r="Z66" s="358" t="s">
        <v>657</v>
      </c>
      <c r="AA66" s="643" t="str">
        <f>CONCATENATE(Camp_List[[#This Row],[Ethnicity]],"-",Camp_List[[#This Row],[Religion]])</f>
        <v>-Muslim</v>
      </c>
      <c r="AB66" s="638" t="s">
        <v>1020</v>
      </c>
      <c r="AC66" s="358"/>
      <c r="AD66" s="712"/>
      <c r="AE66" s="358" t="s">
        <v>504</v>
      </c>
      <c r="AF66" s="358" t="s">
        <v>927</v>
      </c>
      <c r="AG66" s="290">
        <v>42766</v>
      </c>
      <c r="AH66" s="647" t="s">
        <v>989</v>
      </c>
      <c r="AI66" s="643" t="str">
        <f>IFERROR(VLOOKUP(Camp_List[[#This Row],[Responsible Agency]],Organization_t[],3,0),"")</f>
        <v/>
      </c>
      <c r="AJ66" s="650">
        <f ca="1">IF((SUMIFS(Data_Shelter_t[Coverage],Data_Shelter_t[Pcode],Camp_List[[#This Row],[P_Code]]))&gt;1,1,SUMIFS(Data_Shelter_t[Coverage],Data_Shelter_t[Pcode],Camp_List[[#This Row],[P_Code]]))</f>
        <v>1</v>
      </c>
      <c r="BL66" s="19"/>
      <c r="BM66" s="19"/>
      <c r="BP66" s="69"/>
      <c r="BQ66" s="69"/>
    </row>
    <row r="67" spans="1:69" ht="15" customHeight="1" x14ac:dyDescent="0.25">
      <c r="A67" s="635" t="s">
        <v>1006</v>
      </c>
      <c r="B67" s="358" t="s">
        <v>7</v>
      </c>
      <c r="C67" s="358" t="s">
        <v>351</v>
      </c>
      <c r="D67" s="358" t="s">
        <v>19</v>
      </c>
      <c r="E67" s="358" t="s">
        <v>604</v>
      </c>
      <c r="F67" s="358" t="s">
        <v>11</v>
      </c>
      <c r="G67" s="358" t="s">
        <v>352</v>
      </c>
      <c r="H67" s="358" t="s">
        <v>354</v>
      </c>
      <c r="I67" s="358" t="s">
        <v>353</v>
      </c>
      <c r="J67" s="358" t="s">
        <v>354</v>
      </c>
      <c r="K67" s="358">
        <v>197062</v>
      </c>
      <c r="L67" s="358" t="s">
        <v>29</v>
      </c>
      <c r="M67" s="358" t="s">
        <v>115</v>
      </c>
      <c r="N67" s="75">
        <v>93.258573999999996</v>
      </c>
      <c r="O67" s="75">
        <v>20.587142</v>
      </c>
      <c r="P67" s="358"/>
      <c r="Q67" s="876">
        <v>275</v>
      </c>
      <c r="R67" s="875">
        <v>1707</v>
      </c>
      <c r="S67" s="888">
        <v>5.9527272727272731</v>
      </c>
      <c r="T67" s="642" t="s">
        <v>343</v>
      </c>
      <c r="U67" s="642"/>
      <c r="V67" s="738" t="s">
        <v>987</v>
      </c>
      <c r="W67" s="642" t="s">
        <v>863</v>
      </c>
      <c r="X67" s="358"/>
      <c r="Y67" s="358"/>
      <c r="Z67" s="358" t="s">
        <v>657</v>
      </c>
      <c r="AA67" s="643" t="str">
        <f>CONCATENATE(Camp_List[[#This Row],[Ethnicity]],"-",Camp_List[[#This Row],[Religion]])</f>
        <v>-Muslim</v>
      </c>
      <c r="AB67" s="638" t="s">
        <v>1020</v>
      </c>
      <c r="AC67" s="358"/>
      <c r="AD67" s="712"/>
      <c r="AE67" s="358" t="s">
        <v>504</v>
      </c>
      <c r="AF67" s="358" t="s">
        <v>927</v>
      </c>
      <c r="AG67" s="290">
        <v>42766</v>
      </c>
      <c r="AH67" s="647" t="s">
        <v>989</v>
      </c>
      <c r="AI67" s="643" t="str">
        <f>IFERROR(VLOOKUP(Camp_List[[#This Row],[Responsible Agency]],Organization_t[],3,0),"")</f>
        <v/>
      </c>
      <c r="AJ67" s="650">
        <f ca="1">IF((SUMIFS(Data_Shelter_t[Coverage],Data_Shelter_t[Pcode],Camp_List[[#This Row],[P_Code]]))&gt;1,1,SUMIFS(Data_Shelter_t[Coverage],Data_Shelter_t[Pcode],Camp_List[[#This Row],[P_Code]]))</f>
        <v>1</v>
      </c>
      <c r="BL67" s="19"/>
      <c r="BM67" s="19"/>
      <c r="BP67" s="69"/>
      <c r="BQ67" s="69"/>
    </row>
    <row r="68" spans="1:69" ht="15" customHeight="1" x14ac:dyDescent="0.25">
      <c r="A68" s="635" t="s">
        <v>1006</v>
      </c>
      <c r="B68" s="358" t="s">
        <v>7</v>
      </c>
      <c r="C68" s="358" t="s">
        <v>351</v>
      </c>
      <c r="D68" s="358" t="s">
        <v>19</v>
      </c>
      <c r="E68" s="358" t="s">
        <v>604</v>
      </c>
      <c r="F68" s="358" t="s">
        <v>1003</v>
      </c>
      <c r="G68" s="358" t="s">
        <v>365</v>
      </c>
      <c r="H68" s="358" t="s">
        <v>368</v>
      </c>
      <c r="I68" s="358" t="s">
        <v>369</v>
      </c>
      <c r="J68" s="358" t="s">
        <v>368</v>
      </c>
      <c r="K68" s="358">
        <v>196428</v>
      </c>
      <c r="L68" s="358" t="s">
        <v>33</v>
      </c>
      <c r="M68" s="358" t="s">
        <v>119</v>
      </c>
      <c r="N68" s="75">
        <v>93.245551000000006</v>
      </c>
      <c r="O68" s="75">
        <v>20.576577</v>
      </c>
      <c r="P68" s="358"/>
      <c r="Q68" s="876">
        <v>204</v>
      </c>
      <c r="R68" s="875">
        <v>1265</v>
      </c>
      <c r="S68" s="888">
        <v>5.5245098039215685</v>
      </c>
      <c r="T68" s="642" t="s">
        <v>343</v>
      </c>
      <c r="U68" s="642"/>
      <c r="V68" s="738" t="s">
        <v>987</v>
      </c>
      <c r="W68" s="642" t="s">
        <v>863</v>
      </c>
      <c r="X68" s="358"/>
      <c r="Y68" s="358"/>
      <c r="Z68" s="358" t="s">
        <v>657</v>
      </c>
      <c r="AA68" s="643" t="str">
        <f>CONCATENATE(Camp_List[[#This Row],[Ethnicity]],"-",Camp_List[[#This Row],[Religion]])</f>
        <v>-Muslim</v>
      </c>
      <c r="AB68" s="638" t="s">
        <v>1020</v>
      </c>
      <c r="AC68" s="358"/>
      <c r="AD68" s="712"/>
      <c r="AE68" s="358" t="s">
        <v>504</v>
      </c>
      <c r="AF68" s="358" t="s">
        <v>927</v>
      </c>
      <c r="AG68" s="290">
        <v>42766</v>
      </c>
      <c r="AH68" s="647" t="s">
        <v>989</v>
      </c>
      <c r="AI68" s="643" t="str">
        <f>IFERROR(VLOOKUP(Camp_List[[#This Row],[Responsible Agency]],Organization_t[],3,0),"")</f>
        <v/>
      </c>
      <c r="AJ68" s="650">
        <f ca="1">IF((SUMIFS(Data_Shelter_t[Coverage],Data_Shelter_t[Pcode],Camp_List[[#This Row],[P_Code]]))&gt;1,1,SUMIFS(Data_Shelter_t[Coverage],Data_Shelter_t[Pcode],Camp_List[[#This Row],[P_Code]]))</f>
        <v>1</v>
      </c>
      <c r="BL68" s="19"/>
      <c r="BM68" s="19"/>
      <c r="BP68" s="69"/>
      <c r="BQ68" s="69"/>
    </row>
    <row r="69" spans="1:69" ht="15" customHeight="1" x14ac:dyDescent="0.25">
      <c r="A69" s="635" t="s">
        <v>1006</v>
      </c>
      <c r="B69" s="358" t="s">
        <v>7</v>
      </c>
      <c r="C69" s="358" t="s">
        <v>351</v>
      </c>
      <c r="D69" s="358" t="s">
        <v>19</v>
      </c>
      <c r="E69" s="358" t="s">
        <v>604</v>
      </c>
      <c r="F69" s="358" t="s">
        <v>1003</v>
      </c>
      <c r="G69" s="358" t="s">
        <v>365</v>
      </c>
      <c r="H69" s="358" t="s">
        <v>367</v>
      </c>
      <c r="I69" s="358" t="s">
        <v>366</v>
      </c>
      <c r="J69" s="358" t="s">
        <v>367</v>
      </c>
      <c r="K69" s="358">
        <v>196507</v>
      </c>
      <c r="L69" s="358" t="s">
        <v>34</v>
      </c>
      <c r="M69" s="358" t="s">
        <v>120</v>
      </c>
      <c r="N69" s="75">
        <v>93.217039999999997</v>
      </c>
      <c r="O69" s="75">
        <v>20.501757999999999</v>
      </c>
      <c r="P69" s="358"/>
      <c r="Q69" s="876">
        <v>365</v>
      </c>
      <c r="R69" s="875">
        <v>2366</v>
      </c>
      <c r="S69" s="888">
        <v>6.4821917808219176</v>
      </c>
      <c r="T69" s="642" t="s">
        <v>343</v>
      </c>
      <c r="U69" s="642"/>
      <c r="V69" s="738" t="s">
        <v>987</v>
      </c>
      <c r="W69" s="642" t="s">
        <v>863</v>
      </c>
      <c r="X69" s="358"/>
      <c r="Y69" s="358"/>
      <c r="Z69" s="358" t="s">
        <v>657</v>
      </c>
      <c r="AA69" s="643" t="str">
        <f>CONCATENATE(Camp_List[[#This Row],[Ethnicity]],"-",Camp_List[[#This Row],[Religion]])</f>
        <v>-Muslim</v>
      </c>
      <c r="AB69" s="638" t="s">
        <v>1020</v>
      </c>
      <c r="AC69" s="358"/>
      <c r="AD69" s="712"/>
      <c r="AE69" s="358" t="s">
        <v>504</v>
      </c>
      <c r="AF69" s="358" t="s">
        <v>927</v>
      </c>
      <c r="AG69" s="290">
        <v>42766</v>
      </c>
      <c r="AH69" s="647" t="s">
        <v>989</v>
      </c>
      <c r="AI69" s="643" t="str">
        <f>IFERROR(VLOOKUP(Camp_List[[#This Row],[Responsible Agency]],Organization_t[],3,0),"")</f>
        <v/>
      </c>
      <c r="AJ69" s="650">
        <f ca="1">IF((SUMIFS(Data_Shelter_t[Coverage],Data_Shelter_t[Pcode],Camp_List[[#This Row],[P_Code]]))&gt;1,1,SUMIFS(Data_Shelter_t[Coverage],Data_Shelter_t[Pcode],Camp_List[[#This Row],[P_Code]]))</f>
        <v>1</v>
      </c>
      <c r="BL69" s="19"/>
      <c r="BM69" s="19"/>
      <c r="BP69" s="69"/>
      <c r="BQ69" s="69"/>
    </row>
    <row r="70" spans="1:69" ht="15" customHeight="1" x14ac:dyDescent="0.25">
      <c r="A70" s="635" t="s">
        <v>1006</v>
      </c>
      <c r="B70" s="358" t="s">
        <v>7</v>
      </c>
      <c r="C70" s="358" t="s">
        <v>351</v>
      </c>
      <c r="D70" s="358" t="s">
        <v>19</v>
      </c>
      <c r="E70" s="358" t="s">
        <v>604</v>
      </c>
      <c r="F70" s="358" t="s">
        <v>16</v>
      </c>
      <c r="G70" s="358" t="s">
        <v>398</v>
      </c>
      <c r="H70" s="358" t="s">
        <v>56</v>
      </c>
      <c r="I70" s="358" t="s">
        <v>403</v>
      </c>
      <c r="J70" s="358" t="s">
        <v>56</v>
      </c>
      <c r="K70" s="358">
        <v>197763</v>
      </c>
      <c r="L70" s="358" t="s">
        <v>56</v>
      </c>
      <c r="M70" s="358" t="s">
        <v>142</v>
      </c>
      <c r="N70" s="75">
        <v>92.781294000000003</v>
      </c>
      <c r="O70" s="75">
        <v>20.399269</v>
      </c>
      <c r="P70" s="358"/>
      <c r="Q70" s="876">
        <v>32</v>
      </c>
      <c r="R70" s="875">
        <v>157</v>
      </c>
      <c r="S70" s="888">
        <v>5.21875</v>
      </c>
      <c r="T70" s="642" t="s">
        <v>343</v>
      </c>
      <c r="U70" s="642"/>
      <c r="V70" s="738" t="s">
        <v>987</v>
      </c>
      <c r="W70" s="642"/>
      <c r="X70" s="358"/>
      <c r="Y70" s="358"/>
      <c r="Z70" s="358" t="s">
        <v>657</v>
      </c>
      <c r="AA70" s="643" t="str">
        <f>CONCATENATE(Camp_List[[#This Row],[Ethnicity]],"-",Camp_List[[#This Row],[Religion]])</f>
        <v>-Muslim</v>
      </c>
      <c r="AB70" s="703" t="s">
        <v>1020</v>
      </c>
      <c r="AC70" s="358"/>
      <c r="AD70" s="712"/>
      <c r="AE70" s="358" t="s">
        <v>504</v>
      </c>
      <c r="AF70" s="358" t="s">
        <v>520</v>
      </c>
      <c r="AG70" s="290">
        <v>42766</v>
      </c>
      <c r="AH70" s="647" t="s">
        <v>989</v>
      </c>
      <c r="AI70" s="643" t="str">
        <f>IFERROR(VLOOKUP(Camp_List[[#This Row],[Responsible Agency]],Organization_t[],3,0),"")</f>
        <v/>
      </c>
      <c r="AJ70" s="650">
        <f ca="1">IF((SUMIFS(Data_Shelter_t[Coverage],Data_Shelter_t[Pcode],Camp_List[[#This Row],[P_Code]]))&gt;1,1,SUMIFS(Data_Shelter_t[Coverage],Data_Shelter_t[Pcode],Camp_List[[#This Row],[P_Code]]))</f>
        <v>1</v>
      </c>
      <c r="BL70" s="19"/>
      <c r="BM70" s="19"/>
      <c r="BP70" s="69"/>
      <c r="BQ70" s="69"/>
    </row>
    <row r="71" spans="1:69" ht="15" customHeight="1" x14ac:dyDescent="0.25">
      <c r="A71" s="635" t="s">
        <v>1006</v>
      </c>
      <c r="B71" s="358" t="s">
        <v>7</v>
      </c>
      <c r="C71" s="358" t="s">
        <v>351</v>
      </c>
      <c r="D71" s="358" t="s">
        <v>19</v>
      </c>
      <c r="E71" s="358" t="s">
        <v>604</v>
      </c>
      <c r="F71" s="358" t="s">
        <v>16</v>
      </c>
      <c r="G71" s="358" t="s">
        <v>398</v>
      </c>
      <c r="H71" s="358" t="s">
        <v>55</v>
      </c>
      <c r="I71" s="358" t="s">
        <v>404</v>
      </c>
      <c r="J71" s="358" t="s">
        <v>494</v>
      </c>
      <c r="K71" s="358">
        <v>197780</v>
      </c>
      <c r="L71" s="358" t="s">
        <v>55</v>
      </c>
      <c r="M71" s="358" t="s">
        <v>141</v>
      </c>
      <c r="N71" s="75">
        <v>92.785706000000005</v>
      </c>
      <c r="O71" s="75">
        <v>20.335864000000001</v>
      </c>
      <c r="P71" s="358"/>
      <c r="Q71" s="876">
        <v>54</v>
      </c>
      <c r="R71" s="875">
        <v>332</v>
      </c>
      <c r="S71" s="888">
        <v>6.2857142857142856</v>
      </c>
      <c r="T71" s="642" t="s">
        <v>343</v>
      </c>
      <c r="U71" s="642"/>
      <c r="V71" s="738" t="s">
        <v>987</v>
      </c>
      <c r="W71" s="642"/>
      <c r="X71" s="358"/>
      <c r="Y71" s="358"/>
      <c r="Z71" s="358" t="s">
        <v>657</v>
      </c>
      <c r="AA71" s="643" t="str">
        <f>CONCATENATE(Camp_List[[#This Row],[Ethnicity]],"-",Camp_List[[#This Row],[Religion]])</f>
        <v>-Muslim</v>
      </c>
      <c r="AB71" s="703" t="s">
        <v>1020</v>
      </c>
      <c r="AC71" s="358"/>
      <c r="AD71" s="712"/>
      <c r="AE71" s="358" t="s">
        <v>504</v>
      </c>
      <c r="AF71" s="358" t="s">
        <v>520</v>
      </c>
      <c r="AG71" s="290">
        <v>42766</v>
      </c>
      <c r="AH71" s="647" t="s">
        <v>989</v>
      </c>
      <c r="AI71" s="643" t="str">
        <f>IFERROR(VLOOKUP(Camp_List[[#This Row],[Responsible Agency]],Organization_t[],3,0),"")</f>
        <v/>
      </c>
      <c r="AJ71" s="650">
        <f ca="1">IF((SUMIFS(Data_Shelter_t[Coverage],Data_Shelter_t[Pcode],Camp_List[[#This Row],[P_Code]]))&gt;1,1,SUMIFS(Data_Shelter_t[Coverage],Data_Shelter_t[Pcode],Camp_List[[#This Row],[P_Code]]))</f>
        <v>1</v>
      </c>
      <c r="BL71" s="19"/>
      <c r="BM71" s="19"/>
      <c r="BP71" s="69"/>
      <c r="BQ71" s="69"/>
    </row>
    <row r="72" spans="1:69" ht="15" hidden="1" customHeight="1" x14ac:dyDescent="0.25">
      <c r="A72" s="358" t="s">
        <v>349</v>
      </c>
      <c r="B72" s="358" t="s">
        <v>7</v>
      </c>
      <c r="C72" s="358" t="s">
        <v>351</v>
      </c>
      <c r="D72" s="358" t="s">
        <v>20</v>
      </c>
      <c r="E72" s="358" t="s">
        <v>622</v>
      </c>
      <c r="F72" s="358" t="s">
        <v>20</v>
      </c>
      <c r="G72" s="358" t="s">
        <v>448</v>
      </c>
      <c r="H72" s="358" t="s">
        <v>457</v>
      </c>
      <c r="I72" s="358" t="s">
        <v>458</v>
      </c>
      <c r="J72" s="358" t="s">
        <v>466</v>
      </c>
      <c r="K72" s="358">
        <v>217897</v>
      </c>
      <c r="L72" s="358" t="s">
        <v>100</v>
      </c>
      <c r="M72" s="358" t="s">
        <v>188</v>
      </c>
      <c r="N72" s="75">
        <v>92.416263999999998</v>
      </c>
      <c r="O72" s="75">
        <v>20.796128</v>
      </c>
      <c r="P72" s="358"/>
      <c r="Q72" s="879"/>
      <c r="R72" s="882"/>
      <c r="S72" s="892">
        <v>0</v>
      </c>
      <c r="T72" s="358" t="s">
        <v>343</v>
      </c>
      <c r="U72" s="358" t="s">
        <v>756</v>
      </c>
      <c r="V72" s="641" t="s">
        <v>22</v>
      </c>
      <c r="W72" s="642"/>
      <c r="X72" s="358"/>
      <c r="Y72" s="358"/>
      <c r="Z72" s="358"/>
      <c r="AA72" s="643" t="str">
        <f>CONCATENATE(Camp_List[[#This Row],[Ethnicity]],"-",Camp_List[[#This Row],[Religion]])</f>
        <v>-</v>
      </c>
      <c r="AB72" s="643"/>
      <c r="AC72" s="358"/>
      <c r="AD72" s="645" t="s">
        <v>774</v>
      </c>
      <c r="AE72" s="358" t="s">
        <v>504</v>
      </c>
      <c r="AF72" s="358" t="s">
        <v>520</v>
      </c>
      <c r="AG72" s="290">
        <v>41520</v>
      </c>
      <c r="AH72" s="647" t="s">
        <v>1045</v>
      </c>
      <c r="AI72" s="643">
        <f>IFERROR(VLOOKUP(Camp_List[[#This Row],[Responsible Agency]],Organization_t[],3,0),"")</f>
        <v>0</v>
      </c>
      <c r="AJ72" s="650">
        <f ca="1">IF((SUMIFS(Data_Shelter_t[Coverage],Data_Shelter_t[Pcode],Camp_List[[#This Row],[P_Code]]))&gt;1,1,SUMIFS(Data_Shelter_t[Coverage],Data_Shelter_t[Pcode],Camp_List[[#This Row],[P_Code]]))</f>
        <v>0</v>
      </c>
      <c r="BL72" s="19"/>
      <c r="BM72" s="19"/>
      <c r="BP72" s="69"/>
      <c r="BQ72" s="69"/>
    </row>
    <row r="73" spans="1:69" ht="15" hidden="1" customHeight="1" x14ac:dyDescent="0.25">
      <c r="A73" s="358" t="s">
        <v>349</v>
      </c>
      <c r="B73" s="358" t="s">
        <v>7</v>
      </c>
      <c r="C73" s="358" t="s">
        <v>610</v>
      </c>
      <c r="D73" s="358" t="s">
        <v>20</v>
      </c>
      <c r="E73" s="358" t="s">
        <v>622</v>
      </c>
      <c r="F73" s="358" t="s">
        <v>20</v>
      </c>
      <c r="G73" s="358" t="s">
        <v>448</v>
      </c>
      <c r="H73" s="358" t="s">
        <v>512</v>
      </c>
      <c r="I73" s="358" t="s">
        <v>514</v>
      </c>
      <c r="J73" s="358"/>
      <c r="K73" s="358"/>
      <c r="L73" s="358" t="s">
        <v>614</v>
      </c>
      <c r="M73" s="358" t="s">
        <v>618</v>
      </c>
      <c r="N73" s="75">
        <v>92.365618999999995</v>
      </c>
      <c r="O73" s="75">
        <v>20.820316999999999</v>
      </c>
      <c r="P73" s="358"/>
      <c r="Q73" s="879"/>
      <c r="R73" s="882"/>
      <c r="S73" s="892">
        <v>0</v>
      </c>
      <c r="T73" s="358" t="s">
        <v>343</v>
      </c>
      <c r="U73" s="358" t="s">
        <v>756</v>
      </c>
      <c r="V73" s="641" t="s">
        <v>22</v>
      </c>
      <c r="W73" s="642"/>
      <c r="X73" s="358"/>
      <c r="Y73" s="358"/>
      <c r="Z73" s="358"/>
      <c r="AA73" s="643" t="str">
        <f>CONCATENATE(Camp_List[[#This Row],[Ethnicity]],"-",Camp_List[[#This Row],[Religion]])</f>
        <v>-</v>
      </c>
      <c r="AB73" s="643"/>
      <c r="AC73" s="358"/>
      <c r="AD73" s="645" t="s">
        <v>774</v>
      </c>
      <c r="AE73" s="358" t="s">
        <v>504</v>
      </c>
      <c r="AF73" s="358" t="s">
        <v>520</v>
      </c>
      <c r="AG73" s="290">
        <v>41548</v>
      </c>
      <c r="AH73" s="647"/>
      <c r="AI73" s="643">
        <f>IFERROR(VLOOKUP(Camp_List[[#This Row],[Responsible Agency]],Organization_t[],3,0),"")</f>
        <v>0</v>
      </c>
      <c r="AJ73" s="650">
        <f>IF((SUMIFS(Data_Shelter_t[Coverage],Data_Shelter_t[Pcode],Camp_List[[#This Row],[P_Code]]))&gt;1,1,SUMIFS(Data_Shelter_t[Coverage],Data_Shelter_t[Pcode],Camp_List[[#This Row],[P_Code]]))</f>
        <v>0</v>
      </c>
      <c r="BL73" s="19"/>
      <c r="BM73" s="19"/>
      <c r="BP73" s="69"/>
      <c r="BQ73" s="69"/>
    </row>
    <row r="74" spans="1:69" ht="15" hidden="1" customHeight="1" x14ac:dyDescent="0.25">
      <c r="A74" s="358" t="s">
        <v>349</v>
      </c>
      <c r="B74" s="358" t="s">
        <v>7</v>
      </c>
      <c r="C74" s="358" t="s">
        <v>351</v>
      </c>
      <c r="D74" s="358" t="s">
        <v>20</v>
      </c>
      <c r="E74" s="358" t="s">
        <v>622</v>
      </c>
      <c r="F74" s="358" t="s">
        <v>20</v>
      </c>
      <c r="G74" s="358" t="s">
        <v>448</v>
      </c>
      <c r="H74" s="358" t="s">
        <v>457</v>
      </c>
      <c r="I74" s="358" t="s">
        <v>458</v>
      </c>
      <c r="J74" s="358" t="s">
        <v>462</v>
      </c>
      <c r="K74" s="358">
        <v>217895</v>
      </c>
      <c r="L74" s="358" t="s">
        <v>102</v>
      </c>
      <c r="M74" s="358" t="s">
        <v>190</v>
      </c>
      <c r="N74" s="75">
        <v>92.423364000000007</v>
      </c>
      <c r="O74" s="75">
        <v>20.801544</v>
      </c>
      <c r="P74" s="358"/>
      <c r="Q74" s="879"/>
      <c r="R74" s="882"/>
      <c r="S74" s="892">
        <v>0</v>
      </c>
      <c r="T74" s="358" t="s">
        <v>343</v>
      </c>
      <c r="U74" s="358" t="s">
        <v>756</v>
      </c>
      <c r="V74" s="641" t="s">
        <v>22</v>
      </c>
      <c r="W74" s="642"/>
      <c r="X74" s="358"/>
      <c r="Y74" s="358"/>
      <c r="Z74" s="358"/>
      <c r="AA74" s="643" t="str">
        <f>CONCATENATE(Camp_List[[#This Row],[Ethnicity]],"-",Camp_List[[#This Row],[Religion]])</f>
        <v>-</v>
      </c>
      <c r="AB74" s="643"/>
      <c r="AC74" s="358"/>
      <c r="AD74" s="645" t="s">
        <v>774</v>
      </c>
      <c r="AE74" s="358" t="s">
        <v>504</v>
      </c>
      <c r="AF74" s="358" t="s">
        <v>520</v>
      </c>
      <c r="AG74" s="290">
        <v>41520</v>
      </c>
      <c r="AH74" s="647" t="s">
        <v>1046</v>
      </c>
      <c r="AI74" s="643">
        <f>IFERROR(VLOOKUP(Camp_List[[#This Row],[Responsible Agency]],Organization_t[],3,0),"")</f>
        <v>0</v>
      </c>
      <c r="AJ74" s="650">
        <f ca="1">IF((SUMIFS(Data_Shelter_t[Coverage],Data_Shelter_t[Pcode],Camp_List[[#This Row],[P_Code]]))&gt;1,1,SUMIFS(Data_Shelter_t[Coverage],Data_Shelter_t[Pcode],Camp_List[[#This Row],[P_Code]]))</f>
        <v>0</v>
      </c>
      <c r="BL74" s="19"/>
      <c r="BM74" s="19"/>
      <c r="BP74" s="69"/>
      <c r="BQ74" s="69"/>
    </row>
    <row r="75" spans="1:69" ht="15" hidden="1" customHeight="1" x14ac:dyDescent="0.25">
      <c r="A75" s="358" t="s">
        <v>349</v>
      </c>
      <c r="B75" s="358" t="s">
        <v>7</v>
      </c>
      <c r="C75" s="358" t="s">
        <v>351</v>
      </c>
      <c r="D75" s="358" t="s">
        <v>20</v>
      </c>
      <c r="E75" s="358" t="s">
        <v>622</v>
      </c>
      <c r="F75" s="358" t="s">
        <v>20</v>
      </c>
      <c r="G75" s="358" t="s">
        <v>448</v>
      </c>
      <c r="H75" s="358" t="s">
        <v>467</v>
      </c>
      <c r="I75" s="358" t="s">
        <v>468</v>
      </c>
      <c r="J75" s="358" t="s">
        <v>469</v>
      </c>
      <c r="K75" s="358">
        <v>217898</v>
      </c>
      <c r="L75" s="358" t="s">
        <v>101</v>
      </c>
      <c r="M75" s="358" t="s">
        <v>189</v>
      </c>
      <c r="N75" s="75">
        <v>92.424138999999997</v>
      </c>
      <c r="O75" s="75">
        <v>20.762730999999999</v>
      </c>
      <c r="P75" s="358"/>
      <c r="Q75" s="881"/>
      <c r="R75" s="882"/>
      <c r="S75" s="892">
        <v>0</v>
      </c>
      <c r="T75" s="358" t="s">
        <v>343</v>
      </c>
      <c r="U75" s="358" t="s">
        <v>756</v>
      </c>
      <c r="V75" s="641" t="s">
        <v>22</v>
      </c>
      <c r="W75" s="642"/>
      <c r="X75" s="358"/>
      <c r="Y75" s="358"/>
      <c r="Z75" s="358"/>
      <c r="AA75" s="643" t="str">
        <f>CONCATENATE(Camp_List[[#This Row],[Ethnicity]],"-",Camp_List[[#This Row],[Religion]])</f>
        <v>-</v>
      </c>
      <c r="AB75" s="643"/>
      <c r="AC75" s="358"/>
      <c r="AD75" s="645" t="s">
        <v>774</v>
      </c>
      <c r="AE75" s="358" t="s">
        <v>504</v>
      </c>
      <c r="AF75" s="358" t="s">
        <v>520</v>
      </c>
      <c r="AG75" s="290">
        <v>41520</v>
      </c>
      <c r="AH75" s="647" t="s">
        <v>1047</v>
      </c>
      <c r="AI75" s="643">
        <f>IFERROR(VLOOKUP(Camp_List[[#This Row],[Responsible Agency]],Organization_t[],3,0),"")</f>
        <v>0</v>
      </c>
      <c r="AJ75" s="650">
        <f ca="1">IF((SUMIFS(Data_Shelter_t[Coverage],Data_Shelter_t[Pcode],Camp_List[[#This Row],[P_Code]]))&gt;1,1,SUMIFS(Data_Shelter_t[Coverage],Data_Shelter_t[Pcode],Camp_List[[#This Row],[P_Code]]))</f>
        <v>0</v>
      </c>
      <c r="BL75" s="19"/>
      <c r="BM75" s="19"/>
      <c r="BP75" s="69"/>
      <c r="BQ75" s="69"/>
    </row>
    <row r="76" spans="1:69" ht="15" hidden="1" customHeight="1" x14ac:dyDescent="0.25">
      <c r="A76" s="358" t="s">
        <v>349</v>
      </c>
      <c r="B76" s="358" t="s">
        <v>7</v>
      </c>
      <c r="C76" s="358" t="s">
        <v>351</v>
      </c>
      <c r="D76" s="358" t="s">
        <v>20</v>
      </c>
      <c r="E76" s="358" t="s">
        <v>622</v>
      </c>
      <c r="F76" s="358" t="s">
        <v>20</v>
      </c>
      <c r="G76" s="358" t="s">
        <v>448</v>
      </c>
      <c r="H76" s="358" t="s">
        <v>277</v>
      </c>
      <c r="I76" s="358" t="s">
        <v>277</v>
      </c>
      <c r="J76" s="358" t="s">
        <v>277</v>
      </c>
      <c r="K76" s="358" t="s">
        <v>277</v>
      </c>
      <c r="L76" s="358" t="s">
        <v>99</v>
      </c>
      <c r="M76" s="358" t="s">
        <v>187</v>
      </c>
      <c r="N76" s="75" t="s">
        <v>277</v>
      </c>
      <c r="O76" s="75" t="s">
        <v>277</v>
      </c>
      <c r="P76" s="358"/>
      <c r="Q76" s="879"/>
      <c r="R76" s="882"/>
      <c r="S76" s="892">
        <v>0</v>
      </c>
      <c r="T76" s="358" t="s">
        <v>343</v>
      </c>
      <c r="U76" s="358" t="s">
        <v>756</v>
      </c>
      <c r="V76" s="641" t="s">
        <v>22</v>
      </c>
      <c r="W76" s="642"/>
      <c r="X76" s="358"/>
      <c r="Y76" s="358"/>
      <c r="Z76" s="358"/>
      <c r="AA76" s="643" t="str">
        <f>CONCATENATE(Camp_List[[#This Row],[Ethnicity]],"-",Camp_List[[#This Row],[Religion]])</f>
        <v>-</v>
      </c>
      <c r="AB76" s="643"/>
      <c r="AC76" s="358"/>
      <c r="AD76" s="645" t="s">
        <v>774</v>
      </c>
      <c r="AE76" s="358" t="s">
        <v>504</v>
      </c>
      <c r="AF76" s="358" t="s">
        <v>520</v>
      </c>
      <c r="AG76" s="290">
        <v>41520</v>
      </c>
      <c r="AH76" s="647"/>
      <c r="AI76" s="643">
        <f>IFERROR(VLOOKUP(Camp_List[[#This Row],[Responsible Agency]],Organization_t[],3,0),"")</f>
        <v>0</v>
      </c>
      <c r="AJ76" s="650">
        <f ca="1">IF((SUMIFS(Data_Shelter_t[Coverage],Data_Shelter_t[Pcode],Camp_List[[#This Row],[P_Code]]))&gt;1,1,SUMIFS(Data_Shelter_t[Coverage],Data_Shelter_t[Pcode],Camp_List[[#This Row],[P_Code]]))</f>
        <v>0</v>
      </c>
      <c r="BL76" s="19"/>
      <c r="BM76" s="19"/>
      <c r="BP76" s="69"/>
      <c r="BQ76" s="69"/>
    </row>
    <row r="77" spans="1:69" ht="15" hidden="1" customHeight="1" x14ac:dyDescent="0.25">
      <c r="A77" s="358" t="s">
        <v>349</v>
      </c>
      <c r="B77" s="358" t="s">
        <v>7</v>
      </c>
      <c r="C77" s="358" t="s">
        <v>351</v>
      </c>
      <c r="D77" s="358" t="s">
        <v>20</v>
      </c>
      <c r="E77" s="358" t="s">
        <v>622</v>
      </c>
      <c r="F77" s="358" t="s">
        <v>20</v>
      </c>
      <c r="G77" s="358" t="s">
        <v>448</v>
      </c>
      <c r="H77" s="358" t="s">
        <v>277</v>
      </c>
      <c r="I77" s="358" t="s">
        <v>277</v>
      </c>
      <c r="J77" s="358" t="s">
        <v>277</v>
      </c>
      <c r="K77" s="358" t="s">
        <v>277</v>
      </c>
      <c r="L77" s="358" t="s">
        <v>97</v>
      </c>
      <c r="M77" s="358" t="s">
        <v>185</v>
      </c>
      <c r="N77" s="75" t="s">
        <v>277</v>
      </c>
      <c r="O77" s="75" t="s">
        <v>277</v>
      </c>
      <c r="P77" s="358"/>
      <c r="Q77" s="879"/>
      <c r="R77" s="882"/>
      <c r="S77" s="892">
        <v>0</v>
      </c>
      <c r="T77" s="358" t="s">
        <v>343</v>
      </c>
      <c r="U77" s="358" t="s">
        <v>756</v>
      </c>
      <c r="V77" s="641" t="s">
        <v>22</v>
      </c>
      <c r="W77" s="642"/>
      <c r="X77" s="358"/>
      <c r="Y77" s="358"/>
      <c r="Z77" s="358"/>
      <c r="AA77" s="643" t="str">
        <f>CONCATENATE(Camp_List[[#This Row],[Ethnicity]],"-",Camp_List[[#This Row],[Religion]])</f>
        <v>-</v>
      </c>
      <c r="AB77" s="643"/>
      <c r="AC77" s="358"/>
      <c r="AD77" s="645" t="s">
        <v>774</v>
      </c>
      <c r="AE77" s="358" t="s">
        <v>504</v>
      </c>
      <c r="AF77" s="358" t="s">
        <v>520</v>
      </c>
      <c r="AG77" s="290">
        <v>41520</v>
      </c>
      <c r="AH77" s="647"/>
      <c r="AI77" s="643">
        <f>IFERROR(VLOOKUP(Camp_List[[#This Row],[Responsible Agency]],Organization_t[],3,0),"")</f>
        <v>0</v>
      </c>
      <c r="AJ77" s="650">
        <f ca="1">IF((SUMIFS(Data_Shelter_t[Coverage],Data_Shelter_t[Pcode],Camp_List[[#This Row],[P_Code]]))&gt;1,1,SUMIFS(Data_Shelter_t[Coverage],Data_Shelter_t[Pcode],Camp_List[[#This Row],[P_Code]]))</f>
        <v>0</v>
      </c>
      <c r="BL77" s="19"/>
      <c r="BM77" s="19"/>
      <c r="BP77" s="69"/>
      <c r="BQ77" s="69"/>
    </row>
    <row r="78" spans="1:69" ht="15" hidden="1" customHeight="1" x14ac:dyDescent="0.25">
      <c r="A78" s="358" t="s">
        <v>349</v>
      </c>
      <c r="B78" s="358" t="s">
        <v>7</v>
      </c>
      <c r="C78" s="358" t="s">
        <v>351</v>
      </c>
      <c r="D78" s="358" t="s">
        <v>20</v>
      </c>
      <c r="E78" s="358" t="s">
        <v>622</v>
      </c>
      <c r="F78" s="358" t="s">
        <v>20</v>
      </c>
      <c r="G78" s="358" t="s">
        <v>448</v>
      </c>
      <c r="H78" s="358" t="s">
        <v>447</v>
      </c>
      <c r="I78" s="358" t="s">
        <v>446</v>
      </c>
      <c r="J78" s="358" t="s">
        <v>472</v>
      </c>
      <c r="K78" s="358">
        <v>198016</v>
      </c>
      <c r="L78" s="358" t="s">
        <v>98</v>
      </c>
      <c r="M78" s="358" t="s">
        <v>186</v>
      </c>
      <c r="N78" s="75">
        <v>92.429599999999994</v>
      </c>
      <c r="O78" s="75">
        <v>20.729866999999999</v>
      </c>
      <c r="P78" s="358"/>
      <c r="Q78" s="879"/>
      <c r="R78" s="882"/>
      <c r="S78" s="892">
        <v>0</v>
      </c>
      <c r="T78" s="358" t="s">
        <v>343</v>
      </c>
      <c r="U78" s="358" t="s">
        <v>756</v>
      </c>
      <c r="V78" s="641" t="s">
        <v>22</v>
      </c>
      <c r="W78" s="642"/>
      <c r="X78" s="358"/>
      <c r="Y78" s="358"/>
      <c r="Z78" s="358"/>
      <c r="AA78" s="643" t="str">
        <f>CONCATENATE(Camp_List[[#This Row],[Ethnicity]],"-",Camp_List[[#This Row],[Religion]])</f>
        <v>-</v>
      </c>
      <c r="AB78" s="643"/>
      <c r="AC78" s="358"/>
      <c r="AD78" s="645" t="s">
        <v>774</v>
      </c>
      <c r="AE78" s="358" t="s">
        <v>504</v>
      </c>
      <c r="AF78" s="358" t="s">
        <v>520</v>
      </c>
      <c r="AG78" s="290">
        <v>41520</v>
      </c>
      <c r="AH78" s="647" t="s">
        <v>1048</v>
      </c>
      <c r="AI78" s="643">
        <f>IFERROR(VLOOKUP(Camp_List[[#This Row],[Responsible Agency]],Organization_t[],3,0),"")</f>
        <v>0</v>
      </c>
      <c r="AJ78" s="650">
        <f ca="1">IF((SUMIFS(Data_Shelter_t[Coverage],Data_Shelter_t[Pcode],Camp_List[[#This Row],[P_Code]]))&gt;1,1,SUMIFS(Data_Shelter_t[Coverage],Data_Shelter_t[Pcode],Camp_List[[#This Row],[P_Code]]))</f>
        <v>0</v>
      </c>
      <c r="BL78" s="19"/>
      <c r="BM78" s="19"/>
      <c r="BP78" s="69"/>
      <c r="BQ78" s="69"/>
    </row>
    <row r="79" spans="1:69" ht="15" hidden="1" customHeight="1" x14ac:dyDescent="0.25">
      <c r="A79" s="358" t="s">
        <v>349</v>
      </c>
      <c r="B79" s="358" t="s">
        <v>7</v>
      </c>
      <c r="C79" s="358" t="s">
        <v>611</v>
      </c>
      <c r="D79" s="358" t="s">
        <v>20</v>
      </c>
      <c r="E79" s="358" t="s">
        <v>622</v>
      </c>
      <c r="F79" s="358" t="s">
        <v>20</v>
      </c>
      <c r="G79" s="358" t="s">
        <v>448</v>
      </c>
      <c r="H79" s="358" t="s">
        <v>512</v>
      </c>
      <c r="I79" s="358" t="s">
        <v>514</v>
      </c>
      <c r="J79" s="358"/>
      <c r="K79" s="358"/>
      <c r="L79" s="358" t="s">
        <v>615</v>
      </c>
      <c r="M79" s="358" t="s">
        <v>619</v>
      </c>
      <c r="N79" s="75">
        <v>92.367536000000001</v>
      </c>
      <c r="O79" s="75">
        <v>20.825500000000002</v>
      </c>
      <c r="P79" s="358"/>
      <c r="Q79" s="879"/>
      <c r="R79" s="882"/>
      <c r="S79" s="892">
        <v>0</v>
      </c>
      <c r="T79" s="358" t="s">
        <v>343</v>
      </c>
      <c r="U79" s="358" t="s">
        <v>756</v>
      </c>
      <c r="V79" s="641" t="s">
        <v>22</v>
      </c>
      <c r="W79" s="642"/>
      <c r="X79" s="358"/>
      <c r="Y79" s="358"/>
      <c r="Z79" s="358"/>
      <c r="AA79" s="643" t="str">
        <f>CONCATENATE(Camp_List[[#This Row],[Ethnicity]],"-",Camp_List[[#This Row],[Religion]])</f>
        <v>-</v>
      </c>
      <c r="AB79" s="643"/>
      <c r="AC79" s="358"/>
      <c r="AD79" s="645" t="s">
        <v>774</v>
      </c>
      <c r="AE79" s="358" t="s">
        <v>504</v>
      </c>
      <c r="AF79" s="358" t="s">
        <v>520</v>
      </c>
      <c r="AG79" s="290">
        <v>41548</v>
      </c>
      <c r="AH79" s="647"/>
      <c r="AI79" s="643">
        <f>IFERROR(VLOOKUP(Camp_List[[#This Row],[Responsible Agency]],Organization_t[],3,0),"")</f>
        <v>0</v>
      </c>
      <c r="AJ79" s="650">
        <f>IF((SUMIFS(Data_Shelter_t[Coverage],Data_Shelter_t[Pcode],Camp_List[[#This Row],[P_Code]]))&gt;1,1,SUMIFS(Data_Shelter_t[Coverage],Data_Shelter_t[Pcode],Camp_List[[#This Row],[P_Code]]))</f>
        <v>0</v>
      </c>
      <c r="BL79" s="19"/>
      <c r="BM79" s="19"/>
      <c r="BP79" s="69"/>
      <c r="BQ79" s="69"/>
    </row>
    <row r="80" spans="1:69" ht="15" hidden="1" customHeight="1" x14ac:dyDescent="0.25">
      <c r="A80" s="358" t="s">
        <v>349</v>
      </c>
      <c r="B80" s="358" t="s">
        <v>7</v>
      </c>
      <c r="C80" s="358" t="s">
        <v>351</v>
      </c>
      <c r="D80" s="358" t="s">
        <v>20</v>
      </c>
      <c r="E80" s="358" t="s">
        <v>622</v>
      </c>
      <c r="F80" s="358" t="s">
        <v>20</v>
      </c>
      <c r="G80" s="358" t="s">
        <v>448</v>
      </c>
      <c r="H80" s="358" t="s">
        <v>452</v>
      </c>
      <c r="I80" s="358" t="s">
        <v>451</v>
      </c>
      <c r="J80" s="358" t="s">
        <v>461</v>
      </c>
      <c r="K80" s="358">
        <v>198049</v>
      </c>
      <c r="L80" s="358" t="s">
        <v>110</v>
      </c>
      <c r="M80" s="358" t="s">
        <v>198</v>
      </c>
      <c r="N80" s="75">
        <v>92.435074999999998</v>
      </c>
      <c r="O80" s="75">
        <v>20.714532999999999</v>
      </c>
      <c r="P80" s="358"/>
      <c r="Q80" s="879"/>
      <c r="R80" s="882"/>
      <c r="S80" s="892">
        <v>0</v>
      </c>
      <c r="T80" s="358" t="s">
        <v>343</v>
      </c>
      <c r="U80" s="358" t="s">
        <v>756</v>
      </c>
      <c r="V80" s="641" t="s">
        <v>23</v>
      </c>
      <c r="W80" s="642"/>
      <c r="X80" s="358"/>
      <c r="Y80" s="358"/>
      <c r="Z80" s="358"/>
      <c r="AA80" s="643" t="str">
        <f>CONCATENATE(Camp_List[[#This Row],[Ethnicity]],"-",Camp_List[[#This Row],[Religion]])</f>
        <v>-</v>
      </c>
      <c r="AB80" s="643"/>
      <c r="AC80" s="358"/>
      <c r="AD80" s="645" t="s">
        <v>774</v>
      </c>
      <c r="AE80" s="358" t="s">
        <v>504</v>
      </c>
      <c r="AF80" s="358" t="s">
        <v>520</v>
      </c>
      <c r="AG80" s="290">
        <v>41520</v>
      </c>
      <c r="AH80" s="647" t="s">
        <v>1049</v>
      </c>
      <c r="AI80" s="643">
        <f>IFERROR(VLOOKUP(Camp_List[[#This Row],[Responsible Agency]],Organization_t[],3,0),"")</f>
        <v>0</v>
      </c>
      <c r="AJ80" s="650">
        <f>IF((SUMIFS(Data_Shelter_t[Coverage],Data_Shelter_t[Pcode],Camp_List[[#This Row],[P_Code]]))&gt;1,1,SUMIFS(Data_Shelter_t[Coverage],Data_Shelter_t[Pcode],Camp_List[[#This Row],[P_Code]]))</f>
        <v>0</v>
      </c>
      <c r="BL80" s="19"/>
      <c r="BM80" s="19"/>
      <c r="BP80" s="69"/>
      <c r="BQ80" s="69"/>
    </row>
    <row r="81" spans="1:69" ht="15" hidden="1" customHeight="1" x14ac:dyDescent="0.25">
      <c r="A81" s="358" t="s">
        <v>349</v>
      </c>
      <c r="B81" s="358" t="s">
        <v>7</v>
      </c>
      <c r="C81" s="358" t="s">
        <v>351</v>
      </c>
      <c r="D81" s="358" t="s">
        <v>20</v>
      </c>
      <c r="E81" s="358" t="s">
        <v>622</v>
      </c>
      <c r="F81" s="358" t="s">
        <v>20</v>
      </c>
      <c r="G81" s="358" t="s">
        <v>448</v>
      </c>
      <c r="H81" s="358" t="s">
        <v>452</v>
      </c>
      <c r="I81" s="358" t="s">
        <v>451</v>
      </c>
      <c r="J81" s="358" t="s">
        <v>452</v>
      </c>
      <c r="K81" s="358">
        <v>198045</v>
      </c>
      <c r="L81" s="358" t="s">
        <v>108</v>
      </c>
      <c r="M81" s="358" t="s">
        <v>196</v>
      </c>
      <c r="N81" s="75">
        <v>92.426885999999996</v>
      </c>
      <c r="O81" s="75">
        <v>20.717331000000001</v>
      </c>
      <c r="P81" s="358"/>
      <c r="Q81" s="879"/>
      <c r="R81" s="882"/>
      <c r="S81" s="892">
        <v>0</v>
      </c>
      <c r="T81" s="358" t="s">
        <v>343</v>
      </c>
      <c r="U81" s="358" t="s">
        <v>756</v>
      </c>
      <c r="V81" s="641" t="s">
        <v>23</v>
      </c>
      <c r="W81" s="642"/>
      <c r="X81" s="358"/>
      <c r="Y81" s="358"/>
      <c r="Z81" s="358"/>
      <c r="AA81" s="643" t="str">
        <f>CONCATENATE(Camp_List[[#This Row],[Ethnicity]],"-",Camp_List[[#This Row],[Religion]])</f>
        <v>-</v>
      </c>
      <c r="AB81" s="643"/>
      <c r="AC81" s="358"/>
      <c r="AD81" s="645" t="s">
        <v>774</v>
      </c>
      <c r="AE81" s="358" t="s">
        <v>504</v>
      </c>
      <c r="AF81" s="358" t="s">
        <v>520</v>
      </c>
      <c r="AG81" s="290">
        <v>41520</v>
      </c>
      <c r="AH81" s="647" t="s">
        <v>1050</v>
      </c>
      <c r="AI81" s="643">
        <f>IFERROR(VLOOKUP(Camp_List[[#This Row],[Responsible Agency]],Organization_t[],3,0),"")</f>
        <v>0</v>
      </c>
      <c r="AJ81" s="650">
        <f>IF((SUMIFS(Data_Shelter_t[Coverage],Data_Shelter_t[Pcode],Camp_List[[#This Row],[P_Code]]))&gt;1,1,SUMIFS(Data_Shelter_t[Coverage],Data_Shelter_t[Pcode],Camp_List[[#This Row],[P_Code]]))</f>
        <v>0</v>
      </c>
      <c r="BL81" s="19"/>
      <c r="BM81" s="19"/>
      <c r="BP81" s="69"/>
      <c r="BQ81" s="69"/>
    </row>
    <row r="82" spans="1:69" ht="15" hidden="1" customHeight="1" x14ac:dyDescent="0.25">
      <c r="A82" s="358" t="s">
        <v>349</v>
      </c>
      <c r="B82" s="358" t="s">
        <v>7</v>
      </c>
      <c r="C82" s="358" t="s">
        <v>612</v>
      </c>
      <c r="D82" s="358" t="s">
        <v>20</v>
      </c>
      <c r="E82" s="358" t="s">
        <v>622</v>
      </c>
      <c r="F82" s="358" t="s">
        <v>20</v>
      </c>
      <c r="G82" s="358" t="s">
        <v>448</v>
      </c>
      <c r="H82" s="358" t="s">
        <v>512</v>
      </c>
      <c r="I82" s="358" t="s">
        <v>514</v>
      </c>
      <c r="J82" s="358"/>
      <c r="K82" s="358"/>
      <c r="L82" s="358" t="s">
        <v>616</v>
      </c>
      <c r="M82" s="358" t="s">
        <v>620</v>
      </c>
      <c r="N82" s="75">
        <v>92.367932999999994</v>
      </c>
      <c r="O82" s="75">
        <v>20.825417000000002</v>
      </c>
      <c r="P82" s="358"/>
      <c r="Q82" s="879"/>
      <c r="R82" s="882"/>
      <c r="S82" s="892">
        <v>0</v>
      </c>
      <c r="T82" s="358" t="s">
        <v>343</v>
      </c>
      <c r="U82" s="358" t="s">
        <v>756</v>
      </c>
      <c r="V82" s="641" t="s">
        <v>23</v>
      </c>
      <c r="W82" s="642"/>
      <c r="X82" s="358"/>
      <c r="Y82" s="358"/>
      <c r="Z82" s="358"/>
      <c r="AA82" s="643" t="str">
        <f>CONCATENATE(Camp_List[[#This Row],[Ethnicity]],"-",Camp_List[[#This Row],[Religion]])</f>
        <v>-</v>
      </c>
      <c r="AB82" s="643"/>
      <c r="AC82" s="358"/>
      <c r="AD82" s="645" t="s">
        <v>774</v>
      </c>
      <c r="AE82" s="358" t="s">
        <v>504</v>
      </c>
      <c r="AF82" s="358" t="s">
        <v>520</v>
      </c>
      <c r="AG82" s="290">
        <v>41548</v>
      </c>
      <c r="AH82" s="647"/>
      <c r="AI82" s="643">
        <f>IFERROR(VLOOKUP(Camp_List[[#This Row],[Responsible Agency]],Organization_t[],3,0),"")</f>
        <v>0</v>
      </c>
      <c r="AJ82" s="650">
        <f>IF((SUMIFS(Data_Shelter_t[Coverage],Data_Shelter_t[Pcode],Camp_List[[#This Row],[P_Code]]))&gt;1,1,SUMIFS(Data_Shelter_t[Coverage],Data_Shelter_t[Pcode],Camp_List[[#This Row],[P_Code]]))</f>
        <v>0</v>
      </c>
      <c r="BL82" s="19"/>
      <c r="BM82" s="19"/>
      <c r="BP82" s="69"/>
      <c r="BQ82" s="69"/>
    </row>
    <row r="83" spans="1:69" ht="15" hidden="1" customHeight="1" x14ac:dyDescent="0.25">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879"/>
      <c r="R83" s="882"/>
      <c r="S83" s="892">
        <v>0</v>
      </c>
      <c r="T83" s="358" t="s">
        <v>343</v>
      </c>
      <c r="U83" s="358" t="s">
        <v>756</v>
      </c>
      <c r="V83" s="641" t="s">
        <v>23</v>
      </c>
      <c r="W83" s="642"/>
      <c r="X83" s="358"/>
      <c r="Y83" s="358"/>
      <c r="Z83" s="358"/>
      <c r="AA83" s="643" t="str">
        <f>CONCATENATE(Camp_List[[#This Row],[Ethnicity]],"-",Camp_List[[#This Row],[Religion]])</f>
        <v>-</v>
      </c>
      <c r="AB83" s="643"/>
      <c r="AC83" s="358"/>
      <c r="AD83" s="645" t="s">
        <v>774</v>
      </c>
      <c r="AE83" s="358" t="s">
        <v>504</v>
      </c>
      <c r="AF83" s="358" t="s">
        <v>520</v>
      </c>
      <c r="AG83" s="290">
        <v>41520</v>
      </c>
      <c r="AH83" s="647" t="s">
        <v>1051</v>
      </c>
      <c r="AI83" s="643">
        <f>IFERROR(VLOOKUP(Camp_List[[#This Row],[Responsible Agency]],Organization_t[],3,0),"")</f>
        <v>0</v>
      </c>
      <c r="AJ83" s="650">
        <f>IF((SUMIFS(Data_Shelter_t[Coverage],Data_Shelter_t[Pcode],Camp_List[[#This Row],[P_Code]]))&gt;1,1,SUMIFS(Data_Shelter_t[Coverage],Data_Shelter_t[Pcode],Camp_List[[#This Row],[P_Code]]))</f>
        <v>0</v>
      </c>
      <c r="BL83" s="19"/>
      <c r="BM83" s="19"/>
      <c r="BP83" s="69"/>
      <c r="BQ83" s="69"/>
    </row>
    <row r="84" spans="1:69" ht="15" hidden="1" customHeight="1" x14ac:dyDescent="0.25">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879"/>
      <c r="R84" s="882"/>
      <c r="S84" s="892">
        <v>0</v>
      </c>
      <c r="T84" s="358" t="s">
        <v>343</v>
      </c>
      <c r="U84" s="358" t="s">
        <v>756</v>
      </c>
      <c r="V84" s="641" t="s">
        <v>23</v>
      </c>
      <c r="W84" s="642"/>
      <c r="X84" s="358"/>
      <c r="Y84" s="358"/>
      <c r="Z84" s="358"/>
      <c r="AA84" s="643" t="str">
        <f>CONCATENATE(Camp_List[[#This Row],[Ethnicity]],"-",Camp_List[[#This Row],[Religion]])</f>
        <v>-</v>
      </c>
      <c r="AB84" s="643"/>
      <c r="AC84" s="358"/>
      <c r="AD84" s="645" t="s">
        <v>774</v>
      </c>
      <c r="AE84" s="358" t="s">
        <v>504</v>
      </c>
      <c r="AF84" s="358" t="s">
        <v>520</v>
      </c>
      <c r="AG84" s="290">
        <v>41520</v>
      </c>
      <c r="AH84" s="647" t="s">
        <v>1052</v>
      </c>
      <c r="AI84" s="643">
        <f>IFERROR(VLOOKUP(Camp_List[[#This Row],[Responsible Agency]],Organization_t[],3,0),"")</f>
        <v>0</v>
      </c>
      <c r="AJ84" s="650">
        <f>IF((SUMIFS(Data_Shelter_t[Coverage],Data_Shelter_t[Pcode],Camp_List[[#This Row],[P_Code]]))&gt;1,1,SUMIFS(Data_Shelter_t[Coverage],Data_Shelter_t[Pcode],Camp_List[[#This Row],[P_Code]]))</f>
        <v>0</v>
      </c>
      <c r="BL84" s="19"/>
      <c r="BM84" s="19"/>
      <c r="BP84" s="69"/>
      <c r="BQ84" s="69"/>
    </row>
    <row r="85" spans="1:69" ht="15" hidden="1" customHeight="1" x14ac:dyDescent="0.25">
      <c r="A85" s="358" t="s">
        <v>349</v>
      </c>
      <c r="B85" s="358" t="s">
        <v>7</v>
      </c>
      <c r="C85" s="358" t="s">
        <v>351</v>
      </c>
      <c r="D85" s="358" t="s">
        <v>19</v>
      </c>
      <c r="E85" s="358" t="s">
        <v>604</v>
      </c>
      <c r="F85" s="358" t="s">
        <v>1003</v>
      </c>
      <c r="G85" s="358" t="s">
        <v>365</v>
      </c>
      <c r="H85" s="358" t="s">
        <v>512</v>
      </c>
      <c r="I85" s="358" t="s">
        <v>511</v>
      </c>
      <c r="J85" s="358"/>
      <c r="K85" s="358"/>
      <c r="L85" s="358" t="s">
        <v>35</v>
      </c>
      <c r="M85" s="358" t="s">
        <v>121</v>
      </c>
      <c r="N85" s="75">
        <v>93.187995999999998</v>
      </c>
      <c r="O85" s="75">
        <v>20.589569000000001</v>
      </c>
      <c r="P85" s="358" t="s">
        <v>908</v>
      </c>
      <c r="Q85" s="880"/>
      <c r="R85" s="883"/>
      <c r="S85" s="892">
        <v>0</v>
      </c>
      <c r="T85" s="358" t="s">
        <v>343</v>
      </c>
      <c r="U85" s="358" t="s">
        <v>756</v>
      </c>
      <c r="V85" s="641" t="s">
        <v>21</v>
      </c>
      <c r="W85" s="642"/>
      <c r="X85" s="358"/>
      <c r="Y85" s="358"/>
      <c r="Z85" s="358"/>
      <c r="AA85" s="643" t="str">
        <f>CONCATENATE(Camp_List[[#This Row],[Ethnicity]],"-",Camp_List[[#This Row],[Religion]])</f>
        <v>-</v>
      </c>
      <c r="AB85" s="643"/>
      <c r="AC85" s="358"/>
      <c r="AD85" s="645" t="s">
        <v>774</v>
      </c>
      <c r="AE85" s="358" t="s">
        <v>504</v>
      </c>
      <c r="AF85" s="358" t="s">
        <v>520</v>
      </c>
      <c r="AG85" s="290">
        <v>41548</v>
      </c>
      <c r="AH85" s="647" t="s">
        <v>513</v>
      </c>
      <c r="AI85" s="643">
        <f>IFERROR(VLOOKUP(Camp_List[[#This Row],[Responsible Agency]],Organization_t[],3,0),"")</f>
        <v>0</v>
      </c>
      <c r="AJ85" s="650">
        <f>IF((SUMIFS(Data_Shelter_t[Coverage],Data_Shelter_t[Pcode],Camp_List[[#This Row],[P_Code]]))&gt;1,1,SUMIFS(Data_Shelter_t[Coverage],Data_Shelter_t[Pcode],Camp_List[[#This Row],[P_Code]]))</f>
        <v>0</v>
      </c>
      <c r="BL85" s="19"/>
      <c r="BM85" s="19"/>
      <c r="BP85" s="69"/>
      <c r="BQ85" s="69"/>
    </row>
    <row r="86" spans="1:69" ht="15" hidden="1" customHeight="1" x14ac:dyDescent="0.25">
      <c r="A86" s="358" t="s">
        <v>349</v>
      </c>
      <c r="B86" s="358" t="s">
        <v>7</v>
      </c>
      <c r="C86" s="358" t="s">
        <v>351</v>
      </c>
      <c r="D86" s="358" t="s">
        <v>19</v>
      </c>
      <c r="E86" s="358" t="s">
        <v>604</v>
      </c>
      <c r="F86" s="358" t="s">
        <v>14</v>
      </c>
      <c r="G86" s="358" t="s">
        <v>372</v>
      </c>
      <c r="H86" s="358" t="s">
        <v>43</v>
      </c>
      <c r="I86" s="358" t="s">
        <v>376</v>
      </c>
      <c r="J86" s="358" t="s">
        <v>489</v>
      </c>
      <c r="K86" s="358">
        <v>197548</v>
      </c>
      <c r="L86" s="358" t="s">
        <v>542</v>
      </c>
      <c r="M86" s="358" t="s">
        <v>278</v>
      </c>
      <c r="N86" s="75">
        <v>92.993758999999997</v>
      </c>
      <c r="O86" s="75">
        <v>20.064226000000001</v>
      </c>
      <c r="P86" s="358"/>
      <c r="Q86" s="879"/>
      <c r="R86" s="882"/>
      <c r="S86" s="892">
        <v>0</v>
      </c>
      <c r="T86" s="358" t="s">
        <v>343</v>
      </c>
      <c r="U86" s="358" t="s">
        <v>756</v>
      </c>
      <c r="V86" s="641" t="s">
        <v>23</v>
      </c>
      <c r="W86" s="642"/>
      <c r="X86" s="358"/>
      <c r="Y86" s="358"/>
      <c r="Z86" s="358"/>
      <c r="AA86" s="643" t="str">
        <f>CONCATENATE(Camp_List[[#This Row],[Ethnicity]],"-",Camp_List[[#This Row],[Religion]])</f>
        <v>-</v>
      </c>
      <c r="AB86" s="643"/>
      <c r="AC86" s="358"/>
      <c r="AD86" s="645" t="s">
        <v>774</v>
      </c>
      <c r="AE86" s="358" t="s">
        <v>504</v>
      </c>
      <c r="AF86" s="358" t="s">
        <v>520</v>
      </c>
      <c r="AG86" s="290">
        <v>42447</v>
      </c>
      <c r="AH86" s="647" t="s">
        <v>1053</v>
      </c>
      <c r="AI86" s="643">
        <f>IFERROR(VLOOKUP(Camp_List[[#This Row],[Responsible Agency]],Organization_t[],3,0),"")</f>
        <v>0</v>
      </c>
      <c r="AJ86" s="650">
        <f>IF((SUMIFS(Data_Shelter_t[Coverage],Data_Shelter_t[Pcode],Camp_List[[#This Row],[P_Code]]))&gt;1,1,SUMIFS(Data_Shelter_t[Coverage],Data_Shelter_t[Pcode],Camp_List[[#This Row],[P_Code]]))</f>
        <v>0</v>
      </c>
      <c r="BL86" s="19"/>
      <c r="BM86" s="19"/>
      <c r="BP86" s="69"/>
      <c r="BQ86" s="69"/>
    </row>
    <row r="87" spans="1:69" ht="15" hidden="1" customHeight="1" x14ac:dyDescent="0.25">
      <c r="A87" s="358" t="s">
        <v>349</v>
      </c>
      <c r="B87" s="358" t="s">
        <v>7</v>
      </c>
      <c r="C87" s="358" t="s">
        <v>351</v>
      </c>
      <c r="D87" s="358" t="s">
        <v>19</v>
      </c>
      <c r="E87" s="358" t="s">
        <v>604</v>
      </c>
      <c r="F87" s="358" t="s">
        <v>19</v>
      </c>
      <c r="G87" s="358" t="s">
        <v>413</v>
      </c>
      <c r="H87" s="358" t="s">
        <v>424</v>
      </c>
      <c r="I87" s="358" t="s">
        <v>560</v>
      </c>
      <c r="J87" s="358"/>
      <c r="K87" s="358" t="s">
        <v>425</v>
      </c>
      <c r="L87" s="358" t="s">
        <v>90</v>
      </c>
      <c r="M87" s="358" t="s">
        <v>178</v>
      </c>
      <c r="N87" s="75">
        <v>92.895899999999997</v>
      </c>
      <c r="O87" s="75">
        <v>20.1538</v>
      </c>
      <c r="P87" s="358"/>
      <c r="Q87" s="880"/>
      <c r="R87" s="883"/>
      <c r="S87" s="892">
        <v>0</v>
      </c>
      <c r="T87" s="358" t="s">
        <v>343</v>
      </c>
      <c r="U87" s="358" t="s">
        <v>756</v>
      </c>
      <c r="V87" s="641" t="s">
        <v>21</v>
      </c>
      <c r="W87" s="642"/>
      <c r="X87" s="358"/>
      <c r="Y87" s="358"/>
      <c r="Z87" s="358"/>
      <c r="AA87" s="643" t="str">
        <f>CONCATENATE(Camp_List[[#This Row],[Ethnicity]],"-",Camp_List[[#This Row],[Religion]])</f>
        <v>-</v>
      </c>
      <c r="AB87" s="643"/>
      <c r="AC87" s="358"/>
      <c r="AD87" s="645" t="s">
        <v>774</v>
      </c>
      <c r="AE87" s="358" t="s">
        <v>504</v>
      </c>
      <c r="AF87" s="358" t="s">
        <v>520</v>
      </c>
      <c r="AG87" s="290">
        <v>41520</v>
      </c>
      <c r="AH87" s="647"/>
      <c r="AI87" s="643">
        <f>IFERROR(VLOOKUP(Camp_List[[#This Row],[Responsible Agency]],Organization_t[],3,0),"")</f>
        <v>0</v>
      </c>
      <c r="AJ87" s="650">
        <f>IF((SUMIFS(Data_Shelter_t[Coverage],Data_Shelter_t[Pcode],Camp_List[[#This Row],[P_Code]]))&gt;1,1,SUMIFS(Data_Shelter_t[Coverage],Data_Shelter_t[Pcode],Camp_List[[#This Row],[P_Code]]))</f>
        <v>0</v>
      </c>
      <c r="BL87" s="19"/>
      <c r="BM87" s="19"/>
      <c r="BP87" s="69"/>
      <c r="BQ87" s="69"/>
    </row>
    <row r="88" spans="1:69" ht="15" hidden="1" customHeight="1" x14ac:dyDescent="0.25">
      <c r="A88" s="358" t="s">
        <v>349</v>
      </c>
      <c r="B88" s="358" t="s">
        <v>7</v>
      </c>
      <c r="C88" s="358" t="s">
        <v>351</v>
      </c>
      <c r="D88" s="358" t="s">
        <v>19</v>
      </c>
      <c r="E88" s="358" t="s">
        <v>604</v>
      </c>
      <c r="F88" s="358" t="s">
        <v>19</v>
      </c>
      <c r="G88" s="358" t="s">
        <v>413</v>
      </c>
      <c r="H88" s="358" t="s">
        <v>432</v>
      </c>
      <c r="I88" s="358" t="s">
        <v>560</v>
      </c>
      <c r="J88" s="358"/>
      <c r="K88" s="358" t="s">
        <v>433</v>
      </c>
      <c r="L88" s="358" t="s">
        <v>80</v>
      </c>
      <c r="M88" s="358" t="s">
        <v>168</v>
      </c>
      <c r="N88" s="75">
        <v>92.894568000000007</v>
      </c>
      <c r="O88" s="75">
        <v>20.145585000000001</v>
      </c>
      <c r="P88" s="358"/>
      <c r="Q88" s="880"/>
      <c r="R88" s="883"/>
      <c r="S88" s="892">
        <v>0</v>
      </c>
      <c r="T88" s="358" t="s">
        <v>343</v>
      </c>
      <c r="U88" s="358" t="s">
        <v>756</v>
      </c>
      <c r="V88" s="641" t="s">
        <v>21</v>
      </c>
      <c r="W88" s="642"/>
      <c r="X88" s="358"/>
      <c r="Y88" s="358"/>
      <c r="Z88" s="358"/>
      <c r="AA88" s="643" t="str">
        <f>CONCATENATE(Camp_List[[#This Row],[Ethnicity]],"-",Camp_List[[#This Row],[Religion]])</f>
        <v>-</v>
      </c>
      <c r="AB88" s="643"/>
      <c r="AC88" s="358"/>
      <c r="AD88" s="645" t="s">
        <v>774</v>
      </c>
      <c r="AE88" s="358" t="s">
        <v>504</v>
      </c>
      <c r="AF88" s="358" t="s">
        <v>520</v>
      </c>
      <c r="AG88" s="290">
        <v>41520</v>
      </c>
      <c r="AH88" s="647"/>
      <c r="AI88" s="643">
        <f>IFERROR(VLOOKUP(Camp_List[[#This Row],[Responsible Agency]],Organization_t[],3,0),"")</f>
        <v>0</v>
      </c>
      <c r="AJ88" s="650">
        <f>IF((SUMIFS(Data_Shelter_t[Coverage],Data_Shelter_t[Pcode],Camp_List[[#This Row],[P_Code]]))&gt;1,1,SUMIFS(Data_Shelter_t[Coverage],Data_Shelter_t[Pcode],Camp_List[[#This Row],[P_Code]]))</f>
        <v>0</v>
      </c>
      <c r="BL88" s="19"/>
      <c r="BM88" s="19"/>
      <c r="BP88" s="69"/>
      <c r="BQ88" s="69"/>
    </row>
    <row r="89" spans="1:69" ht="15" hidden="1" customHeight="1" x14ac:dyDescent="0.25">
      <c r="A89" s="358" t="s">
        <v>349</v>
      </c>
      <c r="B89" s="358" t="s">
        <v>7</v>
      </c>
      <c r="C89" s="358" t="s">
        <v>351</v>
      </c>
      <c r="D89" s="358" t="s">
        <v>19</v>
      </c>
      <c r="E89" s="358" t="s">
        <v>604</v>
      </c>
      <c r="F89" s="358" t="s">
        <v>19</v>
      </c>
      <c r="G89" s="358" t="s">
        <v>413</v>
      </c>
      <c r="H89" s="358" t="s">
        <v>434</v>
      </c>
      <c r="I89" s="358" t="s">
        <v>560</v>
      </c>
      <c r="J89" s="358"/>
      <c r="K89" s="358" t="s">
        <v>440</v>
      </c>
      <c r="L89" s="358" t="s">
        <v>81</v>
      </c>
      <c r="M89" s="358" t="s">
        <v>169</v>
      </c>
      <c r="N89" s="75">
        <v>92.898398</v>
      </c>
      <c r="O89" s="75">
        <v>20.152559</v>
      </c>
      <c r="P89" s="358"/>
      <c r="Q89" s="880"/>
      <c r="R89" s="883"/>
      <c r="S89" s="892">
        <v>0</v>
      </c>
      <c r="T89" s="358" t="s">
        <v>343</v>
      </c>
      <c r="U89" s="358" t="s">
        <v>756</v>
      </c>
      <c r="V89" s="641" t="s">
        <v>21</v>
      </c>
      <c r="W89" s="642"/>
      <c r="X89" s="358"/>
      <c r="Y89" s="358"/>
      <c r="Z89" s="358"/>
      <c r="AA89" s="643" t="str">
        <f>CONCATENATE(Camp_List[[#This Row],[Ethnicity]],"-",Camp_List[[#This Row],[Religion]])</f>
        <v>-</v>
      </c>
      <c r="AB89" s="643"/>
      <c r="AC89" s="358"/>
      <c r="AD89" s="645" t="s">
        <v>774</v>
      </c>
      <c r="AE89" s="358" t="s">
        <v>504</v>
      </c>
      <c r="AF89" s="358" t="s">
        <v>520</v>
      </c>
      <c r="AG89" s="290">
        <v>41520</v>
      </c>
      <c r="AH89" s="647"/>
      <c r="AI89" s="643">
        <f>IFERROR(VLOOKUP(Camp_List[[#This Row],[Responsible Agency]],Organization_t[],3,0),"")</f>
        <v>0</v>
      </c>
      <c r="AJ89" s="650">
        <f>IF((SUMIFS(Data_Shelter_t[Coverage],Data_Shelter_t[Pcode],Camp_List[[#This Row],[P_Code]]))&gt;1,1,SUMIFS(Data_Shelter_t[Coverage],Data_Shelter_t[Pcode],Camp_List[[#This Row],[P_Code]]))</f>
        <v>0</v>
      </c>
      <c r="BL89" s="19"/>
      <c r="BM89" s="19"/>
      <c r="BP89" s="69"/>
      <c r="BQ89" s="69"/>
    </row>
    <row r="90" spans="1:69" ht="15" hidden="1" customHeight="1" x14ac:dyDescent="0.25">
      <c r="A90" s="358" t="s">
        <v>349</v>
      </c>
      <c r="B90" s="358" t="s">
        <v>7</v>
      </c>
      <c r="C90" s="358" t="s">
        <v>351</v>
      </c>
      <c r="D90" s="358" t="s">
        <v>19</v>
      </c>
      <c r="E90" s="358" t="s">
        <v>604</v>
      </c>
      <c r="F90" s="358" t="s">
        <v>19</v>
      </c>
      <c r="G90" s="358" t="s">
        <v>413</v>
      </c>
      <c r="H90" s="358" t="s">
        <v>432</v>
      </c>
      <c r="I90" s="358" t="s">
        <v>560</v>
      </c>
      <c r="J90" s="358"/>
      <c r="K90" s="358" t="s">
        <v>433</v>
      </c>
      <c r="L90" s="358" t="s">
        <v>94</v>
      </c>
      <c r="M90" s="358" t="s">
        <v>182</v>
      </c>
      <c r="N90" s="75">
        <v>92.895600000000002</v>
      </c>
      <c r="O90" s="75">
        <v>20.146916999999998</v>
      </c>
      <c r="P90" s="358"/>
      <c r="Q90" s="880"/>
      <c r="R90" s="883"/>
      <c r="S90" s="892">
        <v>0</v>
      </c>
      <c r="T90" s="358" t="s">
        <v>343</v>
      </c>
      <c r="U90" s="358" t="s">
        <v>756</v>
      </c>
      <c r="V90" s="641" t="s">
        <v>21</v>
      </c>
      <c r="W90" s="642"/>
      <c r="X90" s="358"/>
      <c r="Y90" s="358"/>
      <c r="Z90" s="358"/>
      <c r="AA90" s="643" t="str">
        <f>CONCATENATE(Camp_List[[#This Row],[Ethnicity]],"-",Camp_List[[#This Row],[Religion]])</f>
        <v>-</v>
      </c>
      <c r="AB90" s="643"/>
      <c r="AC90" s="358"/>
      <c r="AD90" s="645" t="s">
        <v>774</v>
      </c>
      <c r="AE90" s="358" t="s">
        <v>504</v>
      </c>
      <c r="AF90" s="358" t="s">
        <v>520</v>
      </c>
      <c r="AG90" s="290">
        <v>41520</v>
      </c>
      <c r="AH90" s="647"/>
      <c r="AI90" s="643">
        <f>IFERROR(VLOOKUP(Camp_List[[#This Row],[Responsible Agency]],Organization_t[],3,0),"")</f>
        <v>0</v>
      </c>
      <c r="AJ90" s="650">
        <f>IF((SUMIFS(Data_Shelter_t[Coverage],Data_Shelter_t[Pcode],Camp_List[[#This Row],[P_Code]]))&gt;1,1,SUMIFS(Data_Shelter_t[Coverage],Data_Shelter_t[Pcode],Camp_List[[#This Row],[P_Code]]))</f>
        <v>0</v>
      </c>
      <c r="BL90" s="19"/>
      <c r="BM90" s="19"/>
      <c r="BP90" s="69"/>
      <c r="BQ90" s="69"/>
    </row>
    <row r="91" spans="1:69" ht="15" hidden="1" customHeight="1" x14ac:dyDescent="0.25">
      <c r="A91" s="358" t="s">
        <v>349</v>
      </c>
      <c r="B91" s="358" t="s">
        <v>7</v>
      </c>
      <c r="C91" s="358" t="s">
        <v>351</v>
      </c>
      <c r="D91" s="358" t="s">
        <v>19</v>
      </c>
      <c r="E91" s="358" t="s">
        <v>604</v>
      </c>
      <c r="F91" s="358" t="s">
        <v>19</v>
      </c>
      <c r="G91" s="358" t="s">
        <v>413</v>
      </c>
      <c r="H91" s="358" t="s">
        <v>424</v>
      </c>
      <c r="I91" s="358" t="s">
        <v>560</v>
      </c>
      <c r="J91" s="358"/>
      <c r="K91" s="358" t="s">
        <v>425</v>
      </c>
      <c r="L91" s="358" t="s">
        <v>82</v>
      </c>
      <c r="M91" s="358" t="s">
        <v>170</v>
      </c>
      <c r="N91" s="75">
        <v>92.896409000000006</v>
      </c>
      <c r="O91" s="75">
        <v>20.153753999999999</v>
      </c>
      <c r="P91" s="358"/>
      <c r="Q91" s="880"/>
      <c r="R91" s="883"/>
      <c r="S91" s="892">
        <v>0</v>
      </c>
      <c r="T91" s="358" t="s">
        <v>343</v>
      </c>
      <c r="U91" s="358" t="s">
        <v>756</v>
      </c>
      <c r="V91" s="641" t="s">
        <v>21</v>
      </c>
      <c r="W91" s="642"/>
      <c r="X91" s="358"/>
      <c r="Y91" s="358"/>
      <c r="Z91" s="358"/>
      <c r="AA91" s="643" t="str">
        <f>CONCATENATE(Camp_List[[#This Row],[Ethnicity]],"-",Camp_List[[#This Row],[Religion]])</f>
        <v>-</v>
      </c>
      <c r="AB91" s="643"/>
      <c r="AC91" s="358"/>
      <c r="AD91" s="645" t="s">
        <v>774</v>
      </c>
      <c r="AE91" s="358" t="s">
        <v>504</v>
      </c>
      <c r="AF91" s="358" t="s">
        <v>520</v>
      </c>
      <c r="AG91" s="290">
        <v>41520</v>
      </c>
      <c r="AH91" s="647"/>
      <c r="AI91" s="643">
        <f>IFERROR(VLOOKUP(Camp_List[[#This Row],[Responsible Agency]],Organization_t[],3,0),"")</f>
        <v>0</v>
      </c>
      <c r="AJ91" s="650">
        <f>IF((SUMIFS(Data_Shelter_t[Coverage],Data_Shelter_t[Pcode],Camp_List[[#This Row],[P_Code]]))&gt;1,1,SUMIFS(Data_Shelter_t[Coverage],Data_Shelter_t[Pcode],Camp_List[[#This Row],[P_Code]]))</f>
        <v>0</v>
      </c>
      <c r="BL91" s="19"/>
      <c r="BM91" s="19"/>
      <c r="BP91" s="69"/>
      <c r="BQ91" s="69"/>
    </row>
    <row r="92" spans="1:69" ht="15" hidden="1" customHeight="1" x14ac:dyDescent="0.25">
      <c r="A92" s="358" t="s">
        <v>349</v>
      </c>
      <c r="B92" s="358" t="s">
        <v>7</v>
      </c>
      <c r="C92" s="358" t="s">
        <v>351</v>
      </c>
      <c r="D92" s="358" t="s">
        <v>19</v>
      </c>
      <c r="E92" s="358" t="s">
        <v>604</v>
      </c>
      <c r="F92" s="358" t="s">
        <v>19</v>
      </c>
      <c r="G92" s="358" t="s">
        <v>413</v>
      </c>
      <c r="H92" s="358" t="s">
        <v>439</v>
      </c>
      <c r="I92" s="358" t="s">
        <v>560</v>
      </c>
      <c r="J92" s="358"/>
      <c r="K92" s="358" t="s">
        <v>444</v>
      </c>
      <c r="L92" s="358" t="s">
        <v>92</v>
      </c>
      <c r="M92" s="358" t="s">
        <v>180</v>
      </c>
      <c r="N92" s="75">
        <v>92.894450000000006</v>
      </c>
      <c r="O92" s="75">
        <v>20.147099999999998</v>
      </c>
      <c r="P92" s="358"/>
      <c r="Q92" s="880"/>
      <c r="R92" s="883"/>
      <c r="S92" s="892">
        <v>0</v>
      </c>
      <c r="T92" s="358" t="s">
        <v>343</v>
      </c>
      <c r="U92" s="358" t="s">
        <v>756</v>
      </c>
      <c r="V92" s="641" t="s">
        <v>21</v>
      </c>
      <c r="W92" s="642"/>
      <c r="X92" s="358"/>
      <c r="Y92" s="358"/>
      <c r="Z92" s="358"/>
      <c r="AA92" s="643" t="str">
        <f>CONCATENATE(Camp_List[[#This Row],[Ethnicity]],"-",Camp_List[[#This Row],[Religion]])</f>
        <v>-</v>
      </c>
      <c r="AB92" s="643"/>
      <c r="AC92" s="358"/>
      <c r="AD92" s="645" t="s">
        <v>774</v>
      </c>
      <c r="AE92" s="358" t="s">
        <v>504</v>
      </c>
      <c r="AF92" s="358" t="s">
        <v>520</v>
      </c>
      <c r="AG92" s="290">
        <v>41520</v>
      </c>
      <c r="AH92" s="647"/>
      <c r="AI92" s="643">
        <f>IFERROR(VLOOKUP(Camp_List[[#This Row],[Responsible Agency]],Organization_t[],3,0),"")</f>
        <v>0</v>
      </c>
      <c r="AJ92" s="650">
        <f>IF((SUMIFS(Data_Shelter_t[Coverage],Data_Shelter_t[Pcode],Camp_List[[#This Row],[P_Code]]))&gt;1,1,SUMIFS(Data_Shelter_t[Coverage],Data_Shelter_t[Pcode],Camp_List[[#This Row],[P_Code]]))</f>
        <v>0</v>
      </c>
      <c r="BL92" s="19"/>
      <c r="BM92" s="19"/>
      <c r="BP92" s="69"/>
      <c r="BQ92" s="69"/>
    </row>
    <row r="93" spans="1:69" ht="15" hidden="1" customHeight="1" x14ac:dyDescent="0.25">
      <c r="A93" s="358" t="s">
        <v>349</v>
      </c>
      <c r="B93" s="358" t="s">
        <v>7</v>
      </c>
      <c r="C93" s="358" t="s">
        <v>351</v>
      </c>
      <c r="D93" s="358" t="s">
        <v>19</v>
      </c>
      <c r="E93" s="358" t="s">
        <v>604</v>
      </c>
      <c r="F93" s="358" t="s">
        <v>19</v>
      </c>
      <c r="G93" s="358" t="s">
        <v>413</v>
      </c>
      <c r="H93" s="358" t="s">
        <v>435</v>
      </c>
      <c r="I93" s="358" t="s">
        <v>560</v>
      </c>
      <c r="J93" s="358"/>
      <c r="K93" s="358" t="s">
        <v>441</v>
      </c>
      <c r="L93" s="358" t="s">
        <v>83</v>
      </c>
      <c r="M93" s="358" t="s">
        <v>171</v>
      </c>
      <c r="N93" s="75">
        <v>92.896006</v>
      </c>
      <c r="O93" s="75">
        <v>20.154330999999999</v>
      </c>
      <c r="P93" s="358"/>
      <c r="Q93" s="880"/>
      <c r="R93" s="883"/>
      <c r="S93" s="892">
        <v>0</v>
      </c>
      <c r="T93" s="358" t="s">
        <v>343</v>
      </c>
      <c r="U93" s="358" t="s">
        <v>756</v>
      </c>
      <c r="V93" s="641" t="s">
        <v>21</v>
      </c>
      <c r="W93" s="642"/>
      <c r="X93" s="358"/>
      <c r="Y93" s="358"/>
      <c r="Z93" s="358"/>
      <c r="AA93" s="643" t="str">
        <f>CONCATENATE(Camp_List[[#This Row],[Ethnicity]],"-",Camp_List[[#This Row],[Religion]])</f>
        <v>-</v>
      </c>
      <c r="AB93" s="643"/>
      <c r="AC93" s="358"/>
      <c r="AD93" s="645" t="s">
        <v>774</v>
      </c>
      <c r="AE93" s="358" t="s">
        <v>504</v>
      </c>
      <c r="AF93" s="358" t="s">
        <v>520</v>
      </c>
      <c r="AG93" s="290">
        <v>41520</v>
      </c>
      <c r="AH93" s="647"/>
      <c r="AI93" s="643">
        <f>IFERROR(VLOOKUP(Camp_List[[#This Row],[Responsible Agency]],Organization_t[],3,0),"")</f>
        <v>0</v>
      </c>
      <c r="AJ93" s="650">
        <f>IF((SUMIFS(Data_Shelter_t[Coverage],Data_Shelter_t[Pcode],Camp_List[[#This Row],[P_Code]]))&gt;1,1,SUMIFS(Data_Shelter_t[Coverage],Data_Shelter_t[Pcode],Camp_List[[#This Row],[P_Code]]))</f>
        <v>0</v>
      </c>
      <c r="BL93" s="19"/>
      <c r="BM93" s="19"/>
      <c r="BP93" s="69"/>
      <c r="BQ93" s="69"/>
    </row>
    <row r="94" spans="1:69" ht="15" hidden="1" customHeight="1" x14ac:dyDescent="0.25">
      <c r="A94" s="358" t="s">
        <v>349</v>
      </c>
      <c r="B94" s="358" t="s">
        <v>7</v>
      </c>
      <c r="C94" s="358" t="s">
        <v>351</v>
      </c>
      <c r="D94" s="358" t="s">
        <v>19</v>
      </c>
      <c r="E94" s="358" t="s">
        <v>604</v>
      </c>
      <c r="F94" s="358" t="s">
        <v>19</v>
      </c>
      <c r="G94" s="358" t="s">
        <v>413</v>
      </c>
      <c r="H94" s="358"/>
      <c r="I94" s="358"/>
      <c r="J94" s="358"/>
      <c r="K94" s="358"/>
      <c r="L94" s="358" t="s">
        <v>93</v>
      </c>
      <c r="M94" s="358" t="s">
        <v>181</v>
      </c>
      <c r="N94" s="75">
        <v>92.893904000000006</v>
      </c>
      <c r="O94" s="75">
        <v>20.146673</v>
      </c>
      <c r="P94" s="358"/>
      <c r="Q94" s="880"/>
      <c r="R94" s="883"/>
      <c r="S94" s="892">
        <v>0</v>
      </c>
      <c r="T94" s="358" t="s">
        <v>343</v>
      </c>
      <c r="U94" s="358" t="s">
        <v>756</v>
      </c>
      <c r="V94" s="641" t="s">
        <v>21</v>
      </c>
      <c r="W94" s="642"/>
      <c r="X94" s="358"/>
      <c r="Y94" s="358"/>
      <c r="Z94" s="358"/>
      <c r="AA94" s="643" t="str">
        <f>CONCATENATE(Camp_List[[#This Row],[Ethnicity]],"-",Camp_List[[#This Row],[Religion]])</f>
        <v>-</v>
      </c>
      <c r="AB94" s="643"/>
      <c r="AC94" s="358"/>
      <c r="AD94" s="645" t="s">
        <v>774</v>
      </c>
      <c r="AE94" s="358" t="s">
        <v>504</v>
      </c>
      <c r="AF94" s="358" t="s">
        <v>520</v>
      </c>
      <c r="AG94" s="290">
        <v>41520</v>
      </c>
      <c r="AH94" s="647"/>
      <c r="AI94" s="643">
        <f>IFERROR(VLOOKUP(Camp_List[[#This Row],[Responsible Agency]],Organization_t[],3,0),"")</f>
        <v>0</v>
      </c>
      <c r="AJ94" s="650">
        <f>IF((SUMIFS(Data_Shelter_t[Coverage],Data_Shelter_t[Pcode],Camp_List[[#This Row],[P_Code]]))&gt;1,1,SUMIFS(Data_Shelter_t[Coverage],Data_Shelter_t[Pcode],Camp_List[[#This Row],[P_Code]]))</f>
        <v>0</v>
      </c>
      <c r="BL94" s="19"/>
      <c r="BM94" s="19"/>
      <c r="BP94" s="69"/>
      <c r="BQ94" s="69"/>
    </row>
    <row r="95" spans="1:69" ht="15" hidden="1" customHeight="1" x14ac:dyDescent="0.25">
      <c r="A95" s="358" t="s">
        <v>349</v>
      </c>
      <c r="B95" s="358" t="s">
        <v>7</v>
      </c>
      <c r="C95" s="358" t="s">
        <v>351</v>
      </c>
      <c r="D95" s="358" t="s">
        <v>19</v>
      </c>
      <c r="E95" s="358" t="s">
        <v>604</v>
      </c>
      <c r="F95" s="358" t="s">
        <v>19</v>
      </c>
      <c r="G95" s="358" t="s">
        <v>413</v>
      </c>
      <c r="H95" s="358" t="s">
        <v>436</v>
      </c>
      <c r="I95" s="358" t="s">
        <v>560</v>
      </c>
      <c r="J95" s="358"/>
      <c r="K95" s="358" t="s">
        <v>440</v>
      </c>
      <c r="L95" s="358" t="s">
        <v>84</v>
      </c>
      <c r="M95" s="358" t="s">
        <v>172</v>
      </c>
      <c r="N95" s="75">
        <v>92.897783000000004</v>
      </c>
      <c r="O95" s="75">
        <v>20.151050000000001</v>
      </c>
      <c r="P95" s="358"/>
      <c r="Q95" s="880"/>
      <c r="R95" s="883"/>
      <c r="S95" s="892">
        <v>0</v>
      </c>
      <c r="T95" s="358" t="s">
        <v>343</v>
      </c>
      <c r="U95" s="358" t="s">
        <v>756</v>
      </c>
      <c r="V95" s="641" t="s">
        <v>21</v>
      </c>
      <c r="W95" s="642"/>
      <c r="X95" s="358"/>
      <c r="Y95" s="358"/>
      <c r="Z95" s="358"/>
      <c r="AA95" s="643" t="str">
        <f>CONCATENATE(Camp_List[[#This Row],[Ethnicity]],"-",Camp_List[[#This Row],[Religion]])</f>
        <v>-</v>
      </c>
      <c r="AB95" s="643"/>
      <c r="AC95" s="358"/>
      <c r="AD95" s="645" t="s">
        <v>774</v>
      </c>
      <c r="AE95" s="358" t="s">
        <v>504</v>
      </c>
      <c r="AF95" s="358" t="s">
        <v>520</v>
      </c>
      <c r="AG95" s="290">
        <v>41520</v>
      </c>
      <c r="AH95" s="647"/>
      <c r="AI95" s="643">
        <f>IFERROR(VLOOKUP(Camp_List[[#This Row],[Responsible Agency]],Organization_t[],3,0),"")</f>
        <v>0</v>
      </c>
      <c r="AJ95" s="650">
        <f>IF((SUMIFS(Data_Shelter_t[Coverage],Data_Shelter_t[Pcode],Camp_List[[#This Row],[P_Code]]))&gt;1,1,SUMIFS(Data_Shelter_t[Coverage],Data_Shelter_t[Pcode],Camp_List[[#This Row],[P_Code]]))</f>
        <v>0</v>
      </c>
      <c r="BL95" s="19"/>
      <c r="BM95" s="19"/>
      <c r="BP95" s="69"/>
      <c r="BQ95" s="69"/>
    </row>
    <row r="96" spans="1:69" ht="15" hidden="1" customHeight="1" x14ac:dyDescent="0.25">
      <c r="A96" s="358" t="s">
        <v>349</v>
      </c>
      <c r="B96" s="358" t="s">
        <v>7</v>
      </c>
      <c r="C96" s="358" t="s">
        <v>351</v>
      </c>
      <c r="D96" s="358" t="s">
        <v>19</v>
      </c>
      <c r="E96" s="358" t="s">
        <v>604</v>
      </c>
      <c r="F96" s="358" t="s">
        <v>19</v>
      </c>
      <c r="G96" s="358" t="s">
        <v>413</v>
      </c>
      <c r="H96" s="358" t="s">
        <v>437</v>
      </c>
      <c r="I96" s="358" t="s">
        <v>560</v>
      </c>
      <c r="J96" s="358"/>
      <c r="K96" s="358" t="s">
        <v>442</v>
      </c>
      <c r="L96" s="358" t="s">
        <v>85</v>
      </c>
      <c r="M96" s="358" t="s">
        <v>173</v>
      </c>
      <c r="N96" s="75">
        <v>92.896944000000005</v>
      </c>
      <c r="O96" s="75">
        <v>20.150891999999999</v>
      </c>
      <c r="P96" s="358"/>
      <c r="Q96" s="880"/>
      <c r="R96" s="883"/>
      <c r="S96" s="892">
        <v>0</v>
      </c>
      <c r="T96" s="358" t="s">
        <v>343</v>
      </c>
      <c r="U96" s="358" t="s">
        <v>756</v>
      </c>
      <c r="V96" s="641" t="s">
        <v>21</v>
      </c>
      <c r="W96" s="642"/>
      <c r="X96" s="358"/>
      <c r="Y96" s="358"/>
      <c r="Z96" s="358"/>
      <c r="AA96" s="643" t="str">
        <f>CONCATENATE(Camp_List[[#This Row],[Ethnicity]],"-",Camp_List[[#This Row],[Religion]])</f>
        <v>-</v>
      </c>
      <c r="AB96" s="643"/>
      <c r="AC96" s="358"/>
      <c r="AD96" s="645" t="s">
        <v>774</v>
      </c>
      <c r="AE96" s="358" t="s">
        <v>504</v>
      </c>
      <c r="AF96" s="358" t="s">
        <v>520</v>
      </c>
      <c r="AG96" s="290">
        <v>41520</v>
      </c>
      <c r="AH96" s="647"/>
      <c r="AI96" s="643">
        <f>IFERROR(VLOOKUP(Camp_List[[#This Row],[Responsible Agency]],Organization_t[],3,0),"")</f>
        <v>0</v>
      </c>
      <c r="AJ96" s="650">
        <f>IF((SUMIFS(Data_Shelter_t[Coverage],Data_Shelter_t[Pcode],Camp_List[[#This Row],[P_Code]]))&gt;1,1,SUMIFS(Data_Shelter_t[Coverage],Data_Shelter_t[Pcode],Camp_List[[#This Row],[P_Code]]))</f>
        <v>0</v>
      </c>
      <c r="BL96" s="19"/>
      <c r="BM96" s="19"/>
      <c r="BP96" s="69"/>
      <c r="BQ96" s="69"/>
    </row>
    <row r="97" spans="1:69" ht="15" hidden="1" customHeight="1" x14ac:dyDescent="0.25">
      <c r="A97" s="358" t="s">
        <v>349</v>
      </c>
      <c r="B97" s="358" t="s">
        <v>7</v>
      </c>
      <c r="C97" s="358" t="s">
        <v>351</v>
      </c>
      <c r="D97" s="358" t="s">
        <v>19</v>
      </c>
      <c r="E97" s="358" t="s">
        <v>604</v>
      </c>
      <c r="F97" s="358" t="s">
        <v>19</v>
      </c>
      <c r="G97" s="358" t="s">
        <v>413</v>
      </c>
      <c r="H97" s="358" t="s">
        <v>424</v>
      </c>
      <c r="I97" s="358" t="s">
        <v>560</v>
      </c>
      <c r="J97" s="358"/>
      <c r="K97" s="358" t="s">
        <v>425</v>
      </c>
      <c r="L97" s="358" t="s">
        <v>86</v>
      </c>
      <c r="M97" s="358" t="s">
        <v>174</v>
      </c>
      <c r="N97" s="75">
        <v>92.894499999999994</v>
      </c>
      <c r="O97" s="75">
        <v>20.1462</v>
      </c>
      <c r="P97" s="358"/>
      <c r="Q97" s="880"/>
      <c r="R97" s="883"/>
      <c r="S97" s="892">
        <v>0</v>
      </c>
      <c r="T97" s="358" t="s">
        <v>343</v>
      </c>
      <c r="U97" s="358" t="s">
        <v>756</v>
      </c>
      <c r="V97" s="641" t="s">
        <v>21</v>
      </c>
      <c r="W97" s="642"/>
      <c r="X97" s="358"/>
      <c r="Y97" s="358"/>
      <c r="Z97" s="358"/>
      <c r="AA97" s="643" t="str">
        <f>CONCATENATE(Camp_List[[#This Row],[Ethnicity]],"-",Camp_List[[#This Row],[Religion]])</f>
        <v>-</v>
      </c>
      <c r="AB97" s="643"/>
      <c r="AC97" s="358"/>
      <c r="AD97" s="645" t="s">
        <v>774</v>
      </c>
      <c r="AE97" s="358" t="s">
        <v>504</v>
      </c>
      <c r="AF97" s="358" t="s">
        <v>520</v>
      </c>
      <c r="AG97" s="290">
        <v>41520</v>
      </c>
      <c r="AH97" s="647"/>
      <c r="AI97" s="643">
        <f>IFERROR(VLOOKUP(Camp_List[[#This Row],[Responsible Agency]],Organization_t[],3,0),"")</f>
        <v>0</v>
      </c>
      <c r="AJ97" s="650">
        <f>IF((SUMIFS(Data_Shelter_t[Coverage],Data_Shelter_t[Pcode],Camp_List[[#This Row],[P_Code]]))&gt;1,1,SUMIFS(Data_Shelter_t[Coverage],Data_Shelter_t[Pcode],Camp_List[[#This Row],[P_Code]]))</f>
        <v>0</v>
      </c>
      <c r="BL97" s="19"/>
      <c r="BM97" s="19"/>
      <c r="BP97" s="69"/>
      <c r="BQ97" s="69"/>
    </row>
    <row r="98" spans="1:69" ht="15" hidden="1" customHeight="1" x14ac:dyDescent="0.25">
      <c r="A98" s="358" t="s">
        <v>349</v>
      </c>
      <c r="B98" s="358" t="s">
        <v>7</v>
      </c>
      <c r="C98" s="358" t="s">
        <v>351</v>
      </c>
      <c r="D98" s="358" t="s">
        <v>19</v>
      </c>
      <c r="E98" s="358" t="s">
        <v>604</v>
      </c>
      <c r="F98" s="358" t="s">
        <v>19</v>
      </c>
      <c r="G98" s="358" t="s">
        <v>413</v>
      </c>
      <c r="H98" s="358" t="s">
        <v>435</v>
      </c>
      <c r="I98" s="358" t="s">
        <v>560</v>
      </c>
      <c r="J98" s="358"/>
      <c r="K98" s="358" t="s">
        <v>441</v>
      </c>
      <c r="L98" s="358" t="s">
        <v>89</v>
      </c>
      <c r="M98" s="358" t="s">
        <v>177</v>
      </c>
      <c r="N98" s="75">
        <v>92.897932999999995</v>
      </c>
      <c r="O98" s="75">
        <v>20.155850000000001</v>
      </c>
      <c r="P98" s="358"/>
      <c r="Q98" s="880"/>
      <c r="R98" s="883"/>
      <c r="S98" s="892">
        <v>0</v>
      </c>
      <c r="T98" s="358" t="s">
        <v>343</v>
      </c>
      <c r="U98" s="358" t="s">
        <v>756</v>
      </c>
      <c r="V98" s="641" t="s">
        <v>21</v>
      </c>
      <c r="W98" s="642"/>
      <c r="X98" s="358"/>
      <c r="Y98" s="358"/>
      <c r="Z98" s="358"/>
      <c r="AA98" s="643" t="str">
        <f>CONCATENATE(Camp_List[[#This Row],[Ethnicity]],"-",Camp_List[[#This Row],[Religion]])</f>
        <v>-</v>
      </c>
      <c r="AB98" s="643"/>
      <c r="AC98" s="358"/>
      <c r="AD98" s="645" t="s">
        <v>774</v>
      </c>
      <c r="AE98" s="358" t="s">
        <v>504</v>
      </c>
      <c r="AF98" s="358" t="s">
        <v>520</v>
      </c>
      <c r="AG98" s="290">
        <v>41520</v>
      </c>
      <c r="AH98" s="647"/>
      <c r="AI98" s="643">
        <f>IFERROR(VLOOKUP(Camp_List[[#This Row],[Responsible Agency]],Organization_t[],3,0),"")</f>
        <v>0</v>
      </c>
      <c r="AJ98" s="650">
        <f>IF((SUMIFS(Data_Shelter_t[Coverage],Data_Shelter_t[Pcode],Camp_List[[#This Row],[P_Code]]))&gt;1,1,SUMIFS(Data_Shelter_t[Coverage],Data_Shelter_t[Pcode],Camp_List[[#This Row],[P_Code]]))</f>
        <v>0</v>
      </c>
      <c r="BL98" s="19"/>
      <c r="BM98" s="19"/>
      <c r="BP98" s="69"/>
      <c r="BQ98" s="69"/>
    </row>
    <row r="99" spans="1:69" ht="15" hidden="1" customHeight="1" x14ac:dyDescent="0.25">
      <c r="A99" s="358" t="s">
        <v>349</v>
      </c>
      <c r="B99" s="358" t="s">
        <v>7</v>
      </c>
      <c r="C99" s="358" t="s">
        <v>351</v>
      </c>
      <c r="D99" s="358" t="s">
        <v>19</v>
      </c>
      <c r="E99" s="358" t="s">
        <v>604</v>
      </c>
      <c r="F99" s="358" t="s">
        <v>19</v>
      </c>
      <c r="G99" s="358" t="s">
        <v>413</v>
      </c>
      <c r="H99" s="358" t="s">
        <v>438</v>
      </c>
      <c r="I99" s="358" t="s">
        <v>560</v>
      </c>
      <c r="J99" s="358"/>
      <c r="K99" s="358" t="s">
        <v>443</v>
      </c>
      <c r="L99" s="358" t="s">
        <v>87</v>
      </c>
      <c r="M99" s="358" t="s">
        <v>175</v>
      </c>
      <c r="N99" s="75">
        <v>92.888949999999994</v>
      </c>
      <c r="O99" s="75">
        <v>20.125032999999998</v>
      </c>
      <c r="P99" s="358"/>
      <c r="Q99" s="880"/>
      <c r="R99" s="883"/>
      <c r="S99" s="892">
        <v>0</v>
      </c>
      <c r="T99" s="358" t="s">
        <v>343</v>
      </c>
      <c r="U99" s="358" t="s">
        <v>756</v>
      </c>
      <c r="V99" s="641" t="s">
        <v>21</v>
      </c>
      <c r="W99" s="642"/>
      <c r="X99" s="358"/>
      <c r="Y99" s="358"/>
      <c r="Z99" s="358"/>
      <c r="AA99" s="643" t="str">
        <f>CONCATENATE(Camp_List[[#This Row],[Ethnicity]],"-",Camp_List[[#This Row],[Religion]])</f>
        <v>-</v>
      </c>
      <c r="AB99" s="643"/>
      <c r="AC99" s="358"/>
      <c r="AD99" s="645" t="s">
        <v>774</v>
      </c>
      <c r="AE99" s="358" t="s">
        <v>504</v>
      </c>
      <c r="AF99" s="358" t="s">
        <v>520</v>
      </c>
      <c r="AG99" s="290">
        <v>41520</v>
      </c>
      <c r="AH99" s="647"/>
      <c r="AI99" s="643">
        <f>IFERROR(VLOOKUP(Camp_List[[#This Row],[Responsible Agency]],Organization_t[],3,0),"")</f>
        <v>0</v>
      </c>
      <c r="AJ99" s="650">
        <f>IF((SUMIFS(Data_Shelter_t[Coverage],Data_Shelter_t[Pcode],Camp_List[[#This Row],[P_Code]]))&gt;1,1,SUMIFS(Data_Shelter_t[Coverage],Data_Shelter_t[Pcode],Camp_List[[#This Row],[P_Code]]))</f>
        <v>0</v>
      </c>
      <c r="BL99" s="19"/>
      <c r="BM99" s="19"/>
      <c r="BP99" s="69"/>
      <c r="BQ99" s="69"/>
    </row>
    <row r="100" spans="1:69" ht="15" hidden="1" customHeight="1" x14ac:dyDescent="0.25">
      <c r="A100" s="358" t="s">
        <v>349</v>
      </c>
      <c r="B100" s="358" t="s">
        <v>7</v>
      </c>
      <c r="C100" s="358" t="s">
        <v>351</v>
      </c>
      <c r="D100" s="358" t="s">
        <v>19</v>
      </c>
      <c r="E100" s="358" t="s">
        <v>604</v>
      </c>
      <c r="F100" s="358" t="s">
        <v>19</v>
      </c>
      <c r="G100" s="358" t="s">
        <v>413</v>
      </c>
      <c r="H100" s="358" t="s">
        <v>439</v>
      </c>
      <c r="I100" s="358" t="s">
        <v>560</v>
      </c>
      <c r="J100" s="358"/>
      <c r="K100" s="358" t="s">
        <v>444</v>
      </c>
      <c r="L100" s="358" t="s">
        <v>91</v>
      </c>
      <c r="M100" s="358" t="s">
        <v>179</v>
      </c>
      <c r="N100" s="75">
        <v>92.892431999999999</v>
      </c>
      <c r="O100" s="75">
        <v>20.146041</v>
      </c>
      <c r="P100" s="358"/>
      <c r="Q100" s="880"/>
      <c r="R100" s="883"/>
      <c r="S100" s="892">
        <v>0</v>
      </c>
      <c r="T100" s="358" t="s">
        <v>343</v>
      </c>
      <c r="U100" s="358" t="s">
        <v>756</v>
      </c>
      <c r="V100" s="641" t="s">
        <v>21</v>
      </c>
      <c r="W100" s="642"/>
      <c r="X100" s="358"/>
      <c r="Y100" s="358"/>
      <c r="Z100" s="358"/>
      <c r="AA100" s="643" t="str">
        <f>CONCATENATE(Camp_List[[#This Row],[Ethnicity]],"-",Camp_List[[#This Row],[Religion]])</f>
        <v>-</v>
      </c>
      <c r="AB100" s="643"/>
      <c r="AC100" s="358"/>
      <c r="AD100" s="645" t="s">
        <v>774</v>
      </c>
      <c r="AE100" s="358" t="s">
        <v>504</v>
      </c>
      <c r="AF100" s="358" t="s">
        <v>520</v>
      </c>
      <c r="AG100" s="290">
        <v>41520</v>
      </c>
      <c r="AH100" s="647"/>
      <c r="AI100" s="643">
        <f>IFERROR(VLOOKUP(Camp_List[[#This Row],[Responsible Agency]],Organization_t[],3,0),"")</f>
        <v>0</v>
      </c>
      <c r="AJ100" s="650">
        <f>IF((SUMIFS(Data_Shelter_t[Coverage],Data_Shelter_t[Pcode],Camp_List[[#This Row],[P_Code]]))&gt;1,1,SUMIFS(Data_Shelter_t[Coverage],Data_Shelter_t[Pcode],Camp_List[[#This Row],[P_Code]]))</f>
        <v>0</v>
      </c>
      <c r="BL100" s="19"/>
      <c r="BM100" s="19"/>
      <c r="BP100" s="69"/>
      <c r="BQ100" s="69"/>
    </row>
    <row r="101" spans="1:69" ht="15" hidden="1" customHeight="1" x14ac:dyDescent="0.25">
      <c r="A101" s="358" t="s">
        <v>349</v>
      </c>
      <c r="B101" s="358" t="s">
        <v>7</v>
      </c>
      <c r="C101" s="358" t="s">
        <v>351</v>
      </c>
      <c r="D101" s="358" t="s">
        <v>19</v>
      </c>
      <c r="E101" s="358" t="s">
        <v>604</v>
      </c>
      <c r="F101" s="358" t="s">
        <v>19</v>
      </c>
      <c r="G101" s="358" t="s">
        <v>413</v>
      </c>
      <c r="H101" s="358" t="s">
        <v>424</v>
      </c>
      <c r="I101" s="358" t="s">
        <v>560</v>
      </c>
      <c r="J101" s="358"/>
      <c r="K101" s="358" t="s">
        <v>425</v>
      </c>
      <c r="L101" s="358" t="s">
        <v>88</v>
      </c>
      <c r="M101" s="358" t="s">
        <v>176</v>
      </c>
      <c r="N101" s="75">
        <v>92.896417999999997</v>
      </c>
      <c r="O101" s="75">
        <v>20.152895000000001</v>
      </c>
      <c r="P101" s="358"/>
      <c r="Q101" s="880"/>
      <c r="R101" s="883"/>
      <c r="S101" s="892">
        <v>0</v>
      </c>
      <c r="T101" s="358" t="s">
        <v>343</v>
      </c>
      <c r="U101" s="358" t="s">
        <v>756</v>
      </c>
      <c r="V101" s="641" t="s">
        <v>21</v>
      </c>
      <c r="W101" s="642"/>
      <c r="X101" s="358"/>
      <c r="Y101" s="358"/>
      <c r="Z101" s="358"/>
      <c r="AA101" s="643" t="str">
        <f>CONCATENATE(Camp_List[[#This Row],[Ethnicity]],"-",Camp_List[[#This Row],[Religion]])</f>
        <v>-</v>
      </c>
      <c r="AB101" s="643"/>
      <c r="AC101" s="358"/>
      <c r="AD101" s="645" t="s">
        <v>774</v>
      </c>
      <c r="AE101" s="358" t="s">
        <v>504</v>
      </c>
      <c r="AF101" s="358" t="s">
        <v>520</v>
      </c>
      <c r="AG101" s="290">
        <v>41520</v>
      </c>
      <c r="AH101" s="647"/>
      <c r="AI101" s="643">
        <f>IFERROR(VLOOKUP(Camp_List[[#This Row],[Responsible Agency]],Organization_t[],3,0),"")</f>
        <v>0</v>
      </c>
      <c r="AJ101" s="650">
        <f>IF((SUMIFS(Data_Shelter_t[Coverage],Data_Shelter_t[Pcode],Camp_List[[#This Row],[P_Code]]))&gt;1,1,SUMIFS(Data_Shelter_t[Coverage],Data_Shelter_t[Pcode],Camp_List[[#This Row],[P_Code]]))</f>
        <v>0</v>
      </c>
      <c r="BL101" s="19"/>
      <c r="BM101" s="19"/>
      <c r="BP101" s="69"/>
      <c r="BQ101" s="69"/>
    </row>
    <row r="102" spans="1:69" ht="15" hidden="1" customHeight="1" x14ac:dyDescent="0.25">
      <c r="A102" s="358" t="s">
        <v>349</v>
      </c>
      <c r="B102" s="358" t="s">
        <v>7</v>
      </c>
      <c r="C102" s="358" t="s">
        <v>351</v>
      </c>
      <c r="D102" s="358" t="s">
        <v>19</v>
      </c>
      <c r="E102" s="358" t="s">
        <v>604</v>
      </c>
      <c r="F102" s="358" t="s">
        <v>19</v>
      </c>
      <c r="G102" s="358" t="s">
        <v>413</v>
      </c>
      <c r="H102" s="358" t="s">
        <v>435</v>
      </c>
      <c r="I102" s="358" t="s">
        <v>560</v>
      </c>
      <c r="J102" s="358"/>
      <c r="K102" s="358" t="s">
        <v>441</v>
      </c>
      <c r="L102" s="358" t="s">
        <v>96</v>
      </c>
      <c r="M102" s="358" t="s">
        <v>184</v>
      </c>
      <c r="N102" s="75">
        <v>92.896533000000005</v>
      </c>
      <c r="O102" s="75">
        <v>20.15465</v>
      </c>
      <c r="P102" s="358"/>
      <c r="Q102" s="880"/>
      <c r="R102" s="883"/>
      <c r="S102" s="892">
        <v>0</v>
      </c>
      <c r="T102" s="358" t="s">
        <v>343</v>
      </c>
      <c r="U102" s="358" t="s">
        <v>756</v>
      </c>
      <c r="V102" s="641" t="s">
        <v>21</v>
      </c>
      <c r="W102" s="642"/>
      <c r="X102" s="358"/>
      <c r="Y102" s="358"/>
      <c r="Z102" s="358"/>
      <c r="AA102" s="643" t="str">
        <f>CONCATENATE(Camp_List[[#This Row],[Ethnicity]],"-",Camp_List[[#This Row],[Religion]])</f>
        <v>-</v>
      </c>
      <c r="AB102" s="643"/>
      <c r="AC102" s="358"/>
      <c r="AD102" s="645" t="s">
        <v>774</v>
      </c>
      <c r="AE102" s="358" t="s">
        <v>504</v>
      </c>
      <c r="AF102" s="358" t="s">
        <v>520</v>
      </c>
      <c r="AG102" s="290">
        <v>41520</v>
      </c>
      <c r="AH102" s="647"/>
      <c r="AI102" s="643">
        <f>IFERROR(VLOOKUP(Camp_List[[#This Row],[Responsible Agency]],Organization_t[],3,0),"")</f>
        <v>0</v>
      </c>
      <c r="AJ102" s="650">
        <f>IF((SUMIFS(Data_Shelter_t[Coverage],Data_Shelter_t[Pcode],Camp_List[[#This Row],[P_Code]]))&gt;1,1,SUMIFS(Data_Shelter_t[Coverage],Data_Shelter_t[Pcode],Camp_List[[#This Row],[P_Code]]))</f>
        <v>0</v>
      </c>
      <c r="BL102" s="19"/>
      <c r="BM102" s="19"/>
      <c r="BP102" s="69"/>
      <c r="BQ102" s="69"/>
    </row>
    <row r="103" spans="1:69" ht="15" hidden="1" customHeight="1" x14ac:dyDescent="0.25">
      <c r="A103" s="358" t="s">
        <v>349</v>
      </c>
      <c r="B103" s="358" t="s">
        <v>7</v>
      </c>
      <c r="C103" s="358" t="s">
        <v>351</v>
      </c>
      <c r="D103" s="358" t="s">
        <v>19</v>
      </c>
      <c r="E103" s="358" t="s">
        <v>604</v>
      </c>
      <c r="F103" s="358" t="s">
        <v>19</v>
      </c>
      <c r="G103" s="358" t="s">
        <v>413</v>
      </c>
      <c r="H103" s="358" t="s">
        <v>439</v>
      </c>
      <c r="I103" s="358" t="s">
        <v>560</v>
      </c>
      <c r="J103" s="358"/>
      <c r="K103" s="358" t="s">
        <v>444</v>
      </c>
      <c r="L103" s="358" t="s">
        <v>95</v>
      </c>
      <c r="M103" s="358" t="s">
        <v>183</v>
      </c>
      <c r="N103" s="75">
        <v>92.893332999999998</v>
      </c>
      <c r="O103" s="75">
        <v>20.146117</v>
      </c>
      <c r="P103" s="358"/>
      <c r="Q103" s="880"/>
      <c r="R103" s="883"/>
      <c r="S103" s="892">
        <v>0</v>
      </c>
      <c r="T103" s="358" t="s">
        <v>343</v>
      </c>
      <c r="U103" s="358" t="s">
        <v>756</v>
      </c>
      <c r="V103" s="641" t="s">
        <v>21</v>
      </c>
      <c r="W103" s="642"/>
      <c r="X103" s="358"/>
      <c r="Y103" s="358"/>
      <c r="Z103" s="358"/>
      <c r="AA103" s="643" t="str">
        <f>CONCATENATE(Camp_List[[#This Row],[Ethnicity]],"-",Camp_List[[#This Row],[Religion]])</f>
        <v>-</v>
      </c>
      <c r="AB103" s="643"/>
      <c r="AC103" s="358"/>
      <c r="AD103" s="645" t="s">
        <v>774</v>
      </c>
      <c r="AE103" s="358" t="s">
        <v>504</v>
      </c>
      <c r="AF103" s="358" t="s">
        <v>520</v>
      </c>
      <c r="AG103" s="290">
        <v>41520</v>
      </c>
      <c r="AH103" s="647"/>
      <c r="AI103" s="643">
        <f>IFERROR(VLOOKUP(Camp_List[[#This Row],[Responsible Agency]],Organization_t[],3,0),"")</f>
        <v>0</v>
      </c>
      <c r="AJ103" s="650">
        <f>IF((SUMIFS(Data_Shelter_t[Coverage],Data_Shelter_t[Pcode],Camp_List[[#This Row],[P_Code]]))&gt;1,1,SUMIFS(Data_Shelter_t[Coverage],Data_Shelter_t[Pcode],Camp_List[[#This Row],[P_Code]]))</f>
        <v>0</v>
      </c>
      <c r="BL103" s="19"/>
      <c r="BM103" s="19"/>
      <c r="BP103" s="69"/>
      <c r="BQ103" s="69"/>
    </row>
    <row r="104" spans="1:69" ht="15" hidden="1" customHeight="1" x14ac:dyDescent="0.25">
      <c r="A104" s="358" t="s">
        <v>349</v>
      </c>
      <c r="B104" s="358" t="s">
        <v>7</v>
      </c>
      <c r="C104" s="358" t="s">
        <v>351</v>
      </c>
      <c r="D104" s="358" t="s">
        <v>19</v>
      </c>
      <c r="E104" s="358" t="s">
        <v>604</v>
      </c>
      <c r="F104" s="358" t="s">
        <v>19</v>
      </c>
      <c r="G104" s="358" t="s">
        <v>413</v>
      </c>
      <c r="H104" s="358" t="s">
        <v>419</v>
      </c>
      <c r="I104" s="358" t="s">
        <v>418</v>
      </c>
      <c r="J104" s="358" t="s">
        <v>496</v>
      </c>
      <c r="K104" s="358">
        <v>196192</v>
      </c>
      <c r="L104" s="358" t="s">
        <v>62</v>
      </c>
      <c r="M104" s="358" t="s">
        <v>150</v>
      </c>
      <c r="N104" s="75">
        <v>92.807418999999996</v>
      </c>
      <c r="O104" s="75">
        <v>20.181238</v>
      </c>
      <c r="P104" s="358"/>
      <c r="Q104" s="879"/>
      <c r="R104" s="882"/>
      <c r="S104" s="892">
        <v>0</v>
      </c>
      <c r="T104" s="358" t="s">
        <v>343</v>
      </c>
      <c r="U104" s="358" t="s">
        <v>756</v>
      </c>
      <c r="V104" s="641" t="s">
        <v>22</v>
      </c>
      <c r="W104" s="642"/>
      <c r="X104" s="358"/>
      <c r="Y104" s="358"/>
      <c r="Z104" s="358"/>
      <c r="AA104" s="643" t="str">
        <f>CONCATENATE(Camp_List[[#This Row],[Ethnicity]],"-",Camp_List[[#This Row],[Religion]])</f>
        <v>-</v>
      </c>
      <c r="AB104" s="643"/>
      <c r="AC104" s="358"/>
      <c r="AD104" s="645" t="s">
        <v>774</v>
      </c>
      <c r="AE104" s="358" t="s">
        <v>504</v>
      </c>
      <c r="AF104" s="358" t="s">
        <v>520</v>
      </c>
      <c r="AG104" s="290">
        <v>41548</v>
      </c>
      <c r="AH104" s="647" t="s">
        <v>1054</v>
      </c>
      <c r="AI104" s="643">
        <f>IFERROR(VLOOKUP(Camp_List[[#This Row],[Responsible Agency]],Organization_t[],3,0),"")</f>
        <v>0</v>
      </c>
      <c r="AJ104" s="650">
        <f>IF((SUMIFS(Data_Shelter_t[Coverage],Data_Shelter_t[Pcode],Camp_List[[#This Row],[P_Code]]))&gt;1,1,SUMIFS(Data_Shelter_t[Coverage],Data_Shelter_t[Pcode],Camp_List[[#This Row],[P_Code]]))</f>
        <v>0</v>
      </c>
      <c r="BL104" s="19"/>
      <c r="BM104" s="19"/>
      <c r="BP104" s="69"/>
      <c r="BQ104" s="69"/>
    </row>
    <row r="105" spans="1:69" ht="15" hidden="1" customHeight="1" x14ac:dyDescent="0.25">
      <c r="A105" s="358" t="s">
        <v>349</v>
      </c>
      <c r="B105" s="358" t="s">
        <v>7</v>
      </c>
      <c r="C105" s="358" t="s">
        <v>351</v>
      </c>
      <c r="D105" s="358" t="s">
        <v>19</v>
      </c>
      <c r="E105" s="358" t="s">
        <v>604</v>
      </c>
      <c r="F105" s="358" t="s">
        <v>19</v>
      </c>
      <c r="G105" s="358" t="s">
        <v>413</v>
      </c>
      <c r="H105" s="358" t="s">
        <v>430</v>
      </c>
      <c r="I105" s="358" t="s">
        <v>560</v>
      </c>
      <c r="J105" s="358"/>
      <c r="K105" s="358" t="s">
        <v>431</v>
      </c>
      <c r="L105" s="358" t="s">
        <v>77</v>
      </c>
      <c r="M105" s="358" t="s">
        <v>165</v>
      </c>
      <c r="N105" s="75">
        <v>92.889384000000007</v>
      </c>
      <c r="O105" s="75">
        <v>20.135473999999999</v>
      </c>
      <c r="P105" s="358"/>
      <c r="Q105" s="879"/>
      <c r="R105" s="882"/>
      <c r="S105" s="892">
        <v>0</v>
      </c>
      <c r="T105" s="358" t="s">
        <v>343</v>
      </c>
      <c r="U105" s="358" t="s">
        <v>756</v>
      </c>
      <c r="V105" s="641" t="s">
        <v>22</v>
      </c>
      <c r="W105" s="642"/>
      <c r="X105" s="358"/>
      <c r="Y105" s="358"/>
      <c r="Z105" s="358"/>
      <c r="AA105" s="643" t="str">
        <f>CONCATENATE(Camp_List[[#This Row],[Ethnicity]],"-",Camp_List[[#This Row],[Religion]])</f>
        <v>-</v>
      </c>
      <c r="AB105" s="643"/>
      <c r="AC105" s="358"/>
      <c r="AD105" s="645" t="s">
        <v>774</v>
      </c>
      <c r="AE105" s="358" t="s">
        <v>504</v>
      </c>
      <c r="AF105" s="358" t="s">
        <v>520</v>
      </c>
      <c r="AG105" s="290">
        <v>41520</v>
      </c>
      <c r="AH105" s="647" t="s">
        <v>1055</v>
      </c>
      <c r="AI105" s="643">
        <f>IFERROR(VLOOKUP(Camp_List[[#This Row],[Responsible Agency]],Organization_t[],3,0),"")</f>
        <v>0</v>
      </c>
      <c r="AJ105" s="650">
        <f>IF((SUMIFS(Data_Shelter_t[Coverage],Data_Shelter_t[Pcode],Camp_List[[#This Row],[P_Code]]))&gt;1,1,SUMIFS(Data_Shelter_t[Coverage],Data_Shelter_t[Pcode],Camp_List[[#This Row],[P_Code]]))</f>
        <v>0</v>
      </c>
      <c r="BL105" s="19"/>
      <c r="BM105" s="19"/>
      <c r="BP105" s="69"/>
      <c r="BQ105" s="69"/>
    </row>
    <row r="106" spans="1:69" ht="15" hidden="1" customHeight="1" x14ac:dyDescent="0.25">
      <c r="A106" s="358" t="s">
        <v>349</v>
      </c>
      <c r="B106" s="358" t="s">
        <v>7</v>
      </c>
      <c r="C106" s="358" t="s">
        <v>351</v>
      </c>
      <c r="D106" s="358" t="s">
        <v>19</v>
      </c>
      <c r="E106" s="358" t="s">
        <v>604</v>
      </c>
      <c r="F106" s="358" t="s">
        <v>19</v>
      </c>
      <c r="G106" s="358" t="s">
        <v>413</v>
      </c>
      <c r="H106" s="358" t="s">
        <v>424</v>
      </c>
      <c r="I106" s="358" t="s">
        <v>560</v>
      </c>
      <c r="J106" s="358"/>
      <c r="K106" s="358" t="s">
        <v>425</v>
      </c>
      <c r="L106" s="358" t="s">
        <v>79</v>
      </c>
      <c r="M106" s="358" t="s">
        <v>167</v>
      </c>
      <c r="N106" s="75">
        <v>92.897177999999997</v>
      </c>
      <c r="O106" s="75">
        <v>20.153129</v>
      </c>
      <c r="P106" s="358"/>
      <c r="Q106" s="879"/>
      <c r="R106" s="882"/>
      <c r="S106" s="892">
        <v>0</v>
      </c>
      <c r="T106" s="358" t="s">
        <v>343</v>
      </c>
      <c r="U106" s="358" t="s">
        <v>756</v>
      </c>
      <c r="V106" s="641" t="s">
        <v>22</v>
      </c>
      <c r="W106" s="642"/>
      <c r="X106" s="358"/>
      <c r="Y106" s="358"/>
      <c r="Z106" s="358"/>
      <c r="AA106" s="643" t="str">
        <f>CONCATENATE(Camp_List[[#This Row],[Ethnicity]],"-",Camp_List[[#This Row],[Religion]])</f>
        <v>-</v>
      </c>
      <c r="AB106" s="643"/>
      <c r="AC106" s="358"/>
      <c r="AD106" s="645" t="s">
        <v>774</v>
      </c>
      <c r="AE106" s="358" t="s">
        <v>504</v>
      </c>
      <c r="AF106" s="358" t="s">
        <v>520</v>
      </c>
      <c r="AG106" s="290">
        <v>41520</v>
      </c>
      <c r="AH106" s="647" t="s">
        <v>1056</v>
      </c>
      <c r="AI106" s="643">
        <f>IFERROR(VLOOKUP(Camp_List[[#This Row],[Responsible Agency]],Organization_t[],3,0),"")</f>
        <v>0</v>
      </c>
      <c r="AJ106" s="650">
        <f>IF((SUMIFS(Data_Shelter_t[Coverage],Data_Shelter_t[Pcode],Camp_List[[#This Row],[P_Code]]))&gt;1,1,SUMIFS(Data_Shelter_t[Coverage],Data_Shelter_t[Pcode],Camp_List[[#This Row],[P_Code]]))</f>
        <v>0</v>
      </c>
      <c r="BL106" s="19"/>
      <c r="BM106" s="19"/>
      <c r="BP106" s="69"/>
      <c r="BQ106" s="69"/>
    </row>
    <row r="107" spans="1:69" ht="15" hidden="1" customHeight="1" x14ac:dyDescent="0.25">
      <c r="A107" s="358" t="s">
        <v>349</v>
      </c>
      <c r="B107" s="358" t="s">
        <v>7</v>
      </c>
      <c r="C107" s="358" t="s">
        <v>351</v>
      </c>
      <c r="D107" s="358" t="s">
        <v>19</v>
      </c>
      <c r="E107" s="358" t="s">
        <v>604</v>
      </c>
      <c r="F107" s="358" t="s">
        <v>19</v>
      </c>
      <c r="G107" s="358" t="s">
        <v>413</v>
      </c>
      <c r="H107" s="358" t="s">
        <v>419</v>
      </c>
      <c r="I107" s="358" t="s">
        <v>418</v>
      </c>
      <c r="J107" s="358"/>
      <c r="K107" s="358"/>
      <c r="L107" s="358" t="s">
        <v>551</v>
      </c>
      <c r="M107" s="358" t="s">
        <v>552</v>
      </c>
      <c r="N107" s="75">
        <v>92.816638999999995</v>
      </c>
      <c r="O107" s="75">
        <v>20.180194</v>
      </c>
      <c r="P107" s="358"/>
      <c r="Q107" s="879"/>
      <c r="R107" s="882"/>
      <c r="S107" s="892">
        <v>0</v>
      </c>
      <c r="T107" s="358" t="s">
        <v>343</v>
      </c>
      <c r="U107" s="358" t="s">
        <v>756</v>
      </c>
      <c r="V107" s="641" t="s">
        <v>22</v>
      </c>
      <c r="W107" s="642"/>
      <c r="X107" s="358"/>
      <c r="Y107" s="358"/>
      <c r="Z107" s="358"/>
      <c r="AA107" s="643" t="str">
        <f>CONCATENATE(Camp_List[[#This Row],[Ethnicity]],"-",Camp_List[[#This Row],[Religion]])</f>
        <v>-</v>
      </c>
      <c r="AB107" s="643"/>
      <c r="AC107" s="358"/>
      <c r="AD107" s="645" t="s">
        <v>774</v>
      </c>
      <c r="AE107" s="358" t="s">
        <v>504</v>
      </c>
      <c r="AF107" s="358" t="s">
        <v>520</v>
      </c>
      <c r="AG107" s="290">
        <v>41548</v>
      </c>
      <c r="AH107" s="647"/>
      <c r="AI107" s="643">
        <f>IFERROR(VLOOKUP(Camp_List[[#This Row],[Responsible Agency]],Organization_t[],3,0),"")</f>
        <v>0</v>
      </c>
      <c r="AJ107" s="650">
        <f>IF((SUMIFS(Data_Shelter_t[Coverage],Data_Shelter_t[Pcode],Camp_List[[#This Row],[P_Code]]))&gt;1,1,SUMIFS(Data_Shelter_t[Coverage],Data_Shelter_t[Pcode],Camp_List[[#This Row],[P_Code]]))</f>
        <v>0</v>
      </c>
      <c r="BL107" s="19"/>
      <c r="BM107" s="19"/>
      <c r="BP107" s="69"/>
      <c r="BQ107" s="69"/>
    </row>
    <row r="108" spans="1:69" ht="15" hidden="1" customHeight="1" x14ac:dyDescent="0.25">
      <c r="A108" s="358" t="s">
        <v>349</v>
      </c>
      <c r="B108" s="358" t="s">
        <v>7</v>
      </c>
      <c r="C108" s="358" t="s">
        <v>351</v>
      </c>
      <c r="D108" s="358" t="s">
        <v>19</v>
      </c>
      <c r="E108" s="358" t="s">
        <v>604</v>
      </c>
      <c r="F108" s="358" t="s">
        <v>19</v>
      </c>
      <c r="G108" s="358" t="s">
        <v>413</v>
      </c>
      <c r="H108" s="358" t="s">
        <v>417</v>
      </c>
      <c r="I108" s="358" t="s">
        <v>416</v>
      </c>
      <c r="J108" s="358" t="s">
        <v>502</v>
      </c>
      <c r="K108" s="358">
        <v>196207</v>
      </c>
      <c r="L108" s="358" t="s">
        <v>71</v>
      </c>
      <c r="M108" s="358" t="s">
        <v>159</v>
      </c>
      <c r="N108" s="75">
        <v>92.826407000000003</v>
      </c>
      <c r="O108" s="75">
        <v>20.175169</v>
      </c>
      <c r="P108" s="358"/>
      <c r="Q108" s="879"/>
      <c r="R108" s="882"/>
      <c r="S108" s="892">
        <v>0</v>
      </c>
      <c r="T108" s="358" t="s">
        <v>343</v>
      </c>
      <c r="U108" s="358" t="s">
        <v>756</v>
      </c>
      <c r="V108" s="641" t="s">
        <v>22</v>
      </c>
      <c r="W108" s="642"/>
      <c r="X108" s="358"/>
      <c r="Y108" s="358"/>
      <c r="Z108" s="358"/>
      <c r="AA108" s="643" t="str">
        <f>CONCATENATE(Camp_List[[#This Row],[Ethnicity]],"-",Camp_List[[#This Row],[Religion]])</f>
        <v>-</v>
      </c>
      <c r="AB108" s="643"/>
      <c r="AC108" s="358"/>
      <c r="AD108" s="645" t="s">
        <v>774</v>
      </c>
      <c r="AE108" s="358" t="s">
        <v>504</v>
      </c>
      <c r="AF108" s="358" t="s">
        <v>520</v>
      </c>
      <c r="AG108" s="290">
        <v>41520</v>
      </c>
      <c r="AH108" s="647" t="s">
        <v>1057</v>
      </c>
      <c r="AI108" s="643">
        <f>IFERROR(VLOOKUP(Camp_List[[#This Row],[Responsible Agency]],Organization_t[],3,0),"")</f>
        <v>0</v>
      </c>
      <c r="AJ108" s="650">
        <f>IF((SUMIFS(Data_Shelter_t[Coverage],Data_Shelter_t[Pcode],Camp_List[[#This Row],[P_Code]]))&gt;1,1,SUMIFS(Data_Shelter_t[Coverage],Data_Shelter_t[Pcode],Camp_List[[#This Row],[P_Code]]))</f>
        <v>0</v>
      </c>
      <c r="BL108" s="19"/>
      <c r="BM108" s="19"/>
      <c r="BP108" s="69"/>
      <c r="BQ108" s="69"/>
    </row>
    <row r="109" spans="1:69" ht="15" hidden="1" customHeight="1" x14ac:dyDescent="0.25">
      <c r="A109" s="358" t="s">
        <v>349</v>
      </c>
      <c r="B109" s="358" t="s">
        <v>7</v>
      </c>
      <c r="C109" s="358" t="s">
        <v>351</v>
      </c>
      <c r="D109" s="358" t="s">
        <v>19</v>
      </c>
      <c r="E109" s="358" t="s">
        <v>604</v>
      </c>
      <c r="F109" s="358" t="s">
        <v>19</v>
      </c>
      <c r="G109" s="358" t="s">
        <v>413</v>
      </c>
      <c r="H109" s="358" t="s">
        <v>427</v>
      </c>
      <c r="I109" s="358" t="s">
        <v>560</v>
      </c>
      <c r="J109" s="358"/>
      <c r="K109" s="358" t="s">
        <v>426</v>
      </c>
      <c r="L109" s="358" t="s">
        <v>75</v>
      </c>
      <c r="M109" s="358" t="s">
        <v>163</v>
      </c>
      <c r="N109" s="75">
        <v>92.886889999999994</v>
      </c>
      <c r="O109" s="75">
        <v>20.132694999999998</v>
      </c>
      <c r="P109" s="358"/>
      <c r="Q109" s="879"/>
      <c r="R109" s="882"/>
      <c r="S109" s="892">
        <v>0</v>
      </c>
      <c r="T109" s="358" t="s">
        <v>343</v>
      </c>
      <c r="U109" s="358" t="s">
        <v>756</v>
      </c>
      <c r="V109" s="641" t="s">
        <v>22</v>
      </c>
      <c r="W109" s="642"/>
      <c r="X109" s="358"/>
      <c r="Y109" s="358"/>
      <c r="Z109" s="358"/>
      <c r="AA109" s="643" t="str">
        <f>CONCATENATE(Camp_List[[#This Row],[Ethnicity]],"-",Camp_List[[#This Row],[Religion]])</f>
        <v>-</v>
      </c>
      <c r="AB109" s="643"/>
      <c r="AC109" s="358"/>
      <c r="AD109" s="645" t="s">
        <v>774</v>
      </c>
      <c r="AE109" s="358" t="s">
        <v>504</v>
      </c>
      <c r="AF109" s="358" t="s">
        <v>520</v>
      </c>
      <c r="AG109" s="290">
        <v>41520</v>
      </c>
      <c r="AH109" s="647" t="s">
        <v>1058</v>
      </c>
      <c r="AI109" s="643">
        <f>IFERROR(VLOOKUP(Camp_List[[#This Row],[Responsible Agency]],Organization_t[],3,0),"")</f>
        <v>0</v>
      </c>
      <c r="AJ109" s="650">
        <f>IF((SUMIFS(Data_Shelter_t[Coverage],Data_Shelter_t[Pcode],Camp_List[[#This Row],[P_Code]]))&gt;1,1,SUMIFS(Data_Shelter_t[Coverage],Data_Shelter_t[Pcode],Camp_List[[#This Row],[P_Code]]))</f>
        <v>0</v>
      </c>
      <c r="BL109" s="19"/>
      <c r="BM109" s="19"/>
      <c r="BP109" s="69"/>
      <c r="BQ109" s="69"/>
    </row>
    <row r="110" spans="1:69" ht="15" hidden="1" customHeight="1" x14ac:dyDescent="0.25">
      <c r="A110" s="358" t="s">
        <v>349</v>
      </c>
      <c r="B110" s="358" t="s">
        <v>7</v>
      </c>
      <c r="C110" s="358" t="s">
        <v>351</v>
      </c>
      <c r="D110" s="358" t="s">
        <v>19</v>
      </c>
      <c r="E110" s="358" t="s">
        <v>604</v>
      </c>
      <c r="F110" s="358" t="s">
        <v>19</v>
      </c>
      <c r="G110" s="358" t="s">
        <v>413</v>
      </c>
      <c r="H110" s="358" t="s">
        <v>428</v>
      </c>
      <c r="I110" s="358" t="s">
        <v>560</v>
      </c>
      <c r="J110" s="358"/>
      <c r="K110" s="358" t="s">
        <v>429</v>
      </c>
      <c r="L110" s="358" t="s">
        <v>76</v>
      </c>
      <c r="M110" s="358" t="s">
        <v>164</v>
      </c>
      <c r="N110" s="75">
        <v>92.860598999999993</v>
      </c>
      <c r="O110" s="75">
        <v>20.154343000000001</v>
      </c>
      <c r="P110" s="358"/>
      <c r="Q110" s="879"/>
      <c r="R110" s="882"/>
      <c r="S110" s="892">
        <v>0</v>
      </c>
      <c r="T110" s="358" t="s">
        <v>343</v>
      </c>
      <c r="U110" s="358" t="s">
        <v>756</v>
      </c>
      <c r="V110" s="641" t="s">
        <v>22</v>
      </c>
      <c r="W110" s="642"/>
      <c r="X110" s="358"/>
      <c r="Y110" s="358"/>
      <c r="Z110" s="358"/>
      <c r="AA110" s="643" t="str">
        <f>CONCATENATE(Camp_List[[#This Row],[Ethnicity]],"-",Camp_List[[#This Row],[Religion]])</f>
        <v>-</v>
      </c>
      <c r="AB110" s="643"/>
      <c r="AC110" s="358"/>
      <c r="AD110" s="645" t="s">
        <v>774</v>
      </c>
      <c r="AE110" s="358" t="s">
        <v>504</v>
      </c>
      <c r="AF110" s="358" t="s">
        <v>520</v>
      </c>
      <c r="AG110" s="290">
        <v>41520</v>
      </c>
      <c r="AH110" s="647" t="s">
        <v>1059</v>
      </c>
      <c r="AI110" s="643">
        <f>IFERROR(VLOOKUP(Camp_List[[#This Row],[Responsible Agency]],Organization_t[],3,0),"")</f>
        <v>0</v>
      </c>
      <c r="AJ110" s="650">
        <f>IF((SUMIFS(Data_Shelter_t[Coverage],Data_Shelter_t[Pcode],Camp_List[[#This Row],[P_Code]]))&gt;1,1,SUMIFS(Data_Shelter_t[Coverage],Data_Shelter_t[Pcode],Camp_List[[#This Row],[P_Code]]))</f>
        <v>0</v>
      </c>
      <c r="BL110" s="19"/>
      <c r="BM110" s="19"/>
      <c r="BP110" s="69"/>
      <c r="BQ110" s="69"/>
    </row>
    <row r="111" spans="1:69" ht="15" hidden="1" customHeight="1" x14ac:dyDescent="0.25">
      <c r="A111" s="358" t="s">
        <v>349</v>
      </c>
      <c r="B111" s="358" t="s">
        <v>7</v>
      </c>
      <c r="C111" s="358" t="s">
        <v>351</v>
      </c>
      <c r="D111" s="358" t="s">
        <v>19</v>
      </c>
      <c r="E111" s="358" t="s">
        <v>604</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879"/>
      <c r="R111" s="882"/>
      <c r="S111" s="892">
        <v>0</v>
      </c>
      <c r="T111" s="358" t="s">
        <v>343</v>
      </c>
      <c r="U111" s="358" t="s">
        <v>756</v>
      </c>
      <c r="V111" s="641" t="s">
        <v>22</v>
      </c>
      <c r="W111" s="642"/>
      <c r="X111" s="358"/>
      <c r="Y111" s="358"/>
      <c r="Z111" s="358"/>
      <c r="AA111" s="643" t="str">
        <f>CONCATENATE(Camp_List[[#This Row],[Ethnicity]],"-",Camp_List[[#This Row],[Religion]])</f>
        <v>-</v>
      </c>
      <c r="AB111" s="643"/>
      <c r="AC111" s="358"/>
      <c r="AD111" s="645" t="s">
        <v>774</v>
      </c>
      <c r="AE111" s="358" t="s">
        <v>504</v>
      </c>
      <c r="AF111" s="358" t="s">
        <v>520</v>
      </c>
      <c r="AG111" s="290">
        <v>41548</v>
      </c>
      <c r="AH111" s="647" t="s">
        <v>1060</v>
      </c>
      <c r="AI111" s="643">
        <f>IFERROR(VLOOKUP(Camp_List[[#This Row],[Responsible Agency]],Organization_t[],3,0),"")</f>
        <v>0</v>
      </c>
      <c r="AJ111" s="650">
        <f>IF((SUMIFS(Data_Shelter_t[Coverage],Data_Shelter_t[Pcode],Camp_List[[#This Row],[P_Code]]))&gt;1,1,SUMIFS(Data_Shelter_t[Coverage],Data_Shelter_t[Pcode],Camp_List[[#This Row],[P_Code]]))</f>
        <v>0</v>
      </c>
      <c r="BL111" s="19"/>
      <c r="BM111" s="19"/>
      <c r="BP111" s="69"/>
      <c r="BQ111" s="69"/>
    </row>
    <row r="112" spans="1:69" ht="15" hidden="1" customHeight="1" x14ac:dyDescent="0.25">
      <c r="A112" s="358" t="s">
        <v>349</v>
      </c>
      <c r="B112" s="358" t="s">
        <v>7</v>
      </c>
      <c r="C112" s="358" t="s">
        <v>351</v>
      </c>
      <c r="D112" s="358" t="s">
        <v>19</v>
      </c>
      <c r="E112" s="358" t="s">
        <v>604</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879"/>
      <c r="R112" s="882"/>
      <c r="S112" s="892">
        <v>0</v>
      </c>
      <c r="T112" s="358" t="s">
        <v>343</v>
      </c>
      <c r="U112" s="358" t="s">
        <v>756</v>
      </c>
      <c r="V112" s="641" t="s">
        <v>22</v>
      </c>
      <c r="W112" s="642"/>
      <c r="X112" s="358"/>
      <c r="Y112" s="358"/>
      <c r="Z112" s="358"/>
      <c r="AA112" s="643" t="str">
        <f>CONCATENATE(Camp_List[[#This Row],[Ethnicity]],"-",Camp_List[[#This Row],[Religion]])</f>
        <v>-</v>
      </c>
      <c r="AB112" s="643"/>
      <c r="AC112" s="358"/>
      <c r="AD112" s="645" t="s">
        <v>774</v>
      </c>
      <c r="AE112" s="358" t="s">
        <v>504</v>
      </c>
      <c r="AF112" s="358" t="s">
        <v>520</v>
      </c>
      <c r="AG112" s="290">
        <v>41548</v>
      </c>
      <c r="AH112" s="647" t="s">
        <v>1061</v>
      </c>
      <c r="AI112" s="643">
        <f>IFERROR(VLOOKUP(Camp_List[[#This Row],[Responsible Agency]],Organization_t[],3,0),"")</f>
        <v>0</v>
      </c>
      <c r="AJ112" s="650">
        <f>IF((SUMIFS(Data_Shelter_t[Coverage],Data_Shelter_t[Pcode],Camp_List[[#This Row],[P_Code]]))&gt;1,1,SUMIFS(Data_Shelter_t[Coverage],Data_Shelter_t[Pcode],Camp_List[[#This Row],[P_Code]]))</f>
        <v>0</v>
      </c>
      <c r="BL112" s="19"/>
      <c r="BM112" s="19"/>
      <c r="BP112" s="69"/>
      <c r="BQ112" s="69"/>
    </row>
    <row r="113" spans="1:69" ht="15" hidden="1" customHeight="1" x14ac:dyDescent="0.25">
      <c r="A113" s="358" t="s">
        <v>349</v>
      </c>
      <c r="B113" s="358" t="s">
        <v>7</v>
      </c>
      <c r="C113" s="358" t="s">
        <v>351</v>
      </c>
      <c r="D113" s="358" t="s">
        <v>19</v>
      </c>
      <c r="E113" s="358" t="s">
        <v>604</v>
      </c>
      <c r="F113" s="358" t="s">
        <v>19</v>
      </c>
      <c r="G113" s="358" t="s">
        <v>413</v>
      </c>
      <c r="H113" s="358" t="s">
        <v>419</v>
      </c>
      <c r="I113" s="358" t="s">
        <v>418</v>
      </c>
      <c r="J113" s="358" t="s">
        <v>496</v>
      </c>
      <c r="K113" s="358">
        <v>196192</v>
      </c>
      <c r="L113" s="358" t="s">
        <v>275</v>
      </c>
      <c r="M113" s="358" t="s">
        <v>547</v>
      </c>
      <c r="N113" s="75">
        <v>92.800528</v>
      </c>
      <c r="O113" s="75">
        <v>20.185583000000001</v>
      </c>
      <c r="P113" s="358"/>
      <c r="Q113" s="879"/>
      <c r="R113" s="882"/>
      <c r="S113" s="892">
        <v>0</v>
      </c>
      <c r="T113" s="358" t="s">
        <v>343</v>
      </c>
      <c r="U113" s="358" t="s">
        <v>756</v>
      </c>
      <c r="V113" s="641" t="s">
        <v>22</v>
      </c>
      <c r="W113" s="642"/>
      <c r="X113" s="358"/>
      <c r="Y113" s="358"/>
      <c r="Z113" s="358"/>
      <c r="AA113" s="643" t="str">
        <f>CONCATENATE(Camp_List[[#This Row],[Ethnicity]],"-",Camp_List[[#This Row],[Religion]])</f>
        <v>-</v>
      </c>
      <c r="AB113" s="643"/>
      <c r="AC113" s="358"/>
      <c r="AD113" s="645" t="s">
        <v>774</v>
      </c>
      <c r="AE113" s="358" t="s">
        <v>504</v>
      </c>
      <c r="AF113" s="358" t="s">
        <v>520</v>
      </c>
      <c r="AG113" s="290">
        <v>41548</v>
      </c>
      <c r="AH113" s="647" t="s">
        <v>1062</v>
      </c>
      <c r="AI113" s="643">
        <f>IFERROR(VLOOKUP(Camp_List[[#This Row],[Responsible Agency]],Organization_t[],3,0),"")</f>
        <v>0</v>
      </c>
      <c r="AJ113" s="650">
        <f>IF((SUMIFS(Data_Shelter_t[Coverage],Data_Shelter_t[Pcode],Camp_List[[#This Row],[P_Code]]))&gt;1,1,SUMIFS(Data_Shelter_t[Coverage],Data_Shelter_t[Pcode],Camp_List[[#This Row],[P_Code]]))</f>
        <v>0</v>
      </c>
      <c r="BL113" s="19"/>
      <c r="BM113" s="19"/>
      <c r="BP113" s="69"/>
      <c r="BQ113" s="69"/>
    </row>
    <row r="114" spans="1:69" ht="15" hidden="1" customHeight="1" x14ac:dyDescent="0.25">
      <c r="A114" s="358" t="s">
        <v>349</v>
      </c>
      <c r="B114" s="358" t="s">
        <v>7</v>
      </c>
      <c r="C114" s="358" t="s">
        <v>351</v>
      </c>
      <c r="D114" s="358" t="s">
        <v>19</v>
      </c>
      <c r="E114" s="358" t="s">
        <v>604</v>
      </c>
      <c r="F114" s="358" t="s">
        <v>19</v>
      </c>
      <c r="G114" s="358" t="s">
        <v>413</v>
      </c>
      <c r="H114" s="358" t="s">
        <v>419</v>
      </c>
      <c r="I114" s="358" t="s">
        <v>418</v>
      </c>
      <c r="J114" s="358" t="s">
        <v>496</v>
      </c>
      <c r="K114" s="358">
        <v>196192</v>
      </c>
      <c r="L114" s="358" t="s">
        <v>276</v>
      </c>
      <c r="M114" s="358" t="s">
        <v>548</v>
      </c>
      <c r="N114" s="75">
        <v>92.799861000000007</v>
      </c>
      <c r="O114" s="75">
        <v>20.185193999999999</v>
      </c>
      <c r="P114" s="358"/>
      <c r="Q114" s="879"/>
      <c r="R114" s="882"/>
      <c r="S114" s="892">
        <v>0</v>
      </c>
      <c r="T114" s="358" t="s">
        <v>343</v>
      </c>
      <c r="U114" s="358" t="s">
        <v>756</v>
      </c>
      <c r="V114" s="641" t="s">
        <v>22</v>
      </c>
      <c r="W114" s="642"/>
      <c r="X114" s="358"/>
      <c r="Y114" s="358"/>
      <c r="Z114" s="358"/>
      <c r="AA114" s="643" t="str">
        <f>CONCATENATE(Camp_List[[#This Row],[Ethnicity]],"-",Camp_List[[#This Row],[Religion]])</f>
        <v>-</v>
      </c>
      <c r="AB114" s="643"/>
      <c r="AC114" s="358"/>
      <c r="AD114" s="645" t="s">
        <v>774</v>
      </c>
      <c r="AE114" s="358" t="s">
        <v>504</v>
      </c>
      <c r="AF114" s="358" t="s">
        <v>520</v>
      </c>
      <c r="AG114" s="290">
        <v>41548</v>
      </c>
      <c r="AH114" s="647" t="s">
        <v>1063</v>
      </c>
      <c r="AI114" s="643">
        <f>IFERROR(VLOOKUP(Camp_List[[#This Row],[Responsible Agency]],Organization_t[],3,0),"")</f>
        <v>0</v>
      </c>
      <c r="AJ114" s="650">
        <f>IF((SUMIFS(Data_Shelter_t[Coverage],Data_Shelter_t[Pcode],Camp_List[[#This Row],[P_Code]]))&gt;1,1,SUMIFS(Data_Shelter_t[Coverage],Data_Shelter_t[Pcode],Camp_List[[#This Row],[P_Code]]))</f>
        <v>0</v>
      </c>
      <c r="BL114" s="19"/>
      <c r="BM114" s="19"/>
      <c r="BP114" s="69"/>
      <c r="BQ114" s="69"/>
    </row>
    <row r="115" spans="1:69" ht="15" hidden="1" customHeight="1" x14ac:dyDescent="0.25">
      <c r="A115" s="358" t="s">
        <v>349</v>
      </c>
      <c r="B115" s="358" t="s">
        <v>7</v>
      </c>
      <c r="C115" s="358" t="s">
        <v>351</v>
      </c>
      <c r="D115" s="358" t="s">
        <v>19</v>
      </c>
      <c r="E115" s="358" t="s">
        <v>604</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879"/>
      <c r="R115" s="882"/>
      <c r="S115" s="892">
        <v>0</v>
      </c>
      <c r="T115" s="358" t="s">
        <v>343</v>
      </c>
      <c r="U115" s="358" t="s">
        <v>756</v>
      </c>
      <c r="V115" s="641" t="s">
        <v>22</v>
      </c>
      <c r="W115" s="642"/>
      <c r="X115" s="358"/>
      <c r="Y115" s="358"/>
      <c r="Z115" s="358"/>
      <c r="AA115" s="643" t="str">
        <f>CONCATENATE(Camp_List[[#This Row],[Ethnicity]],"-",Camp_List[[#This Row],[Religion]])</f>
        <v>-</v>
      </c>
      <c r="AB115" s="643"/>
      <c r="AC115" s="358"/>
      <c r="AD115" s="645" t="s">
        <v>774</v>
      </c>
      <c r="AE115" s="358" t="s">
        <v>504</v>
      </c>
      <c r="AF115" s="358" t="s">
        <v>520</v>
      </c>
      <c r="AG115" s="290">
        <v>41548</v>
      </c>
      <c r="AH115" s="647" t="s">
        <v>1064</v>
      </c>
      <c r="AI115" s="643">
        <f>IFERROR(VLOOKUP(Camp_List[[#This Row],[Responsible Agency]],Organization_t[],3,0),"")</f>
        <v>0</v>
      </c>
      <c r="AJ115" s="650">
        <f>IF((SUMIFS(Data_Shelter_t[Coverage],Data_Shelter_t[Pcode],Camp_List[[#This Row],[P_Code]]))&gt;1,1,SUMIFS(Data_Shelter_t[Coverage],Data_Shelter_t[Pcode],Camp_List[[#This Row],[P_Code]]))</f>
        <v>0</v>
      </c>
      <c r="BL115" s="19"/>
      <c r="BM115" s="19"/>
      <c r="BP115" s="69"/>
      <c r="BQ115" s="69"/>
    </row>
    <row r="116" spans="1:69" ht="15" hidden="1" customHeight="1" x14ac:dyDescent="0.25">
      <c r="A116" s="358" t="s">
        <v>349</v>
      </c>
      <c r="B116" s="358" t="s">
        <v>7</v>
      </c>
      <c r="C116" s="358" t="s">
        <v>351</v>
      </c>
      <c r="D116" s="358" t="s">
        <v>19</v>
      </c>
      <c r="E116" s="358" t="s">
        <v>604</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879"/>
      <c r="R116" s="882"/>
      <c r="S116" s="892">
        <v>0</v>
      </c>
      <c r="T116" s="358" t="s">
        <v>343</v>
      </c>
      <c r="U116" s="358" t="s">
        <v>756</v>
      </c>
      <c r="V116" s="641" t="s">
        <v>23</v>
      </c>
      <c r="W116" s="642"/>
      <c r="X116" s="358"/>
      <c r="Y116" s="358"/>
      <c r="Z116" s="358"/>
      <c r="AA116" s="643" t="str">
        <f>CONCATENATE(Camp_List[[#This Row],[Ethnicity]],"-",Camp_List[[#This Row],[Religion]])</f>
        <v>-</v>
      </c>
      <c r="AB116" s="643"/>
      <c r="AC116" s="358"/>
      <c r="AD116" s="645" t="s">
        <v>774</v>
      </c>
      <c r="AE116" s="358" t="s">
        <v>504</v>
      </c>
      <c r="AF116" s="358" t="s">
        <v>520</v>
      </c>
      <c r="AG116" s="290">
        <v>41520</v>
      </c>
      <c r="AH116" s="647" t="s">
        <v>1065</v>
      </c>
      <c r="AI116" s="643">
        <f>IFERROR(VLOOKUP(Camp_List[[#This Row],[Responsible Agency]],Organization_t[],3,0),"")</f>
        <v>0</v>
      </c>
      <c r="AJ116" s="650">
        <f>IF((SUMIFS(Data_Shelter_t[Coverage],Data_Shelter_t[Pcode],Camp_List[[#This Row],[P_Code]]))&gt;1,1,SUMIFS(Data_Shelter_t[Coverage],Data_Shelter_t[Pcode],Camp_List[[#This Row],[P_Code]]))</f>
        <v>0</v>
      </c>
      <c r="BL116" s="19"/>
      <c r="BM116" s="19"/>
      <c r="BP116" s="69"/>
      <c r="BQ116" s="69"/>
    </row>
    <row r="117" spans="1:69" ht="15" hidden="1" customHeight="1" x14ac:dyDescent="0.25">
      <c r="A117" s="358" t="s">
        <v>349</v>
      </c>
      <c r="B117" s="358" t="s">
        <v>7</v>
      </c>
      <c r="C117" s="358" t="s">
        <v>351</v>
      </c>
      <c r="D117" s="358" t="s">
        <v>19</v>
      </c>
      <c r="E117" s="358" t="s">
        <v>604</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879"/>
      <c r="R117" s="882"/>
      <c r="S117" s="892">
        <v>0</v>
      </c>
      <c r="T117" s="358" t="s">
        <v>343</v>
      </c>
      <c r="U117" s="358" t="s">
        <v>756</v>
      </c>
      <c r="V117" s="641" t="s">
        <v>23</v>
      </c>
      <c r="W117" s="642"/>
      <c r="X117" s="358"/>
      <c r="Y117" s="358"/>
      <c r="Z117" s="358"/>
      <c r="AA117" s="643" t="str">
        <f>CONCATENATE(Camp_List[[#This Row],[Ethnicity]],"-",Camp_List[[#This Row],[Religion]])</f>
        <v>-</v>
      </c>
      <c r="AB117" s="643"/>
      <c r="AC117" s="358"/>
      <c r="AD117" s="645" t="s">
        <v>774</v>
      </c>
      <c r="AE117" s="358" t="s">
        <v>504</v>
      </c>
      <c r="AF117" s="358" t="s">
        <v>520</v>
      </c>
      <c r="AG117" s="290">
        <v>41520</v>
      </c>
      <c r="AH117" s="647"/>
      <c r="AI117" s="643">
        <f>IFERROR(VLOOKUP(Camp_List[[#This Row],[Responsible Agency]],Organization_t[],3,0),"")</f>
        <v>0</v>
      </c>
      <c r="AJ117" s="650">
        <f>IF((SUMIFS(Data_Shelter_t[Coverage],Data_Shelter_t[Pcode],Camp_List[[#This Row],[P_Code]]))&gt;1,1,SUMIFS(Data_Shelter_t[Coverage],Data_Shelter_t[Pcode],Camp_List[[#This Row],[P_Code]]))</f>
        <v>0</v>
      </c>
      <c r="BL117" s="19"/>
      <c r="BM117" s="19"/>
      <c r="BP117" s="69"/>
      <c r="BQ117" s="69"/>
    </row>
    <row r="118" spans="1:69" ht="15" hidden="1" customHeight="1" x14ac:dyDescent="0.25">
      <c r="A118" s="358" t="s">
        <v>349</v>
      </c>
      <c r="B118" s="358" t="s">
        <v>7</v>
      </c>
      <c r="C118" s="358" t="s">
        <v>351</v>
      </c>
      <c r="D118" s="358" t="s">
        <v>19</v>
      </c>
      <c r="E118" s="358" t="s">
        <v>604</v>
      </c>
      <c r="F118" s="358" t="s">
        <v>19</v>
      </c>
      <c r="G118" s="358" t="s">
        <v>413</v>
      </c>
      <c r="H118" s="358" t="s">
        <v>415</v>
      </c>
      <c r="I118" s="358" t="s">
        <v>414</v>
      </c>
      <c r="J118" s="358" t="s">
        <v>67</v>
      </c>
      <c r="K118" s="358">
        <v>196154</v>
      </c>
      <c r="L118" s="358" t="s">
        <v>72</v>
      </c>
      <c r="M118" s="358" t="s">
        <v>160</v>
      </c>
      <c r="N118" s="75">
        <v>92.792958999999996</v>
      </c>
      <c r="O118" s="75">
        <v>20.205295</v>
      </c>
      <c r="P118" s="358"/>
      <c r="Q118" s="879"/>
      <c r="R118" s="882"/>
      <c r="S118" s="892">
        <v>0</v>
      </c>
      <c r="T118" s="358" t="s">
        <v>343</v>
      </c>
      <c r="U118" s="358" t="s">
        <v>756</v>
      </c>
      <c r="V118" s="641" t="s">
        <v>23</v>
      </c>
      <c r="W118" s="642"/>
      <c r="X118" s="358"/>
      <c r="Y118" s="358"/>
      <c r="Z118" s="358"/>
      <c r="AA118" s="643" t="str">
        <f>CONCATENATE(Camp_List[[#This Row],[Ethnicity]],"-",Camp_List[[#This Row],[Religion]])</f>
        <v>-</v>
      </c>
      <c r="AB118" s="643"/>
      <c r="AC118" s="358"/>
      <c r="AD118" s="645" t="s">
        <v>774</v>
      </c>
      <c r="AE118" s="358" t="s">
        <v>504</v>
      </c>
      <c r="AF118" s="358" t="s">
        <v>520</v>
      </c>
      <c r="AG118" s="290">
        <v>41520</v>
      </c>
      <c r="AH118" s="647" t="s">
        <v>1066</v>
      </c>
      <c r="AI118" s="643">
        <f>IFERROR(VLOOKUP(Camp_List[[#This Row],[Responsible Agency]],Organization_t[],3,0),"")</f>
        <v>0</v>
      </c>
      <c r="AJ118" s="650">
        <f>IF((SUMIFS(Data_Shelter_t[Coverage],Data_Shelter_t[Pcode],Camp_List[[#This Row],[P_Code]]))&gt;1,1,SUMIFS(Data_Shelter_t[Coverage],Data_Shelter_t[Pcode],Camp_List[[#This Row],[P_Code]]))</f>
        <v>0</v>
      </c>
      <c r="BL118" s="19"/>
      <c r="BM118" s="19"/>
      <c r="BP118" s="69"/>
      <c r="BQ118" s="69"/>
    </row>
    <row r="119" spans="1:69" ht="15" hidden="1" customHeight="1" x14ac:dyDescent="0.25">
      <c r="A119" s="358" t="s">
        <v>349</v>
      </c>
      <c r="B119" s="358" t="s">
        <v>7</v>
      </c>
      <c r="C119" s="358" t="s">
        <v>351</v>
      </c>
      <c r="D119" s="358" t="s">
        <v>19</v>
      </c>
      <c r="E119" s="358" t="s">
        <v>604</v>
      </c>
      <c r="F119" s="358" t="s">
        <v>19</v>
      </c>
      <c r="G119" s="358" t="s">
        <v>413</v>
      </c>
      <c r="H119" s="358" t="s">
        <v>512</v>
      </c>
      <c r="I119" s="358" t="s">
        <v>560</v>
      </c>
      <c r="J119" s="358" t="s">
        <v>561</v>
      </c>
      <c r="K119" s="358" t="s">
        <v>562</v>
      </c>
      <c r="L119" s="358" t="s">
        <v>563</v>
      </c>
      <c r="M119" s="358" t="s">
        <v>564</v>
      </c>
      <c r="N119" s="75">
        <v>92.887277999999995</v>
      </c>
      <c r="O119" s="75">
        <v>20.151471999999998</v>
      </c>
      <c r="P119" s="358"/>
      <c r="Q119" s="879"/>
      <c r="R119" s="882"/>
      <c r="S119" s="892">
        <v>0</v>
      </c>
      <c r="T119" s="358" t="s">
        <v>343</v>
      </c>
      <c r="U119" s="358" t="s">
        <v>756</v>
      </c>
      <c r="V119" s="641" t="s">
        <v>23</v>
      </c>
      <c r="W119" s="642"/>
      <c r="X119" s="358"/>
      <c r="Y119" s="358"/>
      <c r="Z119" s="358"/>
      <c r="AA119" s="643" t="str">
        <f>CONCATENATE(Camp_List[[#This Row],[Ethnicity]],"-",Camp_List[[#This Row],[Religion]])</f>
        <v>-</v>
      </c>
      <c r="AB119" s="643"/>
      <c r="AC119" s="358"/>
      <c r="AD119" s="645" t="s">
        <v>774</v>
      </c>
      <c r="AE119" s="358" t="s">
        <v>504</v>
      </c>
      <c r="AF119" s="358" t="s">
        <v>520</v>
      </c>
      <c r="AG119" s="290">
        <v>41548</v>
      </c>
      <c r="AH119" s="647" t="s">
        <v>1067</v>
      </c>
      <c r="AI119" s="643">
        <f>IFERROR(VLOOKUP(Camp_List[[#This Row],[Responsible Agency]],Organization_t[],3,0),"")</f>
        <v>0</v>
      </c>
      <c r="AJ119" s="650">
        <f>IF((SUMIFS(Data_Shelter_t[Coverage],Data_Shelter_t[Pcode],Camp_List[[#This Row],[P_Code]]))&gt;1,1,SUMIFS(Data_Shelter_t[Coverage],Data_Shelter_t[Pcode],Camp_List[[#This Row],[P_Code]]))</f>
        <v>0</v>
      </c>
      <c r="BL119" s="19"/>
      <c r="BM119" s="19"/>
      <c r="BP119" s="69"/>
      <c r="BQ119" s="69"/>
    </row>
    <row r="120" spans="1:69" ht="15" hidden="1" customHeight="1" x14ac:dyDescent="0.25">
      <c r="A120" s="358" t="s">
        <v>655</v>
      </c>
      <c r="B120" s="358" t="s">
        <v>7</v>
      </c>
      <c r="C120" s="358" t="s">
        <v>351</v>
      </c>
      <c r="D120" s="358" t="s">
        <v>19</v>
      </c>
      <c r="E120" s="358" t="s">
        <v>604</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879"/>
      <c r="R120" s="882"/>
      <c r="S120" s="892">
        <v>0</v>
      </c>
      <c r="T120" s="358" t="s">
        <v>343</v>
      </c>
      <c r="U120" s="358" t="s">
        <v>756</v>
      </c>
      <c r="V120" s="641" t="s">
        <v>23</v>
      </c>
      <c r="W120" s="642"/>
      <c r="X120" s="358"/>
      <c r="Y120" s="358"/>
      <c r="Z120" s="358"/>
      <c r="AA120" s="643" t="str">
        <f>CONCATENATE(Camp_List[[#This Row],[Ethnicity]],"-",Camp_List[[#This Row],[Religion]])</f>
        <v>-</v>
      </c>
      <c r="AB120" s="643"/>
      <c r="AC120" s="358"/>
      <c r="AD120" s="645" t="s">
        <v>774</v>
      </c>
      <c r="AE120" s="358" t="s">
        <v>504</v>
      </c>
      <c r="AF120" s="358" t="s">
        <v>520</v>
      </c>
      <c r="AG120" s="290">
        <v>41579</v>
      </c>
      <c r="AH120" s="647" t="s">
        <v>1068</v>
      </c>
      <c r="AI120" s="643">
        <f>IFERROR(VLOOKUP(Camp_List[[#This Row],[Responsible Agency]],Organization_t[],3,0),"")</f>
        <v>0</v>
      </c>
      <c r="AJ120" s="650">
        <f>IF((SUMIFS(Data_Shelter_t[Coverage],Data_Shelter_t[Pcode],Camp_List[[#This Row],[P_Code]]))&gt;1,1,SUMIFS(Data_Shelter_t[Coverage],Data_Shelter_t[Pcode],Camp_List[[#This Row],[P_Code]]))</f>
        <v>0</v>
      </c>
      <c r="BL120" s="19"/>
      <c r="BM120" s="19"/>
      <c r="BP120" s="69"/>
      <c r="BQ120" s="69"/>
    </row>
    <row r="121" spans="1:69" ht="15" hidden="1" customHeight="1" x14ac:dyDescent="0.25">
      <c r="A121" s="358" t="s">
        <v>349</v>
      </c>
      <c r="B121" s="358" t="s">
        <v>7</v>
      </c>
      <c r="C121" s="358" t="s">
        <v>351</v>
      </c>
      <c r="D121" s="358" t="s">
        <v>19</v>
      </c>
      <c r="E121" s="358" t="s">
        <v>604</v>
      </c>
      <c r="F121" s="358" t="s">
        <v>19</v>
      </c>
      <c r="G121" s="358" t="s">
        <v>413</v>
      </c>
      <c r="H121" s="358" t="s">
        <v>417</v>
      </c>
      <c r="I121" s="358" t="s">
        <v>416</v>
      </c>
      <c r="J121" s="358" t="s">
        <v>495</v>
      </c>
      <c r="K121" s="358">
        <v>196211</v>
      </c>
      <c r="L121" s="358" t="s">
        <v>549</v>
      </c>
      <c r="M121" s="358" t="s">
        <v>550</v>
      </c>
      <c r="N121" s="75">
        <v>92.839166000000006</v>
      </c>
      <c r="O121" s="75">
        <v>20.157311</v>
      </c>
      <c r="P121" s="358"/>
      <c r="Q121" s="880"/>
      <c r="R121" s="883"/>
      <c r="S121" s="892"/>
      <c r="T121" s="358" t="s">
        <v>343</v>
      </c>
      <c r="U121" s="358" t="s">
        <v>756</v>
      </c>
      <c r="V121" s="641" t="s">
        <v>809</v>
      </c>
      <c r="W121" s="642"/>
      <c r="X121" s="358"/>
      <c r="Y121" s="358"/>
      <c r="Z121" s="358"/>
      <c r="AA121" s="643"/>
      <c r="AB121" s="643"/>
      <c r="AC121" s="358"/>
      <c r="AD121" s="645"/>
      <c r="AE121" s="358"/>
      <c r="AF121" s="358"/>
      <c r="AG121" s="290">
        <v>42278</v>
      </c>
      <c r="AH121" s="647" t="s">
        <v>869</v>
      </c>
      <c r="AI121" s="643" t="str">
        <f>IFERROR(VLOOKUP(Camp_List[[#This Row],[Responsible Agency]],Organization_t[],3,0),"")</f>
        <v/>
      </c>
      <c r="AJ121" s="650">
        <f>IF((SUMIFS(Data_Shelter_t[Coverage],Data_Shelter_t[Pcode],Camp_List[[#This Row],[P_Code]]))&gt;1,1,SUMIFS(Data_Shelter_t[Coverage],Data_Shelter_t[Pcode],Camp_List[[#This Row],[P_Code]]))</f>
        <v>0</v>
      </c>
      <c r="BL121" s="19"/>
      <c r="BM121" s="19"/>
      <c r="BP121" s="69"/>
      <c r="BQ121" s="69"/>
    </row>
    <row r="122" spans="1:69" hidden="1" x14ac:dyDescent="0.25">
      <c r="A122" s="75"/>
      <c r="B122" s="75"/>
      <c r="C122" s="75"/>
      <c r="D122" s="75"/>
      <c r="E122" s="75"/>
      <c r="F122" s="75"/>
      <c r="G122" s="75"/>
      <c r="H122" s="75"/>
      <c r="I122" s="75"/>
      <c r="J122" s="75"/>
      <c r="K122" s="75"/>
      <c r="L122" s="358"/>
      <c r="M122" s="75"/>
      <c r="N122" s="75"/>
      <c r="O122" s="75"/>
      <c r="P122" s="75"/>
      <c r="Q122" s="288"/>
      <c r="R122" s="874"/>
      <c r="S122" s="892"/>
      <c r="T122" s="641"/>
      <c r="U122" s="75"/>
      <c r="V122" s="696"/>
      <c r="W122" s="697"/>
      <c r="X122" s="75"/>
      <c r="Y122" s="75"/>
      <c r="Z122" s="75"/>
      <c r="AA122" s="643" t="str">
        <f>CONCATENATE(Camp_List[[#This Row],[Ethnicity]],"-",Camp_List[[#This Row],[Religion]])</f>
        <v>-</v>
      </c>
      <c r="AB122" s="643"/>
      <c r="AC122" s="645"/>
      <c r="AD122" s="645"/>
      <c r="AE122" s="697"/>
      <c r="AF122" s="75"/>
      <c r="AG122" s="698"/>
      <c r="AH122" s="643"/>
      <c r="AI122" s="699" t="str">
        <f>IFERROR(VLOOKUP(Camp_List[[#This Row],[Responsible Agency]],Organization_t[],3,0),"")</f>
        <v/>
      </c>
      <c r="AJ122" s="650">
        <f>IF((SUMIFS(Data_Shelter_t[Coverage],Data_Shelter_t[Pcode],Camp_List[[#This Row],[P_Code]]))&gt;1,1,SUMIFS(Data_Shelter_t[Coverage],Data_Shelter_t[Pcode],Camp_List[[#This Row],[P_Code]]))</f>
        <v>0</v>
      </c>
    </row>
    <row r="123" spans="1:69" hidden="1" x14ac:dyDescent="0.25">
      <c r="A123" s="75"/>
      <c r="B123" s="75"/>
      <c r="C123" s="75"/>
      <c r="D123" s="75"/>
      <c r="E123" s="75"/>
      <c r="F123" s="75"/>
      <c r="G123" s="75"/>
      <c r="H123" s="75"/>
      <c r="I123" s="75"/>
      <c r="J123" s="75"/>
      <c r="K123" s="75"/>
      <c r="L123" s="358"/>
      <c r="M123" s="75"/>
      <c r="N123" s="75"/>
      <c r="O123" s="75"/>
      <c r="P123" s="75"/>
      <c r="Q123" s="288"/>
      <c r="R123" s="874"/>
      <c r="S123" s="892"/>
      <c r="T123" s="641"/>
      <c r="U123" s="75"/>
      <c r="V123" s="696"/>
      <c r="W123" s="697"/>
      <c r="X123" s="75"/>
      <c r="Y123" s="75"/>
      <c r="Z123" s="75"/>
      <c r="AA123" s="643" t="str">
        <f>CONCATENATE(Camp_List[[#This Row],[Ethnicity]],"-",Camp_List[[#This Row],[Religion]])</f>
        <v>-</v>
      </c>
      <c r="AB123" s="643"/>
      <c r="AC123" s="645"/>
      <c r="AD123" s="645"/>
      <c r="AE123" s="697"/>
      <c r="AF123" s="75"/>
      <c r="AG123" s="698"/>
      <c r="AH123" s="643"/>
      <c r="AI123" s="699" t="str">
        <f>IFERROR(VLOOKUP(Camp_List[[#This Row],[Responsible Agency]],Organization_t[],3,0),"")</f>
        <v/>
      </c>
      <c r="AJ123" s="650">
        <f>IF((SUMIFS(Data_Shelter_t[Coverage],Data_Shelter_t[Pcode],Camp_List[[#This Row],[P_Code]]))&gt;1,1,SUMIFS(Data_Shelter_t[Coverage],Data_Shelter_t[Pcode],Camp_List[[#This Row],[P_Code]]))</f>
        <v>0</v>
      </c>
    </row>
    <row r="124" spans="1:69" hidden="1" x14ac:dyDescent="0.25">
      <c r="A124" s="75"/>
      <c r="B124" s="75"/>
      <c r="C124" s="75"/>
      <c r="D124" s="75"/>
      <c r="E124" s="75"/>
      <c r="F124" s="75"/>
      <c r="G124" s="75"/>
      <c r="H124" s="75"/>
      <c r="I124" s="75"/>
      <c r="J124" s="75"/>
      <c r="K124" s="75"/>
      <c r="L124" s="358"/>
      <c r="M124" s="75"/>
      <c r="N124" s="75"/>
      <c r="O124" s="75"/>
      <c r="P124" s="75"/>
      <c r="Q124" s="288"/>
      <c r="R124" s="874"/>
      <c r="S124" s="892"/>
      <c r="T124" s="641"/>
      <c r="U124" s="75"/>
      <c r="V124" s="696"/>
      <c r="W124" s="697"/>
      <c r="X124" s="75"/>
      <c r="Y124" s="75"/>
      <c r="Z124" s="75"/>
      <c r="AA124" s="643" t="str">
        <f>CONCATENATE(Camp_List[[#This Row],[Ethnicity]],"-",Camp_List[[#This Row],[Religion]])</f>
        <v>-</v>
      </c>
      <c r="AB124" s="643"/>
      <c r="AC124" s="645"/>
      <c r="AD124" s="645"/>
      <c r="AE124" s="697"/>
      <c r="AF124" s="75"/>
      <c r="AG124" s="698"/>
      <c r="AH124" s="643"/>
      <c r="AI124" s="699" t="str">
        <f>IFERROR(VLOOKUP(Camp_List[[#This Row],[Responsible Agency]],Organization_t[],3,0),"")</f>
        <v/>
      </c>
      <c r="AJ124" s="650">
        <f>IF((SUMIFS(Data_Shelter_t[Coverage],Data_Shelter_t[Pcode],Camp_List[[#This Row],[P_Code]]))&gt;1,1,SUMIFS(Data_Shelter_t[Coverage],Data_Shelter_t[Pcode],Camp_List[[#This Row],[P_Code]]))</f>
        <v>0</v>
      </c>
    </row>
    <row r="125" spans="1:69" hidden="1" x14ac:dyDescent="0.25">
      <c r="A125" s="75"/>
      <c r="B125" s="75"/>
      <c r="C125" s="75"/>
      <c r="D125" s="555"/>
      <c r="E125" s="75"/>
      <c r="F125" s="75"/>
      <c r="G125" s="75"/>
      <c r="H125" s="75"/>
      <c r="I125" s="75"/>
      <c r="J125" s="75"/>
      <c r="K125" s="555"/>
      <c r="L125" s="358"/>
      <c r="M125" s="75"/>
      <c r="N125" s="75"/>
      <c r="O125" s="75"/>
      <c r="P125" s="75"/>
      <c r="Q125" s="288"/>
      <c r="R125" s="874"/>
      <c r="S125" s="892"/>
      <c r="T125" s="641"/>
      <c r="U125" s="75"/>
      <c r="V125" s="696"/>
      <c r="W125" s="697"/>
      <c r="X125" s="75"/>
      <c r="Y125" s="75"/>
      <c r="Z125" s="75"/>
      <c r="AA125" s="643" t="str">
        <f>CONCATENATE(Camp_List[[#This Row],[Ethnicity]],"-",Camp_List[[#This Row],[Religion]])</f>
        <v>-</v>
      </c>
      <c r="AB125" s="643"/>
      <c r="AC125" s="645"/>
      <c r="AD125" s="645"/>
      <c r="AE125" s="697"/>
      <c r="AF125" s="75"/>
      <c r="AG125" s="698"/>
      <c r="AH125" s="643"/>
      <c r="AI125" s="699" t="str">
        <f>IFERROR(VLOOKUP(Camp_List[[#This Row],[Responsible Agency]],Organization_t[],3,0),"")</f>
        <v/>
      </c>
      <c r="AJ125" s="650">
        <f>IF((SUMIFS(Data_Shelter_t[Coverage],Data_Shelter_t[Pcode],Camp_List[[#This Row],[P_Code]]))&gt;1,1,SUMIFS(Data_Shelter_t[Coverage],Data_Shelter_t[Pcode],Camp_List[[#This Row],[P_Code]]))</f>
        <v>0</v>
      </c>
    </row>
    <row r="126" spans="1:69" hidden="1" x14ac:dyDescent="0.25">
      <c r="A126" s="75"/>
      <c r="B126" s="75"/>
      <c r="C126" s="75"/>
      <c r="D126" s="700"/>
      <c r="E126" s="75"/>
      <c r="F126" s="702"/>
      <c r="G126" s="75"/>
      <c r="H126" s="75"/>
      <c r="I126" s="75"/>
      <c r="J126" s="75"/>
      <c r="K126" s="555"/>
      <c r="L126" s="358"/>
      <c r="M126" s="75"/>
      <c r="N126" s="75"/>
      <c r="O126" s="75"/>
      <c r="P126" s="75"/>
      <c r="Q126" s="288"/>
      <c r="R126" s="874"/>
      <c r="S126" s="892"/>
      <c r="T126" s="641"/>
      <c r="U126" s="75"/>
      <c r="V126" s="696"/>
      <c r="W126" s="697"/>
      <c r="X126" s="75"/>
      <c r="Y126" s="75"/>
      <c r="Z126" s="75"/>
      <c r="AA126" s="643" t="str">
        <f>CONCATENATE(Camp_List[[#This Row],[Ethnicity]],"-",Camp_List[[#This Row],[Religion]])</f>
        <v>-</v>
      </c>
      <c r="AB126" s="643"/>
      <c r="AC126" s="645"/>
      <c r="AD126" s="645"/>
      <c r="AE126" s="697"/>
      <c r="AF126" s="75"/>
      <c r="AG126" s="698"/>
      <c r="AH126" s="643"/>
      <c r="AI126" s="699" t="str">
        <f>IFERROR(VLOOKUP(Camp_List[[#This Row],[Responsible Agency]],Organization_t[],3,0),"")</f>
        <v/>
      </c>
      <c r="AJ126" s="650">
        <f>IF((SUMIFS(Data_Shelter_t[Coverage],Data_Shelter_t[Pcode],Camp_List[[#This Row],[P_Code]]))&gt;1,1,SUMIFS(Data_Shelter_t[Coverage],Data_Shelter_t[Pcode],Camp_List[[#This Row],[P_Code]]))</f>
        <v>0</v>
      </c>
    </row>
    <row r="127" spans="1:69" hidden="1" x14ac:dyDescent="0.25">
      <c r="A127" s="75"/>
      <c r="B127" s="75"/>
      <c r="C127" s="75"/>
      <c r="D127" s="700"/>
      <c r="E127" s="75"/>
      <c r="F127" s="702"/>
      <c r="G127" s="75"/>
      <c r="H127" s="75"/>
      <c r="I127" s="75"/>
      <c r="J127" s="75"/>
      <c r="K127" s="555"/>
      <c r="L127" s="358"/>
      <c r="M127" s="75"/>
      <c r="N127" s="75"/>
      <c r="O127" s="75"/>
      <c r="P127" s="75"/>
      <c r="Q127" s="288"/>
      <c r="R127" s="874"/>
      <c r="S127" s="892"/>
      <c r="T127" s="641"/>
      <c r="U127" s="75"/>
      <c r="V127" s="641"/>
      <c r="W127" s="697"/>
      <c r="X127" s="75"/>
      <c r="Y127" s="75"/>
      <c r="Z127" s="75"/>
      <c r="AA127" s="643" t="str">
        <f>CONCATENATE(Camp_List[[#This Row],[Ethnicity]],"-",Camp_List[[#This Row],[Religion]])</f>
        <v>-</v>
      </c>
      <c r="AB127" s="643"/>
      <c r="AC127" s="645"/>
      <c r="AD127" s="645"/>
      <c r="AE127" s="697"/>
      <c r="AF127" s="75"/>
      <c r="AG127" s="698"/>
      <c r="AH127" s="643"/>
      <c r="AI127" s="699" t="str">
        <f>IFERROR(VLOOKUP(Camp_List[[#This Row],[Responsible Agency]],Organization_t[],3,0),"")</f>
        <v/>
      </c>
      <c r="AJ127" s="650">
        <f>IF((SUMIFS(Data_Shelter_t[Coverage],Data_Shelter_t[Pcode],Camp_List[[#This Row],[P_Code]]))&gt;1,1,SUMIFS(Data_Shelter_t[Coverage],Data_Shelter_t[Pcode],Camp_List[[#This Row],[P_Code]]))</f>
        <v>0</v>
      </c>
    </row>
    <row r="128" spans="1:69" hidden="1" x14ac:dyDescent="0.25">
      <c r="A128" s="75"/>
      <c r="B128" s="75"/>
      <c r="C128" s="75"/>
      <c r="D128" s="700"/>
      <c r="E128" s="75"/>
      <c r="F128" s="702"/>
      <c r="G128" s="75"/>
      <c r="H128" s="75"/>
      <c r="I128" s="75"/>
      <c r="J128" s="75"/>
      <c r="K128" s="555"/>
      <c r="L128" s="358"/>
      <c r="M128" s="75"/>
      <c r="N128" s="75"/>
      <c r="O128" s="75"/>
      <c r="P128" s="75"/>
      <c r="Q128" s="288"/>
      <c r="R128" s="874"/>
      <c r="S128" s="892"/>
      <c r="T128" s="641"/>
      <c r="U128" s="75"/>
      <c r="V128" s="641"/>
      <c r="W128" s="697"/>
      <c r="X128" s="75"/>
      <c r="Y128" s="75"/>
      <c r="Z128" s="75"/>
      <c r="AA128" s="643" t="str">
        <f>CONCATENATE(Camp_List[[#This Row],[Ethnicity]],"-",Camp_List[[#This Row],[Religion]])</f>
        <v>-</v>
      </c>
      <c r="AB128" s="643"/>
      <c r="AC128" s="645"/>
      <c r="AD128" s="645"/>
      <c r="AE128" s="697"/>
      <c r="AF128" s="75"/>
      <c r="AG128" s="698"/>
      <c r="AH128" s="643"/>
      <c r="AI128" s="699" t="str">
        <f>IFERROR(VLOOKUP(Camp_List[[#This Row],[Responsible Agency]],Organization_t[],3,0),"")</f>
        <v/>
      </c>
      <c r="AJ128" s="650">
        <f>IF((SUMIFS(Data_Shelter_t[Coverage],Data_Shelter_t[Pcode],Camp_List[[#This Row],[P_Code]]))&gt;1,1,SUMIFS(Data_Shelter_t[Coverage],Data_Shelter_t[Pcode],Camp_List[[#This Row],[P_Code]]))</f>
        <v>0</v>
      </c>
    </row>
    <row r="129" spans="1:36" hidden="1" x14ac:dyDescent="0.25">
      <c r="A129" s="75"/>
      <c r="B129" s="75"/>
      <c r="C129" s="75"/>
      <c r="D129" s="700"/>
      <c r="E129" s="75"/>
      <c r="F129" s="702"/>
      <c r="G129" s="75"/>
      <c r="H129" s="75"/>
      <c r="I129" s="75"/>
      <c r="J129" s="75"/>
      <c r="K129" s="555"/>
      <c r="L129" s="358"/>
      <c r="M129" s="75"/>
      <c r="N129" s="75"/>
      <c r="O129" s="75"/>
      <c r="P129" s="75"/>
      <c r="Q129" s="288"/>
      <c r="R129" s="874"/>
      <c r="S129" s="892"/>
      <c r="T129" s="641"/>
      <c r="U129" s="75"/>
      <c r="V129" s="641"/>
      <c r="W129" s="697"/>
      <c r="X129" s="75"/>
      <c r="Y129" s="75"/>
      <c r="Z129" s="75"/>
      <c r="AA129" s="643" t="str">
        <f>CONCATENATE(Camp_List[[#This Row],[Ethnicity]],"-",Camp_List[[#This Row],[Religion]])</f>
        <v>-</v>
      </c>
      <c r="AB129" s="643"/>
      <c r="AC129" s="645"/>
      <c r="AD129" s="645"/>
      <c r="AE129" s="697"/>
      <c r="AF129" s="75"/>
      <c r="AG129" s="698"/>
      <c r="AH129" s="643"/>
      <c r="AI129" s="699" t="str">
        <f>IFERROR(VLOOKUP(Camp_List[[#This Row],[Responsible Agency]],Organization_t[],3,0),"")</f>
        <v/>
      </c>
      <c r="AJ129" s="650">
        <f>IF((SUMIFS(Data_Shelter_t[Coverage],Data_Shelter_t[Pcode],Camp_List[[#This Row],[P_Code]]))&gt;1,1,SUMIFS(Data_Shelter_t[Coverage],Data_Shelter_t[Pcode],Camp_List[[#This Row],[P_Code]]))</f>
        <v>0</v>
      </c>
    </row>
    <row r="130" spans="1:36" hidden="1" x14ac:dyDescent="0.25">
      <c r="A130" s="75"/>
      <c r="B130" s="75"/>
      <c r="C130" s="75"/>
      <c r="D130" s="701"/>
      <c r="E130" s="75"/>
      <c r="F130" s="702"/>
      <c r="G130" s="75"/>
      <c r="H130" s="75"/>
      <c r="I130" s="75"/>
      <c r="J130" s="75"/>
      <c r="K130" s="555"/>
      <c r="L130" s="358"/>
      <c r="M130" s="75"/>
      <c r="N130" s="75"/>
      <c r="O130" s="75"/>
      <c r="P130" s="75"/>
      <c r="Q130" s="288"/>
      <c r="R130" s="874"/>
      <c r="S130" s="892"/>
      <c r="T130" s="641"/>
      <c r="U130" s="75"/>
      <c r="V130" s="641"/>
      <c r="W130" s="697"/>
      <c r="X130" s="75"/>
      <c r="Y130" s="75"/>
      <c r="Z130" s="75"/>
      <c r="AA130" s="643" t="str">
        <f>CONCATENATE(Camp_List[[#This Row],[Ethnicity]],"-",Camp_List[[#This Row],[Religion]])</f>
        <v>-</v>
      </c>
      <c r="AB130" s="643"/>
      <c r="AC130" s="645"/>
      <c r="AD130" s="645"/>
      <c r="AE130" s="697"/>
      <c r="AF130" s="75"/>
      <c r="AG130" s="698"/>
      <c r="AH130" s="643"/>
      <c r="AI130" s="699" t="str">
        <f>IFERROR(VLOOKUP(Camp_List[[#This Row],[Responsible Agency]],Organization_t[],3,0),"")</f>
        <v/>
      </c>
      <c r="AJ130" s="650">
        <f>IF((SUMIFS(Data_Shelter_t[Coverage],Data_Shelter_t[Pcode],Camp_List[[#This Row],[P_Code]]))&gt;1,1,SUMIFS(Data_Shelter_t[Coverage],Data_Shelter_t[Pcode],Camp_List[[#This Row],[P_Code]]))</f>
        <v>0</v>
      </c>
    </row>
    <row r="131" spans="1:36" hidden="1" x14ac:dyDescent="0.25">
      <c r="A131" s="75"/>
      <c r="B131" s="75"/>
      <c r="C131" s="75"/>
      <c r="D131" s="700"/>
      <c r="E131" s="75"/>
      <c r="F131" s="702"/>
      <c r="G131" s="75"/>
      <c r="H131" s="75"/>
      <c r="I131" s="75"/>
      <c r="J131" s="75"/>
      <c r="K131" s="555"/>
      <c r="L131" s="358"/>
      <c r="M131" s="75"/>
      <c r="N131" s="75"/>
      <c r="O131" s="75"/>
      <c r="P131" s="75"/>
      <c r="Q131" s="288"/>
      <c r="R131" s="874"/>
      <c r="S131" s="892"/>
      <c r="T131" s="641"/>
      <c r="U131" s="75"/>
      <c r="V131" s="641"/>
      <c r="W131" s="697"/>
      <c r="X131" s="75"/>
      <c r="Y131" s="75"/>
      <c r="Z131" s="75"/>
      <c r="AA131" s="643" t="str">
        <f>CONCATENATE(Camp_List[[#This Row],[Ethnicity]],"-",Camp_List[[#This Row],[Religion]])</f>
        <v>-</v>
      </c>
      <c r="AB131" s="643"/>
      <c r="AC131" s="645"/>
      <c r="AD131" s="645"/>
      <c r="AE131" s="697"/>
      <c r="AF131" s="75"/>
      <c r="AG131" s="698"/>
      <c r="AH131" s="643"/>
      <c r="AI131" s="699" t="str">
        <f>IFERROR(VLOOKUP(Camp_List[[#This Row],[Responsible Agency]],Organization_t[],3,0),"")</f>
        <v/>
      </c>
      <c r="AJ131" s="650">
        <f>IF((SUMIFS(Data_Shelter_t[Coverage],Data_Shelter_t[Pcode],Camp_List[[#This Row],[P_Code]]))&gt;1,1,SUMIFS(Data_Shelter_t[Coverage],Data_Shelter_t[Pcode],Camp_List[[#This Row],[P_Code]]))</f>
        <v>0</v>
      </c>
    </row>
    <row r="132" spans="1:36" hidden="1" x14ac:dyDescent="0.25">
      <c r="A132" s="75"/>
      <c r="B132" s="75"/>
      <c r="C132" s="75"/>
      <c r="D132" s="700"/>
      <c r="E132" s="75"/>
      <c r="F132" s="702"/>
      <c r="G132" s="75"/>
      <c r="H132" s="75"/>
      <c r="I132" s="75"/>
      <c r="J132" s="75"/>
      <c r="K132" s="555"/>
      <c r="L132" s="358"/>
      <c r="M132" s="75"/>
      <c r="N132" s="75"/>
      <c r="O132" s="75"/>
      <c r="P132" s="75"/>
      <c r="Q132" s="288"/>
      <c r="R132" s="874"/>
      <c r="S132" s="892"/>
      <c r="T132" s="641"/>
      <c r="U132" s="75"/>
      <c r="V132" s="641"/>
      <c r="W132" s="697"/>
      <c r="X132" s="75"/>
      <c r="Y132" s="75"/>
      <c r="Z132" s="75"/>
      <c r="AA132" s="643" t="str">
        <f>CONCATENATE(Camp_List[[#This Row],[Ethnicity]],"-",Camp_List[[#This Row],[Religion]])</f>
        <v>-</v>
      </c>
      <c r="AB132" s="643"/>
      <c r="AC132" s="645"/>
      <c r="AD132" s="645"/>
      <c r="AE132" s="697"/>
      <c r="AF132" s="75"/>
      <c r="AG132" s="698"/>
      <c r="AH132" s="643"/>
      <c r="AI132" s="699" t="str">
        <f>IFERROR(VLOOKUP(Camp_List[[#This Row],[Responsible Agency]],Organization_t[],3,0),"")</f>
        <v/>
      </c>
      <c r="AJ132" s="650">
        <f>IF((SUMIFS(Data_Shelter_t[Coverage],Data_Shelter_t[Pcode],Camp_List[[#This Row],[P_Code]]))&gt;1,1,SUMIFS(Data_Shelter_t[Coverage],Data_Shelter_t[Pcode],Camp_List[[#This Row],[P_Code]]))</f>
        <v>0</v>
      </c>
    </row>
    <row r="133" spans="1:36" hidden="1" x14ac:dyDescent="0.25">
      <c r="A133" s="75"/>
      <c r="B133" s="75"/>
      <c r="C133" s="75"/>
      <c r="D133" s="701"/>
      <c r="E133" s="75"/>
      <c r="F133" s="702"/>
      <c r="G133" s="75"/>
      <c r="H133" s="75"/>
      <c r="I133" s="75"/>
      <c r="J133" s="75"/>
      <c r="K133" s="556"/>
      <c r="L133" s="358"/>
      <c r="M133" s="75"/>
      <c r="N133" s="75"/>
      <c r="O133" s="75"/>
      <c r="P133" s="75"/>
      <c r="Q133" s="288"/>
      <c r="R133" s="874"/>
      <c r="S133" s="892"/>
      <c r="T133" s="641"/>
      <c r="U133" s="75"/>
      <c r="V133" s="641"/>
      <c r="W133" s="697"/>
      <c r="X133" s="75"/>
      <c r="Y133" s="75"/>
      <c r="Z133" s="75"/>
      <c r="AA133" s="643" t="str">
        <f>CONCATENATE(Camp_List[[#This Row],[Ethnicity]],"-",Camp_List[[#This Row],[Religion]])</f>
        <v>-</v>
      </c>
      <c r="AB133" s="643"/>
      <c r="AC133" s="645"/>
      <c r="AD133" s="645"/>
      <c r="AE133" s="697"/>
      <c r="AF133" s="75"/>
      <c r="AG133" s="698"/>
      <c r="AH133" s="643"/>
      <c r="AI133" s="699" t="str">
        <f>IFERROR(VLOOKUP(Camp_List[[#This Row],[Responsible Agency]],Organization_t[],3,0),"")</f>
        <v/>
      </c>
      <c r="AJ133" s="650">
        <f>IF((SUMIFS(Data_Shelter_t[Coverage],Data_Shelter_t[Pcode],Camp_List[[#This Row],[P_Code]]))&gt;1,1,SUMIFS(Data_Shelter_t[Coverage],Data_Shelter_t[Pcode],Camp_List[[#This Row],[P_Code]]))</f>
        <v>0</v>
      </c>
    </row>
    <row r="134" spans="1:36" hidden="1" x14ac:dyDescent="0.25">
      <c r="A134" s="75"/>
      <c r="B134" s="75"/>
      <c r="C134" s="75"/>
      <c r="D134" s="75"/>
      <c r="E134" s="75"/>
      <c r="F134" s="75"/>
      <c r="G134" s="75"/>
      <c r="H134" s="75"/>
      <c r="I134" s="75"/>
      <c r="J134" s="75"/>
      <c r="K134" s="555"/>
      <c r="L134" s="358"/>
      <c r="M134" s="75"/>
      <c r="N134" s="75"/>
      <c r="O134" s="75"/>
      <c r="P134" s="75"/>
      <c r="Q134" s="288"/>
      <c r="R134" s="874"/>
      <c r="S134" s="892"/>
      <c r="T134" s="641"/>
      <c r="U134" s="75"/>
      <c r="V134" s="641"/>
      <c r="W134" s="697"/>
      <c r="X134" s="75"/>
      <c r="Y134" s="75"/>
      <c r="Z134" s="75"/>
      <c r="AA134" s="643" t="str">
        <f>CONCATENATE(Camp_List[[#This Row],[Ethnicity]],"-",Camp_List[[#This Row],[Religion]])</f>
        <v>-</v>
      </c>
      <c r="AB134" s="643"/>
      <c r="AC134" s="645"/>
      <c r="AD134" s="645"/>
      <c r="AE134" s="697"/>
      <c r="AF134" s="75"/>
      <c r="AG134" s="698"/>
      <c r="AH134" s="643"/>
      <c r="AI134" s="699" t="str">
        <f>IFERROR(VLOOKUP(Camp_List[[#This Row],[Responsible Agency]],Organization_t[],3,0),"")</f>
        <v/>
      </c>
      <c r="AJ134" s="650">
        <f>IF((SUMIFS(Data_Shelter_t[Coverage],Data_Shelter_t[Pcode],Camp_List[[#This Row],[P_Code]]))&gt;1,1,SUMIFS(Data_Shelter_t[Coverage],Data_Shelter_t[Pcode],Camp_List[[#This Row],[P_Code]]))</f>
        <v>0</v>
      </c>
    </row>
    <row r="135" spans="1:36" hidden="1" x14ac:dyDescent="0.25">
      <c r="A135" s="75"/>
      <c r="B135" s="75"/>
      <c r="C135" s="75"/>
      <c r="D135" s="75"/>
      <c r="E135" s="75"/>
      <c r="F135" s="75"/>
      <c r="G135" s="75"/>
      <c r="H135" s="75"/>
      <c r="I135" s="75"/>
      <c r="J135" s="75"/>
      <c r="K135" s="555"/>
      <c r="L135" s="358"/>
      <c r="M135" s="75"/>
      <c r="N135" s="75"/>
      <c r="O135" s="75"/>
      <c r="P135" s="75"/>
      <c r="Q135" s="288"/>
      <c r="R135" s="874"/>
      <c r="S135" s="892"/>
      <c r="T135" s="641"/>
      <c r="U135" s="75"/>
      <c r="V135" s="641"/>
      <c r="W135" s="697"/>
      <c r="X135" s="75"/>
      <c r="Y135" s="75"/>
      <c r="Z135" s="75"/>
      <c r="AA135" s="643" t="str">
        <f>CONCATENATE(Camp_List[[#This Row],[Ethnicity]],"-",Camp_List[[#This Row],[Religion]])</f>
        <v>-</v>
      </c>
      <c r="AB135" s="643"/>
      <c r="AC135" s="645"/>
      <c r="AD135" s="645"/>
      <c r="AE135" s="697"/>
      <c r="AF135" s="75"/>
      <c r="AG135" s="698"/>
      <c r="AH135" s="643"/>
      <c r="AI135" s="699" t="str">
        <f>IFERROR(VLOOKUP(Camp_List[[#This Row],[Responsible Agency]],Organization_t[],3,0),"")</f>
        <v/>
      </c>
      <c r="AJ135" s="650">
        <f>IF((SUMIFS(Data_Shelter_t[Coverage],Data_Shelter_t[Pcode],Camp_List[[#This Row],[P_Code]]))&gt;1,1,SUMIFS(Data_Shelter_t[Coverage],Data_Shelter_t[Pcode],Camp_List[[#This Row],[P_Code]]))</f>
        <v>0</v>
      </c>
    </row>
    <row r="136" spans="1:36" hidden="1" x14ac:dyDescent="0.25">
      <c r="A136" s="75"/>
      <c r="B136" s="75"/>
      <c r="C136" s="75"/>
      <c r="D136" s="75"/>
      <c r="E136" s="75"/>
      <c r="F136" s="75"/>
      <c r="G136" s="75"/>
      <c r="H136" s="75"/>
      <c r="I136" s="75"/>
      <c r="J136" s="75"/>
      <c r="K136" s="555"/>
      <c r="L136" s="358"/>
      <c r="M136" s="75"/>
      <c r="N136" s="75"/>
      <c r="O136" s="75"/>
      <c r="P136" s="75"/>
      <c r="Q136" s="288"/>
      <c r="R136" s="874"/>
      <c r="S136" s="892"/>
      <c r="T136" s="641"/>
      <c r="U136" s="75"/>
      <c r="V136" s="641"/>
      <c r="W136" s="697"/>
      <c r="X136" s="75"/>
      <c r="Y136" s="75"/>
      <c r="Z136" s="75"/>
      <c r="AA136" s="643" t="str">
        <f>CONCATENATE(Camp_List[[#This Row],[Ethnicity]],"-",Camp_List[[#This Row],[Religion]])</f>
        <v>-</v>
      </c>
      <c r="AB136" s="643"/>
      <c r="AC136" s="645"/>
      <c r="AD136" s="645"/>
      <c r="AE136" s="697"/>
      <c r="AF136" s="75"/>
      <c r="AG136" s="698"/>
      <c r="AH136" s="643"/>
      <c r="AI136" s="699" t="str">
        <f>IFERROR(VLOOKUP(Camp_List[[#This Row],[Responsible Agency]],Organization_t[],3,0),"")</f>
        <v/>
      </c>
      <c r="AJ136" s="650">
        <f>IF((SUMIFS(Data_Shelter_t[Coverage],Data_Shelter_t[Pcode],Camp_List[[#This Row],[P_Code]]))&gt;1,1,SUMIFS(Data_Shelter_t[Coverage],Data_Shelter_t[Pcode],Camp_List[[#This Row],[P_Code]]))</f>
        <v>0</v>
      </c>
    </row>
    <row r="137" spans="1:36" hidden="1" x14ac:dyDescent="0.25">
      <c r="A137" s="75"/>
      <c r="B137" s="75"/>
      <c r="C137" s="75"/>
      <c r="D137" s="75"/>
      <c r="E137" s="75"/>
      <c r="F137" s="75"/>
      <c r="G137" s="75"/>
      <c r="H137" s="75"/>
      <c r="I137" s="75"/>
      <c r="J137" s="75"/>
      <c r="K137" s="75"/>
      <c r="L137" s="358"/>
      <c r="M137" s="75"/>
      <c r="N137" s="75"/>
      <c r="O137" s="75"/>
      <c r="P137" s="75"/>
      <c r="Q137" s="288"/>
      <c r="R137" s="874"/>
      <c r="S137" s="892"/>
      <c r="T137" s="641"/>
      <c r="U137" s="75"/>
      <c r="V137" s="641"/>
      <c r="W137" s="697"/>
      <c r="X137" s="75"/>
      <c r="Y137" s="75"/>
      <c r="Z137" s="75"/>
      <c r="AA137" s="643" t="str">
        <f>CONCATENATE(Camp_List[[#This Row],[Ethnicity]],"-",Camp_List[[#This Row],[Religion]])</f>
        <v>-</v>
      </c>
      <c r="AB137" s="643"/>
      <c r="AC137" s="645"/>
      <c r="AD137" s="645"/>
      <c r="AE137" s="697"/>
      <c r="AF137" s="75"/>
      <c r="AG137" s="698"/>
      <c r="AH137" s="643"/>
      <c r="AI137" s="699" t="str">
        <f>IFERROR(VLOOKUP(Camp_List[[#This Row],[Responsible Agency]],Organization_t[],3,0),"")</f>
        <v/>
      </c>
      <c r="AJ137" s="650">
        <f>IF((SUMIFS(Data_Shelter_t[Coverage],Data_Shelter_t[Pcode],Camp_List[[#This Row],[P_Code]]))&gt;1,1,SUMIFS(Data_Shelter_t[Coverage],Data_Shelter_t[Pcode],Camp_List[[#This Row],[P_Code]]))</f>
        <v>0</v>
      </c>
    </row>
    <row r="138" spans="1:36" hidden="1" x14ac:dyDescent="0.25">
      <c r="A138" s="75"/>
      <c r="B138" s="75"/>
      <c r="C138" s="75"/>
      <c r="D138" s="75"/>
      <c r="E138" s="75"/>
      <c r="F138" s="75"/>
      <c r="G138" s="75"/>
      <c r="H138" s="75"/>
      <c r="I138" s="75"/>
      <c r="J138" s="75"/>
      <c r="K138" s="75"/>
      <c r="L138" s="358"/>
      <c r="M138" s="75"/>
      <c r="N138" s="75"/>
      <c r="O138" s="75"/>
      <c r="P138" s="75"/>
      <c r="Q138" s="288"/>
      <c r="R138" s="874"/>
      <c r="S138" s="892"/>
      <c r="T138" s="641"/>
      <c r="U138" s="75"/>
      <c r="V138" s="641"/>
      <c r="W138" s="697"/>
      <c r="X138" s="75"/>
      <c r="Y138" s="75"/>
      <c r="Z138" s="75"/>
      <c r="AA138" s="643" t="str">
        <f>CONCATENATE(Camp_List[[#This Row],[Ethnicity]],"-",Camp_List[[#This Row],[Religion]])</f>
        <v>-</v>
      </c>
      <c r="AB138" s="643"/>
      <c r="AC138" s="645"/>
      <c r="AD138" s="645"/>
      <c r="AE138" s="697"/>
      <c r="AF138" s="75"/>
      <c r="AG138" s="698"/>
      <c r="AH138" s="643"/>
      <c r="AI138" s="699" t="str">
        <f>IFERROR(VLOOKUP(Camp_List[[#This Row],[Responsible Agency]],Organization_t[],3,0),"")</f>
        <v/>
      </c>
      <c r="AJ138" s="650">
        <f>IF((SUMIFS(Data_Shelter_t[Coverage],Data_Shelter_t[Pcode],Camp_List[[#This Row],[P_Code]]))&gt;1,1,SUMIFS(Data_Shelter_t[Coverage],Data_Shelter_t[Pcode],Camp_List[[#This Row],[P_Code]]))</f>
        <v>0</v>
      </c>
    </row>
    <row r="139" spans="1:36" hidden="1" x14ac:dyDescent="0.25">
      <c r="A139" s="75"/>
      <c r="B139" s="75"/>
      <c r="C139" s="75"/>
      <c r="D139" s="75"/>
      <c r="E139" s="75"/>
      <c r="F139" s="75"/>
      <c r="G139" s="75"/>
      <c r="H139" s="75"/>
      <c r="I139" s="75"/>
      <c r="J139" s="75"/>
      <c r="K139" s="75"/>
      <c r="L139" s="358"/>
      <c r="M139" s="75"/>
      <c r="N139" s="75"/>
      <c r="O139" s="75"/>
      <c r="P139" s="75"/>
      <c r="Q139" s="288"/>
      <c r="R139" s="874"/>
      <c r="S139" s="892"/>
      <c r="T139" s="641"/>
      <c r="U139" s="75"/>
      <c r="V139" s="641"/>
      <c r="W139" s="697"/>
      <c r="X139" s="75"/>
      <c r="Y139" s="75"/>
      <c r="Z139" s="75"/>
      <c r="AA139" s="643" t="str">
        <f>CONCATENATE(Camp_List[[#This Row],[Ethnicity]],"-",Camp_List[[#This Row],[Religion]])</f>
        <v>-</v>
      </c>
      <c r="AB139" s="643"/>
      <c r="AC139" s="645"/>
      <c r="AD139" s="645"/>
      <c r="AE139" s="697"/>
      <c r="AF139" s="75"/>
      <c r="AG139" s="698"/>
      <c r="AH139" s="643"/>
      <c r="AI139" s="699" t="str">
        <f>IFERROR(VLOOKUP(Camp_List[[#This Row],[Responsible Agency]],Organization_t[],3,0),"")</f>
        <v/>
      </c>
      <c r="AJ139" s="650">
        <f>IF((SUMIFS(Data_Shelter_t[Coverage],Data_Shelter_t[Pcode],Camp_List[[#This Row],[P_Code]]))&gt;1,1,SUMIFS(Data_Shelter_t[Coverage],Data_Shelter_t[Pcode],Camp_List[[#This Row],[P_Code]]))</f>
        <v>0</v>
      </c>
    </row>
    <row r="140" spans="1:36" hidden="1" x14ac:dyDescent="0.25">
      <c r="A140" s="75"/>
      <c r="B140" s="75"/>
      <c r="C140" s="75"/>
      <c r="D140" s="75"/>
      <c r="E140" s="75"/>
      <c r="F140" s="75"/>
      <c r="G140" s="75"/>
      <c r="H140" s="75"/>
      <c r="I140" s="75"/>
      <c r="J140" s="75"/>
      <c r="K140" s="75"/>
      <c r="L140" s="358"/>
      <c r="M140" s="75"/>
      <c r="N140" s="75"/>
      <c r="O140" s="75"/>
      <c r="P140" s="75"/>
      <c r="Q140" s="288"/>
      <c r="R140" s="874"/>
      <c r="S140" s="892"/>
      <c r="T140" s="641"/>
      <c r="U140" s="75"/>
      <c r="V140" s="641"/>
      <c r="W140" s="697"/>
      <c r="X140" s="75"/>
      <c r="Y140" s="75"/>
      <c r="Z140" s="75"/>
      <c r="AA140" s="643" t="str">
        <f>CONCATENATE(Camp_List[[#This Row],[Ethnicity]],"-",Camp_List[[#This Row],[Religion]])</f>
        <v>-</v>
      </c>
      <c r="AB140" s="643"/>
      <c r="AC140" s="645"/>
      <c r="AD140" s="645"/>
      <c r="AE140" s="697"/>
      <c r="AF140" s="75"/>
      <c r="AG140" s="698"/>
      <c r="AH140" s="643"/>
      <c r="AI140" s="699" t="str">
        <f>IFERROR(VLOOKUP(Camp_List[[#This Row],[Responsible Agency]],Organization_t[],3,0),"")</f>
        <v/>
      </c>
      <c r="AJ140" s="650">
        <f>IF((SUMIFS(Data_Shelter_t[Coverage],Data_Shelter_t[Pcode],Camp_List[[#This Row],[P_Code]]))&gt;1,1,SUMIFS(Data_Shelter_t[Coverage],Data_Shelter_t[Pcode],Camp_List[[#This Row],[P_Code]]))</f>
        <v>0</v>
      </c>
    </row>
    <row r="141" spans="1:36" hidden="1" x14ac:dyDescent="0.25">
      <c r="A141" s="75"/>
      <c r="B141" s="75"/>
      <c r="C141" s="75"/>
      <c r="D141" s="75"/>
      <c r="E141" s="75"/>
      <c r="F141" s="75"/>
      <c r="G141" s="75"/>
      <c r="H141" s="75"/>
      <c r="I141" s="75"/>
      <c r="J141" s="75"/>
      <c r="K141" s="75"/>
      <c r="L141" s="358"/>
      <c r="M141" s="75"/>
      <c r="N141" s="75"/>
      <c r="O141" s="75"/>
      <c r="P141" s="75"/>
      <c r="Q141" s="288"/>
      <c r="R141" s="874"/>
      <c r="S141" s="892"/>
      <c r="T141" s="641"/>
      <c r="U141" s="75"/>
      <c r="V141" s="641"/>
      <c r="W141" s="697"/>
      <c r="X141" s="75"/>
      <c r="Y141" s="75"/>
      <c r="Z141" s="75"/>
      <c r="AA141" s="643" t="str">
        <f>CONCATENATE(Camp_List[[#This Row],[Ethnicity]],"-",Camp_List[[#This Row],[Religion]])</f>
        <v>-</v>
      </c>
      <c r="AB141" s="643"/>
      <c r="AC141" s="645"/>
      <c r="AD141" s="645"/>
      <c r="AE141" s="697"/>
      <c r="AF141" s="75"/>
      <c r="AG141" s="698"/>
      <c r="AH141" s="643"/>
      <c r="AI141" s="699" t="str">
        <f>IFERROR(VLOOKUP(Camp_List[[#This Row],[Responsible Agency]],Organization_t[],3,0),"")</f>
        <v/>
      </c>
      <c r="AJ141" s="650">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593" priority="10" operator="equal">
      <formula>"close"</formula>
    </cfRule>
  </conditionalFormatting>
  <conditionalFormatting sqref="A72:A121">
    <cfRule type="cellIs" dxfId="592" priority="5" operator="equal">
      <formula>"close"</formula>
    </cfRule>
  </conditionalFormatting>
  <conditionalFormatting sqref="A53:A55 A57:A71">
    <cfRule type="cellIs" dxfId="591" priority="3" operator="equal">
      <formula>"close"</formula>
    </cfRule>
  </conditionalFormatting>
  <conditionalFormatting sqref="A56">
    <cfRule type="cellIs" dxfId="590"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528" t="s">
        <v>346</v>
      </c>
      <c r="B3" s="523" t="s">
        <v>10</v>
      </c>
      <c r="C3" s="523" t="s">
        <v>533</v>
      </c>
      <c r="D3" s="524" t="s">
        <v>0</v>
      </c>
      <c r="E3" s="524" t="s">
        <v>9</v>
      </c>
      <c r="F3" s="524" t="s">
        <v>8</v>
      </c>
      <c r="G3" s="523" t="s">
        <v>2</v>
      </c>
      <c r="H3" s="523" t="s">
        <v>3</v>
      </c>
      <c r="I3" s="524" t="s">
        <v>650</v>
      </c>
      <c r="J3" s="525" t="s">
        <v>4</v>
      </c>
      <c r="K3" s="525" t="s">
        <v>5</v>
      </c>
      <c r="L3" s="526" t="s">
        <v>337</v>
      </c>
      <c r="M3" s="524" t="s">
        <v>808</v>
      </c>
      <c r="N3" s="524" t="s">
        <v>755</v>
      </c>
      <c r="O3" s="524" t="s">
        <v>24</v>
      </c>
      <c r="P3" s="524" t="s">
        <v>862</v>
      </c>
      <c r="Q3" s="524" t="s">
        <v>651</v>
      </c>
      <c r="R3" s="524" t="s">
        <v>757</v>
      </c>
      <c r="S3" s="527" t="s">
        <v>758</v>
      </c>
      <c r="T3" s="527" t="s">
        <v>763</v>
      </c>
      <c r="U3" s="524" t="s">
        <v>664</v>
      </c>
      <c r="V3" s="524" t="s">
        <v>663</v>
      </c>
      <c r="W3" s="524" t="s">
        <v>340</v>
      </c>
      <c r="X3" s="524" t="s">
        <v>341</v>
      </c>
      <c r="Y3" s="524" t="s">
        <v>350</v>
      </c>
      <c r="Z3" s="524" t="s">
        <v>345</v>
      </c>
      <c r="AA3" s="524" t="s">
        <v>800</v>
      </c>
    </row>
    <row r="4" spans="1:27" x14ac:dyDescent="0.25">
      <c r="A4" s="529" t="s">
        <v>349</v>
      </c>
      <c r="B4" s="541" t="s">
        <v>7</v>
      </c>
      <c r="C4" s="541" t="s">
        <v>19</v>
      </c>
      <c r="D4" s="541" t="s">
        <v>15</v>
      </c>
      <c r="E4" s="541" t="s">
        <v>46</v>
      </c>
      <c r="F4" s="541" t="s">
        <v>132</v>
      </c>
      <c r="G4" s="542">
        <v>93.003204999999994</v>
      </c>
      <c r="H4" s="542">
        <v>20.921424999999999</v>
      </c>
      <c r="I4" s="541"/>
      <c r="J4" s="533">
        <v>24</v>
      </c>
      <c r="K4" s="533">
        <v>140</v>
      </c>
      <c r="L4" s="534">
        <v>6.0869565217391308</v>
      </c>
      <c r="M4" s="535" t="s">
        <v>343</v>
      </c>
      <c r="N4" s="535" t="s">
        <v>756</v>
      </c>
      <c r="O4" s="535" t="s">
        <v>809</v>
      </c>
      <c r="P4" s="536" t="s">
        <v>863</v>
      </c>
      <c r="Q4" s="535"/>
      <c r="R4" s="535" t="s">
        <v>774</v>
      </c>
      <c r="S4" s="535" t="s">
        <v>657</v>
      </c>
      <c r="T4" s="535" t="s">
        <v>775</v>
      </c>
      <c r="U4" s="535" t="s">
        <v>662</v>
      </c>
      <c r="V4" s="535" t="s">
        <v>285</v>
      </c>
      <c r="W4" s="535" t="s">
        <v>504</v>
      </c>
      <c r="X4" s="535" t="s">
        <v>520</v>
      </c>
      <c r="Y4" s="538">
        <v>42415</v>
      </c>
      <c r="Z4" s="535" t="s">
        <v>944</v>
      </c>
      <c r="AA4" s="542" t="s">
        <v>973</v>
      </c>
    </row>
    <row r="5" spans="1:27" x14ac:dyDescent="0.25">
      <c r="A5" s="529" t="s">
        <v>349</v>
      </c>
      <c r="B5" s="541" t="s">
        <v>7</v>
      </c>
      <c r="C5" s="541" t="s">
        <v>19</v>
      </c>
      <c r="D5" s="541" t="s">
        <v>15</v>
      </c>
      <c r="E5" s="541" t="s">
        <v>49</v>
      </c>
      <c r="F5" s="541" t="s">
        <v>135</v>
      </c>
      <c r="G5" s="542">
        <v>93.014349999999993</v>
      </c>
      <c r="H5" s="542">
        <v>20.896740000000001</v>
      </c>
      <c r="I5" s="541"/>
      <c r="J5" s="533">
        <v>14</v>
      </c>
      <c r="K5" s="533">
        <v>84</v>
      </c>
      <c r="L5" s="534">
        <v>6</v>
      </c>
      <c r="M5" s="535" t="s">
        <v>343</v>
      </c>
      <c r="N5" s="535" t="s">
        <v>756</v>
      </c>
      <c r="O5" s="535" t="s">
        <v>809</v>
      </c>
      <c r="P5" s="536" t="s">
        <v>863</v>
      </c>
      <c r="Q5" s="535"/>
      <c r="R5" s="535" t="s">
        <v>774</v>
      </c>
      <c r="S5" s="535" t="s">
        <v>657</v>
      </c>
      <c r="T5" s="535" t="s">
        <v>775</v>
      </c>
      <c r="U5" s="535" t="s">
        <v>662</v>
      </c>
      <c r="V5" s="535" t="s">
        <v>285</v>
      </c>
      <c r="W5" s="535" t="s">
        <v>504</v>
      </c>
      <c r="X5" s="535" t="s">
        <v>520</v>
      </c>
      <c r="Y5" s="538">
        <v>42415</v>
      </c>
      <c r="Z5" s="535" t="s">
        <v>945</v>
      </c>
      <c r="AA5" s="542" t="s">
        <v>973</v>
      </c>
    </row>
    <row r="6" spans="1:27" x14ac:dyDescent="0.25">
      <c r="A6" s="529" t="s">
        <v>349</v>
      </c>
      <c r="B6" s="541" t="s">
        <v>7</v>
      </c>
      <c r="C6" s="541" t="s">
        <v>19</v>
      </c>
      <c r="D6" s="541" t="s">
        <v>15</v>
      </c>
      <c r="E6" s="541" t="s">
        <v>48</v>
      </c>
      <c r="F6" s="541" t="s">
        <v>134</v>
      </c>
      <c r="G6" s="542">
        <v>92.961841000000007</v>
      </c>
      <c r="H6" s="542">
        <v>20.720213000000001</v>
      </c>
      <c r="I6" s="541"/>
      <c r="J6" s="533">
        <v>92</v>
      </c>
      <c r="K6" s="533">
        <v>559</v>
      </c>
      <c r="L6" s="534">
        <v>6.0760869565217392</v>
      </c>
      <c r="M6" s="535" t="s">
        <v>343</v>
      </c>
      <c r="N6" s="535" t="s">
        <v>756</v>
      </c>
      <c r="O6" s="535" t="s">
        <v>809</v>
      </c>
      <c r="P6" s="536" t="s">
        <v>863</v>
      </c>
      <c r="Q6" s="535"/>
      <c r="R6" s="535" t="s">
        <v>774</v>
      </c>
      <c r="S6" s="535" t="s">
        <v>657</v>
      </c>
      <c r="T6" s="535" t="s">
        <v>775</v>
      </c>
      <c r="U6" s="535" t="s">
        <v>662</v>
      </c>
      <c r="V6" s="535" t="s">
        <v>285</v>
      </c>
      <c r="W6" s="535" t="s">
        <v>504</v>
      </c>
      <c r="X6" s="535" t="s">
        <v>927</v>
      </c>
      <c r="Y6" s="538">
        <v>42415</v>
      </c>
      <c r="Z6" s="535" t="s">
        <v>946</v>
      </c>
      <c r="AA6" s="542" t="s">
        <v>973</v>
      </c>
    </row>
    <row r="7" spans="1:27" x14ac:dyDescent="0.25">
      <c r="A7" s="529" t="s">
        <v>655</v>
      </c>
      <c r="B7" s="541" t="s">
        <v>7</v>
      </c>
      <c r="C7" s="541" t="s">
        <v>19</v>
      </c>
      <c r="D7" s="541" t="s">
        <v>15</v>
      </c>
      <c r="E7" s="541" t="s">
        <v>51</v>
      </c>
      <c r="F7" s="541" t="s">
        <v>137</v>
      </c>
      <c r="G7" s="542">
        <v>93.014089999999996</v>
      </c>
      <c r="H7" s="542">
        <v>20.713259999999998</v>
      </c>
      <c r="I7" s="541"/>
      <c r="J7" s="533">
        <v>116</v>
      </c>
      <c r="K7" s="533">
        <v>802</v>
      </c>
      <c r="L7" s="534">
        <v>6.8879310344827589</v>
      </c>
      <c r="M7" s="535" t="s">
        <v>343</v>
      </c>
      <c r="N7" s="535" t="s">
        <v>756</v>
      </c>
      <c r="O7" s="535" t="s">
        <v>809</v>
      </c>
      <c r="P7" s="536" t="s">
        <v>863</v>
      </c>
      <c r="Q7" s="535"/>
      <c r="R7" s="535" t="s">
        <v>774</v>
      </c>
      <c r="S7" s="535" t="s">
        <v>657</v>
      </c>
      <c r="T7" s="535" t="s">
        <v>775</v>
      </c>
      <c r="U7" s="535" t="s">
        <v>662</v>
      </c>
      <c r="V7" s="535" t="s">
        <v>285</v>
      </c>
      <c r="W7" s="535" t="s">
        <v>504</v>
      </c>
      <c r="X7" s="535" t="s">
        <v>927</v>
      </c>
      <c r="Y7" s="538">
        <v>42415</v>
      </c>
      <c r="Z7" s="535" t="s">
        <v>947</v>
      </c>
      <c r="AA7" s="542" t="s">
        <v>973</v>
      </c>
    </row>
    <row r="8" spans="1:27" x14ac:dyDescent="0.25">
      <c r="A8" s="529" t="s">
        <v>349</v>
      </c>
      <c r="B8" s="541" t="s">
        <v>7</v>
      </c>
      <c r="C8" s="541" t="s">
        <v>19</v>
      </c>
      <c r="D8" s="541" t="s">
        <v>15</v>
      </c>
      <c r="E8" s="541" t="s">
        <v>50</v>
      </c>
      <c r="F8" s="541" t="s">
        <v>136</v>
      </c>
      <c r="G8" s="542">
        <v>93.009900000000002</v>
      </c>
      <c r="H8" s="542">
        <v>20.696819999999999</v>
      </c>
      <c r="I8" s="541"/>
      <c r="J8" s="533">
        <v>236</v>
      </c>
      <c r="K8" s="533">
        <v>1524</v>
      </c>
      <c r="L8" s="534">
        <v>6.4576271186440675</v>
      </c>
      <c r="M8" s="535" t="s">
        <v>343</v>
      </c>
      <c r="N8" s="535" t="s">
        <v>756</v>
      </c>
      <c r="O8" s="535" t="s">
        <v>809</v>
      </c>
      <c r="P8" s="536" t="s">
        <v>863</v>
      </c>
      <c r="Q8" s="535"/>
      <c r="R8" s="535" t="s">
        <v>774</v>
      </c>
      <c r="S8" s="535" t="s">
        <v>657</v>
      </c>
      <c r="T8" s="535" t="s">
        <v>775</v>
      </c>
      <c r="U8" s="535" t="s">
        <v>662</v>
      </c>
      <c r="V8" s="535" t="s">
        <v>285</v>
      </c>
      <c r="W8" s="535" t="s">
        <v>504</v>
      </c>
      <c r="X8" s="535" t="s">
        <v>927</v>
      </c>
      <c r="Y8" s="538">
        <v>42415</v>
      </c>
      <c r="Z8" s="535" t="s">
        <v>948</v>
      </c>
      <c r="AA8" s="542" t="s">
        <v>973</v>
      </c>
    </row>
    <row r="9" spans="1:27" x14ac:dyDescent="0.25">
      <c r="A9" s="529" t="s">
        <v>349</v>
      </c>
      <c r="B9" s="541" t="s">
        <v>7</v>
      </c>
      <c r="C9" s="541" t="s">
        <v>19</v>
      </c>
      <c r="D9" s="541" t="s">
        <v>15</v>
      </c>
      <c r="E9" s="541" t="s">
        <v>54</v>
      </c>
      <c r="F9" s="541" t="s">
        <v>140</v>
      </c>
      <c r="G9" s="542">
        <v>93.006497999999993</v>
      </c>
      <c r="H9" s="542">
        <v>20.886997999999998</v>
      </c>
      <c r="I9" s="541"/>
      <c r="J9" s="533">
        <v>97</v>
      </c>
      <c r="K9" s="533">
        <v>557</v>
      </c>
      <c r="L9" s="534">
        <v>5.9381443298969074</v>
      </c>
      <c r="M9" s="535" t="s">
        <v>343</v>
      </c>
      <c r="N9" s="535" t="s">
        <v>756</v>
      </c>
      <c r="O9" s="535" t="s">
        <v>23</v>
      </c>
      <c r="P9" s="536" t="s">
        <v>863</v>
      </c>
      <c r="Q9" s="535"/>
      <c r="R9" s="535" t="s">
        <v>774</v>
      </c>
      <c r="S9" s="535" t="s">
        <v>657</v>
      </c>
      <c r="T9" s="535" t="s">
        <v>775</v>
      </c>
      <c r="U9" s="535" t="s">
        <v>662</v>
      </c>
      <c r="V9" s="535" t="s">
        <v>285</v>
      </c>
      <c r="W9" s="535" t="s">
        <v>504</v>
      </c>
      <c r="X9" s="535" t="s">
        <v>927</v>
      </c>
      <c r="Y9" s="538">
        <v>42415</v>
      </c>
      <c r="Z9" s="535" t="s">
        <v>949</v>
      </c>
      <c r="AA9" s="542" t="s">
        <v>973</v>
      </c>
    </row>
    <row r="10" spans="1:27" x14ac:dyDescent="0.25">
      <c r="A10" s="529" t="s">
        <v>349</v>
      </c>
      <c r="B10" s="541" t="s">
        <v>7</v>
      </c>
      <c r="C10" s="541" t="s">
        <v>19</v>
      </c>
      <c r="D10" s="541" t="s">
        <v>15</v>
      </c>
      <c r="E10" s="541" t="s">
        <v>44</v>
      </c>
      <c r="F10" s="541" t="s">
        <v>130</v>
      </c>
      <c r="G10" s="542">
        <v>92.982675999999998</v>
      </c>
      <c r="H10" s="542">
        <v>20.805734000000001</v>
      </c>
      <c r="I10" s="541"/>
      <c r="J10" s="533">
        <v>18</v>
      </c>
      <c r="K10" s="533">
        <v>157</v>
      </c>
      <c r="L10" s="534">
        <v>8.7222222222222214</v>
      </c>
      <c r="M10" s="535" t="s">
        <v>343</v>
      </c>
      <c r="N10" s="535" t="s">
        <v>756</v>
      </c>
      <c r="O10" s="535" t="s">
        <v>809</v>
      </c>
      <c r="P10" s="536" t="s">
        <v>863</v>
      </c>
      <c r="Q10" s="535"/>
      <c r="R10" s="535" t="s">
        <v>774</v>
      </c>
      <c r="S10" s="535" t="s">
        <v>657</v>
      </c>
      <c r="T10" s="535" t="s">
        <v>775</v>
      </c>
      <c r="U10" s="535" t="s">
        <v>662</v>
      </c>
      <c r="V10" s="535" t="s">
        <v>285</v>
      </c>
      <c r="W10" s="535" t="s">
        <v>504</v>
      </c>
      <c r="X10" s="535" t="s">
        <v>520</v>
      </c>
      <c r="Y10" s="538">
        <v>42415</v>
      </c>
      <c r="Z10" s="535" t="s">
        <v>950</v>
      </c>
      <c r="AA10" s="542" t="s">
        <v>973</v>
      </c>
    </row>
    <row r="11" spans="1:27" x14ac:dyDescent="0.25">
      <c r="A11" s="529" t="s">
        <v>349</v>
      </c>
      <c r="B11" s="541" t="s">
        <v>7</v>
      </c>
      <c r="C11" s="541" t="s">
        <v>19</v>
      </c>
      <c r="D11" s="541" t="s">
        <v>15</v>
      </c>
      <c r="E11" s="541" t="s">
        <v>53</v>
      </c>
      <c r="F11" s="541" t="s">
        <v>139</v>
      </c>
      <c r="G11" s="542">
        <v>92.987399999999994</v>
      </c>
      <c r="H11" s="542">
        <v>20.78332</v>
      </c>
      <c r="I11" s="541"/>
      <c r="J11" s="533">
        <v>144</v>
      </c>
      <c r="K11" s="533">
        <v>1006</v>
      </c>
      <c r="L11" s="534">
        <v>7.1388888888888893</v>
      </c>
      <c r="M11" s="535" t="s">
        <v>343</v>
      </c>
      <c r="N11" s="535" t="s">
        <v>756</v>
      </c>
      <c r="O11" s="535" t="s">
        <v>809</v>
      </c>
      <c r="P11" s="536" t="s">
        <v>863</v>
      </c>
      <c r="Q11" s="535"/>
      <c r="R11" s="535" t="s">
        <v>774</v>
      </c>
      <c r="S11" s="535" t="s">
        <v>657</v>
      </c>
      <c r="T11" s="535" t="s">
        <v>775</v>
      </c>
      <c r="U11" s="535" t="s">
        <v>662</v>
      </c>
      <c r="V11" s="535" t="s">
        <v>285</v>
      </c>
      <c r="W11" s="535" t="s">
        <v>504</v>
      </c>
      <c r="X11" s="535" t="s">
        <v>927</v>
      </c>
      <c r="Y11" s="538">
        <v>42415</v>
      </c>
      <c r="Z11" s="535" t="s">
        <v>951</v>
      </c>
      <c r="AA11" s="542" t="s">
        <v>973</v>
      </c>
    </row>
    <row r="12" spans="1:27" x14ac:dyDescent="0.25">
      <c r="A12" s="529" t="s">
        <v>349</v>
      </c>
      <c r="B12" s="541" t="s">
        <v>7</v>
      </c>
      <c r="C12" s="541" t="s">
        <v>19</v>
      </c>
      <c r="D12" s="541" t="s">
        <v>15</v>
      </c>
      <c r="E12" s="541" t="s">
        <v>45</v>
      </c>
      <c r="F12" s="541" t="s">
        <v>131</v>
      </c>
      <c r="G12" s="542">
        <v>93.000815000000003</v>
      </c>
      <c r="H12" s="542">
        <v>20.929649000000001</v>
      </c>
      <c r="I12" s="541"/>
      <c r="J12" s="533">
        <v>63</v>
      </c>
      <c r="K12" s="533">
        <v>414</v>
      </c>
      <c r="L12" s="534">
        <v>6.67741935483871</v>
      </c>
      <c r="M12" s="535" t="s">
        <v>343</v>
      </c>
      <c r="N12" s="535" t="s">
        <v>756</v>
      </c>
      <c r="O12" s="535" t="s">
        <v>809</v>
      </c>
      <c r="P12" s="536" t="s">
        <v>863</v>
      </c>
      <c r="Q12" s="535"/>
      <c r="R12" s="535" t="s">
        <v>774</v>
      </c>
      <c r="S12" s="535" t="s">
        <v>657</v>
      </c>
      <c r="T12" s="535" t="s">
        <v>775</v>
      </c>
      <c r="U12" s="535" t="s">
        <v>662</v>
      </c>
      <c r="V12" s="535" t="s">
        <v>285</v>
      </c>
      <c r="W12" s="535" t="s">
        <v>504</v>
      </c>
      <c r="X12" s="535" t="s">
        <v>520</v>
      </c>
      <c r="Y12" s="538">
        <v>42415</v>
      </c>
      <c r="Z12" s="535" t="s">
        <v>952</v>
      </c>
      <c r="AA12" s="542" t="s">
        <v>973</v>
      </c>
    </row>
    <row r="13" spans="1:27" x14ac:dyDescent="0.25">
      <c r="A13" s="529" t="s">
        <v>349</v>
      </c>
      <c r="B13" s="541" t="s">
        <v>7</v>
      </c>
      <c r="C13" s="541" t="s">
        <v>19</v>
      </c>
      <c r="D13" s="541" t="s">
        <v>15</v>
      </c>
      <c r="E13" s="541" t="s">
        <v>52</v>
      </c>
      <c r="F13" s="541" t="s">
        <v>138</v>
      </c>
      <c r="G13" s="542">
        <v>92.969350000000006</v>
      </c>
      <c r="H13" s="542">
        <v>20.727589999999999</v>
      </c>
      <c r="I13" s="541"/>
      <c r="J13" s="533">
        <v>112</v>
      </c>
      <c r="K13" s="533">
        <v>738</v>
      </c>
      <c r="L13" s="534">
        <v>6.5625</v>
      </c>
      <c r="M13" s="535" t="s">
        <v>343</v>
      </c>
      <c r="N13" s="535" t="s">
        <v>756</v>
      </c>
      <c r="O13" s="535" t="s">
        <v>809</v>
      </c>
      <c r="P13" s="536" t="s">
        <v>863</v>
      </c>
      <c r="Q13" s="535"/>
      <c r="R13" s="535" t="s">
        <v>774</v>
      </c>
      <c r="S13" s="535" t="s">
        <v>657</v>
      </c>
      <c r="T13" s="535" t="s">
        <v>775</v>
      </c>
      <c r="U13" s="535" t="s">
        <v>662</v>
      </c>
      <c r="V13" s="535" t="s">
        <v>285</v>
      </c>
      <c r="W13" s="535" t="s">
        <v>504</v>
      </c>
      <c r="X13" s="535" t="s">
        <v>927</v>
      </c>
      <c r="Y13" s="538">
        <v>42415</v>
      </c>
      <c r="Z13" s="535" t="s">
        <v>953</v>
      </c>
      <c r="AA13" s="542" t="s">
        <v>973</v>
      </c>
    </row>
    <row r="14" spans="1:27" x14ac:dyDescent="0.25">
      <c r="A14" s="529" t="s">
        <v>349</v>
      </c>
      <c r="B14" s="541" t="s">
        <v>7</v>
      </c>
      <c r="C14" s="541" t="s">
        <v>19</v>
      </c>
      <c r="D14" s="541" t="s">
        <v>11</v>
      </c>
      <c r="E14" s="541" t="s">
        <v>30</v>
      </c>
      <c r="F14" s="541" t="s">
        <v>116</v>
      </c>
      <c r="G14" s="542">
        <v>93.299485000000004</v>
      </c>
      <c r="H14" s="542">
        <v>20.480898</v>
      </c>
      <c r="I14" s="541"/>
      <c r="J14" s="533">
        <v>86</v>
      </c>
      <c r="K14" s="533">
        <v>444</v>
      </c>
      <c r="L14" s="534">
        <v>5.7674418604651159</v>
      </c>
      <c r="M14" s="535" t="s">
        <v>343</v>
      </c>
      <c r="N14" s="535" t="s">
        <v>756</v>
      </c>
      <c r="O14" s="535" t="s">
        <v>809</v>
      </c>
      <c r="P14" s="536" t="s">
        <v>863</v>
      </c>
      <c r="Q14" s="535"/>
      <c r="R14" s="535" t="s">
        <v>774</v>
      </c>
      <c r="S14" s="535" t="s">
        <v>657</v>
      </c>
      <c r="T14" s="535" t="s">
        <v>775</v>
      </c>
      <c r="U14" s="535" t="s">
        <v>662</v>
      </c>
      <c r="V14" s="535" t="s">
        <v>285</v>
      </c>
      <c r="W14" s="535" t="s">
        <v>504</v>
      </c>
      <c r="X14" s="535" t="s">
        <v>927</v>
      </c>
      <c r="Y14" s="538">
        <v>42415</v>
      </c>
      <c r="Z14" s="535" t="s">
        <v>954</v>
      </c>
      <c r="AA14" s="542" t="s">
        <v>973</v>
      </c>
    </row>
    <row r="15" spans="1:27" x14ac:dyDescent="0.25">
      <c r="A15" s="529" t="s">
        <v>349</v>
      </c>
      <c r="B15" s="541" t="s">
        <v>7</v>
      </c>
      <c r="C15" s="541" t="s">
        <v>19</v>
      </c>
      <c r="D15" s="541" t="s">
        <v>11</v>
      </c>
      <c r="E15" s="541" t="s">
        <v>25</v>
      </c>
      <c r="F15" s="541" t="s">
        <v>111</v>
      </c>
      <c r="G15" s="542">
        <v>93.271642</v>
      </c>
      <c r="H15" s="542">
        <v>20.377523</v>
      </c>
      <c r="I15" s="541"/>
      <c r="J15" s="533">
        <v>19</v>
      </c>
      <c r="K15" s="533">
        <v>142</v>
      </c>
      <c r="L15" s="534">
        <v>7.4736842105263159</v>
      </c>
      <c r="M15" s="535" t="s">
        <v>343</v>
      </c>
      <c r="N15" s="535" t="s">
        <v>756</v>
      </c>
      <c r="O15" s="535" t="s">
        <v>809</v>
      </c>
      <c r="P15" s="536" t="s">
        <v>863</v>
      </c>
      <c r="Q15" s="535"/>
      <c r="R15" s="535" t="s">
        <v>774</v>
      </c>
      <c r="S15" s="535" t="s">
        <v>657</v>
      </c>
      <c r="T15" s="535" t="s">
        <v>775</v>
      </c>
      <c r="U15" s="535" t="s">
        <v>662</v>
      </c>
      <c r="V15" s="535" t="s">
        <v>285</v>
      </c>
      <c r="W15" s="535" t="s">
        <v>504</v>
      </c>
      <c r="X15" s="535" t="s">
        <v>520</v>
      </c>
      <c r="Y15" s="538">
        <v>42415</v>
      </c>
      <c r="Z15" s="535" t="s">
        <v>955</v>
      </c>
      <c r="AA15" s="542" t="s">
        <v>973</v>
      </c>
    </row>
    <row r="16" spans="1:27" x14ac:dyDescent="0.25">
      <c r="A16" s="529" t="s">
        <v>349</v>
      </c>
      <c r="B16" s="541" t="s">
        <v>7</v>
      </c>
      <c r="C16" s="541" t="s">
        <v>19</v>
      </c>
      <c r="D16" s="541" t="s">
        <v>11</v>
      </c>
      <c r="E16" s="541" t="s">
        <v>32</v>
      </c>
      <c r="F16" s="541" t="s">
        <v>118</v>
      </c>
      <c r="G16" s="542">
        <v>93.313627999999994</v>
      </c>
      <c r="H16" s="542">
        <v>20.407971</v>
      </c>
      <c r="I16" s="541"/>
      <c r="J16" s="533">
        <v>225</v>
      </c>
      <c r="K16" s="533">
        <v>1377</v>
      </c>
      <c r="L16" s="534">
        <v>5.8577777777777778</v>
      </c>
      <c r="M16" s="535" t="s">
        <v>343</v>
      </c>
      <c r="N16" s="535" t="s">
        <v>756</v>
      </c>
      <c r="O16" s="535" t="s">
        <v>809</v>
      </c>
      <c r="P16" s="536" t="s">
        <v>863</v>
      </c>
      <c r="Q16" s="535"/>
      <c r="R16" s="535" t="s">
        <v>774</v>
      </c>
      <c r="S16" s="535" t="s">
        <v>657</v>
      </c>
      <c r="T16" s="535" t="s">
        <v>775</v>
      </c>
      <c r="U16" s="535" t="s">
        <v>662</v>
      </c>
      <c r="V16" s="535" t="s">
        <v>285</v>
      </c>
      <c r="W16" s="535" t="s">
        <v>504</v>
      </c>
      <c r="X16" s="535" t="s">
        <v>927</v>
      </c>
      <c r="Y16" s="538">
        <v>42415</v>
      </c>
      <c r="Z16" s="535" t="s">
        <v>956</v>
      </c>
      <c r="AA16" s="542" t="s">
        <v>973</v>
      </c>
    </row>
    <row r="17" spans="1:27" x14ac:dyDescent="0.25">
      <c r="A17" s="529" t="s">
        <v>349</v>
      </c>
      <c r="B17" s="541" t="s">
        <v>7</v>
      </c>
      <c r="C17" s="541" t="s">
        <v>19</v>
      </c>
      <c r="D17" s="541" t="s">
        <v>11</v>
      </c>
      <c r="E17" s="541" t="s">
        <v>27</v>
      </c>
      <c r="F17" s="541" t="s">
        <v>113</v>
      </c>
      <c r="G17" s="542">
        <v>93.249669999999995</v>
      </c>
      <c r="H17" s="542">
        <v>20.39902</v>
      </c>
      <c r="I17" s="541"/>
      <c r="J17" s="533">
        <v>86</v>
      </c>
      <c r="K17" s="533">
        <v>476</v>
      </c>
      <c r="L17" s="534">
        <v>6.058139534883721</v>
      </c>
      <c r="M17" s="535" t="s">
        <v>343</v>
      </c>
      <c r="N17" s="535" t="s">
        <v>756</v>
      </c>
      <c r="O17" s="535" t="s">
        <v>809</v>
      </c>
      <c r="P17" s="536" t="s">
        <v>863</v>
      </c>
      <c r="Q17" s="535"/>
      <c r="R17" s="535" t="s">
        <v>774</v>
      </c>
      <c r="S17" s="535" t="s">
        <v>657</v>
      </c>
      <c r="T17" s="535" t="s">
        <v>775</v>
      </c>
      <c r="U17" s="535" t="s">
        <v>662</v>
      </c>
      <c r="V17" s="535" t="s">
        <v>285</v>
      </c>
      <c r="W17" s="535" t="s">
        <v>504</v>
      </c>
      <c r="X17" s="535" t="s">
        <v>927</v>
      </c>
      <c r="Y17" s="538">
        <v>42415</v>
      </c>
      <c r="Z17" s="535" t="s">
        <v>957</v>
      </c>
      <c r="AA17" s="542" t="s">
        <v>973</v>
      </c>
    </row>
    <row r="18" spans="1:27" x14ac:dyDescent="0.25">
      <c r="A18" s="529" t="s">
        <v>349</v>
      </c>
      <c r="B18" s="541" t="s">
        <v>7</v>
      </c>
      <c r="C18" s="541" t="s">
        <v>19</v>
      </c>
      <c r="D18" s="541" t="s">
        <v>11</v>
      </c>
      <c r="E18" s="541" t="s">
        <v>558</v>
      </c>
      <c r="F18" s="541" t="s">
        <v>559</v>
      </c>
      <c r="G18" s="542">
        <v>93.314695</v>
      </c>
      <c r="H18" s="542">
        <v>20.409645000000001</v>
      </c>
      <c r="I18" s="541"/>
      <c r="J18" s="533">
        <v>17</v>
      </c>
      <c r="K18" s="533">
        <v>72</v>
      </c>
      <c r="L18" s="534">
        <v>4</v>
      </c>
      <c r="M18" s="535" t="s">
        <v>343</v>
      </c>
      <c r="N18" s="535" t="s">
        <v>756</v>
      </c>
      <c r="O18" s="535" t="s">
        <v>23</v>
      </c>
      <c r="P18" s="536" t="s">
        <v>864</v>
      </c>
      <c r="Q18" s="535"/>
      <c r="R18" s="537" t="s">
        <v>7</v>
      </c>
      <c r="S18" s="537" t="s">
        <v>759</v>
      </c>
      <c r="T18" s="537" t="s">
        <v>760</v>
      </c>
      <c r="U18" s="535" t="s">
        <v>662</v>
      </c>
      <c r="V18" s="535" t="s">
        <v>285</v>
      </c>
      <c r="W18" s="535" t="s">
        <v>504</v>
      </c>
      <c r="X18" s="535" t="s">
        <v>520</v>
      </c>
      <c r="Y18" s="538">
        <v>42415</v>
      </c>
      <c r="Z18" s="535" t="s">
        <v>958</v>
      </c>
      <c r="AA18" s="542" t="s">
        <v>973</v>
      </c>
    </row>
    <row r="19" spans="1:27" x14ac:dyDescent="0.25">
      <c r="A19" s="529" t="s">
        <v>349</v>
      </c>
      <c r="B19" s="541" t="s">
        <v>7</v>
      </c>
      <c r="C19" s="541" t="s">
        <v>19</v>
      </c>
      <c r="D19" s="541" t="s">
        <v>11</v>
      </c>
      <c r="E19" s="541" t="s">
        <v>26</v>
      </c>
      <c r="F19" s="541" t="s">
        <v>112</v>
      </c>
      <c r="G19" s="542">
        <v>93.257272</v>
      </c>
      <c r="H19" s="542">
        <v>20.392137999999999</v>
      </c>
      <c r="I19" s="541"/>
      <c r="J19" s="533">
        <v>203</v>
      </c>
      <c r="K19" s="533">
        <v>1420</v>
      </c>
      <c r="L19" s="534">
        <v>5.3529411764705879</v>
      </c>
      <c r="M19" s="535" t="s">
        <v>343</v>
      </c>
      <c r="N19" s="535" t="s">
        <v>756</v>
      </c>
      <c r="O19" s="535" t="s">
        <v>809</v>
      </c>
      <c r="P19" s="536" t="s">
        <v>863</v>
      </c>
      <c r="Q19" s="535"/>
      <c r="R19" s="535" t="s">
        <v>774</v>
      </c>
      <c r="S19" s="535" t="s">
        <v>657</v>
      </c>
      <c r="T19" s="535" t="s">
        <v>775</v>
      </c>
      <c r="U19" s="535" t="s">
        <v>662</v>
      </c>
      <c r="V19" s="535" t="s">
        <v>285</v>
      </c>
      <c r="W19" s="535" t="s">
        <v>504</v>
      </c>
      <c r="X19" s="535" t="s">
        <v>927</v>
      </c>
      <c r="Y19" s="538">
        <v>42415</v>
      </c>
      <c r="Z19" s="535" t="s">
        <v>959</v>
      </c>
      <c r="AA19" s="542" t="s">
        <v>973</v>
      </c>
    </row>
    <row r="20" spans="1:27" x14ac:dyDescent="0.25">
      <c r="A20" s="529" t="s">
        <v>349</v>
      </c>
      <c r="B20" s="541" t="s">
        <v>7</v>
      </c>
      <c r="C20" s="541" t="s">
        <v>19</v>
      </c>
      <c r="D20" s="541" t="s">
        <v>11</v>
      </c>
      <c r="E20" s="541" t="s">
        <v>29</v>
      </c>
      <c r="F20" s="541" t="s">
        <v>115</v>
      </c>
      <c r="G20" s="542">
        <v>93.258573999999996</v>
      </c>
      <c r="H20" s="542">
        <v>20.587142</v>
      </c>
      <c r="I20" s="541"/>
      <c r="J20" s="533">
        <v>275</v>
      </c>
      <c r="K20" s="533">
        <v>1707</v>
      </c>
      <c r="L20" s="534">
        <v>5.9527272727272731</v>
      </c>
      <c r="M20" s="535" t="s">
        <v>343</v>
      </c>
      <c r="N20" s="535" t="s">
        <v>756</v>
      </c>
      <c r="O20" s="535" t="s">
        <v>809</v>
      </c>
      <c r="P20" s="536" t="s">
        <v>863</v>
      </c>
      <c r="Q20" s="535"/>
      <c r="R20" s="535" t="s">
        <v>774</v>
      </c>
      <c r="S20" s="535" t="s">
        <v>657</v>
      </c>
      <c r="T20" s="535" t="s">
        <v>775</v>
      </c>
      <c r="U20" s="535" t="s">
        <v>662</v>
      </c>
      <c r="V20" s="535" t="s">
        <v>285</v>
      </c>
      <c r="W20" s="535" t="s">
        <v>504</v>
      </c>
      <c r="X20" s="535" t="s">
        <v>927</v>
      </c>
      <c r="Y20" s="538">
        <v>42415</v>
      </c>
      <c r="Z20" s="535" t="s">
        <v>960</v>
      </c>
      <c r="AA20" s="542" t="s">
        <v>973</v>
      </c>
    </row>
    <row r="21" spans="1:27" x14ac:dyDescent="0.25">
      <c r="A21" s="529" t="s">
        <v>349</v>
      </c>
      <c r="B21" s="541" t="s">
        <v>7</v>
      </c>
      <c r="C21" s="541" t="s">
        <v>19</v>
      </c>
      <c r="D21" s="541" t="s">
        <v>12</v>
      </c>
      <c r="E21" s="541" t="s">
        <v>33</v>
      </c>
      <c r="F21" s="541" t="s">
        <v>119</v>
      </c>
      <c r="G21" s="542">
        <v>93.245551000000006</v>
      </c>
      <c r="H21" s="542">
        <v>20.576577</v>
      </c>
      <c r="I21" s="541"/>
      <c r="J21" s="533">
        <v>204</v>
      </c>
      <c r="K21" s="533">
        <v>1265</v>
      </c>
      <c r="L21" s="534">
        <v>5.5245098039215685</v>
      </c>
      <c r="M21" s="535" t="s">
        <v>343</v>
      </c>
      <c r="N21" s="535" t="s">
        <v>756</v>
      </c>
      <c r="O21" s="535" t="s">
        <v>809</v>
      </c>
      <c r="P21" s="536" t="s">
        <v>863</v>
      </c>
      <c r="Q21" s="535"/>
      <c r="R21" s="535" t="s">
        <v>774</v>
      </c>
      <c r="S21" s="535" t="s">
        <v>657</v>
      </c>
      <c r="T21" s="535" t="s">
        <v>775</v>
      </c>
      <c r="U21" s="535" t="s">
        <v>662</v>
      </c>
      <c r="V21" s="535" t="s">
        <v>285</v>
      </c>
      <c r="W21" s="535" t="s">
        <v>504</v>
      </c>
      <c r="X21" s="535" t="s">
        <v>927</v>
      </c>
      <c r="Y21" s="538">
        <v>42415</v>
      </c>
      <c r="Z21" s="535" t="s">
        <v>961</v>
      </c>
      <c r="AA21" s="542" t="s">
        <v>973</v>
      </c>
    </row>
    <row r="22" spans="1:27" x14ac:dyDescent="0.25">
      <c r="A22" s="529" t="s">
        <v>349</v>
      </c>
      <c r="B22" s="541" t="s">
        <v>7</v>
      </c>
      <c r="C22" s="541" t="s">
        <v>19</v>
      </c>
      <c r="D22" s="541" t="s">
        <v>12</v>
      </c>
      <c r="E22" s="541" t="s">
        <v>36</v>
      </c>
      <c r="F22" s="541" t="s">
        <v>122</v>
      </c>
      <c r="G22" s="542">
        <v>93.239519999999999</v>
      </c>
      <c r="H22" s="542">
        <v>20.61692</v>
      </c>
      <c r="I22" s="541"/>
      <c r="J22" s="533">
        <v>10</v>
      </c>
      <c r="K22" s="533">
        <v>64</v>
      </c>
      <c r="L22" s="534">
        <v>6.4</v>
      </c>
      <c r="M22" s="535" t="s">
        <v>343</v>
      </c>
      <c r="N22" s="535" t="s">
        <v>756</v>
      </c>
      <c r="O22" s="535" t="s">
        <v>23</v>
      </c>
      <c r="P22" s="536" t="s">
        <v>864</v>
      </c>
      <c r="Q22" s="535"/>
      <c r="R22" s="535" t="s">
        <v>658</v>
      </c>
      <c r="S22" s="537" t="s">
        <v>759</v>
      </c>
      <c r="T22" s="537" t="s">
        <v>943</v>
      </c>
      <c r="U22" s="535" t="s">
        <v>662</v>
      </c>
      <c r="V22" s="535" t="s">
        <v>285</v>
      </c>
      <c r="W22" s="535" t="s">
        <v>504</v>
      </c>
      <c r="X22" s="535" t="s">
        <v>520</v>
      </c>
      <c r="Y22" s="538">
        <v>42415</v>
      </c>
      <c r="Z22" s="535" t="s">
        <v>962</v>
      </c>
      <c r="AA22" s="542" t="s">
        <v>973</v>
      </c>
    </row>
    <row r="23" spans="1:27" x14ac:dyDescent="0.25">
      <c r="A23" s="529" t="s">
        <v>349</v>
      </c>
      <c r="B23" s="541" t="s">
        <v>7</v>
      </c>
      <c r="C23" s="541" t="s">
        <v>19</v>
      </c>
      <c r="D23" s="541" t="s">
        <v>12</v>
      </c>
      <c r="E23" s="541" t="s">
        <v>627</v>
      </c>
      <c r="F23" s="541" t="s">
        <v>628</v>
      </c>
      <c r="G23" s="542">
        <v>93.246863000000005</v>
      </c>
      <c r="H23" s="542">
        <v>20.495086000000001</v>
      </c>
      <c r="I23" s="541"/>
      <c r="J23" s="533">
        <v>31</v>
      </c>
      <c r="K23" s="533">
        <v>131</v>
      </c>
      <c r="L23" s="534">
        <v>4.225806451612903</v>
      </c>
      <c r="M23" s="535" t="s">
        <v>343</v>
      </c>
      <c r="N23" s="535" t="s">
        <v>756</v>
      </c>
      <c r="O23" s="535" t="s">
        <v>23</v>
      </c>
      <c r="P23" s="536" t="s">
        <v>864</v>
      </c>
      <c r="Q23" s="535"/>
      <c r="R23" s="535" t="s">
        <v>7</v>
      </c>
      <c r="S23" s="535" t="s">
        <v>759</v>
      </c>
      <c r="T23" s="535" t="s">
        <v>760</v>
      </c>
      <c r="U23" s="535" t="s">
        <v>662</v>
      </c>
      <c r="V23" s="535" t="s">
        <v>285</v>
      </c>
      <c r="W23" s="535" t="s">
        <v>504</v>
      </c>
      <c r="X23" s="535" t="s">
        <v>520</v>
      </c>
      <c r="Y23" s="538">
        <v>42415</v>
      </c>
      <c r="Z23" s="535" t="s">
        <v>963</v>
      </c>
      <c r="AA23" s="542" t="s">
        <v>973</v>
      </c>
    </row>
    <row r="24" spans="1:27" x14ac:dyDescent="0.25">
      <c r="A24" s="529" t="s">
        <v>349</v>
      </c>
      <c r="B24" s="541" t="s">
        <v>7</v>
      </c>
      <c r="C24" s="541" t="s">
        <v>19</v>
      </c>
      <c r="D24" s="541" t="s">
        <v>12</v>
      </c>
      <c r="E24" s="541" t="s">
        <v>34</v>
      </c>
      <c r="F24" s="541" t="s">
        <v>120</v>
      </c>
      <c r="G24" s="542">
        <v>93.217039999999997</v>
      </c>
      <c r="H24" s="542">
        <v>20.501757999999999</v>
      </c>
      <c r="I24" s="541"/>
      <c r="J24" s="533">
        <v>365</v>
      </c>
      <c r="K24" s="533">
        <v>2366</v>
      </c>
      <c r="L24" s="534">
        <v>6.4821917808219176</v>
      </c>
      <c r="M24" s="535" t="s">
        <v>343</v>
      </c>
      <c r="N24" s="535" t="s">
        <v>756</v>
      </c>
      <c r="O24" s="535" t="s">
        <v>809</v>
      </c>
      <c r="P24" s="536" t="s">
        <v>863</v>
      </c>
      <c r="Q24" s="535"/>
      <c r="R24" s="535" t="s">
        <v>774</v>
      </c>
      <c r="S24" s="535" t="s">
        <v>657</v>
      </c>
      <c r="T24" s="535" t="s">
        <v>775</v>
      </c>
      <c r="U24" s="535" t="s">
        <v>662</v>
      </c>
      <c r="V24" s="535" t="s">
        <v>285</v>
      </c>
      <c r="W24" s="535" t="s">
        <v>504</v>
      </c>
      <c r="X24" s="535" t="s">
        <v>927</v>
      </c>
      <c r="Y24" s="538">
        <v>42415</v>
      </c>
      <c r="Z24" s="535" t="s">
        <v>964</v>
      </c>
      <c r="AA24" s="542" t="s">
        <v>973</v>
      </c>
    </row>
    <row r="25" spans="1:27" ht="45" x14ac:dyDescent="0.25">
      <c r="A25" s="529" t="s">
        <v>349</v>
      </c>
      <c r="B25" s="541" t="s">
        <v>7</v>
      </c>
      <c r="C25" s="541" t="s">
        <v>19</v>
      </c>
      <c r="D25" s="541" t="s">
        <v>14</v>
      </c>
      <c r="E25" s="541" t="s">
        <v>39</v>
      </c>
      <c r="F25" s="541" t="s">
        <v>125</v>
      </c>
      <c r="G25" s="542">
        <v>93.067891000000003</v>
      </c>
      <c r="H25" s="542">
        <v>20.173468</v>
      </c>
      <c r="I25" s="541"/>
      <c r="J25" s="533">
        <v>21</v>
      </c>
      <c r="K25" s="533">
        <v>122</v>
      </c>
      <c r="L25" s="534">
        <v>5.8095238095238093</v>
      </c>
      <c r="M25" s="535" t="s">
        <v>343</v>
      </c>
      <c r="N25" s="535" t="s">
        <v>756</v>
      </c>
      <c r="O25" s="535" t="s">
        <v>22</v>
      </c>
      <c r="P25" s="536"/>
      <c r="Q25" s="535"/>
      <c r="R25" s="535" t="s">
        <v>7</v>
      </c>
      <c r="S25" s="535" t="s">
        <v>759</v>
      </c>
      <c r="T25" s="535" t="s">
        <v>760</v>
      </c>
      <c r="U25" s="535" t="s">
        <v>661</v>
      </c>
      <c r="V25" s="535" t="s">
        <v>624</v>
      </c>
      <c r="W25" s="535" t="s">
        <v>879</v>
      </c>
      <c r="X25" s="535" t="s">
        <v>880</v>
      </c>
      <c r="Y25" s="538">
        <v>42415</v>
      </c>
      <c r="Z25" s="535" t="s">
        <v>965</v>
      </c>
      <c r="AA25" s="553" t="s">
        <v>865</v>
      </c>
    </row>
    <row r="26" spans="1:27" x14ac:dyDescent="0.25">
      <c r="A26" s="530" t="s">
        <v>348</v>
      </c>
      <c r="B26" s="543" t="s">
        <v>7</v>
      </c>
      <c r="C26" s="543" t="s">
        <v>19</v>
      </c>
      <c r="D26" s="543" t="s">
        <v>14</v>
      </c>
      <c r="E26" s="543" t="s">
        <v>42</v>
      </c>
      <c r="F26" s="543" t="s">
        <v>128</v>
      </c>
      <c r="G26" s="544">
        <v>93.010368999999997</v>
      </c>
      <c r="H26" s="544">
        <v>20.090183</v>
      </c>
      <c r="I26" s="543"/>
      <c r="J26" s="546">
        <v>112</v>
      </c>
      <c r="K26" s="546">
        <v>616</v>
      </c>
      <c r="L26" s="547">
        <v>4.8249227600411944</v>
      </c>
      <c r="M26" s="548" t="s">
        <v>343</v>
      </c>
      <c r="N26" s="548" t="s">
        <v>756</v>
      </c>
      <c r="O26" s="548" t="s">
        <v>22</v>
      </c>
      <c r="P26" s="549"/>
      <c r="Q26" s="548"/>
      <c r="R26" s="548" t="s">
        <v>774</v>
      </c>
      <c r="S26" s="548" t="s">
        <v>657</v>
      </c>
      <c r="T26" s="548" t="s">
        <v>775</v>
      </c>
      <c r="U26" s="548" t="s">
        <v>662</v>
      </c>
      <c r="V26" s="548" t="s">
        <v>285</v>
      </c>
      <c r="W26" s="548" t="s">
        <v>879</v>
      </c>
      <c r="X26" s="548" t="s">
        <v>880</v>
      </c>
      <c r="Y26" s="538">
        <v>42415</v>
      </c>
      <c r="Z26" s="548" t="s">
        <v>942</v>
      </c>
      <c r="AA26" s="544" t="s">
        <v>974</v>
      </c>
    </row>
    <row r="27" spans="1:27" ht="45" x14ac:dyDescent="0.25">
      <c r="A27" s="530" t="s">
        <v>348</v>
      </c>
      <c r="B27" s="543" t="s">
        <v>7</v>
      </c>
      <c r="C27" s="543" t="s">
        <v>19</v>
      </c>
      <c r="D27" s="543" t="s">
        <v>14</v>
      </c>
      <c r="E27" s="543" t="s">
        <v>41</v>
      </c>
      <c r="F27" s="543" t="s">
        <v>127</v>
      </c>
      <c r="G27" s="544">
        <v>93.154551999999995</v>
      </c>
      <c r="H27" s="544">
        <v>20.073437999999999</v>
      </c>
      <c r="I27" s="543"/>
      <c r="J27" s="546">
        <v>775</v>
      </c>
      <c r="K27" s="546">
        <v>4262</v>
      </c>
      <c r="L27" s="547">
        <v>4.7418321588725174</v>
      </c>
      <c r="M27" s="548" t="s">
        <v>343</v>
      </c>
      <c r="N27" s="548" t="s">
        <v>756</v>
      </c>
      <c r="O27" s="548" t="s">
        <v>22</v>
      </c>
      <c r="P27" s="549"/>
      <c r="Q27" s="548"/>
      <c r="R27" s="548" t="s">
        <v>774</v>
      </c>
      <c r="S27" s="548" t="s">
        <v>657</v>
      </c>
      <c r="T27" s="548" t="s">
        <v>775</v>
      </c>
      <c r="U27" s="548" t="s">
        <v>661</v>
      </c>
      <c r="V27" s="548" t="s">
        <v>624</v>
      </c>
      <c r="W27" s="548" t="s">
        <v>879</v>
      </c>
      <c r="X27" s="548" t="s">
        <v>880</v>
      </c>
      <c r="Y27" s="538">
        <v>42415</v>
      </c>
      <c r="Z27" s="548" t="s">
        <v>941</v>
      </c>
      <c r="AA27" s="554" t="s">
        <v>865</v>
      </c>
    </row>
    <row r="28" spans="1:27" x14ac:dyDescent="0.25">
      <c r="A28" s="529" t="s">
        <v>349</v>
      </c>
      <c r="B28" s="541" t="s">
        <v>7</v>
      </c>
      <c r="C28" s="541" t="s">
        <v>19</v>
      </c>
      <c r="D28" s="541" t="s">
        <v>19</v>
      </c>
      <c r="E28" s="541" t="s">
        <v>639</v>
      </c>
      <c r="F28" s="541" t="s">
        <v>641</v>
      </c>
      <c r="G28" s="542">
        <v>92.887277999999995</v>
      </c>
      <c r="H28" s="542">
        <v>20.151471999999998</v>
      </c>
      <c r="I28" s="541"/>
      <c r="J28" s="533">
        <v>249</v>
      </c>
      <c r="K28" s="533">
        <v>1282</v>
      </c>
      <c r="L28" s="534">
        <v>5.1485943775100402</v>
      </c>
      <c r="M28" s="535" t="s">
        <v>343</v>
      </c>
      <c r="N28" s="535" t="s">
        <v>812</v>
      </c>
      <c r="O28" s="535" t="s">
        <v>22</v>
      </c>
      <c r="P28" s="536"/>
      <c r="Q28" s="535"/>
      <c r="R28" s="535" t="s">
        <v>7</v>
      </c>
      <c r="S28" s="535" t="s">
        <v>759</v>
      </c>
      <c r="T28" s="535" t="s">
        <v>760</v>
      </c>
      <c r="U28" s="535" t="s">
        <v>662</v>
      </c>
      <c r="V28" s="535" t="s">
        <v>285</v>
      </c>
      <c r="W28" s="535" t="s">
        <v>879</v>
      </c>
      <c r="X28" s="535" t="s">
        <v>880</v>
      </c>
      <c r="Y28" s="538">
        <v>42415</v>
      </c>
      <c r="Z28" s="535" t="s">
        <v>965</v>
      </c>
      <c r="AA28" s="545" t="s">
        <v>875</v>
      </c>
    </row>
    <row r="29" spans="1:27" x14ac:dyDescent="0.25">
      <c r="A29" s="529" t="s">
        <v>349</v>
      </c>
      <c r="B29" s="541" t="s">
        <v>7</v>
      </c>
      <c r="C29" s="541" t="s">
        <v>19</v>
      </c>
      <c r="D29" s="541" t="s">
        <v>19</v>
      </c>
      <c r="E29" s="541" t="s">
        <v>640</v>
      </c>
      <c r="F29" s="541" t="s">
        <v>642</v>
      </c>
      <c r="G29" s="542">
        <v>92.887277999999995</v>
      </c>
      <c r="H29" s="542">
        <v>20.151471999999998</v>
      </c>
      <c r="I29" s="541"/>
      <c r="J29" s="533">
        <v>418</v>
      </c>
      <c r="K29" s="533">
        <v>2200</v>
      </c>
      <c r="L29" s="534">
        <v>5.2631578947368425</v>
      </c>
      <c r="M29" s="535" t="s">
        <v>343</v>
      </c>
      <c r="N29" s="535" t="s">
        <v>812</v>
      </c>
      <c r="O29" s="535" t="s">
        <v>22</v>
      </c>
      <c r="P29" s="536"/>
      <c r="Q29" s="535"/>
      <c r="R29" s="535" t="s">
        <v>7</v>
      </c>
      <c r="S29" s="535" t="s">
        <v>759</v>
      </c>
      <c r="T29" s="535" t="s">
        <v>760</v>
      </c>
      <c r="U29" s="535" t="s">
        <v>662</v>
      </c>
      <c r="V29" s="535" t="s">
        <v>285</v>
      </c>
      <c r="W29" s="535" t="s">
        <v>879</v>
      </c>
      <c r="X29" s="535" t="s">
        <v>880</v>
      </c>
      <c r="Y29" s="538">
        <v>42415</v>
      </c>
      <c r="Z29" s="535" t="s">
        <v>966</v>
      </c>
      <c r="AA29" s="545" t="s">
        <v>875</v>
      </c>
    </row>
    <row r="30" spans="1:27" ht="45" x14ac:dyDescent="0.25">
      <c r="A30" s="529" t="s">
        <v>349</v>
      </c>
      <c r="B30" s="541" t="s">
        <v>7</v>
      </c>
      <c r="C30" s="541" t="s">
        <v>19</v>
      </c>
      <c r="D30" s="541" t="s">
        <v>19</v>
      </c>
      <c r="E30" s="541" t="s">
        <v>78</v>
      </c>
      <c r="F30" s="541" t="s">
        <v>166</v>
      </c>
      <c r="G30" s="542">
        <v>92.880319999999998</v>
      </c>
      <c r="H30" s="542">
        <v>20.148584</v>
      </c>
      <c r="I30" s="541"/>
      <c r="J30" s="533">
        <v>72</v>
      </c>
      <c r="K30" s="533">
        <v>489</v>
      </c>
      <c r="L30" s="534">
        <v>6.416666666666667</v>
      </c>
      <c r="M30" s="535" t="s">
        <v>343</v>
      </c>
      <c r="N30" s="535" t="s">
        <v>756</v>
      </c>
      <c r="O30" s="535" t="s">
        <v>22</v>
      </c>
      <c r="P30" s="536"/>
      <c r="Q30" s="535"/>
      <c r="R30" s="535" t="s">
        <v>658</v>
      </c>
      <c r="S30" s="535" t="s">
        <v>759</v>
      </c>
      <c r="T30" s="535" t="s">
        <v>943</v>
      </c>
      <c r="U30" s="535" t="s">
        <v>661</v>
      </c>
      <c r="V30" s="535" t="s">
        <v>624</v>
      </c>
      <c r="W30" s="535" t="s">
        <v>879</v>
      </c>
      <c r="X30" s="535" t="s">
        <v>880</v>
      </c>
      <c r="Y30" s="538">
        <v>42415</v>
      </c>
      <c r="Z30" s="535" t="s">
        <v>967</v>
      </c>
      <c r="AA30" s="553" t="s">
        <v>865</v>
      </c>
    </row>
    <row r="31" spans="1:27" ht="45" x14ac:dyDescent="0.25">
      <c r="A31" s="529" t="s">
        <v>349</v>
      </c>
      <c r="B31" s="541" t="s">
        <v>7</v>
      </c>
      <c r="C31" s="541" t="s">
        <v>19</v>
      </c>
      <c r="D31" s="541" t="s">
        <v>19</v>
      </c>
      <c r="E31" s="541" t="s">
        <v>245</v>
      </c>
      <c r="F31" s="541" t="s">
        <v>282</v>
      </c>
      <c r="G31" s="542">
        <v>92.879138999999995</v>
      </c>
      <c r="H31" s="542">
        <v>20.155805999999998</v>
      </c>
      <c r="I31" s="541"/>
      <c r="J31" s="533">
        <v>151</v>
      </c>
      <c r="K31" s="533">
        <v>652</v>
      </c>
      <c r="L31" s="534">
        <v>4.2384105960264904</v>
      </c>
      <c r="M31" s="535" t="s">
        <v>343</v>
      </c>
      <c r="N31" s="535" t="s">
        <v>756</v>
      </c>
      <c r="O31" s="535" t="s">
        <v>22</v>
      </c>
      <c r="P31" s="536"/>
      <c r="Q31" s="535"/>
      <c r="R31" s="535" t="s">
        <v>7</v>
      </c>
      <c r="S31" s="535" t="s">
        <v>759</v>
      </c>
      <c r="T31" s="535" t="s">
        <v>760</v>
      </c>
      <c r="U31" s="535" t="s">
        <v>661</v>
      </c>
      <c r="V31" s="535" t="s">
        <v>624</v>
      </c>
      <c r="W31" s="535" t="s">
        <v>879</v>
      </c>
      <c r="X31" s="535" t="s">
        <v>880</v>
      </c>
      <c r="Y31" s="538">
        <v>42415</v>
      </c>
      <c r="Z31" s="535" t="s">
        <v>968</v>
      </c>
      <c r="AA31" s="553" t="s">
        <v>865</v>
      </c>
    </row>
    <row r="32" spans="1:27" s="264" customFormat="1" x14ac:dyDescent="0.25">
      <c r="A32" s="551" t="s">
        <v>349</v>
      </c>
      <c r="B32" s="541" t="s">
        <v>7</v>
      </c>
      <c r="C32" s="541" t="s">
        <v>19</v>
      </c>
      <c r="D32" s="541" t="s">
        <v>16</v>
      </c>
      <c r="E32" s="541" t="s">
        <v>56</v>
      </c>
      <c r="F32" s="541" t="s">
        <v>142</v>
      </c>
      <c r="G32" s="542">
        <v>92.781294000000003</v>
      </c>
      <c r="H32" s="542">
        <v>20.399269</v>
      </c>
      <c r="I32" s="541"/>
      <c r="J32" s="533">
        <v>32</v>
      </c>
      <c r="K32" s="533">
        <v>162</v>
      </c>
      <c r="L32" s="534">
        <v>5.21875</v>
      </c>
      <c r="M32" s="535" t="s">
        <v>343</v>
      </c>
      <c r="N32" s="535" t="s">
        <v>756</v>
      </c>
      <c r="O32" s="535" t="s">
        <v>22</v>
      </c>
      <c r="P32" s="552"/>
      <c r="Q32" s="535"/>
      <c r="R32" s="535" t="s">
        <v>774</v>
      </c>
      <c r="S32" s="535" t="s">
        <v>657</v>
      </c>
      <c r="T32" s="535" t="s">
        <v>775</v>
      </c>
      <c r="U32" s="535" t="s">
        <v>662</v>
      </c>
      <c r="V32" s="535" t="s">
        <v>285</v>
      </c>
      <c r="W32" s="535" t="s">
        <v>504</v>
      </c>
      <c r="X32" s="535" t="s">
        <v>520</v>
      </c>
      <c r="Y32" s="538">
        <v>42415</v>
      </c>
      <c r="Z32" s="535" t="s">
        <v>969</v>
      </c>
      <c r="AA32" s="542" t="s">
        <v>875</v>
      </c>
    </row>
    <row r="33" spans="1:16376" s="264" customFormat="1" x14ac:dyDescent="0.25">
      <c r="A33" s="539" t="s">
        <v>349</v>
      </c>
      <c r="B33" s="539" t="s">
        <v>7</v>
      </c>
      <c r="C33" s="539" t="s">
        <v>19</v>
      </c>
      <c r="D33" s="539" t="s">
        <v>16</v>
      </c>
      <c r="E33" s="539" t="s">
        <v>55</v>
      </c>
      <c r="F33" s="539" t="s">
        <v>141</v>
      </c>
      <c r="G33" s="540">
        <v>92.785706000000005</v>
      </c>
      <c r="H33" s="540">
        <v>20.335864000000001</v>
      </c>
      <c r="I33" s="539"/>
      <c r="J33" s="531">
        <v>54</v>
      </c>
      <c r="K33" s="531">
        <v>324</v>
      </c>
      <c r="L33" s="532">
        <v>6.2857142857142856</v>
      </c>
      <c r="M33" s="550" t="s">
        <v>343</v>
      </c>
      <c r="N33" s="550" t="s">
        <v>756</v>
      </c>
      <c r="O33" s="550" t="s">
        <v>22</v>
      </c>
      <c r="P33" s="550"/>
      <c r="Q33" s="550"/>
      <c r="R33" s="550" t="s">
        <v>774</v>
      </c>
      <c r="S33" s="550" t="s">
        <v>657</v>
      </c>
      <c r="T33" s="550" t="s">
        <v>775</v>
      </c>
      <c r="U33" s="550" t="s">
        <v>662</v>
      </c>
      <c r="V33" s="550" t="s">
        <v>285</v>
      </c>
      <c r="W33" s="550" t="s">
        <v>504</v>
      </c>
      <c r="X33" s="550" t="s">
        <v>520</v>
      </c>
      <c r="Y33" s="538">
        <v>42415</v>
      </c>
      <c r="Z33" s="535" t="s">
        <v>970</v>
      </c>
      <c r="AA33" s="540" t="s">
        <v>875</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589" priority="8" operator="equal">
      <formula>"close"</formula>
    </cfRule>
  </conditionalFormatting>
  <conditionalFormatting sqref="A11:A13">
    <cfRule type="cellIs" dxfId="588" priority="7" operator="equal">
      <formula>"close"</formula>
    </cfRule>
  </conditionalFormatting>
  <conditionalFormatting sqref="A14:A24">
    <cfRule type="cellIs" dxfId="587" priority="6" operator="equal">
      <formula>"close"</formula>
    </cfRule>
  </conditionalFormatting>
  <conditionalFormatting sqref="A25:A27">
    <cfRule type="cellIs" dxfId="586" priority="5" operator="equal">
      <formula>"close"</formula>
    </cfRule>
  </conditionalFormatting>
  <conditionalFormatting sqref="A28:A29">
    <cfRule type="cellIs" dxfId="585" priority="4" operator="equal">
      <formula>"close"</formula>
    </cfRule>
  </conditionalFormatting>
  <conditionalFormatting sqref="A30:A31">
    <cfRule type="cellIs" dxfId="584" priority="3" operator="equal">
      <formula>"close"</formula>
    </cfRule>
  </conditionalFormatting>
  <conditionalFormatting sqref="A32">
    <cfRule type="cellIs" dxfId="583" priority="2" operator="equal">
      <formula>"close"</formula>
    </cfRule>
  </conditionalFormatting>
  <conditionalFormatting sqref="A33">
    <cfRule type="cellIs" dxfId="582"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D15" sqref="D15"/>
    </sheetView>
  </sheetViews>
  <sheetFormatPr defaultRowHeight="15" x14ac:dyDescent="0.2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01" t="s">
        <v>603</v>
      </c>
      <c r="B2" s="1002"/>
      <c r="C2" s="1002"/>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03">
        <f>Report_Date</f>
        <v>42795</v>
      </c>
      <c r="B3" s="1004"/>
      <c r="C3" s="1004"/>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x14ac:dyDescent="0.25"/>
    <row r="5" spans="1:61" s="90" customFormat="1" hidden="1" x14ac:dyDescent="0.25"/>
    <row r="6" spans="1:61" ht="12" hidden="1" x14ac:dyDescent="0.25">
      <c r="A6" s="199" t="s">
        <v>346</v>
      </c>
      <c r="B6" s="794" t="s">
        <v>348</v>
      </c>
    </row>
    <row r="7" spans="1:61" ht="7.5" customHeight="1" x14ac:dyDescent="0.25"/>
    <row r="8" spans="1:61" s="130" customFormat="1" x14ac:dyDescent="0.25">
      <c r="A8" s="599" t="s">
        <v>0</v>
      </c>
      <c r="B8" s="599" t="s">
        <v>9</v>
      </c>
      <c r="C8" s="599" t="s">
        <v>8</v>
      </c>
      <c r="D8" s="599" t="s">
        <v>896</v>
      </c>
      <c r="E8" s="599" t="s">
        <v>664</v>
      </c>
      <c r="F8" s="564" t="s">
        <v>601</v>
      </c>
      <c r="G8" s="564" t="s">
        <v>602</v>
      </c>
      <c r="H8" s="794" t="s">
        <v>895</v>
      </c>
    </row>
    <row r="9" spans="1:61" ht="12" customHeight="1" x14ac:dyDescent="0.25">
      <c r="A9" s="794" t="s">
        <v>15</v>
      </c>
      <c r="B9" s="794" t="s">
        <v>47</v>
      </c>
      <c r="C9" s="794" t="s">
        <v>133</v>
      </c>
      <c r="D9" s="794" t="s">
        <v>285</v>
      </c>
      <c r="E9" s="794" t="s">
        <v>662</v>
      </c>
      <c r="F9" s="600">
        <v>85</v>
      </c>
      <c r="G9" s="600">
        <v>546</v>
      </c>
      <c r="H9" s="114">
        <v>1</v>
      </c>
    </row>
    <row r="10" spans="1:61" ht="12" customHeight="1" x14ac:dyDescent="0.25">
      <c r="A10" s="794" t="s">
        <v>978</v>
      </c>
      <c r="B10" s="794"/>
      <c r="C10" s="794"/>
      <c r="D10" s="794"/>
      <c r="E10" s="794"/>
      <c r="F10" s="600">
        <v>85</v>
      </c>
      <c r="G10" s="600">
        <v>546</v>
      </c>
      <c r="H10" s="114">
        <v>1</v>
      </c>
    </row>
    <row r="11" spans="1:61" ht="12" customHeight="1" x14ac:dyDescent="0.25">
      <c r="A11" s="794" t="s">
        <v>20</v>
      </c>
      <c r="B11" s="794" t="s">
        <v>105</v>
      </c>
      <c r="C11" s="794" t="s">
        <v>193</v>
      </c>
      <c r="D11" s="794" t="s">
        <v>285</v>
      </c>
      <c r="E11" s="794" t="s">
        <v>662</v>
      </c>
      <c r="F11" s="600">
        <v>12</v>
      </c>
      <c r="G11" s="600">
        <v>87</v>
      </c>
      <c r="H11" s="114">
        <v>1</v>
      </c>
    </row>
    <row r="12" spans="1:61" ht="12" customHeight="1" x14ac:dyDescent="0.25">
      <c r="A12" s="794"/>
      <c r="B12" s="794" t="s">
        <v>109</v>
      </c>
      <c r="C12" s="794" t="s">
        <v>197</v>
      </c>
      <c r="D12" s="794" t="s">
        <v>285</v>
      </c>
      <c r="E12" s="794" t="s">
        <v>662</v>
      </c>
      <c r="F12" s="600">
        <v>48</v>
      </c>
      <c r="G12" s="600">
        <v>291</v>
      </c>
      <c r="H12" s="114">
        <v>1</v>
      </c>
    </row>
    <row r="13" spans="1:61" ht="12" customHeight="1" x14ac:dyDescent="0.25">
      <c r="A13" s="794"/>
      <c r="B13" s="794" t="s">
        <v>617</v>
      </c>
      <c r="C13" s="794" t="s">
        <v>621</v>
      </c>
      <c r="D13" s="794" t="s">
        <v>285</v>
      </c>
      <c r="E13" s="794" t="s">
        <v>662</v>
      </c>
      <c r="F13" s="600">
        <v>59</v>
      </c>
      <c r="G13" s="600">
        <v>344</v>
      </c>
      <c r="H13" s="114">
        <v>1</v>
      </c>
    </row>
    <row r="14" spans="1:61" ht="12" customHeight="1" x14ac:dyDescent="0.25">
      <c r="A14" s="794"/>
      <c r="B14" s="794" t="s">
        <v>872</v>
      </c>
      <c r="C14" s="794" t="s">
        <v>192</v>
      </c>
      <c r="D14" s="794" t="s">
        <v>285</v>
      </c>
      <c r="E14" s="794" t="s">
        <v>662</v>
      </c>
      <c r="F14" s="600">
        <v>8</v>
      </c>
      <c r="G14" s="600">
        <v>38</v>
      </c>
      <c r="H14" s="114">
        <v>1</v>
      </c>
    </row>
    <row r="15" spans="1:61" ht="12" customHeight="1" x14ac:dyDescent="0.25">
      <c r="A15" s="794"/>
      <c r="B15" s="794" t="s">
        <v>873</v>
      </c>
      <c r="C15" s="794" t="s">
        <v>283</v>
      </c>
      <c r="D15" s="794" t="s">
        <v>285</v>
      </c>
      <c r="E15" s="794" t="s">
        <v>662</v>
      </c>
      <c r="F15" s="600">
        <v>8</v>
      </c>
      <c r="G15" s="600">
        <v>58</v>
      </c>
      <c r="H15" s="114">
        <v>1</v>
      </c>
    </row>
    <row r="16" spans="1:61" ht="12" customHeight="1" x14ac:dyDescent="0.25">
      <c r="A16" s="794"/>
      <c r="B16" s="794" t="s">
        <v>107</v>
      </c>
      <c r="C16" s="794" t="s">
        <v>195</v>
      </c>
      <c r="D16" s="794" t="s">
        <v>285</v>
      </c>
      <c r="E16" s="794" t="s">
        <v>662</v>
      </c>
      <c r="F16" s="600">
        <v>10</v>
      </c>
      <c r="G16" s="600">
        <v>57</v>
      </c>
      <c r="H16" s="114">
        <v>1</v>
      </c>
    </row>
    <row r="17" spans="1:8" ht="12" customHeight="1" x14ac:dyDescent="0.25">
      <c r="A17" s="794"/>
      <c r="B17" s="794" t="s">
        <v>874</v>
      </c>
      <c r="C17" s="794" t="s">
        <v>284</v>
      </c>
      <c r="D17" s="794" t="s">
        <v>285</v>
      </c>
      <c r="E17" s="794" t="s">
        <v>662</v>
      </c>
      <c r="F17" s="600">
        <v>35</v>
      </c>
      <c r="G17" s="600">
        <v>243</v>
      </c>
      <c r="H17" s="114">
        <v>1</v>
      </c>
    </row>
    <row r="18" spans="1:8" ht="12" customHeight="1" x14ac:dyDescent="0.25">
      <c r="A18" s="794"/>
      <c r="B18" s="794" t="s">
        <v>106</v>
      </c>
      <c r="C18" s="794" t="s">
        <v>194</v>
      </c>
      <c r="D18" s="794" t="s">
        <v>285</v>
      </c>
      <c r="E18" s="794" t="s">
        <v>662</v>
      </c>
      <c r="F18" s="600">
        <v>4</v>
      </c>
      <c r="G18" s="600">
        <v>30</v>
      </c>
      <c r="H18" s="114">
        <v>1</v>
      </c>
    </row>
    <row r="19" spans="1:8" ht="12" customHeight="1" x14ac:dyDescent="0.25">
      <c r="A19" s="794" t="s">
        <v>646</v>
      </c>
      <c r="B19" s="794"/>
      <c r="C19" s="794"/>
      <c r="D19" s="794"/>
      <c r="E19" s="794"/>
      <c r="F19" s="600">
        <v>184</v>
      </c>
      <c r="G19" s="600">
        <v>1148</v>
      </c>
      <c r="H19" s="114">
        <v>8</v>
      </c>
    </row>
    <row r="20" spans="1:8" ht="12" customHeight="1" x14ac:dyDescent="0.25">
      <c r="A20" s="794" t="s">
        <v>14</v>
      </c>
      <c r="B20" s="794" t="s">
        <v>40</v>
      </c>
      <c r="C20" s="794" t="s">
        <v>126</v>
      </c>
      <c r="D20" s="794" t="s">
        <v>624</v>
      </c>
      <c r="E20" s="794" t="s">
        <v>661</v>
      </c>
      <c r="F20" s="600">
        <v>1238</v>
      </c>
      <c r="G20" s="600">
        <v>4252</v>
      </c>
      <c r="H20" s="114">
        <v>1</v>
      </c>
    </row>
    <row r="21" spans="1:8" ht="12" customHeight="1" x14ac:dyDescent="0.25">
      <c r="A21" s="794"/>
      <c r="B21" s="794" t="s">
        <v>42</v>
      </c>
      <c r="C21" s="794" t="s">
        <v>128</v>
      </c>
      <c r="D21" s="794" t="s">
        <v>288</v>
      </c>
      <c r="E21" s="794" t="s">
        <v>661</v>
      </c>
      <c r="F21" s="600">
        <v>1012</v>
      </c>
      <c r="G21" s="600">
        <v>5115</v>
      </c>
      <c r="H21" s="114">
        <v>1</v>
      </c>
    </row>
    <row r="22" spans="1:8" ht="12" customHeight="1" x14ac:dyDescent="0.25">
      <c r="A22" s="794"/>
      <c r="B22" s="794" t="s">
        <v>1070</v>
      </c>
      <c r="C22" s="794" t="s">
        <v>127</v>
      </c>
      <c r="D22" s="794" t="s">
        <v>624</v>
      </c>
      <c r="E22" s="794" t="s">
        <v>661</v>
      </c>
      <c r="F22" s="600">
        <v>856</v>
      </c>
      <c r="G22" s="600">
        <v>3939</v>
      </c>
      <c r="H22" s="114">
        <v>1</v>
      </c>
    </row>
    <row r="23" spans="1:8" ht="12" customHeight="1" x14ac:dyDescent="0.25">
      <c r="A23" s="794"/>
      <c r="B23" s="794" t="s">
        <v>43</v>
      </c>
      <c r="C23" s="794" t="s">
        <v>129</v>
      </c>
      <c r="D23" s="794" t="s">
        <v>288</v>
      </c>
      <c r="E23" s="794" t="s">
        <v>661</v>
      </c>
      <c r="F23" s="600">
        <v>523</v>
      </c>
      <c r="G23" s="600">
        <v>2679</v>
      </c>
      <c r="H23" s="114">
        <v>1</v>
      </c>
    </row>
    <row r="24" spans="1:8" ht="12" customHeight="1" x14ac:dyDescent="0.25">
      <c r="A24" s="794" t="s">
        <v>647</v>
      </c>
      <c r="B24" s="794"/>
      <c r="C24" s="794"/>
      <c r="D24" s="794"/>
      <c r="E24" s="794"/>
      <c r="F24" s="600">
        <v>3629</v>
      </c>
      <c r="G24" s="600">
        <v>15985</v>
      </c>
      <c r="H24" s="114">
        <v>4</v>
      </c>
    </row>
    <row r="25" spans="1:8" ht="12" customHeight="1" x14ac:dyDescent="0.25">
      <c r="A25" s="794" t="s">
        <v>18</v>
      </c>
      <c r="B25" s="794" t="s">
        <v>60</v>
      </c>
      <c r="C25" s="794" t="s">
        <v>148</v>
      </c>
      <c r="D25" s="794" t="s">
        <v>285</v>
      </c>
      <c r="E25" s="794" t="s">
        <v>662</v>
      </c>
      <c r="F25" s="600">
        <v>18</v>
      </c>
      <c r="G25" s="600">
        <v>77</v>
      </c>
      <c r="H25" s="114">
        <v>1</v>
      </c>
    </row>
    <row r="26" spans="1:8" ht="12" customHeight="1" x14ac:dyDescent="0.25">
      <c r="A26" s="794"/>
      <c r="B26" s="794" t="s">
        <v>59</v>
      </c>
      <c r="C26" s="794" t="s">
        <v>147</v>
      </c>
      <c r="D26" s="794" t="s">
        <v>285</v>
      </c>
      <c r="E26" s="794" t="s">
        <v>662</v>
      </c>
      <c r="F26" s="600">
        <v>57</v>
      </c>
      <c r="G26" s="600">
        <v>187</v>
      </c>
      <c r="H26" s="114">
        <v>1</v>
      </c>
    </row>
    <row r="27" spans="1:8" ht="12" customHeight="1" x14ac:dyDescent="0.25">
      <c r="A27" s="794" t="s">
        <v>648</v>
      </c>
      <c r="B27" s="794"/>
      <c r="C27" s="794"/>
      <c r="D27" s="794"/>
      <c r="E27" s="794"/>
      <c r="F27" s="600">
        <v>75</v>
      </c>
      <c r="G27" s="600">
        <v>264</v>
      </c>
      <c r="H27" s="114">
        <v>2</v>
      </c>
    </row>
    <row r="28" spans="1:8" ht="12" customHeight="1" x14ac:dyDescent="0.25">
      <c r="A28" s="794" t="s">
        <v>16</v>
      </c>
      <c r="B28" s="794" t="s">
        <v>57</v>
      </c>
      <c r="C28" s="794" t="s">
        <v>144</v>
      </c>
      <c r="D28" s="794" t="s">
        <v>285</v>
      </c>
      <c r="E28" s="794" t="s">
        <v>662</v>
      </c>
      <c r="F28" s="600">
        <v>251</v>
      </c>
      <c r="G28" s="600">
        <v>1308</v>
      </c>
      <c r="H28" s="114">
        <v>1</v>
      </c>
    </row>
    <row r="29" spans="1:8" ht="12" customHeight="1" x14ac:dyDescent="0.25">
      <c r="A29" s="794"/>
      <c r="B29" s="794" t="s">
        <v>605</v>
      </c>
      <c r="C29" s="794" t="s">
        <v>143</v>
      </c>
      <c r="D29" s="794" t="s">
        <v>285</v>
      </c>
      <c r="E29" s="794" t="s">
        <v>662</v>
      </c>
      <c r="F29" s="600">
        <v>217</v>
      </c>
      <c r="G29" s="600">
        <v>1297</v>
      </c>
      <c r="H29" s="114">
        <v>1</v>
      </c>
    </row>
    <row r="30" spans="1:8" ht="12" customHeight="1" x14ac:dyDescent="0.25">
      <c r="A30" s="794"/>
      <c r="B30" s="794" t="s">
        <v>400</v>
      </c>
      <c r="C30" s="794" t="s">
        <v>606</v>
      </c>
      <c r="D30" s="794" t="s">
        <v>285</v>
      </c>
      <c r="E30" s="794" t="s">
        <v>662</v>
      </c>
      <c r="F30" s="600">
        <v>193</v>
      </c>
      <c r="G30" s="600">
        <v>961</v>
      </c>
      <c r="H30" s="114">
        <v>1</v>
      </c>
    </row>
    <row r="31" spans="1:8" ht="12" customHeight="1" x14ac:dyDescent="0.25">
      <c r="A31" s="794" t="s">
        <v>649</v>
      </c>
      <c r="B31" s="794"/>
      <c r="C31" s="794"/>
      <c r="D31" s="794"/>
      <c r="E31" s="794"/>
      <c r="F31" s="600">
        <v>661</v>
      </c>
      <c r="G31" s="600">
        <v>3566</v>
      </c>
      <c r="H31" s="114">
        <v>3</v>
      </c>
    </row>
    <row r="32" spans="1:8" ht="12" customHeight="1" x14ac:dyDescent="0.25">
      <c r="A32" s="794" t="s">
        <v>19</v>
      </c>
      <c r="B32" s="794" t="s">
        <v>61</v>
      </c>
      <c r="C32" s="794" t="s">
        <v>149</v>
      </c>
      <c r="D32" s="794" t="s">
        <v>624</v>
      </c>
      <c r="E32" s="794" t="s">
        <v>661</v>
      </c>
      <c r="F32" s="600">
        <v>397</v>
      </c>
      <c r="G32" s="600">
        <v>2175</v>
      </c>
      <c r="H32" s="114">
        <v>1</v>
      </c>
    </row>
    <row r="33" spans="1:14" ht="12" customHeight="1" x14ac:dyDescent="0.25">
      <c r="A33" s="794"/>
      <c r="B33" s="794" t="s">
        <v>553</v>
      </c>
      <c r="C33" s="794" t="s">
        <v>554</v>
      </c>
      <c r="D33" s="794" t="s">
        <v>285</v>
      </c>
      <c r="E33" s="794" t="s">
        <v>662</v>
      </c>
      <c r="F33" s="600">
        <v>41</v>
      </c>
      <c r="G33" s="600">
        <v>226</v>
      </c>
      <c r="H33" s="114">
        <v>1</v>
      </c>
    </row>
    <row r="34" spans="1:14" ht="12" customHeight="1" x14ac:dyDescent="0.25">
      <c r="A34" s="794"/>
      <c r="B34" s="794" t="s">
        <v>630</v>
      </c>
      <c r="C34" s="794" t="s">
        <v>632</v>
      </c>
      <c r="D34" s="794" t="s">
        <v>288</v>
      </c>
      <c r="E34" s="794" t="s">
        <v>661</v>
      </c>
      <c r="F34" s="600">
        <v>1011</v>
      </c>
      <c r="G34" s="600">
        <v>4879</v>
      </c>
      <c r="H34" s="114">
        <v>1</v>
      </c>
    </row>
    <row r="35" spans="1:14" ht="12" customHeight="1" x14ac:dyDescent="0.25">
      <c r="A35" s="794"/>
      <c r="B35" s="794" t="s">
        <v>631</v>
      </c>
      <c r="C35" s="794" t="s">
        <v>633</v>
      </c>
      <c r="D35" s="794" t="s">
        <v>288</v>
      </c>
      <c r="E35" s="794" t="s">
        <v>661</v>
      </c>
      <c r="F35" s="600">
        <v>1289</v>
      </c>
      <c r="G35" s="600">
        <v>6947</v>
      </c>
      <c r="H35" s="114">
        <v>1</v>
      </c>
    </row>
    <row r="36" spans="1:14" ht="12" customHeight="1" x14ac:dyDescent="0.25">
      <c r="A36" s="794"/>
      <c r="B36" s="794" t="s">
        <v>63</v>
      </c>
      <c r="C36" s="794" t="s">
        <v>151</v>
      </c>
      <c r="D36" s="794" t="s">
        <v>288</v>
      </c>
      <c r="E36" s="794" t="s">
        <v>661</v>
      </c>
      <c r="F36" s="600">
        <v>1431</v>
      </c>
      <c r="G36" s="600">
        <v>8204</v>
      </c>
      <c r="H36" s="114">
        <v>1</v>
      </c>
    </row>
    <row r="37" spans="1:14" ht="12" customHeight="1" x14ac:dyDescent="0.25">
      <c r="A37" s="794"/>
      <c r="B37" s="794" t="s">
        <v>543</v>
      </c>
      <c r="C37" s="794" t="s">
        <v>544</v>
      </c>
      <c r="D37" s="794" t="s">
        <v>285</v>
      </c>
      <c r="E37" s="794" t="s">
        <v>662</v>
      </c>
      <c r="F37" s="600">
        <v>518</v>
      </c>
      <c r="G37" s="600">
        <v>2951</v>
      </c>
      <c r="H37" s="114">
        <v>1</v>
      </c>
    </row>
    <row r="38" spans="1:14" ht="12" customHeight="1" x14ac:dyDescent="0.25">
      <c r="A38" s="794"/>
      <c r="B38" s="794" t="s">
        <v>797</v>
      </c>
      <c r="C38" s="794" t="s">
        <v>152</v>
      </c>
      <c r="D38" s="794" t="s">
        <v>624</v>
      </c>
      <c r="E38" s="794" t="s">
        <v>661</v>
      </c>
      <c r="F38" s="600">
        <v>799</v>
      </c>
      <c r="G38" s="600">
        <v>4404</v>
      </c>
      <c r="H38" s="114">
        <v>1</v>
      </c>
    </row>
    <row r="39" spans="1:14" ht="12" customHeight="1" x14ac:dyDescent="0.25">
      <c r="A39" s="794"/>
      <c r="B39" s="794" t="s">
        <v>629</v>
      </c>
      <c r="C39" s="794" t="s">
        <v>281</v>
      </c>
      <c r="D39" s="794" t="s">
        <v>971</v>
      </c>
      <c r="E39" s="794" t="s">
        <v>661</v>
      </c>
      <c r="F39" s="600">
        <v>622</v>
      </c>
      <c r="G39" s="600">
        <v>3423</v>
      </c>
      <c r="H39" s="114">
        <v>1</v>
      </c>
    </row>
    <row r="40" spans="1:14" ht="12" customHeight="1" x14ac:dyDescent="0.25">
      <c r="A40" s="794"/>
      <c r="B40" s="794" t="s">
        <v>634</v>
      </c>
      <c r="C40" s="794" t="s">
        <v>546</v>
      </c>
      <c r="D40" s="794" t="s">
        <v>288</v>
      </c>
      <c r="E40" s="794" t="s">
        <v>661</v>
      </c>
      <c r="F40" s="600">
        <v>681</v>
      </c>
      <c r="G40" s="600">
        <v>3408</v>
      </c>
      <c r="H40" s="114">
        <v>1</v>
      </c>
    </row>
    <row r="41" spans="1:14" ht="12" customHeight="1" x14ac:dyDescent="0.25">
      <c r="A41" s="794"/>
      <c r="B41" s="794" t="s">
        <v>635</v>
      </c>
      <c r="C41" s="794" t="s">
        <v>637</v>
      </c>
      <c r="D41" s="794" t="s">
        <v>288</v>
      </c>
      <c r="E41" s="794" t="s">
        <v>661</v>
      </c>
      <c r="F41" s="600">
        <v>2640</v>
      </c>
      <c r="G41" s="600">
        <v>13705</v>
      </c>
      <c r="H41" s="114">
        <v>1</v>
      </c>
    </row>
    <row r="42" spans="1:14" ht="12" customHeight="1" x14ac:dyDescent="0.25">
      <c r="A42" s="794"/>
      <c r="B42" s="794" t="s">
        <v>636</v>
      </c>
      <c r="C42" s="794" t="s">
        <v>638</v>
      </c>
      <c r="D42" s="794" t="s">
        <v>624</v>
      </c>
      <c r="E42" s="794" t="s">
        <v>661</v>
      </c>
      <c r="F42" s="600">
        <v>2222</v>
      </c>
      <c r="G42" s="600">
        <v>11586</v>
      </c>
      <c r="H42" s="114">
        <v>1</v>
      </c>
    </row>
    <row r="43" spans="1:14" ht="12" customHeight="1" x14ac:dyDescent="0.25">
      <c r="A43" s="794"/>
      <c r="B43" s="794" t="s">
        <v>67</v>
      </c>
      <c r="C43" s="794" t="s">
        <v>155</v>
      </c>
      <c r="D43" s="794" t="s">
        <v>288</v>
      </c>
      <c r="E43" s="794" t="s">
        <v>661</v>
      </c>
      <c r="F43" s="600">
        <v>2497</v>
      </c>
      <c r="G43" s="600">
        <v>12273</v>
      </c>
      <c r="H43" s="114">
        <v>1</v>
      </c>
      <c r="N43" s="90"/>
    </row>
    <row r="44" spans="1:14" ht="12" customHeight="1" x14ac:dyDescent="0.25">
      <c r="A44" s="794"/>
      <c r="B44" s="794" t="s">
        <v>68</v>
      </c>
      <c r="C44" s="794" t="s">
        <v>156</v>
      </c>
      <c r="D44" s="794" t="s">
        <v>624</v>
      </c>
      <c r="E44" s="794" t="s">
        <v>661</v>
      </c>
      <c r="F44" s="600">
        <v>2145</v>
      </c>
      <c r="G44" s="600">
        <v>11764</v>
      </c>
      <c r="H44" s="114">
        <v>1</v>
      </c>
      <c r="N44" s="90"/>
    </row>
    <row r="45" spans="1:14" ht="12" customHeight="1" x14ac:dyDescent="0.25">
      <c r="A45" s="794"/>
      <c r="B45" s="794" t="s">
        <v>70</v>
      </c>
      <c r="C45" s="794" t="s">
        <v>158</v>
      </c>
      <c r="D45" s="794" t="s">
        <v>971</v>
      </c>
      <c r="E45" s="794" t="s">
        <v>661</v>
      </c>
      <c r="F45" s="600">
        <v>997</v>
      </c>
      <c r="G45" s="600">
        <v>5830</v>
      </c>
      <c r="H45" s="114">
        <v>1</v>
      </c>
      <c r="N45" s="90"/>
    </row>
    <row r="46" spans="1:14" ht="12" customHeight="1" x14ac:dyDescent="0.25">
      <c r="A46" s="794"/>
      <c r="B46" s="794" t="s">
        <v>541</v>
      </c>
      <c r="C46" s="794" t="s">
        <v>280</v>
      </c>
      <c r="D46" s="794" t="s">
        <v>285</v>
      </c>
      <c r="E46" s="794" t="s">
        <v>662</v>
      </c>
      <c r="F46" s="600">
        <v>496</v>
      </c>
      <c r="G46" s="600">
        <v>2942</v>
      </c>
      <c r="H46" s="114">
        <v>1</v>
      </c>
      <c r="N46" s="90"/>
    </row>
    <row r="47" spans="1:14" ht="12" customHeight="1" x14ac:dyDescent="0.25">
      <c r="A47" s="794" t="s">
        <v>645</v>
      </c>
      <c r="B47" s="794"/>
      <c r="C47" s="794"/>
      <c r="D47" s="794"/>
      <c r="E47" s="794"/>
      <c r="F47" s="600">
        <v>17786</v>
      </c>
      <c r="G47" s="600">
        <v>94717</v>
      </c>
      <c r="H47" s="114">
        <v>15</v>
      </c>
    </row>
    <row r="48" spans="1:14" ht="12" customHeight="1" x14ac:dyDescent="0.25">
      <c r="A48" s="794" t="s">
        <v>867</v>
      </c>
      <c r="B48" s="794" t="s">
        <v>38</v>
      </c>
      <c r="C48" s="794" t="s">
        <v>124</v>
      </c>
      <c r="D48" s="794" t="s">
        <v>707</v>
      </c>
      <c r="E48" s="794" t="s">
        <v>662</v>
      </c>
      <c r="F48" s="600">
        <v>662</v>
      </c>
      <c r="G48" s="600">
        <v>2679</v>
      </c>
      <c r="H48" s="114">
        <v>1</v>
      </c>
    </row>
    <row r="49" spans="1:8" ht="12" customHeight="1" x14ac:dyDescent="0.25">
      <c r="A49" s="794" t="s">
        <v>868</v>
      </c>
      <c r="B49" s="794"/>
      <c r="C49" s="794"/>
      <c r="D49" s="794"/>
      <c r="E49" s="794"/>
      <c r="F49" s="600">
        <v>662</v>
      </c>
      <c r="G49" s="600">
        <v>2679</v>
      </c>
      <c r="H49" s="114">
        <v>1</v>
      </c>
    </row>
    <row r="50" spans="1:8" ht="12" customHeight="1" x14ac:dyDescent="0.25">
      <c r="A50" s="794" t="s">
        <v>608</v>
      </c>
      <c r="B50" s="794" t="s">
        <v>474</v>
      </c>
      <c r="C50" s="794" t="s">
        <v>146</v>
      </c>
      <c r="D50" s="794" t="s">
        <v>285</v>
      </c>
      <c r="E50" s="794" t="s">
        <v>662</v>
      </c>
      <c r="F50" s="600">
        <v>65</v>
      </c>
      <c r="G50" s="600">
        <v>327</v>
      </c>
      <c r="H50" s="114">
        <v>1</v>
      </c>
    </row>
    <row r="51" spans="1:8" x14ac:dyDescent="0.25">
      <c r="A51" s="794"/>
      <c r="B51" s="794" t="s">
        <v>58</v>
      </c>
      <c r="C51" s="794" t="s">
        <v>145</v>
      </c>
      <c r="D51" s="794" t="s">
        <v>285</v>
      </c>
      <c r="E51" s="794" t="s">
        <v>662</v>
      </c>
      <c r="F51" s="600">
        <v>427</v>
      </c>
      <c r="G51" s="600">
        <v>1274</v>
      </c>
      <c r="H51" s="114">
        <v>1</v>
      </c>
    </row>
    <row r="52" spans="1:8" ht="12" customHeight="1" x14ac:dyDescent="0.25">
      <c r="A52" s="794" t="s">
        <v>1004</v>
      </c>
      <c r="B52" s="794"/>
      <c r="C52" s="794"/>
      <c r="D52" s="794"/>
      <c r="E52" s="794"/>
      <c r="F52" s="600">
        <v>492</v>
      </c>
      <c r="G52" s="600">
        <v>1601</v>
      </c>
      <c r="H52" s="114">
        <v>2</v>
      </c>
    </row>
    <row r="53" spans="1:8" ht="12" customHeight="1" x14ac:dyDescent="0.25">
      <c r="A53" s="794" t="s">
        <v>213</v>
      </c>
      <c r="B53" s="794"/>
      <c r="C53" s="794"/>
      <c r="D53" s="794"/>
      <c r="E53" s="794"/>
      <c r="F53" s="600">
        <v>23574</v>
      </c>
      <c r="G53" s="600">
        <v>120506</v>
      </c>
      <c r="H53" s="114">
        <v>36</v>
      </c>
    </row>
    <row r="54" spans="1:8" ht="12" customHeight="1" x14ac:dyDescent="0.25"/>
    <row r="55" spans="1:8" ht="12" customHeight="1"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A51"/>
  <sheetViews>
    <sheetView showGridLines="0" showZeros="0" tabSelected="1" zoomScale="69" zoomScaleNormal="69" workbookViewId="0">
      <selection activeCell="R24" sqref="R24"/>
    </sheetView>
  </sheetViews>
  <sheetFormatPr defaultColWidth="9.140625" defaultRowHeight="15" x14ac:dyDescent="0.2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x14ac:dyDescent="0.25">
      <c r="A1" s="424"/>
      <c r="B1" s="425"/>
      <c r="C1" s="425"/>
      <c r="D1" s="425"/>
      <c r="E1" s="425"/>
      <c r="F1" s="425"/>
      <c r="G1" s="425"/>
      <c r="H1" s="425"/>
      <c r="I1" s="425"/>
      <c r="J1" s="425"/>
      <c r="K1" s="425"/>
      <c r="L1" s="425"/>
      <c r="M1" s="425"/>
      <c r="N1" s="425"/>
      <c r="O1" s="425"/>
      <c r="P1" s="425"/>
      <c r="Q1" s="426"/>
    </row>
    <row r="2" spans="1:53" s="1" customFormat="1" ht="36.75" thickBot="1" x14ac:dyDescent="0.3">
      <c r="A2" s="427"/>
      <c r="B2" s="1005"/>
      <c r="C2" s="1005"/>
      <c r="D2" s="1005"/>
      <c r="E2" s="1005"/>
      <c r="F2" s="1005"/>
      <c r="G2" s="1005"/>
      <c r="H2" s="1005"/>
      <c r="I2" s="1005"/>
      <c r="J2" s="1005"/>
      <c r="K2" s="1005"/>
      <c r="L2" s="1005"/>
      <c r="M2" s="1005"/>
      <c r="N2" s="1005"/>
      <c r="O2" s="1005"/>
      <c r="P2" s="1005"/>
      <c r="Q2" s="428"/>
      <c r="AZ2" s="68"/>
      <c r="BA2" s="68"/>
    </row>
    <row r="3" spans="1:53" s="1" customFormat="1" ht="33" customHeight="1" x14ac:dyDescent="0.25">
      <c r="A3" s="1017" t="s">
        <v>599</v>
      </c>
      <c r="B3" s="1018"/>
      <c r="C3" s="1018"/>
      <c r="D3" s="1018"/>
      <c r="E3" s="1018"/>
      <c r="F3" s="1018"/>
      <c r="G3" s="1018"/>
      <c r="H3" s="1018"/>
      <c r="I3" s="1018"/>
      <c r="J3" s="1018"/>
      <c r="K3" s="1018"/>
      <c r="L3" s="618"/>
      <c r="M3" s="618"/>
      <c r="N3" s="618"/>
      <c r="O3" s="618"/>
      <c r="P3" s="618"/>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x14ac:dyDescent="0.25">
      <c r="A4" s="1019">
        <f>Report_Date</f>
        <v>42795</v>
      </c>
      <c r="B4" s="1020"/>
      <c r="C4" s="1020"/>
      <c r="D4" s="1020"/>
      <c r="E4" s="1020"/>
      <c r="F4" s="1020"/>
      <c r="G4" s="1020"/>
      <c r="H4" s="1020"/>
      <c r="I4" s="1020"/>
      <c r="J4" s="1020"/>
      <c r="K4" s="1020"/>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x14ac:dyDescent="0.25">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x14ac:dyDescent="0.25">
      <c r="A6" s="57"/>
      <c r="B6" s="46"/>
      <c r="C6" s="46"/>
      <c r="D6" s="46"/>
      <c r="E6" s="46"/>
      <c r="F6" s="46"/>
      <c r="G6" s="46"/>
      <c r="H6" s="46"/>
      <c r="I6" s="46"/>
      <c r="J6" s="46"/>
      <c r="K6" s="46"/>
      <c r="L6" s="46"/>
      <c r="M6" s="46"/>
      <c r="N6" s="46"/>
      <c r="O6" s="46"/>
      <c r="P6" s="46"/>
      <c r="Q6" s="429"/>
      <c r="R6" s="1"/>
      <c r="AG6" s="330" t="s">
        <v>1</v>
      </c>
      <c r="AH6" s="330" t="s">
        <v>589</v>
      </c>
      <c r="AI6" s="330" t="s">
        <v>592</v>
      </c>
      <c r="AJ6" s="330" t="s">
        <v>591</v>
      </c>
      <c r="AK6" s="330" t="s">
        <v>593</v>
      </c>
      <c r="AL6" s="37" t="s">
        <v>907</v>
      </c>
      <c r="AS6" s="35"/>
    </row>
    <row r="7" spans="1:53" ht="9.75" customHeight="1" x14ac:dyDescent="0.25">
      <c r="A7" s="57"/>
      <c r="B7" s="46"/>
      <c r="C7" s="46"/>
      <c r="D7" s="46"/>
      <c r="E7" s="46"/>
      <c r="F7" s="46"/>
      <c r="G7" s="46"/>
      <c r="H7" s="46"/>
      <c r="I7" s="46"/>
      <c r="J7" s="46"/>
      <c r="K7" s="46"/>
      <c r="L7" s="46"/>
      <c r="M7" s="46"/>
      <c r="N7" s="46"/>
      <c r="O7" s="46"/>
      <c r="P7" s="46"/>
      <c r="Q7" s="429"/>
      <c r="R7" s="1"/>
      <c r="AG7" s="321" t="s">
        <v>608</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x14ac:dyDescent="0.25">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x14ac:dyDescent="0.25">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x14ac:dyDescent="0.25">
      <c r="A10" s="57"/>
      <c r="B10" s="46"/>
      <c r="C10" s="46"/>
      <c r="D10" s="46"/>
      <c r="E10" s="46"/>
      <c r="F10" s="46"/>
      <c r="G10" s="46"/>
      <c r="H10" s="1012" t="s">
        <v>995</v>
      </c>
      <c r="I10" s="1014"/>
      <c r="J10" s="1015"/>
      <c r="K10" s="1015"/>
      <c r="L10" s="1016"/>
      <c r="M10" s="46"/>
      <c r="N10" s="46"/>
      <c r="O10" s="46"/>
      <c r="P10" s="46"/>
      <c r="Q10" s="430"/>
      <c r="R10" s="1"/>
      <c r="AG10" s="321" t="s">
        <v>867</v>
      </c>
      <c r="AH10" s="320">
        <f>SUMIFS(Camp_List[Total],Camp_List[TOWNSHIP_NAME],$AG10,Camp_List[Total],"&gt;0",Camp_List[Total],"&lt;=1000",Camp_List[Status],"Open")</f>
        <v>0</v>
      </c>
      <c r="AI10" s="320">
        <f>SUMIFS(Camp_List[Total],Camp_List[TOWNSHIP_NAME],$AG10,Camp_List[Total],"&gt;1000",Camp_List[Total],"&lt;=5000",Camp_List[Status],"Open")</f>
        <v>2679</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x14ac:dyDescent="0.25">
      <c r="A11" s="57"/>
      <c r="B11" s="46"/>
      <c r="C11" s="46"/>
      <c r="D11" s="46"/>
      <c r="E11" s="46"/>
      <c r="F11" s="46"/>
      <c r="G11" s="46"/>
      <c r="H11" s="1013"/>
      <c r="I11" s="716" t="s">
        <v>718</v>
      </c>
      <c r="J11" s="717" t="s">
        <v>719</v>
      </c>
      <c r="K11" s="718" t="s">
        <v>720</v>
      </c>
      <c r="L11" s="719" t="s">
        <v>721</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x14ac:dyDescent="0.3">
      <c r="A12" s="57"/>
      <c r="B12" s="46"/>
      <c r="C12" s="46"/>
      <c r="D12" s="46"/>
      <c r="E12" s="46"/>
      <c r="F12" s="46"/>
      <c r="G12" s="46"/>
      <c r="H12" s="619" t="s">
        <v>762</v>
      </c>
      <c r="I12" s="620">
        <f>AH38</f>
        <v>14</v>
      </c>
      <c r="J12" s="620">
        <f>AI38</f>
        <v>14</v>
      </c>
      <c r="K12" s="620">
        <f>AJ38</f>
        <v>4</v>
      </c>
      <c r="L12" s="620">
        <f>AK38</f>
        <v>4</v>
      </c>
      <c r="M12" s="46"/>
      <c r="N12" s="46"/>
      <c r="O12" s="46"/>
      <c r="P12" s="46"/>
      <c r="Q12" s="431"/>
      <c r="V12" s="90"/>
      <c r="AG12" s="321" t="s">
        <v>1003</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x14ac:dyDescent="0.3">
      <c r="A13" s="57"/>
      <c r="B13" s="46"/>
      <c r="C13" s="46"/>
      <c r="D13" s="46"/>
      <c r="E13" s="46"/>
      <c r="F13" s="46"/>
      <c r="G13" s="46"/>
      <c r="H13" s="619" t="s">
        <v>579</v>
      </c>
      <c r="I13" s="620">
        <f>AH17</f>
        <v>3472</v>
      </c>
      <c r="J13" s="620">
        <f>AI17</f>
        <v>41610</v>
      </c>
      <c r="K13" s="620">
        <f>AJ17</f>
        <v>26096</v>
      </c>
      <c r="L13" s="620">
        <f>AK17</f>
        <v>49328</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10870</v>
      </c>
      <c r="AJ13" s="320">
        <f>SUMIFS(Camp_List[Total],Camp_List[TOWNSHIP_NAME],$AG13,Camp_List[Total],"&gt;5000",Camp_List[Total],"&lt;=10000",Camp_List[Status],"Open")</f>
        <v>5115</v>
      </c>
      <c r="AK13" s="320">
        <f>SUMIFS(Camp_List[Total],Camp_List[TOWNSHIP_NAME],$AG13,Camp_List[Total],"&gt;10000",Camp_List[Total],"&lt;=100000",Camp_List[Status],"Open")</f>
        <v>0</v>
      </c>
      <c r="AL13" s="320">
        <f>SUMIFS(Camp_List[Total],Camp_List[TOWNSHIP_NAME],$AG13,Camp_List[Total],"",Camp_List[Status],"Open")</f>
        <v>0</v>
      </c>
      <c r="AS13" s="35"/>
    </row>
    <row r="14" spans="1:53" hidden="1" x14ac:dyDescent="0.25">
      <c r="A14" s="57"/>
      <c r="B14" s="46"/>
      <c r="C14" s="46"/>
      <c r="D14" s="46"/>
      <c r="E14" s="46"/>
      <c r="F14" s="46"/>
      <c r="G14" s="46"/>
      <c r="H14" s="46"/>
      <c r="I14" s="715"/>
      <c r="J14" s="715"/>
      <c r="K14" s="715"/>
      <c r="L14" s="715"/>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x14ac:dyDescent="0.25">
      <c r="A15" s="57"/>
      <c r="B15" s="46"/>
      <c r="C15" s="46"/>
      <c r="D15" s="46"/>
      <c r="E15" s="46"/>
      <c r="F15" s="46"/>
      <c r="G15" s="46"/>
      <c r="H15" s="46"/>
      <c r="I15" s="715"/>
      <c r="J15" s="715"/>
      <c r="K15" s="715"/>
      <c r="L15" s="715"/>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x14ac:dyDescent="0.25">
      <c r="A16" s="57"/>
      <c r="B16" s="46"/>
      <c r="C16" s="46"/>
      <c r="D16" s="46"/>
      <c r="E16" s="46"/>
      <c r="F16" s="46"/>
      <c r="G16" s="46"/>
      <c r="H16" s="623" t="s">
        <v>1</v>
      </c>
      <c r="I16" s="624" t="s">
        <v>575</v>
      </c>
      <c r="J16" s="624" t="s">
        <v>579</v>
      </c>
      <c r="K16" s="624" t="s">
        <v>764</v>
      </c>
      <c r="L16" s="693" t="s">
        <v>776</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24182</v>
      </c>
      <c r="AJ16" s="320">
        <f>SUMIFS(Camp_List[Total],Camp_List[TOWNSHIP_NAME],$AG16,Camp_List[Total],"&gt;5000",Camp_List[Total],"&lt;=10000",Camp_List[Status],"Open")</f>
        <v>20981</v>
      </c>
      <c r="AK16" s="320">
        <f>SUMIFS(Camp_List[Total],Camp_List[TOWNSHIP_NAME],$AG16,Camp_List[Total],"&gt;10000",Camp_List[Total],"&lt;=100000",Camp_List[Status],"Open")</f>
        <v>49328</v>
      </c>
      <c r="AL16" s="320">
        <f>SUMIFS(Camp_List[Total],Camp_List[TOWNSHIP_NAME],$AG16,Camp_List[Total],"",Camp_List[Status],"Open")</f>
        <v>0</v>
      </c>
      <c r="AM16" s="65"/>
      <c r="AQ16" s="35"/>
      <c r="AR16" s="35"/>
      <c r="AS16" s="35"/>
    </row>
    <row r="17" spans="1:45" ht="18.95" customHeight="1" x14ac:dyDescent="0.3">
      <c r="A17" s="57"/>
      <c r="B17" s="46"/>
      <c r="C17" s="46"/>
      <c r="D17" s="46"/>
      <c r="E17" s="46"/>
      <c r="F17" s="46"/>
      <c r="G17" s="46"/>
      <c r="H17" s="625" t="s">
        <v>608</v>
      </c>
      <c r="I17" s="620">
        <f>SUMIFS(Camplist_HH,Camplist_Township,'CCCM Dashboard'!$H17,CampList_Status,"Open")</f>
        <v>492</v>
      </c>
      <c r="J17" s="620">
        <f>SUMIFS(Camplist_Popl,Camplist_Township,'CCCM Dashboard'!$H17,CampList_Status,"Open")</f>
        <v>1601</v>
      </c>
      <c r="K17" s="620">
        <f t="shared" ref="K17:K21" si="0">AN23</f>
        <v>2</v>
      </c>
      <c r="L17" s="620">
        <f>AR23-Table9[[#This Row],['# of Planned Camp]]</f>
        <v>0</v>
      </c>
      <c r="M17" s="46"/>
      <c r="N17" s="46"/>
      <c r="O17" s="46"/>
      <c r="P17" s="1"/>
      <c r="Q17" s="58"/>
      <c r="T17" s="80"/>
      <c r="U17" s="80"/>
      <c r="AG17" s="22" t="s">
        <v>235</v>
      </c>
      <c r="AH17" s="568">
        <f>SUM(AH7:AH16)</f>
        <v>3472</v>
      </c>
      <c r="AI17" s="568">
        <f>SUM(AI7:AI16)</f>
        <v>41610</v>
      </c>
      <c r="AJ17" s="568">
        <f>SUM(AJ7:AJ16)</f>
        <v>26096</v>
      </c>
      <c r="AK17" s="568">
        <f>SUM(AK7:AK16)</f>
        <v>49328</v>
      </c>
      <c r="AL17" s="568">
        <f>SUM(AL7:AL16)</f>
        <v>0</v>
      </c>
      <c r="AM17" s="569">
        <f>SUM(AH17:AL17)</f>
        <v>120506</v>
      </c>
      <c r="AR17" s="35"/>
      <c r="AS17" s="35"/>
    </row>
    <row r="18" spans="1:45" ht="18.95" customHeight="1" x14ac:dyDescent="0.3">
      <c r="A18" s="57"/>
      <c r="B18" s="46"/>
      <c r="C18" s="46"/>
      <c r="D18" s="46"/>
      <c r="E18" s="46"/>
      <c r="F18" s="46"/>
      <c r="G18" s="46"/>
      <c r="H18" s="625" t="s">
        <v>15</v>
      </c>
      <c r="I18" s="620">
        <f>SUMIFS(Camplist_HH,Camplist_Township,'CCCM Dashboard'!$H18,CampList_Status,"Open")</f>
        <v>85</v>
      </c>
      <c r="J18" s="620">
        <f>SUMIFS(Camplist_Popl,Camplist_Township,'CCCM Dashboard'!$H18,CampList_Status,"Open")</f>
        <v>546</v>
      </c>
      <c r="K18" s="620">
        <f t="shared" si="0"/>
        <v>0</v>
      </c>
      <c r="L18" s="620">
        <f>AR24-Table9[[#This Row],['# of Planned Camp]]</f>
        <v>1</v>
      </c>
      <c r="M18" s="46"/>
      <c r="N18" s="46"/>
      <c r="O18" s="46"/>
      <c r="P18" s="1"/>
      <c r="Q18" s="58"/>
      <c r="T18" s="80"/>
      <c r="U18" s="80"/>
      <c r="AG18" s="35"/>
      <c r="AH18" s="35"/>
      <c r="AI18" s="35"/>
      <c r="AJ18" s="35"/>
      <c r="AK18" s="35"/>
      <c r="AL18" s="24"/>
      <c r="AM18" s="25"/>
      <c r="AR18" s="35"/>
      <c r="AS18" s="35"/>
    </row>
    <row r="19" spans="1:45" ht="18.95" customHeight="1" x14ac:dyDescent="0.3">
      <c r="A19" s="57"/>
      <c r="B19" s="46"/>
      <c r="C19" s="46"/>
      <c r="D19" s="46"/>
      <c r="E19" s="46"/>
      <c r="F19" s="46"/>
      <c r="G19" s="46"/>
      <c r="H19" s="625" t="s">
        <v>20</v>
      </c>
      <c r="I19" s="620">
        <f>SUMIFS(Camplist_HH,Camplist_Township,'CCCM Dashboard'!$H19,CampList_Status,"Open")</f>
        <v>184</v>
      </c>
      <c r="J19" s="620">
        <f>SUMIFS(Camplist_Popl,Camplist_Township,'CCCM Dashboard'!$H19,CampList_Status,"Open")</f>
        <v>1148</v>
      </c>
      <c r="K19" s="620">
        <f t="shared" si="0"/>
        <v>0</v>
      </c>
      <c r="L19" s="620">
        <f>AR25-Table9[[#This Row],['# of Planned Camp]]</f>
        <v>8</v>
      </c>
      <c r="M19" s="46"/>
      <c r="N19" s="46"/>
      <c r="O19" s="46"/>
      <c r="P19" s="1"/>
      <c r="Q19" s="58"/>
      <c r="T19" s="80"/>
      <c r="U19" s="80"/>
      <c r="AG19" s="35"/>
      <c r="AH19" s="35"/>
      <c r="AI19" s="35"/>
      <c r="AJ19" s="35"/>
      <c r="AK19" s="35"/>
      <c r="AL19" s="24"/>
      <c r="AM19" s="25"/>
      <c r="AR19" s="35"/>
      <c r="AS19" s="35"/>
    </row>
    <row r="20" spans="1:45" ht="18.95" customHeight="1" x14ac:dyDescent="0.3">
      <c r="A20" s="57"/>
      <c r="B20" s="46"/>
      <c r="C20" s="46"/>
      <c r="D20" s="46"/>
      <c r="E20" s="46"/>
      <c r="F20" s="46"/>
      <c r="G20" s="46"/>
      <c r="H20" s="625" t="s">
        <v>867</v>
      </c>
      <c r="I20" s="620">
        <f>SUMIFS(Camplist_HH,Camplist_Township,'CCCM Dashboard'!$H20,CampList_Status,"Open")</f>
        <v>662</v>
      </c>
      <c r="J20" s="620">
        <f>SUMIFS(Camplist_Popl,Camplist_Township,'CCCM Dashboard'!$H20,CampList_Status,"Open")</f>
        <v>2679</v>
      </c>
      <c r="K20" s="620">
        <f t="shared" si="0"/>
        <v>1</v>
      </c>
      <c r="L20" s="620">
        <f>AR26-Table9[[#This Row],['# of Planned Camp]]</f>
        <v>0</v>
      </c>
      <c r="M20" s="46"/>
      <c r="N20" s="46"/>
      <c r="O20" s="46"/>
      <c r="P20" s="1"/>
      <c r="Q20" s="58"/>
      <c r="R20" s="573"/>
      <c r="T20" s="80"/>
      <c r="U20" s="80"/>
      <c r="AG20" s="35"/>
      <c r="AH20" s="35"/>
      <c r="AI20" s="35"/>
      <c r="AJ20" s="35"/>
      <c r="AK20" s="35"/>
      <c r="AL20" s="24"/>
      <c r="AM20" s="25"/>
      <c r="AR20" s="35"/>
      <c r="AS20" s="35"/>
    </row>
    <row r="21" spans="1:45" ht="18.95" customHeight="1" x14ac:dyDescent="0.3">
      <c r="A21" s="57"/>
      <c r="B21" s="46"/>
      <c r="C21" s="46"/>
      <c r="D21" s="46"/>
      <c r="E21" s="46"/>
      <c r="F21" s="46"/>
      <c r="G21" s="46"/>
      <c r="H21" s="625" t="s">
        <v>11</v>
      </c>
      <c r="I21" s="620">
        <f>SUMIFS(Camplist_HH,Camplist_Township,'CCCM Dashboard'!$H21,CampList_Status,"Open")</f>
        <v>0</v>
      </c>
      <c r="J21" s="620">
        <f>SUMIFS(Camplist_Popl,Camplist_Township,'CCCM Dashboard'!$H21,CampList_Status,"Open")</f>
        <v>0</v>
      </c>
      <c r="K21" s="620">
        <f t="shared" si="0"/>
        <v>0</v>
      </c>
      <c r="L21" s="620">
        <f>AR27-Table9[[#This Row],['# of Planned Camp]]</f>
        <v>0</v>
      </c>
      <c r="M21" s="46"/>
      <c r="N21" s="46"/>
      <c r="O21" s="46"/>
      <c r="P21" s="1"/>
      <c r="Q21" s="58"/>
      <c r="T21" s="80"/>
      <c r="U21" s="80"/>
      <c r="AG21" s="23" t="s">
        <v>765</v>
      </c>
      <c r="AI21" s="16"/>
      <c r="AJ21" s="16"/>
      <c r="AK21" s="35"/>
      <c r="AL21" s="24"/>
      <c r="AM21" s="25"/>
      <c r="AR21" s="35"/>
      <c r="AS21" s="35"/>
    </row>
    <row r="22" spans="1:45" ht="18.95" customHeight="1" x14ac:dyDescent="0.3">
      <c r="A22" s="57"/>
      <c r="B22" s="46"/>
      <c r="C22" s="46"/>
      <c r="D22" s="46"/>
      <c r="E22" s="46"/>
      <c r="F22" s="46"/>
      <c r="G22" s="46"/>
      <c r="H22" s="625" t="s">
        <v>1003</v>
      </c>
      <c r="I22" s="620">
        <f>SUMIFS(Camplist_HH,Camplist_Township,'CCCM Dashboard'!$H22,CampList_Status,"Open")</f>
        <v>0</v>
      </c>
      <c r="J22" s="620">
        <f>SUMIFS(Camplist_Popl,Camplist_Township,'CCCM Dashboard'!$H22,CampList_Status,"Open")</f>
        <v>0</v>
      </c>
      <c r="K22" s="620">
        <f t="shared" ref="K22:K27" si="1">AN33</f>
        <v>0</v>
      </c>
      <c r="L22" s="620">
        <f>AR33-Table9[[#This Row],['# of Planned Camp]]</f>
        <v>0</v>
      </c>
      <c r="M22" s="46"/>
      <c r="N22" s="46"/>
      <c r="O22" s="46"/>
      <c r="P22" s="1"/>
      <c r="Q22" s="58"/>
      <c r="T22" s="80"/>
      <c r="U22" s="80"/>
      <c r="AG22" s="22" t="s">
        <v>1</v>
      </c>
      <c r="AH22" s="29" t="s">
        <v>589</v>
      </c>
      <c r="AI22" s="29" t="s">
        <v>590</v>
      </c>
      <c r="AJ22" s="29" t="s">
        <v>591</v>
      </c>
      <c r="AK22" s="29" t="s">
        <v>594</v>
      </c>
      <c r="AL22" s="29" t="s">
        <v>600</v>
      </c>
      <c r="AM22" s="166" t="s">
        <v>5</v>
      </c>
      <c r="AN22" s="168" t="s">
        <v>22</v>
      </c>
      <c r="AO22" s="168" t="s">
        <v>866</v>
      </c>
      <c r="AP22" s="90" t="s">
        <v>23</v>
      </c>
      <c r="AQ22" s="90" t="s">
        <v>809</v>
      </c>
      <c r="AR22" s="35"/>
      <c r="AS22" s="35"/>
    </row>
    <row r="23" spans="1:45" ht="18.95" customHeight="1" x14ac:dyDescent="0.3">
      <c r="A23" s="57"/>
      <c r="B23" s="46"/>
      <c r="C23" s="46"/>
      <c r="D23" s="46"/>
      <c r="E23" s="46"/>
      <c r="F23" s="46"/>
      <c r="G23" s="46"/>
      <c r="H23" s="625" t="s">
        <v>14</v>
      </c>
      <c r="I23" s="620">
        <f>SUMIFS(Camplist_HH,Camplist_Township,'CCCM Dashboard'!$H23,CampList_Status,"Open")</f>
        <v>3629</v>
      </c>
      <c r="J23" s="620">
        <f>SUMIFS(Camplist_Popl,Camplist_Township,'CCCM Dashboard'!$H23,CampList_Status,"Open")</f>
        <v>15985</v>
      </c>
      <c r="K23" s="620">
        <f t="shared" si="1"/>
        <v>4</v>
      </c>
      <c r="L23" s="620">
        <f>AR34-Table9[[#This Row],['# of Planned Camp]]</f>
        <v>0</v>
      </c>
      <c r="M23" s="46"/>
      <c r="N23" s="46"/>
      <c r="O23" s="46"/>
      <c r="P23" s="1"/>
      <c r="Q23" s="58"/>
      <c r="T23" s="80"/>
      <c r="U23" s="80"/>
      <c r="AG23" s="321" t="s">
        <v>608</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x14ac:dyDescent="0.3">
      <c r="A24" s="57"/>
      <c r="B24" s="420"/>
      <c r="C24" s="46"/>
      <c r="D24" s="46"/>
      <c r="E24" s="46"/>
      <c r="F24" s="46"/>
      <c r="G24" s="46"/>
      <c r="H24" s="625" t="s">
        <v>18</v>
      </c>
      <c r="I24" s="620">
        <f>SUMIFS(Camplist_HH,Camplist_Township,'CCCM Dashboard'!$H24,CampList_Status,"Open")</f>
        <v>75</v>
      </c>
      <c r="J24" s="620">
        <f>SUMIFS(Camplist_Popl,Camplist_Township,'CCCM Dashboard'!$H24,CampList_Status,"Open")</f>
        <v>264</v>
      </c>
      <c r="K24" s="620">
        <f>AN35</f>
        <v>1</v>
      </c>
      <c r="L24" s="620">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x14ac:dyDescent="0.3">
      <c r="A25" s="57"/>
      <c r="B25" s="46"/>
      <c r="C25" s="46"/>
      <c r="D25" s="46"/>
      <c r="E25" s="46"/>
      <c r="F25" s="46"/>
      <c r="G25" s="46"/>
      <c r="H25" s="625" t="s">
        <v>16</v>
      </c>
      <c r="I25" s="620">
        <f>SUMIFS(Camplist_HH,Camplist_Township,'CCCM Dashboard'!$H25,CampList_Status,"Open")</f>
        <v>661</v>
      </c>
      <c r="J25" s="620">
        <f>SUMIFS(Camplist_Popl,Camplist_Township,'CCCM Dashboard'!$H25,CampList_Status,"Open")</f>
        <v>3566</v>
      </c>
      <c r="K25" s="620">
        <f t="shared" si="1"/>
        <v>2</v>
      </c>
      <c r="L25" s="620">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x14ac:dyDescent="0.3">
      <c r="A26" s="57"/>
      <c r="B26" s="46"/>
      <c r="C26" s="46"/>
      <c r="D26" s="46"/>
      <c r="E26" s="46"/>
      <c r="F26" s="46"/>
      <c r="G26" s="46"/>
      <c r="H26" s="625" t="s">
        <v>19</v>
      </c>
      <c r="I26" s="620">
        <f>SUMIFS(Camplist_HH,Camplist_Township,'CCCM Dashboard'!$H26,CampList_Status,"Open")</f>
        <v>17786</v>
      </c>
      <c r="J26" s="620">
        <f>SUMIFS(Camplist_Popl,Camplist_Township,'CCCM Dashboard'!$H26,CampList_Status,"Open")</f>
        <v>94717</v>
      </c>
      <c r="K26" s="620">
        <f t="shared" si="1"/>
        <v>11</v>
      </c>
      <c r="L26" s="620">
        <f>AR37-Table9[[#This Row],['# of Planned Camp]]</f>
        <v>4</v>
      </c>
      <c r="M26" s="46"/>
      <c r="N26" s="46"/>
      <c r="O26" s="46"/>
      <c r="P26" s="1"/>
      <c r="Q26" s="58"/>
      <c r="T26" s="80"/>
      <c r="U26" s="80"/>
      <c r="AG26" s="321" t="s">
        <v>867</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x14ac:dyDescent="0.3">
      <c r="A27" s="57"/>
      <c r="B27" s="46"/>
      <c r="C27" s="46"/>
      <c r="D27" s="46"/>
      <c r="E27" s="46"/>
      <c r="F27" s="46"/>
      <c r="G27" s="421"/>
      <c r="H27" s="626" t="s">
        <v>5</v>
      </c>
      <c r="I27" s="621">
        <f>SUM(I17:I26)</f>
        <v>23574</v>
      </c>
      <c r="J27" s="621">
        <f>SUM(J17:J26)</f>
        <v>120506</v>
      </c>
      <c r="K27" s="621">
        <f t="shared" si="1"/>
        <v>21</v>
      </c>
      <c r="L27" s="622">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x14ac:dyDescent="0.25">
      <c r="A28" s="57"/>
      <c r="B28" s="46"/>
      <c r="C28" s="46"/>
      <c r="D28" s="46"/>
      <c r="E28" s="46"/>
      <c r="F28" s="46"/>
      <c r="G28" s="421"/>
      <c r="H28" s="616"/>
      <c r="I28" s="617"/>
      <c r="J28" s="617"/>
      <c r="K28" s="617"/>
      <c r="L28" s="617"/>
      <c r="M28" s="46"/>
      <c r="N28" s="46"/>
      <c r="O28" s="46"/>
      <c r="P28" s="1"/>
      <c r="Q28" s="58"/>
      <c r="AG28" s="321"/>
      <c r="AH28" s="36"/>
      <c r="AI28" s="36"/>
      <c r="AJ28" s="320"/>
      <c r="AK28" s="320"/>
      <c r="AL28" s="320"/>
      <c r="AM28" s="167"/>
    </row>
    <row r="29" spans="1:45" s="90" customFormat="1" x14ac:dyDescent="0.25">
      <c r="A29" s="57"/>
      <c r="B29" s="46"/>
      <c r="C29" s="46"/>
      <c r="D29" s="46"/>
      <c r="E29" s="46"/>
      <c r="F29" s="46"/>
      <c r="G29" s="421"/>
      <c r="H29" s="616"/>
      <c r="I29" s="617"/>
      <c r="J29" s="617"/>
      <c r="K29" s="617"/>
      <c r="L29" s="617"/>
      <c r="M29" s="46"/>
      <c r="N29" s="46"/>
      <c r="O29" s="46"/>
      <c r="P29" s="1"/>
      <c r="Q29" s="58"/>
      <c r="AG29" s="321"/>
      <c r="AH29" s="36"/>
      <c r="AI29" s="36"/>
      <c r="AJ29" s="320"/>
      <c r="AK29" s="320"/>
      <c r="AL29" s="320"/>
      <c r="AM29" s="167"/>
    </row>
    <row r="30" spans="1:45" s="90" customFormat="1" x14ac:dyDescent="0.25">
      <c r="A30" s="57"/>
      <c r="B30" s="46"/>
      <c r="C30" s="46"/>
      <c r="D30" s="46"/>
      <c r="E30" s="46"/>
      <c r="F30" s="46"/>
      <c r="G30" s="421"/>
      <c r="H30" s="616"/>
      <c r="I30" s="617"/>
      <c r="J30" s="617"/>
      <c r="K30" s="617"/>
      <c r="L30" s="617"/>
      <c r="M30" s="46"/>
      <c r="N30" s="46"/>
      <c r="O30" s="46"/>
      <c r="P30" s="1"/>
      <c r="Q30" s="58"/>
      <c r="AG30" s="321"/>
      <c r="AH30" s="36"/>
      <c r="AI30" s="36"/>
      <c r="AJ30" s="320"/>
      <c r="AK30" s="320"/>
      <c r="AL30" s="320"/>
      <c r="AM30" s="167"/>
    </row>
    <row r="31" spans="1:45" s="90" customFormat="1" x14ac:dyDescent="0.25">
      <c r="A31" s="57"/>
      <c r="B31" s="46"/>
      <c r="C31" s="46"/>
      <c r="D31" s="46"/>
      <c r="E31" s="46"/>
      <c r="F31" s="46"/>
      <c r="G31" s="421"/>
      <c r="H31" s="616"/>
      <c r="I31" s="617"/>
      <c r="J31" s="617"/>
      <c r="K31" s="617"/>
      <c r="L31" s="617"/>
      <c r="M31" s="46"/>
      <c r="N31" s="46"/>
      <c r="O31" s="46"/>
      <c r="P31" s="1"/>
      <c r="Q31" s="58"/>
      <c r="AG31" s="321"/>
      <c r="AH31" s="36"/>
      <c r="AI31" s="36"/>
      <c r="AJ31" s="320"/>
      <c r="AK31" s="320"/>
      <c r="AL31" s="320"/>
      <c r="AM31" s="167"/>
    </row>
    <row r="32" spans="1:45" s="90" customFormat="1" x14ac:dyDescent="0.25">
      <c r="A32" s="57"/>
      <c r="B32" s="46"/>
      <c r="C32" s="46"/>
      <c r="D32" s="46"/>
      <c r="E32" s="46"/>
      <c r="F32" s="46"/>
      <c r="G32" s="421"/>
      <c r="H32" s="616"/>
      <c r="I32" s="617"/>
      <c r="J32" s="617"/>
      <c r="K32" s="617"/>
      <c r="L32" s="617"/>
      <c r="M32" s="46"/>
      <c r="N32" s="46"/>
      <c r="O32" s="46"/>
      <c r="P32" s="1"/>
      <c r="Q32" s="58"/>
      <c r="AG32" s="321"/>
      <c r="AH32" s="36"/>
      <c r="AI32" s="36"/>
      <c r="AJ32" s="320"/>
      <c r="AK32" s="320"/>
      <c r="AL32" s="320"/>
      <c r="AM32" s="167"/>
    </row>
    <row r="33" spans="1:46" x14ac:dyDescent="0.25">
      <c r="A33" s="432"/>
      <c r="B33" s="46"/>
      <c r="C33" s="46"/>
      <c r="D33" s="46"/>
      <c r="E33" s="46"/>
      <c r="F33" s="46"/>
      <c r="G33" s="421"/>
      <c r="H33" s="421"/>
      <c r="I33" s="421"/>
      <c r="J33" s="422"/>
      <c r="K33" s="422"/>
      <c r="L33" s="422"/>
      <c r="M33" s="46"/>
      <c r="N33" s="46"/>
      <c r="O33" s="46"/>
      <c r="P33" s="46"/>
      <c r="Q33" s="429"/>
      <c r="AG33" s="321" t="s">
        <v>1003</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x14ac:dyDescent="0.25">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x14ac:dyDescent="0.25">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x14ac:dyDescent="0.25">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x14ac:dyDescent="0.25">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x14ac:dyDescent="0.25">
      <c r="A38" s="432"/>
      <c r="B38" s="46"/>
      <c r="C38" s="46"/>
      <c r="D38" s="46"/>
      <c r="E38" s="46"/>
      <c r="F38" s="46"/>
      <c r="G38" s="46"/>
      <c r="H38" s="46"/>
      <c r="I38" s="46"/>
      <c r="J38" s="46"/>
      <c r="K38" s="46"/>
      <c r="L38" s="46"/>
      <c r="M38" s="46"/>
      <c r="N38" s="46"/>
      <c r="O38" s="46"/>
      <c r="P38" s="46"/>
      <c r="Q38" s="429"/>
      <c r="AG38" s="330" t="s">
        <v>5</v>
      </c>
      <c r="AH38" s="567">
        <f>SUM(AH23:AH37)</f>
        <v>14</v>
      </c>
      <c r="AI38" s="567">
        <f>SUM(AI23:AI37)</f>
        <v>14</v>
      </c>
      <c r="AJ38" s="329">
        <f t="shared" ref="AJ38:AR38" si="4">SUM(AJ23:AJ37)</f>
        <v>4</v>
      </c>
      <c r="AK38" s="329">
        <f t="shared" si="4"/>
        <v>4</v>
      </c>
      <c r="AL38" s="566">
        <f t="shared" si="4"/>
        <v>0</v>
      </c>
      <c r="AM38" s="167">
        <f>SUM(AM23:AM37)</f>
        <v>36</v>
      </c>
      <c r="AN38" s="297">
        <f>SUM(AN23:AN37)</f>
        <v>21</v>
      </c>
      <c r="AO38" s="167">
        <f>SUM(AO23:AO37)</f>
        <v>0</v>
      </c>
      <c r="AP38" s="90">
        <f>SUM(AP23:AP37)</f>
        <v>12</v>
      </c>
      <c r="AQ38" s="90">
        <f>SUM(AQ23:AQ37)</f>
        <v>3</v>
      </c>
      <c r="AR38" s="167">
        <f t="shared" si="4"/>
        <v>36</v>
      </c>
      <c r="AS38" s="167"/>
      <c r="AT38" s="65"/>
    </row>
    <row r="39" spans="1:46" x14ac:dyDescent="0.25">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x14ac:dyDescent="0.25">
      <c r="A40" s="432"/>
      <c r="B40" s="46"/>
      <c r="C40" s="46"/>
      <c r="D40" s="46"/>
      <c r="E40" s="46"/>
      <c r="F40" s="46"/>
      <c r="G40" s="46"/>
      <c r="H40" s="46"/>
      <c r="I40" s="46"/>
      <c r="J40" s="46"/>
      <c r="K40" s="46"/>
      <c r="L40" s="46"/>
      <c r="M40" s="46"/>
      <c r="N40" s="46"/>
      <c r="O40" s="46"/>
      <c r="P40" s="46"/>
      <c r="Q40" s="429"/>
      <c r="U40" s="80"/>
      <c r="AH40" s="35"/>
      <c r="AO40" s="35"/>
    </row>
    <row r="41" spans="1:46" s="90" customFormat="1" x14ac:dyDescent="0.25">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x14ac:dyDescent="0.25">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x14ac:dyDescent="0.25">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x14ac:dyDescent="0.25">
      <c r="A44" s="432"/>
      <c r="B44" s="46"/>
      <c r="C44" s="46"/>
      <c r="D44" s="46"/>
      <c r="E44" s="46"/>
      <c r="F44" s="46"/>
      <c r="G44" s="46"/>
      <c r="H44" s="46"/>
      <c r="I44" s="46"/>
      <c r="J44" s="46"/>
      <c r="K44" s="46"/>
      <c r="L44" s="46"/>
      <c r="M44" s="46"/>
      <c r="N44" s="46"/>
      <c r="O44" s="46"/>
      <c r="P44" s="46"/>
      <c r="Q44" s="429"/>
      <c r="AO44" s="35"/>
    </row>
    <row r="45" spans="1:46" x14ac:dyDescent="0.25">
      <c r="A45" s="432"/>
      <c r="B45" s="46"/>
      <c r="C45" s="46"/>
      <c r="D45" s="46"/>
      <c r="E45" s="46"/>
      <c r="F45" s="46"/>
      <c r="G45" s="46"/>
      <c r="H45" s="46"/>
      <c r="I45" s="46"/>
      <c r="J45" s="46"/>
      <c r="K45" s="46"/>
      <c r="L45" s="46"/>
      <c r="M45" s="46"/>
      <c r="N45" s="46"/>
      <c r="O45" s="46"/>
      <c r="P45" s="46"/>
      <c r="Q45" s="429"/>
      <c r="AO45" s="35"/>
    </row>
    <row r="46" spans="1:46" ht="3.75" customHeight="1" x14ac:dyDescent="0.25">
      <c r="A46" s="432"/>
      <c r="B46" s="46"/>
      <c r="C46" s="46"/>
      <c r="D46" s="46"/>
      <c r="E46" s="46"/>
      <c r="F46" s="46"/>
      <c r="G46" s="46"/>
      <c r="H46" s="46"/>
      <c r="I46" s="46"/>
      <c r="J46" s="46"/>
      <c r="K46" s="46"/>
      <c r="L46" s="46"/>
      <c r="M46" s="46"/>
      <c r="N46" s="46"/>
      <c r="O46" s="46"/>
      <c r="P46" s="46"/>
      <c r="Q46" s="429"/>
      <c r="AO46" s="35"/>
    </row>
    <row r="47" spans="1:46" x14ac:dyDescent="0.25">
      <c r="A47" s="432"/>
      <c r="B47" s="46"/>
      <c r="C47" s="46"/>
      <c r="D47" s="46"/>
      <c r="E47" s="46"/>
      <c r="F47" s="46"/>
      <c r="G47" s="46"/>
      <c r="H47" s="46"/>
      <c r="I47" s="46"/>
      <c r="J47" s="46"/>
      <c r="K47" s="46"/>
      <c r="L47" s="46"/>
      <c r="M47" s="46"/>
      <c r="N47" s="46"/>
      <c r="O47" s="46"/>
      <c r="P47" s="46"/>
      <c r="Q47" s="429"/>
      <c r="AO47" s="35"/>
    </row>
    <row r="48" spans="1:46" x14ac:dyDescent="0.25">
      <c r="A48" s="1006"/>
      <c r="B48" s="1007"/>
      <c r="C48" s="1007"/>
      <c r="D48" s="1007"/>
      <c r="E48" s="1007"/>
      <c r="F48" s="1007"/>
      <c r="G48" s="1007"/>
      <c r="H48" s="1007"/>
      <c r="I48" s="1007"/>
      <c r="J48" s="1007"/>
      <c r="K48" s="1007"/>
      <c r="L48" s="1007"/>
      <c r="M48" s="1007"/>
      <c r="N48" s="1007"/>
      <c r="O48" s="1007"/>
      <c r="P48" s="1007"/>
      <c r="Q48" s="1008"/>
      <c r="AO48" s="35"/>
    </row>
    <row r="49" spans="1:41" x14ac:dyDescent="0.25">
      <c r="A49" s="1006"/>
      <c r="B49" s="1007"/>
      <c r="C49" s="1007"/>
      <c r="D49" s="1007"/>
      <c r="E49" s="1007"/>
      <c r="F49" s="1007"/>
      <c r="G49" s="1007"/>
      <c r="H49" s="1007"/>
      <c r="I49" s="1007"/>
      <c r="J49" s="1007"/>
      <c r="K49" s="1007"/>
      <c r="L49" s="1007"/>
      <c r="M49" s="1007"/>
      <c r="N49" s="1007"/>
      <c r="O49" s="1007"/>
      <c r="P49" s="1007"/>
      <c r="Q49" s="1008"/>
      <c r="AO49" s="35"/>
    </row>
    <row r="50" spans="1:41" ht="15.75" thickBot="1" x14ac:dyDescent="0.3">
      <c r="A50" s="1009"/>
      <c r="B50" s="1010"/>
      <c r="C50" s="1010"/>
      <c r="D50" s="1010"/>
      <c r="E50" s="1010"/>
      <c r="F50" s="1010"/>
      <c r="G50" s="1010"/>
      <c r="H50" s="1010"/>
      <c r="I50" s="1010"/>
      <c r="J50" s="1010"/>
      <c r="K50" s="1010"/>
      <c r="L50" s="1010"/>
      <c r="M50" s="1010"/>
      <c r="N50" s="1010"/>
      <c r="O50" s="1010"/>
      <c r="P50" s="1010"/>
      <c r="Q50" s="1011"/>
      <c r="AO50" s="35"/>
    </row>
    <row r="51" spans="1:41" x14ac:dyDescent="0.25">
      <c r="AO51" s="35"/>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 right="0.157" top="0.157" bottom="0.157" header="0" footer="0"/>
  <pageSetup paperSize="9" scale="65"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1.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3.xml>��< ? x m l   v e r s i o n = " 1 . 0 "   e n c o d i n g = " U T F - 1 6 " ? > < G e m i n i   x m l n s = " h t t p : / / g e m i n i / p i v o t c u s t o m i z a t i o n / T a b l e O r d e r " > < C u s t o m C o n t e n t > < ! [ C D A T A [ T a b l e _ C a m p L i s t , T a b l e _ S h e l t e r ] ] > < / C u s t o m C o n t e n t > < / G e m i n i > 
</file>

<file path=customXml/item1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5.xml>��< ? x m l   v e r s i o n = " 1 . 0 "   e n c o d i n g = " U T F - 1 6 " ? > < G e m i n i   x m l n s = " h t t p : / / g e m i n i / w o r k b o o k c u s t o m i z a t i o n / S a n d b o x N o n E m p t y " > < C u s t o m C o n t e n t > < ! [ C D A T A [ 1 ] ] > < / C u s t o m C o n t e n t > < / G e m i n i > 
</file>

<file path=customXml/item16.xml>��< ? x m l   v e r s i o n = " 1 . 0 "   e n c o d i n g = " U T F - 1 6 " ? > < G e m i n i   x m l n s = " h t t p : / / g e m i n i / p i v o t c u s t o m i z a t i o n / L i n k e d T a b l e U p d a t e M o d e " > < C u s t o m C o n t e n t > < ! [ C D A T A [ T r u e ] ] > < / C u s t o m C o n t e n t > < / G e m i n i > 
</file>

<file path=customXml/item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3.xml>��< ? x m l   v e r s i o n = " 1 . 0 "   e n c o d i n g = " U T F - 1 6 " ? > < G e m i n i   x m l n s = " h t t p : / / g e m i n i / p i v o t c u s t o m i z a t i o n / M a n u a l C a l c M o d e " > < C u s t o m C o n t e n t > < ! [ C D A T A [ F a l s e ] ] > < / C u s t o m C o n t e n t > < / G e m i n i > 
</file>

<file path=customXml/item4.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w o r k b o o k c u s t o m i z a t i o n / R e l a t i o n s h i p A u t o D e t e c t i o n E n a b l e d " > < C u s t o m C o n t e n t > < ! [ C D A T A [ T r u e ] ] > < / C u s t o m C o n t e n t > < / G e m i n i > 
</file>

<file path=customXml/item6.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7.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8.xml>��< ? x m l   v e r s i o n = " 1 . 0 "   e n c o d i n g = " U T F - 1 6 " ? > < G e m i n i   x m l n s = " h t t p : / / g e m i n i / p i v o t c u s t o m i z a t i o n / T a b l e C o u n t I n S a n d b o x " > < C u s t o m C o n t e n t > < ! [ C D A T A [ 2 ] ] > < / 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0.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1.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3.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4.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5.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3.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4.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5.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6.xml><?xml version="1.0" encoding="utf-8"?>
<ds:datastoreItem xmlns:ds="http://schemas.openxmlformats.org/officeDocument/2006/customXml" ds:itemID="{BD47491D-A072-4E9A-9936-7CEEF1F17C78}">
  <ds:schemaRefs>
    <ds:schemaRef ds:uri="http://schemas.openxmlformats.org/package/2006/metadata/core-properties"/>
    <ds:schemaRef ds:uri="http://www.w3.org/XML/1998/namespace"/>
    <ds:schemaRef ds:uri="http://purl.org/dc/elements/1.1/"/>
    <ds:schemaRef ds:uri="96664bca-06c0-4657-b6f9-0a997f5ff9b9"/>
    <ds:schemaRef ds:uri="http://purl.org/dc/dcmitype/"/>
    <ds:schemaRef ds:uri="http://purl.org/dc/terms/"/>
    <ds:schemaRef ds:uri="http://schemas.microsoft.com/office/2006/metadata/properties"/>
    <ds:schemaRef ds:uri="http://schemas.microsoft.com/office/2006/documentManagement/types"/>
    <ds:schemaRef ds:uri="http://schemas.microsoft.com/office/infopath/2007/PartnerControls"/>
    <ds:schemaRef ds:uri="44d82dea-fc32-4e1e-a3c6-c3136ef66f65"/>
    <ds:schemaRef ds:uri="410da107-b4b9-4416-82f0-a17ea7b4313c"/>
    <ds:schemaRef ds:uri="c2760211-3e43-4ff7-a9ea-22e8b7d99117"/>
    <ds:schemaRef ds:uri="http://schemas.microsoft.com/sharepoint/v3"/>
  </ds:schemaRefs>
</ds:datastoreItem>
</file>

<file path=customXml/itemProps7.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8.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9.xml><?xml version="1.0" encoding="utf-8"?>
<ds:datastoreItem xmlns:ds="http://schemas.openxmlformats.org/officeDocument/2006/customXml" ds:itemID="{974B0D73-35CA-45FB-BE5F-9815EC340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99</vt:i4>
      </vt:variant>
    </vt:vector>
  </HeadingPairs>
  <TitlesOfParts>
    <vt:vector size="128"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2017-03-22T05:24:21Z</cp:lastPrinted>
  <dcterms:created xsi:type="dcterms:W3CDTF">2013-03-18T02:36:38Z</dcterms:created>
  <dcterms:modified xsi:type="dcterms:W3CDTF">2017-05-08T09:44:40Z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